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6285" windowWidth="14805" windowHeight="1830"/>
  </bookViews>
  <sheets>
    <sheet name="13-УСЛУГЕ-РФЗО 2023 ГОД" sheetId="118" r:id="rId1"/>
    <sheet name="Sheet1" sheetId="122" r:id="rId2"/>
  </sheets>
  <definedNames>
    <definedName name="____W.O.R.K.B.O.O.K..C.O.N.T.E.N.T.S____" localSheetId="0">#REF!</definedName>
    <definedName name="____W.O.R.K.B.O.O.K..C.O.N.T.E.N.T.S____">#REF!</definedName>
    <definedName name="_xlnm._FilterDatabase" localSheetId="0" hidden="1">'13-УСЛУГЕ-РФЗО 2023 ГОД'!$A$5:$BI$3835</definedName>
    <definedName name="_xlnm.Print_Titles" localSheetId="0">'13-УСЛУГЕ-РФЗО 2023 ГОД'!$5:$9</definedName>
  </definedNames>
  <calcPr calcId="145621"/>
</workbook>
</file>

<file path=xl/calcChain.xml><?xml version="1.0" encoding="utf-8"?>
<calcChain xmlns="http://schemas.openxmlformats.org/spreadsheetml/2006/main">
  <c r="BI3422" i="118" l="1"/>
  <c r="BG3422" i="118"/>
  <c r="BH50" i="118" l="1"/>
  <c r="BD50" i="118"/>
  <c r="AC50" i="118"/>
  <c r="BB2193" i="118"/>
  <c r="BB1753" i="118"/>
  <c r="BB1074" i="118"/>
  <c r="BB1073" i="118"/>
  <c r="BB1072" i="118"/>
  <c r="BB1071" i="118"/>
  <c r="BB1070" i="118"/>
  <c r="BB1067" i="118"/>
  <c r="BG50" i="118" l="1"/>
  <c r="U3415" i="118"/>
  <c r="U3195" i="118"/>
  <c r="U3137" i="118"/>
  <c r="U3116" i="118"/>
  <c r="U3023" i="118"/>
  <c r="U3022" i="118"/>
  <c r="U3021" i="118"/>
  <c r="U3020" i="118"/>
  <c r="U3019" i="118"/>
  <c r="U3018" i="118"/>
  <c r="U3017" i="118"/>
  <c r="U3016" i="118"/>
  <c r="U3015" i="118"/>
  <c r="U3014" i="118"/>
  <c r="U3010" i="118"/>
  <c r="U2993" i="118"/>
  <c r="U2997" i="118"/>
  <c r="U2852" i="118"/>
  <c r="U2851" i="118"/>
  <c r="U2850" i="118"/>
  <c r="U2849" i="118"/>
  <c r="U2790" i="118"/>
  <c r="BB2824" i="118"/>
  <c r="U2803" i="118"/>
  <c r="U2637" i="118"/>
  <c r="U2636" i="118"/>
  <c r="U2527" i="118"/>
  <c r="U2526" i="118"/>
  <c r="U2525" i="118"/>
  <c r="U2524" i="118"/>
  <c r="U2396" i="118"/>
  <c r="U2395" i="118"/>
  <c r="U2394" i="118"/>
  <c r="U2164" i="118"/>
  <c r="U2131" i="118"/>
  <c r="U2129" i="118"/>
  <c r="U2128" i="118"/>
  <c r="U2093" i="118"/>
  <c r="U2092" i="118"/>
  <c r="U2091" i="118"/>
  <c r="U1974" i="118"/>
  <c r="U1972" i="118"/>
  <c r="U1970" i="118"/>
  <c r="U1835" i="118"/>
  <c r="U1834" i="118"/>
  <c r="U1832" i="118"/>
  <c r="U1743" i="118"/>
  <c r="U1742" i="118"/>
  <c r="U1741" i="118"/>
  <c r="U1659" i="118"/>
  <c r="U1658" i="118"/>
  <c r="U1569" i="118"/>
  <c r="U1568" i="118"/>
  <c r="U1567" i="118"/>
  <c r="U1491" i="118"/>
  <c r="U1490" i="118"/>
  <c r="U1489" i="118"/>
  <c r="U1393" i="118"/>
  <c r="U1392" i="118"/>
  <c r="U1390" i="118"/>
  <c r="U1298" i="118"/>
  <c r="U1297" i="118"/>
  <c r="U1296" i="118"/>
  <c r="U1187" i="118"/>
  <c r="U1186" i="118"/>
  <c r="U1184" i="118"/>
  <c r="U1018" i="118"/>
  <c r="U1017" i="118"/>
  <c r="U1016" i="118"/>
  <c r="U1015" i="118"/>
  <c r="U1012" i="118"/>
  <c r="BI50" i="118" l="1"/>
  <c r="U2168" i="118"/>
  <c r="U2167" i="118"/>
  <c r="U2166" i="118"/>
  <c r="BB1376" i="118"/>
  <c r="BB1176" i="118"/>
  <c r="BB1034" i="118"/>
  <c r="BB3780" i="118"/>
  <c r="U975" i="118"/>
  <c r="AA3314" i="118"/>
  <c r="BB2029" i="118"/>
  <c r="BB1640" i="118"/>
  <c r="BB1584" i="118"/>
  <c r="BB3109" i="118"/>
  <c r="BB3098" i="118"/>
  <c r="BB3095" i="118"/>
  <c r="BB3092" i="118"/>
  <c r="BB3091" i="118"/>
  <c r="BB3057" i="118"/>
  <c r="BB3051" i="118"/>
  <c r="BB3037" i="118"/>
  <c r="BB3033" i="118"/>
  <c r="BB3031" i="118"/>
  <c r="BB3080" i="118"/>
  <c r="BB2892" i="118"/>
  <c r="BB2891" i="118"/>
  <c r="BB2889" i="118"/>
  <c r="BB2985" i="118"/>
  <c r="BB2899" i="118"/>
  <c r="BB2885" i="118"/>
  <c r="BB2622" i="118"/>
  <c r="BB2614" i="118"/>
  <c r="BB2613" i="118"/>
  <c r="BB2608" i="118"/>
  <c r="BB2601" i="118"/>
  <c r="BB2569" i="118"/>
  <c r="BB2566" i="118"/>
  <c r="BB2561" i="118"/>
  <c r="BB2553" i="118"/>
  <c r="BB2546" i="118"/>
  <c r="BB2539" i="118"/>
  <c r="BB2537" i="118"/>
  <c r="BB2536" i="118"/>
  <c r="BB2531" i="118"/>
  <c r="BB2437" i="118"/>
  <c r="BB2426" i="118"/>
  <c r="BB2423" i="118"/>
  <c r="BB3389" i="118"/>
  <c r="BB3377" i="118"/>
  <c r="BB3365" i="118"/>
  <c r="BB3359" i="118"/>
  <c r="BB3352" i="118"/>
  <c r="BB3148" i="118"/>
  <c r="BB3144" i="118"/>
  <c r="BB3254" i="118"/>
  <c r="BB3241" i="118"/>
  <c r="BB3332" i="118"/>
  <c r="BB3229" i="118"/>
  <c r="BB3203" i="118"/>
  <c r="BB3202" i="118"/>
  <c r="BB3419" i="118"/>
  <c r="BB1653" i="118"/>
  <c r="BB1646" i="118"/>
  <c r="BB1612" i="118"/>
  <c r="BB1611" i="118"/>
  <c r="BB1593" i="118"/>
  <c r="BB1579" i="118"/>
  <c r="BB2049" i="118"/>
  <c r="BB2045" i="118"/>
  <c r="BB2044" i="118"/>
  <c r="BB2043" i="118"/>
  <c r="BB2627" i="118"/>
  <c r="BB2625" i="118"/>
  <c r="BB2624" i="118"/>
  <c r="BB2620" i="118"/>
  <c r="BB2617" i="118"/>
  <c r="BB2616" i="118"/>
  <c r="BB2611" i="118"/>
  <c r="BB2609" i="118"/>
  <c r="BB2605" i="118"/>
  <c r="BB2598" i="118"/>
  <c r="BB2596" i="118"/>
  <c r="BB2576" i="118"/>
  <c r="BB2574" i="118"/>
  <c r="BB2572" i="118"/>
  <c r="BB2571" i="118"/>
  <c r="BB2568" i="118"/>
  <c r="BB2567" i="118"/>
  <c r="BB2564" i="118"/>
  <c r="BB2554" i="118"/>
  <c r="BB2550" i="118"/>
  <c r="BB2548" i="118"/>
  <c r="BB2538" i="118"/>
  <c r="BB2533" i="118"/>
  <c r="BB2532" i="118"/>
  <c r="BB2530" i="118"/>
  <c r="BB3465" i="118"/>
  <c r="BB1875" i="118"/>
  <c r="BB1872" i="118"/>
  <c r="BB1871" i="118"/>
  <c r="BB1860" i="118"/>
  <c r="BB1785" i="118"/>
  <c r="BB1421" i="118"/>
  <c r="BB1415" i="118"/>
  <c r="BB1097" i="118"/>
  <c r="BB1032" i="118"/>
  <c r="BB1030" i="118"/>
  <c r="BB2816" i="118"/>
  <c r="BB2322" i="118"/>
  <c r="BB1878" i="118"/>
  <c r="BB2352" i="118"/>
  <c r="BB2342" i="118"/>
  <c r="BB2340" i="118"/>
  <c r="BB2339" i="118"/>
  <c r="BB2333" i="118"/>
  <c r="BB2326" i="118"/>
  <c r="BB2294" i="118"/>
  <c r="BB2265" i="118"/>
  <c r="BB2264" i="118"/>
  <c r="BB2258" i="118"/>
  <c r="BB2257" i="118"/>
  <c r="BB2250" i="118"/>
  <c r="BB2247" i="118"/>
  <c r="BB2236" i="118"/>
  <c r="BB2224" i="118"/>
  <c r="BB2222" i="118"/>
  <c r="BB2218" i="118"/>
  <c r="BB2207" i="118"/>
  <c r="BB2205" i="118"/>
  <c r="BB2194" i="118"/>
  <c r="BB2190" i="118"/>
  <c r="BB2189" i="118"/>
  <c r="BB2183" i="118"/>
  <c r="BB2179" i="118"/>
  <c r="BB1381" i="118"/>
  <c r="BB1329" i="118"/>
  <c r="BB1327" i="118"/>
  <c r="BB1326" i="118"/>
  <c r="BB1318" i="118"/>
  <c r="BB1317" i="118"/>
  <c r="BB1635" i="118"/>
  <c r="BB1574" i="118"/>
  <c r="BH1630" i="118"/>
  <c r="BD1630" i="118"/>
  <c r="AC1630" i="118"/>
  <c r="BB1205" i="118"/>
  <c r="BB1157" i="118"/>
  <c r="BB1100" i="118"/>
  <c r="BB1043" i="118"/>
  <c r="BB1035" i="118"/>
  <c r="BB1479" i="118"/>
  <c r="BB1475" i="118"/>
  <c r="BB1472" i="118"/>
  <c r="BB1469" i="118"/>
  <c r="BB1465" i="118"/>
  <c r="BB1464" i="118"/>
  <c r="BB1459" i="118"/>
  <c r="BB1456" i="118"/>
  <c r="BB1454" i="118"/>
  <c r="BB1451" i="118"/>
  <c r="BB1416" i="118"/>
  <c r="BB1411" i="118"/>
  <c r="BB1406" i="118"/>
  <c r="BB1399" i="118"/>
  <c r="BB1377" i="118"/>
  <c r="BB1371" i="118"/>
  <c r="BB1633" i="118"/>
  <c r="BB1547" i="118"/>
  <c r="BB1546" i="118"/>
  <c r="BB1513" i="118"/>
  <c r="BB1507" i="118"/>
  <c r="BB1499" i="118"/>
  <c r="BB1493" i="118"/>
  <c r="BB2542" i="118"/>
  <c r="BB2541" i="118"/>
  <c r="BB2826" i="118"/>
  <c r="BB2817" i="118"/>
  <c r="BB2803" i="118"/>
  <c r="BB2799" i="118"/>
  <c r="BB3112" i="118"/>
  <c r="BB3105" i="118"/>
  <c r="BB3102" i="118"/>
  <c r="BB3100" i="118"/>
  <c r="BB3099" i="118"/>
  <c r="BB3096" i="118"/>
  <c r="BB3089" i="118"/>
  <c r="BB3088" i="118"/>
  <c r="BB3041" i="118"/>
  <c r="BB2868" i="118"/>
  <c r="BB2968" i="118"/>
  <c r="BB2875" i="118"/>
  <c r="BB2903" i="118"/>
  <c r="BB2964" i="118"/>
  <c r="BB2965" i="118"/>
  <c r="BB2951" i="118"/>
  <c r="BB2912" i="118"/>
  <c r="BB2863" i="118"/>
  <c r="BB2511" i="118"/>
  <c r="BB2504" i="118"/>
  <c r="BB2503" i="118"/>
  <c r="BB2502" i="118"/>
  <c r="BB2455" i="118"/>
  <c r="BB2453" i="118"/>
  <c r="BB2449" i="118"/>
  <c r="BB2443" i="118"/>
  <c r="BB2420" i="118"/>
  <c r="BB2412" i="118"/>
  <c r="BB2409" i="118"/>
  <c r="BB2405" i="118"/>
  <c r="BB2784" i="118"/>
  <c r="BB2776" i="118"/>
  <c r="BB2774" i="118"/>
  <c r="BB2773" i="118"/>
  <c r="BB2767" i="118"/>
  <c r="BH2638" i="118"/>
  <c r="BD2638" i="118"/>
  <c r="AC2638" i="118"/>
  <c r="BB2714" i="118"/>
  <c r="BB2708" i="118"/>
  <c r="BB2697" i="118"/>
  <c r="BB2666" i="118"/>
  <c r="BB2660" i="118"/>
  <c r="BB2651" i="118"/>
  <c r="BB2647" i="118"/>
  <c r="BB2645" i="118"/>
  <c r="BB2644" i="118"/>
  <c r="BB1991" i="118"/>
  <c r="BB1979" i="118"/>
  <c r="BB2088" i="118"/>
  <c r="BB2083" i="118"/>
  <c r="BB2082" i="118"/>
  <c r="BB2081" i="118"/>
  <c r="BB2078" i="118"/>
  <c r="BB2077" i="118"/>
  <c r="BB2008" i="118"/>
  <c r="BB1999" i="118"/>
  <c r="BB1986" i="118"/>
  <c r="BB1911" i="118"/>
  <c r="BB3107" i="118"/>
  <c r="BB3104" i="118"/>
  <c r="BB3093" i="118"/>
  <c r="BB3079" i="118"/>
  <c r="BB3028" i="118"/>
  <c r="BB3065" i="118"/>
  <c r="BB3064" i="118"/>
  <c r="BB3062" i="118"/>
  <c r="BB3060" i="118"/>
  <c r="BB3053" i="118"/>
  <c r="BB3044" i="118"/>
  <c r="BB3035" i="118"/>
  <c r="BB3034" i="118"/>
  <c r="BB3032" i="118"/>
  <c r="BB1823" i="118"/>
  <c r="BB1820" i="118"/>
  <c r="BB1819" i="118"/>
  <c r="BB1815" i="118"/>
  <c r="BB1812" i="118"/>
  <c r="BB1810" i="118"/>
  <c r="BB1807" i="118"/>
  <c r="BB1806" i="118"/>
  <c r="BB1805" i="118"/>
  <c r="BB1804" i="118"/>
  <c r="BB1803" i="118"/>
  <c r="BB1799" i="118"/>
  <c r="BB1798" i="118"/>
  <c r="BB1795" i="118"/>
  <c r="BB1787" i="118"/>
  <c r="BB1772" i="118"/>
  <c r="BB1770" i="118"/>
  <c r="BB1769" i="118"/>
  <c r="BB1767" i="118"/>
  <c r="BB1766" i="118"/>
  <c r="BB1765" i="118"/>
  <c r="BB1764" i="118"/>
  <c r="BB1761" i="118"/>
  <c r="BB1759" i="118"/>
  <c r="BB1757" i="118"/>
  <c r="BB1756" i="118"/>
  <c r="BB1754" i="118"/>
  <c r="BB1751" i="118"/>
  <c r="BB1750" i="118"/>
  <c r="BB1749" i="118"/>
  <c r="BB2421" i="118"/>
  <c r="BB1169" i="118"/>
  <c r="BB1156" i="118"/>
  <c r="BB1107" i="118"/>
  <c r="BB1105" i="118"/>
  <c r="BB1104" i="118"/>
  <c r="BB1096" i="118"/>
  <c r="BB1063" i="118"/>
  <c r="BB1052" i="118"/>
  <c r="BB1045" i="118"/>
  <c r="BG2638" i="118" l="1"/>
  <c r="BG1630" i="118"/>
  <c r="BI1630" i="118" s="1"/>
  <c r="BI2638" i="118"/>
  <c r="BB3119" i="118"/>
  <c r="BB1026" i="118"/>
  <c r="BB2835" i="118"/>
  <c r="BB1641" i="118"/>
  <c r="BB1610" i="118"/>
  <c r="BB1606" i="118"/>
  <c r="BB1597" i="118"/>
  <c r="BH2235" i="118"/>
  <c r="BD2235" i="118"/>
  <c r="AC2235" i="118"/>
  <c r="BB2227" i="118"/>
  <c r="BH2226" i="118"/>
  <c r="BD2226" i="118"/>
  <c r="AC2226" i="118"/>
  <c r="BH2223" i="118"/>
  <c r="BD2223" i="118"/>
  <c r="AC2223" i="118"/>
  <c r="BB2979" i="118"/>
  <c r="BB2971" i="118"/>
  <c r="BB2967" i="118"/>
  <c r="BB2963" i="118"/>
  <c r="BB2958" i="118"/>
  <c r="BB2911" i="118"/>
  <c r="BB2908" i="118"/>
  <c r="BB2878" i="118"/>
  <c r="BB2864" i="118"/>
  <c r="BB1926" i="118"/>
  <c r="BB1874" i="118"/>
  <c r="BH1966" i="118"/>
  <c r="BD1966" i="118"/>
  <c r="AC1966" i="118"/>
  <c r="BB1965" i="118"/>
  <c r="BB1960" i="118"/>
  <c r="BB1959" i="118"/>
  <c r="BB1958" i="118"/>
  <c r="BB1906" i="118"/>
  <c r="BB1901" i="118"/>
  <c r="BB1889" i="118"/>
  <c r="BB1856" i="118"/>
  <c r="BB1847" i="118"/>
  <c r="BB1844" i="118"/>
  <c r="BB1843" i="118"/>
  <c r="BB1385" i="118"/>
  <c r="BB1344" i="118"/>
  <c r="BB1343" i="118"/>
  <c r="BB1339" i="118"/>
  <c r="BB1338" i="118"/>
  <c r="BB1336" i="118"/>
  <c r="BB1332" i="118"/>
  <c r="BB1314" i="118"/>
  <c r="BB1306" i="118"/>
  <c r="BB1303" i="118"/>
  <c r="BB1301" i="118"/>
  <c r="BB1300" i="118"/>
  <c r="BB1954" i="118"/>
  <c r="BB1881" i="118"/>
  <c r="BB1877" i="118"/>
  <c r="BB1876" i="118"/>
  <c r="BB1870" i="118"/>
  <c r="BB2158" i="118"/>
  <c r="BB2153" i="118"/>
  <c r="BB2151" i="118"/>
  <c r="BB2145" i="118"/>
  <c r="BB2137" i="118"/>
  <c r="BB2134" i="118"/>
  <c r="BB2913" i="118"/>
  <c r="BB2909" i="118"/>
  <c r="BB2907" i="118"/>
  <c r="BB2887" i="118"/>
  <c r="BB2886" i="118"/>
  <c r="BB2881" i="118"/>
  <c r="BB1734" i="118"/>
  <c r="BB1733" i="118"/>
  <c r="BH1732" i="118"/>
  <c r="BD1732" i="118"/>
  <c r="AC1732" i="118"/>
  <c r="BB1731" i="118"/>
  <c r="BB1726" i="118"/>
  <c r="BB1719" i="118"/>
  <c r="BB1714" i="118"/>
  <c r="BB1712" i="118"/>
  <c r="BB1711" i="118"/>
  <c r="BB1708" i="118"/>
  <c r="BB1707" i="118"/>
  <c r="BB1704" i="118"/>
  <c r="BB1697" i="118"/>
  <c r="BB1688" i="118"/>
  <c r="BB1686" i="118"/>
  <c r="BB1683" i="118"/>
  <c r="BB1681" i="118"/>
  <c r="BB1680" i="118"/>
  <c r="BB1678" i="118"/>
  <c r="BB1674" i="118"/>
  <c r="BB1671" i="118"/>
  <c r="BB1668" i="118"/>
  <c r="BB1664" i="118"/>
  <c r="BB1663" i="118"/>
  <c r="BD2060" i="118"/>
  <c r="BB2925" i="118"/>
  <c r="BH2515" i="118"/>
  <c r="BD2515" i="118"/>
  <c r="AC2515" i="118"/>
  <c r="BB2496" i="118"/>
  <c r="BB2493" i="118"/>
  <c r="BG2226" i="118" l="1"/>
  <c r="BG1966" i="118"/>
  <c r="BI1966" i="118" s="1"/>
  <c r="BG2235" i="118"/>
  <c r="BI2235" i="118" s="1"/>
  <c r="BG2223" i="118"/>
  <c r="BI2223" i="118" s="1"/>
  <c r="BI2226" i="118"/>
  <c r="BG1732" i="118"/>
  <c r="BI1732" i="118" s="1"/>
  <c r="BG2515" i="118"/>
  <c r="BI2515" i="118" s="1"/>
  <c r="BB1560" i="118"/>
  <c r="BB1540" i="118"/>
  <c r="BB1519" i="118"/>
  <c r="BB1518" i="118"/>
  <c r="BB1517" i="118"/>
  <c r="BB1516" i="118"/>
  <c r="BB1514" i="118"/>
  <c r="BB1510" i="118"/>
  <c r="BB1506" i="118"/>
  <c r="BB1496" i="118"/>
  <c r="BB1494" i="118"/>
  <c r="BB1553" i="118"/>
  <c r="BB1549" i="118"/>
  <c r="BH1522" i="118"/>
  <c r="BD1522" i="118"/>
  <c r="AC1522" i="118"/>
  <c r="BB1379" i="118"/>
  <c r="BB1365" i="118"/>
  <c r="BH1963" i="118"/>
  <c r="BD1963" i="118"/>
  <c r="AC1963" i="118"/>
  <c r="BB1463" i="118"/>
  <c r="BB1429" i="118"/>
  <c r="BB1428" i="118"/>
  <c r="BB1418" i="118"/>
  <c r="BB1414" i="118"/>
  <c r="BG1963" i="118" l="1"/>
  <c r="BI1963" i="118" s="1"/>
  <c r="BG1522" i="118"/>
  <c r="BI1522" i="118" s="1"/>
  <c r="BB1398" i="118"/>
  <c r="BB1397" i="118"/>
  <c r="BH2141" i="118"/>
  <c r="BD2141" i="118"/>
  <c r="AC2141" i="118"/>
  <c r="BB1287" i="118"/>
  <c r="BB1276" i="118"/>
  <c r="BB1270" i="118"/>
  <c r="BB1262" i="118"/>
  <c r="BB1245" i="118"/>
  <c r="BB1244" i="118"/>
  <c r="BB1235" i="118"/>
  <c r="BB1231" i="118"/>
  <c r="BB1229" i="118"/>
  <c r="BB1228" i="118"/>
  <c r="BB1225" i="118"/>
  <c r="BB1216" i="118"/>
  <c r="BB1214" i="118"/>
  <c r="BB1207" i="118"/>
  <c r="BB1198" i="118"/>
  <c r="BB1194" i="118"/>
  <c r="BH2684" i="118"/>
  <c r="BD2684" i="118"/>
  <c r="AC2684" i="118"/>
  <c r="BH2667" i="118"/>
  <c r="BD2667" i="118"/>
  <c r="AC2667" i="118"/>
  <c r="BH1271" i="118"/>
  <c r="BD1271" i="118"/>
  <c r="AC1271" i="118"/>
  <c r="BB1147" i="118"/>
  <c r="BB1145" i="118"/>
  <c r="BB1175" i="118"/>
  <c r="BB1171" i="118"/>
  <c r="BH1162" i="118"/>
  <c r="BD1162" i="118"/>
  <c r="AC1162" i="118"/>
  <c r="BB1161" i="118"/>
  <c r="BB1160" i="118"/>
  <c r="BB1152" i="118"/>
  <c r="BB1151" i="118"/>
  <c r="BH1146" i="118"/>
  <c r="BD1146" i="118"/>
  <c r="AC1146" i="118"/>
  <c r="BH1142" i="118"/>
  <c r="BD1142" i="118"/>
  <c r="AC1142" i="118"/>
  <c r="BB1132" i="118"/>
  <c r="BB1115" i="118"/>
  <c r="BB1109" i="118"/>
  <c r="BB1103" i="118"/>
  <c r="BB1101" i="118"/>
  <c r="BB1054" i="118"/>
  <c r="BB1037" i="118"/>
  <c r="BB1033" i="118"/>
  <c r="BH1395" i="118"/>
  <c r="BD1395" i="118"/>
  <c r="AC1395" i="118"/>
  <c r="BG2684" i="118" l="1"/>
  <c r="BG2141" i="118"/>
  <c r="BI2141" i="118" s="1"/>
  <c r="BG1395" i="118"/>
  <c r="BI1395" i="118" s="1"/>
  <c r="BG2667" i="118"/>
  <c r="BI2667" i="118" s="1"/>
  <c r="BI2684" i="118"/>
  <c r="BG1271" i="118"/>
  <c r="BI1271" i="118" s="1"/>
  <c r="BG1146" i="118"/>
  <c r="BI1146" i="118" s="1"/>
  <c r="BG1162" i="118"/>
  <c r="BI1162" i="118" s="1"/>
  <c r="BG1142" i="118"/>
  <c r="BI1142" i="118" s="1"/>
  <c r="AA2424" i="118"/>
  <c r="AA2421" i="118"/>
  <c r="AA2396" i="118"/>
  <c r="AA1743" i="118"/>
  <c r="AA1491" i="118"/>
  <c r="AA1298" i="118"/>
  <c r="BH1299" i="118"/>
  <c r="BH1300" i="118"/>
  <c r="BD1299" i="118"/>
  <c r="AC1299" i="118"/>
  <c r="AA1018" i="118"/>
  <c r="AA1030" i="118"/>
  <c r="AA1026" i="118"/>
  <c r="AA3010" i="118"/>
  <c r="AA3009" i="118"/>
  <c r="AA2993" i="118"/>
  <c r="AA2992" i="118"/>
  <c r="AA2985" i="118"/>
  <c r="AA2945" i="118"/>
  <c r="AA2899" i="118"/>
  <c r="AA2885" i="118"/>
  <c r="AA2857" i="118"/>
  <c r="AA2881" i="118"/>
  <c r="BH2847" i="118"/>
  <c r="BD2847" i="118"/>
  <c r="AC2847" i="118"/>
  <c r="AA2859" i="118"/>
  <c r="AA2858" i="118"/>
  <c r="AA3389" i="118"/>
  <c r="AA3387" i="118"/>
  <c r="AA3382" i="118"/>
  <c r="AA3377" i="118"/>
  <c r="AA3370" i="118"/>
  <c r="AA3369" i="118"/>
  <c r="AA3365" i="118"/>
  <c r="AA3364" i="118"/>
  <c r="AA3359" i="118"/>
  <c r="AA3358" i="118"/>
  <c r="AA3357" i="118"/>
  <c r="AA3356" i="118"/>
  <c r="AA3355" i="118"/>
  <c r="AA3352" i="118"/>
  <c r="AA3187" i="118"/>
  <c r="AA3179" i="118"/>
  <c r="AA3178" i="118"/>
  <c r="AA3177" i="118"/>
  <c r="AA3153" i="118"/>
  <c r="AA3148" i="118"/>
  <c r="AA3137" i="118"/>
  <c r="AA3144" i="118"/>
  <c r="AA3287" i="118"/>
  <c r="AA3263" i="118"/>
  <c r="AA3254" i="118"/>
  <c r="AA3252" i="118"/>
  <c r="AA3250" i="118"/>
  <c r="AA3249" i="118"/>
  <c r="AA3241" i="118"/>
  <c r="AA3233" i="118"/>
  <c r="AA3238" i="118"/>
  <c r="AA3332" i="118"/>
  <c r="AA3325" i="118"/>
  <c r="AA3318" i="118"/>
  <c r="AA3317" i="118"/>
  <c r="AA3312" i="118"/>
  <c r="AA3309" i="118"/>
  <c r="AA3300" i="118"/>
  <c r="AA3297" i="118"/>
  <c r="AA3296" i="118"/>
  <c r="AA3229" i="118"/>
  <c r="AA3227" i="118"/>
  <c r="AA3224" i="118"/>
  <c r="AA3223" i="118"/>
  <c r="AA3216" i="118"/>
  <c r="AA3207" i="118"/>
  <c r="AA3206" i="118"/>
  <c r="AA3203" i="118"/>
  <c r="AA3195" i="118"/>
  <c r="AA3202" i="118"/>
  <c r="AA3201" i="118"/>
  <c r="AA1029" i="118"/>
  <c r="AA1017" i="118"/>
  <c r="AA1028" i="118"/>
  <c r="AA3419" i="118"/>
  <c r="AA3415" i="118"/>
  <c r="AA1640" i="118"/>
  <c r="AA1593" i="118"/>
  <c r="AA1568" i="118"/>
  <c r="AA2269" i="118"/>
  <c r="AA2268" i="118"/>
  <c r="AA2250" i="118"/>
  <c r="AA2236" i="118"/>
  <c r="AA2205" i="118"/>
  <c r="AA1948" i="118"/>
  <c r="AA1860" i="118"/>
  <c r="AA1799" i="118"/>
  <c r="AA1785" i="118"/>
  <c r="AA2131" i="118"/>
  <c r="AA2135" i="118"/>
  <c r="AA3431" i="118"/>
  <c r="AA3132" i="118"/>
  <c r="AA3116" i="118"/>
  <c r="AA2958" i="118"/>
  <c r="AA2922" i="118"/>
  <c r="AA2875" i="118"/>
  <c r="AA2852" i="118"/>
  <c r="BG2847" i="118" l="1"/>
  <c r="BG1299" i="118"/>
  <c r="BI1299" i="118" s="1"/>
  <c r="BI2847" i="118"/>
  <c r="BH2679" i="118"/>
  <c r="BD2679" i="118"/>
  <c r="AC2679" i="118"/>
  <c r="AA1920" i="118"/>
  <c r="AA1856" i="118"/>
  <c r="AA1195" i="118"/>
  <c r="AA1190" i="118"/>
  <c r="BH2331" i="118"/>
  <c r="BH2332" i="118"/>
  <c r="BD2331" i="118"/>
  <c r="AC2331" i="118"/>
  <c r="AC2332" i="118"/>
  <c r="BH2327" i="118"/>
  <c r="BD2327" i="118"/>
  <c r="AC2327" i="118"/>
  <c r="BH2219" i="118"/>
  <c r="BD2219" i="118"/>
  <c r="AC2219" i="118"/>
  <c r="BH2217" i="118"/>
  <c r="BD2217" i="118"/>
  <c r="AC2217" i="118"/>
  <c r="BH2204" i="118"/>
  <c r="BD2204" i="118"/>
  <c r="BD2206" i="118"/>
  <c r="AC2204" i="118"/>
  <c r="BG2204" i="118" s="1"/>
  <c r="BH3284" i="118"/>
  <c r="BD3284" i="118"/>
  <c r="AC3284" i="118"/>
  <c r="AA3257" i="118"/>
  <c r="AA3126" i="118"/>
  <c r="AA3119" i="118"/>
  <c r="BG2331" i="118" l="1"/>
  <c r="BI2331" i="118" s="1"/>
  <c r="BG2679" i="118"/>
  <c r="BI2679" i="118" s="1"/>
  <c r="BG2219" i="118"/>
  <c r="BI2219" i="118" s="1"/>
  <c r="BG3284" i="118"/>
  <c r="BI3284" i="118" s="1"/>
  <c r="BG2327" i="118"/>
  <c r="BI2327" i="118" s="1"/>
  <c r="BG2217" i="118"/>
  <c r="BI2217" i="118" s="1"/>
  <c r="BI2204" i="118"/>
  <c r="AA1176" i="118"/>
  <c r="AA1157" i="118"/>
  <c r="AA1147" i="118"/>
  <c r="AA1959" i="118"/>
  <c r="AA1954" i="118"/>
  <c r="AA1926" i="118"/>
  <c r="AA1877" i="118"/>
  <c r="AA1875" i="118"/>
  <c r="AA1871" i="118"/>
  <c r="AA1861" i="118"/>
  <c r="AA1958" i="118"/>
  <c r="AA1889" i="118"/>
  <c r="AA1012" i="118"/>
  <c r="AA1646" i="118"/>
  <c r="AA1584" i="118"/>
  <c r="AA1574" i="118"/>
  <c r="AA2065" i="118"/>
  <c r="AA1043" i="118" l="1"/>
  <c r="AA1032" i="118"/>
  <c r="AA3777" i="118" l="1"/>
  <c r="AA3776" i="118"/>
  <c r="AA3773" i="118"/>
  <c r="AA3772" i="118"/>
  <c r="AA3771" i="118"/>
  <c r="AA3768" i="118"/>
  <c r="AA3767" i="118"/>
  <c r="AA3764" i="118"/>
  <c r="AA3763" i="118"/>
  <c r="AA3761" i="118"/>
  <c r="AA3759" i="118"/>
  <c r="AA3751" i="118"/>
  <c r="AA3748" i="118"/>
  <c r="AA3746" i="118"/>
  <c r="AA3789" i="118"/>
  <c r="AA3780" i="118"/>
  <c r="BB877" i="118" l="1"/>
  <c r="BB876" i="118"/>
  <c r="BB549" i="118"/>
  <c r="BB546" i="118"/>
  <c r="BB533" i="118"/>
  <c r="BB531" i="118"/>
  <c r="BB527" i="118"/>
  <c r="BB522" i="118"/>
  <c r="BB979" i="118"/>
  <c r="BB437" i="118"/>
  <c r="BB564" i="118"/>
  <c r="BB92" i="118"/>
  <c r="BB124" i="118"/>
  <c r="BH613" i="118"/>
  <c r="BD613" i="118"/>
  <c r="AC613" i="118"/>
  <c r="BH567" i="118"/>
  <c r="BD567" i="118"/>
  <c r="AC567" i="118"/>
  <c r="BB191" i="118"/>
  <c r="BB309" i="118"/>
  <c r="BH414" i="118"/>
  <c r="BD414" i="118"/>
  <c r="AC414" i="118"/>
  <c r="BB444" i="118"/>
  <c r="BD444" i="118" s="1"/>
  <c r="BB42" i="118"/>
  <c r="BH32" i="118"/>
  <c r="BD32" i="118"/>
  <c r="AC32" i="118"/>
  <c r="BB28" i="118"/>
  <c r="BH20" i="118"/>
  <c r="BD20" i="118"/>
  <c r="AC20" i="118"/>
  <c r="BB56" i="118"/>
  <c r="BH790" i="118"/>
  <c r="BD790" i="118"/>
  <c r="AC790" i="118"/>
  <c r="BH372" i="118"/>
  <c r="BD372" i="118"/>
  <c r="AC372" i="118"/>
  <c r="BH444" i="118"/>
  <c r="AC444" i="118"/>
  <c r="BH634" i="118"/>
  <c r="BD634" i="118"/>
  <c r="AC634" i="118"/>
  <c r="AA979" i="118"/>
  <c r="AA962" i="118"/>
  <c r="AA970" i="118"/>
  <c r="AA939" i="118"/>
  <c r="AA89" i="118"/>
  <c r="AA750" i="118"/>
  <c r="AA1005" i="118"/>
  <c r="BH655" i="118"/>
  <c r="BH656" i="118"/>
  <c r="BH1009" i="118"/>
  <c r="BD1009" i="118"/>
  <c r="AC1009" i="118"/>
  <c r="BH995" i="118"/>
  <c r="BD995" i="118"/>
  <c r="AC995" i="118"/>
  <c r="BH987" i="118"/>
  <c r="BD987" i="118"/>
  <c r="AC987" i="118"/>
  <c r="BH982" i="118"/>
  <c r="BD982" i="118"/>
  <c r="AC982" i="118"/>
  <c r="BG1009" i="118" l="1"/>
  <c r="BI1009" i="118" s="1"/>
  <c r="BG982" i="118"/>
  <c r="BI982" i="118" s="1"/>
  <c r="BG995" i="118"/>
  <c r="BI995" i="118" s="1"/>
  <c r="BG32" i="118"/>
  <c r="BI32" i="118" s="1"/>
  <c r="BG567" i="118"/>
  <c r="BI567" i="118" s="1"/>
  <c r="BG414" i="118"/>
  <c r="BI414" i="118" s="1"/>
  <c r="BG790" i="118"/>
  <c r="BI790" i="118" s="1"/>
  <c r="BG613" i="118"/>
  <c r="BI613" i="118" s="1"/>
  <c r="BG372" i="118"/>
  <c r="BI372" i="118" s="1"/>
  <c r="BG20" i="118"/>
  <c r="BI20" i="118" s="1"/>
  <c r="BG634" i="118"/>
  <c r="BG444" i="118"/>
  <c r="BI444" i="118" s="1"/>
  <c r="BI634" i="118"/>
  <c r="BG987" i="118"/>
  <c r="BI987" i="118" s="1"/>
  <c r="AB230" i="118"/>
  <c r="AC230" i="118"/>
  <c r="BC230" i="118"/>
  <c r="BD230" i="118"/>
  <c r="BF230" i="118"/>
  <c r="BG230" i="118"/>
  <c r="BH230" i="118"/>
  <c r="AB231" i="118"/>
  <c r="AC231" i="118"/>
  <c r="BC231" i="118"/>
  <c r="BD231" i="118"/>
  <c r="BF231" i="118"/>
  <c r="BG231" i="118"/>
  <c r="BH231" i="118"/>
  <c r="AB232" i="118"/>
  <c r="AC232" i="118"/>
  <c r="BC232" i="118"/>
  <c r="BD232" i="118"/>
  <c r="BF232" i="118"/>
  <c r="BG232" i="118"/>
  <c r="BH232" i="118"/>
  <c r="AB233" i="118"/>
  <c r="AC233" i="118"/>
  <c r="BC233" i="118"/>
  <c r="BD233" i="118"/>
  <c r="BF233" i="118"/>
  <c r="BG233" i="118"/>
  <c r="BH233" i="118"/>
  <c r="AB234" i="118"/>
  <c r="AC234" i="118"/>
  <c r="BC234" i="118"/>
  <c r="BD234" i="118"/>
  <c r="BF234" i="118"/>
  <c r="BG234" i="118"/>
  <c r="BH234" i="118"/>
  <c r="AB235" i="118"/>
  <c r="AC235" i="118"/>
  <c r="BC235" i="118"/>
  <c r="BF235" i="118" s="1"/>
  <c r="BD235" i="118"/>
  <c r="BG235" i="118" s="1"/>
  <c r="BH235" i="118"/>
  <c r="AB236" i="118"/>
  <c r="AC236" i="118"/>
  <c r="BC236" i="118"/>
  <c r="BD236" i="118"/>
  <c r="BG236" i="118" s="1"/>
  <c r="BF236" i="118"/>
  <c r="BH236" i="118"/>
  <c r="AB237" i="118"/>
  <c r="AC237" i="118"/>
  <c r="BC237" i="118"/>
  <c r="BF237" i="118" s="1"/>
  <c r="BD237" i="118"/>
  <c r="BG237" i="118" s="1"/>
  <c r="BH237" i="118"/>
  <c r="AB238" i="118"/>
  <c r="AC238" i="118"/>
  <c r="BC238" i="118"/>
  <c r="BD238" i="118"/>
  <c r="BF238" i="118"/>
  <c r="BG238" i="118"/>
  <c r="BH238" i="118"/>
  <c r="AB239" i="118"/>
  <c r="AC239" i="118"/>
  <c r="BC239" i="118"/>
  <c r="BF239" i="118" s="1"/>
  <c r="BD239" i="118"/>
  <c r="BG239" i="118" s="1"/>
  <c r="BH239" i="118"/>
  <c r="AB240" i="118"/>
  <c r="AC240" i="118"/>
  <c r="BC240" i="118"/>
  <c r="BD240" i="118"/>
  <c r="BG240" i="118" s="1"/>
  <c r="BF240" i="118"/>
  <c r="BH240" i="118"/>
  <c r="AB241" i="118"/>
  <c r="AC241" i="118"/>
  <c r="BC241" i="118"/>
  <c r="BD241" i="118"/>
  <c r="BG241" i="118" s="1"/>
  <c r="BH241" i="118"/>
  <c r="AB242" i="118"/>
  <c r="AC242" i="118"/>
  <c r="BC242" i="118"/>
  <c r="BD242" i="118"/>
  <c r="BF242" i="118"/>
  <c r="BG242" i="118"/>
  <c r="BH242" i="118"/>
  <c r="AB243" i="118"/>
  <c r="AC243" i="118"/>
  <c r="BC243" i="118"/>
  <c r="BF243" i="118" s="1"/>
  <c r="BD243" i="118"/>
  <c r="BG243" i="118" s="1"/>
  <c r="BH243" i="118"/>
  <c r="AB244" i="118"/>
  <c r="AC244" i="118"/>
  <c r="BC244" i="118"/>
  <c r="BD244" i="118"/>
  <c r="BF244" i="118"/>
  <c r="BG244" i="118"/>
  <c r="BH244" i="118"/>
  <c r="AB245" i="118"/>
  <c r="AC245" i="118"/>
  <c r="BC245" i="118"/>
  <c r="BF245" i="118" s="1"/>
  <c r="BD245" i="118"/>
  <c r="BG245" i="118" s="1"/>
  <c r="BH245" i="118"/>
  <c r="AB246" i="118"/>
  <c r="AC246" i="118"/>
  <c r="BC246" i="118"/>
  <c r="BD246" i="118"/>
  <c r="BF246" i="118"/>
  <c r="BG246" i="118"/>
  <c r="BH246" i="118"/>
  <c r="AB247" i="118"/>
  <c r="AC247" i="118"/>
  <c r="BC247" i="118"/>
  <c r="BD247" i="118"/>
  <c r="BG247" i="118" s="1"/>
  <c r="BF247" i="118"/>
  <c r="BH247" i="118"/>
  <c r="AB248" i="118"/>
  <c r="AC248" i="118"/>
  <c r="BC248" i="118"/>
  <c r="BF248" i="118" s="1"/>
  <c r="BD248" i="118"/>
  <c r="BG248" i="118" s="1"/>
  <c r="BH248" i="118"/>
  <c r="AB249" i="118"/>
  <c r="AC249" i="118"/>
  <c r="BC249" i="118"/>
  <c r="BD249" i="118"/>
  <c r="BG249" i="118" s="1"/>
  <c r="BH249" i="118"/>
  <c r="AB250" i="118"/>
  <c r="AC250" i="118"/>
  <c r="BC250" i="118"/>
  <c r="BF250" i="118" s="1"/>
  <c r="BD250" i="118"/>
  <c r="BH250" i="118"/>
  <c r="AB251" i="118"/>
  <c r="AC251" i="118"/>
  <c r="BC251" i="118"/>
  <c r="BD251" i="118"/>
  <c r="BG251" i="118" s="1"/>
  <c r="BF251" i="118"/>
  <c r="BH251" i="118"/>
  <c r="AB252" i="118"/>
  <c r="AC252" i="118"/>
  <c r="BC252" i="118"/>
  <c r="BF252" i="118" s="1"/>
  <c r="BD252" i="118"/>
  <c r="BG252" i="118" s="1"/>
  <c r="BH252" i="118"/>
  <c r="AB253" i="118"/>
  <c r="AC253" i="118"/>
  <c r="BC253" i="118"/>
  <c r="BF253" i="118" s="1"/>
  <c r="BD253" i="118"/>
  <c r="BG253" i="118" s="1"/>
  <c r="BH253" i="118"/>
  <c r="AB254" i="118"/>
  <c r="AC254" i="118"/>
  <c r="BC254" i="118"/>
  <c r="BF254" i="118" s="1"/>
  <c r="BD254" i="118"/>
  <c r="BG254" i="118" s="1"/>
  <c r="BH254" i="118"/>
  <c r="AB255" i="118"/>
  <c r="AC255" i="118"/>
  <c r="BC255" i="118"/>
  <c r="BF255" i="118" s="1"/>
  <c r="BD255" i="118"/>
  <c r="BG255" i="118" s="1"/>
  <c r="BH255" i="118"/>
  <c r="AB256" i="118"/>
  <c r="AC256" i="118"/>
  <c r="BC256" i="118"/>
  <c r="BF256" i="118" s="1"/>
  <c r="BD256" i="118"/>
  <c r="BG256" i="118" s="1"/>
  <c r="BH256" i="118"/>
  <c r="AB257" i="118"/>
  <c r="AC257" i="118"/>
  <c r="BC257" i="118"/>
  <c r="BD257" i="118"/>
  <c r="BG257" i="118" s="1"/>
  <c r="BF257" i="118"/>
  <c r="BH257" i="118"/>
  <c r="AB258" i="118"/>
  <c r="AC258" i="118"/>
  <c r="BC258" i="118"/>
  <c r="BF258" i="118" s="1"/>
  <c r="BD258" i="118"/>
  <c r="BG258" i="118" s="1"/>
  <c r="BH258" i="118"/>
  <c r="AB259" i="118"/>
  <c r="AC259" i="118"/>
  <c r="BC259" i="118"/>
  <c r="BD259" i="118"/>
  <c r="BF259" i="118"/>
  <c r="BG259" i="118"/>
  <c r="BH259" i="118"/>
  <c r="AB260" i="118"/>
  <c r="AC260" i="118"/>
  <c r="BC260" i="118"/>
  <c r="BD260" i="118"/>
  <c r="BF260" i="118"/>
  <c r="BG260" i="118"/>
  <c r="BH260" i="118"/>
  <c r="AB261" i="118"/>
  <c r="AC261" i="118"/>
  <c r="BC261" i="118"/>
  <c r="BD261" i="118"/>
  <c r="BH261" i="118"/>
  <c r="AB262" i="118"/>
  <c r="AC262" i="118"/>
  <c r="AO262" i="118"/>
  <c r="BC262" i="118" s="1"/>
  <c r="BD262" i="118"/>
  <c r="BH262" i="118"/>
  <c r="AB263" i="118"/>
  <c r="AC263" i="118"/>
  <c r="AP263" i="118"/>
  <c r="BC263" i="118"/>
  <c r="BD263" i="118"/>
  <c r="BH263" i="118"/>
  <c r="AB264" i="118"/>
  <c r="AC264" i="118"/>
  <c r="AO264" i="118"/>
  <c r="AP264" i="118"/>
  <c r="BC264" i="118"/>
  <c r="BD264" i="118"/>
  <c r="BG264" i="118" s="1"/>
  <c r="BF264" i="118"/>
  <c r="BH264" i="118"/>
  <c r="AB265" i="118"/>
  <c r="AC265" i="118"/>
  <c r="BC265" i="118"/>
  <c r="BD265" i="118"/>
  <c r="BF265" i="118"/>
  <c r="BH265" i="118"/>
  <c r="AB266" i="118"/>
  <c r="AC266" i="118"/>
  <c r="BC266" i="118"/>
  <c r="BD266" i="118"/>
  <c r="BG266" i="118" s="1"/>
  <c r="BH266" i="118"/>
  <c r="AB267" i="118"/>
  <c r="AC267" i="118"/>
  <c r="BC267" i="118"/>
  <c r="BF267" i="118" s="1"/>
  <c r="BD267" i="118"/>
  <c r="BG267" i="118" s="1"/>
  <c r="BH267" i="118"/>
  <c r="AC268" i="118"/>
  <c r="BD268" i="118"/>
  <c r="BH268" i="118"/>
  <c r="AB269" i="118"/>
  <c r="AC269" i="118"/>
  <c r="BC269" i="118"/>
  <c r="BF269" i="118" s="1"/>
  <c r="BD269" i="118"/>
  <c r="BH269" i="118"/>
  <c r="AB270" i="118"/>
  <c r="AC270" i="118"/>
  <c r="BC270" i="118"/>
  <c r="BD270" i="118"/>
  <c r="BG270" i="118" s="1"/>
  <c r="BF270" i="118"/>
  <c r="BH270" i="118"/>
  <c r="AB271" i="118"/>
  <c r="AC271" i="118"/>
  <c r="BC271" i="118"/>
  <c r="BF271" i="118" s="1"/>
  <c r="BD271" i="118"/>
  <c r="BH271" i="118"/>
  <c r="AB272" i="118"/>
  <c r="AC272" i="118"/>
  <c r="BC272" i="118"/>
  <c r="BF272" i="118" s="1"/>
  <c r="BD272" i="118"/>
  <c r="BG272" i="118" s="1"/>
  <c r="BH272" i="118"/>
  <c r="AB273" i="118"/>
  <c r="AC273" i="118"/>
  <c r="BC273" i="118"/>
  <c r="BF273" i="118" s="1"/>
  <c r="BD273" i="118"/>
  <c r="BG273" i="118" s="1"/>
  <c r="BH273" i="118"/>
  <c r="AB274" i="118"/>
  <c r="AC274" i="118"/>
  <c r="BC274" i="118"/>
  <c r="BF274" i="118" s="1"/>
  <c r="BD274" i="118"/>
  <c r="BH274" i="118"/>
  <c r="AB275" i="118"/>
  <c r="AC275" i="118"/>
  <c r="BC275" i="118"/>
  <c r="BF275" i="118" s="1"/>
  <c r="BD275" i="118"/>
  <c r="BG275" i="118" s="1"/>
  <c r="BH275" i="118"/>
  <c r="AB276" i="118"/>
  <c r="AC276" i="118"/>
  <c r="BC276" i="118"/>
  <c r="BF276" i="118" s="1"/>
  <c r="BD276" i="118"/>
  <c r="BG276" i="118" s="1"/>
  <c r="BH276" i="118"/>
  <c r="AB277" i="118"/>
  <c r="AC277" i="118"/>
  <c r="BC277" i="118"/>
  <c r="BF277" i="118" s="1"/>
  <c r="BD277" i="118"/>
  <c r="BG277" i="118" s="1"/>
  <c r="BH277" i="118"/>
  <c r="AB278" i="118"/>
  <c r="AC278" i="118"/>
  <c r="BC278" i="118"/>
  <c r="BF278" i="118" s="1"/>
  <c r="BD278" i="118"/>
  <c r="BG278" i="118" s="1"/>
  <c r="BH278" i="118"/>
  <c r="AB279" i="118"/>
  <c r="AC279" i="118"/>
  <c r="BC279" i="118"/>
  <c r="BF279" i="118" s="1"/>
  <c r="BD279" i="118"/>
  <c r="BG279" i="118" s="1"/>
  <c r="BH279" i="118"/>
  <c r="AB280" i="118"/>
  <c r="AC280" i="118"/>
  <c r="BC280" i="118"/>
  <c r="BF280" i="118" s="1"/>
  <c r="BD280" i="118"/>
  <c r="BG280" i="118" s="1"/>
  <c r="BH280" i="118"/>
  <c r="AB281" i="118"/>
  <c r="AC281" i="118"/>
  <c r="BC281" i="118"/>
  <c r="BF281" i="118" s="1"/>
  <c r="BD281" i="118"/>
  <c r="BG281" i="118" s="1"/>
  <c r="BH281" i="118"/>
  <c r="AB282" i="118"/>
  <c r="AC282" i="118"/>
  <c r="BC282" i="118"/>
  <c r="BF282" i="118" s="1"/>
  <c r="BD282" i="118"/>
  <c r="BH282" i="118"/>
  <c r="AB283" i="118"/>
  <c r="AC283" i="118"/>
  <c r="BC283" i="118"/>
  <c r="BF283" i="118" s="1"/>
  <c r="BD283" i="118"/>
  <c r="BH283" i="118"/>
  <c r="AB284" i="118"/>
  <c r="AC284" i="118"/>
  <c r="BC284" i="118"/>
  <c r="BF284" i="118" s="1"/>
  <c r="BD284" i="118"/>
  <c r="BH284" i="118"/>
  <c r="AB285" i="118"/>
  <c r="AC285" i="118"/>
  <c r="BC285" i="118"/>
  <c r="BF285" i="118" s="1"/>
  <c r="BD285" i="118"/>
  <c r="BH285" i="118"/>
  <c r="AB286" i="118"/>
  <c r="AC286" i="118"/>
  <c r="BC286" i="118"/>
  <c r="BF286" i="118" s="1"/>
  <c r="BD286" i="118"/>
  <c r="BH286" i="118"/>
  <c r="AB287" i="118"/>
  <c r="AC287" i="118"/>
  <c r="BC287" i="118"/>
  <c r="BF287" i="118" s="1"/>
  <c r="BD287" i="118"/>
  <c r="BH287" i="118"/>
  <c r="AB288" i="118"/>
  <c r="AC288" i="118"/>
  <c r="BC288" i="118"/>
  <c r="BD288" i="118"/>
  <c r="BG288" i="118" s="1"/>
  <c r="BH288" i="118"/>
  <c r="AB289" i="118"/>
  <c r="AC289" i="118"/>
  <c r="BC289" i="118"/>
  <c r="BF289" i="118" s="1"/>
  <c r="BD289" i="118"/>
  <c r="BH289" i="118"/>
  <c r="BG289" i="118" l="1"/>
  <c r="BF288" i="118"/>
  <c r="BG265" i="118"/>
  <c r="BI265" i="118" s="1"/>
  <c r="BF266" i="118"/>
  <c r="BF241" i="118"/>
  <c r="BG250" i="118"/>
  <c r="BI250" i="118" s="1"/>
  <c r="BF249" i="118"/>
  <c r="BG274" i="118"/>
  <c r="BI274" i="118" s="1"/>
  <c r="BI249" i="118"/>
  <c r="BI247" i="118"/>
  <c r="BI245" i="118"/>
  <c r="BI243" i="118"/>
  <c r="BI241" i="118"/>
  <c r="BI239" i="118"/>
  <c r="BI237" i="118"/>
  <c r="BI235" i="118"/>
  <c r="BI233" i="118"/>
  <c r="BG286" i="118"/>
  <c r="BI286" i="118" s="1"/>
  <c r="BG284" i="118"/>
  <c r="BI284" i="118" s="1"/>
  <c r="BG282" i="118"/>
  <c r="BI282" i="118" s="1"/>
  <c r="BI231" i="118"/>
  <c r="BG287" i="118"/>
  <c r="BI287" i="118" s="1"/>
  <c r="BG285" i="118"/>
  <c r="BI285" i="118" s="1"/>
  <c r="BG283" i="118"/>
  <c r="BI283" i="118" s="1"/>
  <c r="BI248" i="118"/>
  <c r="BI246" i="118"/>
  <c r="BI244" i="118"/>
  <c r="BI242" i="118"/>
  <c r="BI240" i="118"/>
  <c r="BI238" i="118"/>
  <c r="BI236" i="118"/>
  <c r="BI234" i="118"/>
  <c r="BI232" i="118"/>
  <c r="BI276" i="118"/>
  <c r="BG269" i="118"/>
  <c r="BI269" i="118" s="1"/>
  <c r="BI252" i="118"/>
  <c r="BI230" i="118"/>
  <c r="BG271" i="118"/>
  <c r="BI271" i="118" s="1"/>
  <c r="BI270" i="118"/>
  <c r="BG268" i="118"/>
  <c r="BI268" i="118" s="1"/>
  <c r="BI272" i="118"/>
  <c r="BI281" i="118"/>
  <c r="BI280" i="118"/>
  <c r="BI279" i="118"/>
  <c r="BI278" i="118"/>
  <c r="BI277" i="118"/>
  <c r="BF263" i="118"/>
  <c r="BG262" i="118"/>
  <c r="BI262" i="118" s="1"/>
  <c r="BI260" i="118"/>
  <c r="BI258" i="118"/>
  <c r="BI257" i="118"/>
  <c r="BI256" i="118"/>
  <c r="BI255" i="118"/>
  <c r="BI254" i="118"/>
  <c r="BI253" i="118"/>
  <c r="BI251" i="118"/>
  <c r="BI275" i="118"/>
  <c r="BI273" i="118"/>
  <c r="BI267" i="118"/>
  <c r="BG261" i="118"/>
  <c r="BI261" i="118" s="1"/>
  <c r="BI259" i="118"/>
  <c r="BI289" i="118"/>
  <c r="BI288" i="118"/>
  <c r="BI266" i="118"/>
  <c r="BI264" i="118"/>
  <c r="BG263" i="118"/>
  <c r="BI263" i="118" s="1"/>
  <c r="BF262" i="118"/>
  <c r="AV1072" i="118"/>
  <c r="AV1070" i="118"/>
  <c r="AV1067" i="118"/>
  <c r="AV1073" i="118" l="1"/>
  <c r="AV2029" i="118" l="1"/>
  <c r="AP2029" i="118"/>
  <c r="AJ2029" i="118"/>
  <c r="AV1991" i="118"/>
  <c r="U3455" i="118" l="1"/>
  <c r="U3431" i="118"/>
  <c r="U3138" i="118"/>
  <c r="U2162" i="118"/>
  <c r="U1189" i="118"/>
  <c r="AV1399" i="118" l="1"/>
  <c r="AV1377" i="118"/>
  <c r="AV2925" i="118"/>
  <c r="AV2899" i="118"/>
  <c r="AV2897" i="118"/>
  <c r="AV2884" i="118"/>
  <c r="AV2882" i="118"/>
  <c r="AV2985" i="118"/>
  <c r="AV2885" i="118"/>
  <c r="AV2622" i="118"/>
  <c r="AV2616" i="118"/>
  <c r="AV2614" i="118"/>
  <c r="AV2613" i="118"/>
  <c r="AV2609" i="118"/>
  <c r="AV2608" i="118"/>
  <c r="AV2601" i="118"/>
  <c r="AV2598" i="118"/>
  <c r="AV2596" i="118"/>
  <c r="AV2572" i="118"/>
  <c r="AV2569" i="118"/>
  <c r="AV2566" i="118"/>
  <c r="AV2564" i="118"/>
  <c r="AV2561" i="118"/>
  <c r="AV2539" i="118"/>
  <c r="AV2537" i="118"/>
  <c r="AV2531" i="118"/>
  <c r="AV2437" i="118"/>
  <c r="AV2436" i="118"/>
  <c r="AV2434" i="118"/>
  <c r="AV2430" i="118"/>
  <c r="AV2426" i="118"/>
  <c r="AV2423" i="118"/>
  <c r="AV3389" i="118"/>
  <c r="AV3379" i="118"/>
  <c r="AV3374" i="118"/>
  <c r="AV3365" i="118"/>
  <c r="AV3359" i="118"/>
  <c r="AV3352" i="118"/>
  <c r="AV3254" i="118"/>
  <c r="AV3241" i="118"/>
  <c r="AV3332" i="118"/>
  <c r="AV1029" i="118"/>
  <c r="AV1653" i="118"/>
  <c r="AV1646" i="118"/>
  <c r="AV1640" i="118"/>
  <c r="AV1611" i="118"/>
  <c r="AV1593" i="118"/>
  <c r="AV1584" i="118"/>
  <c r="AV1579" i="118"/>
  <c r="AV2336" i="118"/>
  <c r="AV2329" i="118"/>
  <c r="AV2326" i="118"/>
  <c r="AV2317" i="118"/>
  <c r="AV2316" i="118"/>
  <c r="AV2315" i="118"/>
  <c r="AV2314" i="118"/>
  <c r="AV2313" i="118"/>
  <c r="AV2312" i="118"/>
  <c r="AV2303" i="118"/>
  <c r="AV2299" i="118"/>
  <c r="AV2292" i="118"/>
  <c r="AV2052" i="118" l="1"/>
  <c r="AV2049" i="118"/>
  <c r="AV2047" i="118"/>
  <c r="AV2046" i="118"/>
  <c r="AV2045" i="118"/>
  <c r="AV2044" i="118"/>
  <c r="AV2043" i="118"/>
  <c r="AV2269" i="118"/>
  <c r="AV2268" i="118"/>
  <c r="AV2250" i="118"/>
  <c r="AV2247" i="118"/>
  <c r="AV2236" i="118"/>
  <c r="AV2205" i="118"/>
  <c r="AV2193" i="118"/>
  <c r="AV2180" i="118"/>
  <c r="AV2627" i="118"/>
  <c r="AV2625" i="118"/>
  <c r="AV2617" i="118"/>
  <c r="AV2611" i="118"/>
  <c r="AV2605" i="118"/>
  <c r="AV2576" i="118"/>
  <c r="AV2574" i="118"/>
  <c r="AV2571" i="118"/>
  <c r="AV2565" i="118"/>
  <c r="BH2557" i="118"/>
  <c r="BD2557" i="118"/>
  <c r="AC2557" i="118"/>
  <c r="AV2554" i="118"/>
  <c r="AV2553" i="118"/>
  <c r="AV2550" i="118"/>
  <c r="AV2548" i="118"/>
  <c r="AV2546" i="118"/>
  <c r="AV2536" i="118"/>
  <c r="AV2533" i="118"/>
  <c r="AV2530" i="118"/>
  <c r="AV3471" i="118"/>
  <c r="AV3466" i="118"/>
  <c r="AV3465" i="118"/>
  <c r="AV1875" i="118"/>
  <c r="AV1872" i="118"/>
  <c r="AV1871" i="118"/>
  <c r="AV1860" i="118"/>
  <c r="AV1785" i="118"/>
  <c r="AV1421" i="118"/>
  <c r="AV1415" i="118"/>
  <c r="AV1337" i="118"/>
  <c r="AV1037" i="118"/>
  <c r="AV2816" i="118"/>
  <c r="AV2224" i="118"/>
  <c r="AV2352" i="118"/>
  <c r="AV2344" i="118"/>
  <c r="AV2342" i="118"/>
  <c r="AV2340" i="118"/>
  <c r="AV2339" i="118"/>
  <c r="AV2338" i="118"/>
  <c r="AV2333" i="118"/>
  <c r="AV2265" i="118"/>
  <c r="AV2264" i="118"/>
  <c r="AV2261" i="118"/>
  <c r="AV2258" i="118"/>
  <c r="AV2222" i="118"/>
  <c r="AV2207" i="118"/>
  <c r="AV2202" i="118"/>
  <c r="AV2194" i="118"/>
  <c r="AV2192" i="118"/>
  <c r="BG2557" i="118" l="1"/>
  <c r="BI2557" i="118" s="1"/>
  <c r="AV2189" i="118"/>
  <c r="AV2183" i="118"/>
  <c r="AV1329" i="118"/>
  <c r="AV1327" i="118"/>
  <c r="AV1326" i="118"/>
  <c r="AV1322" i="118"/>
  <c r="AV1321" i="118"/>
  <c r="AV1318" i="118"/>
  <c r="AV1317" i="118"/>
  <c r="AV1612" i="118"/>
  <c r="AV1224" i="118"/>
  <c r="AV1205" i="118"/>
  <c r="BH1202" i="118"/>
  <c r="BD1202" i="118"/>
  <c r="AC1202" i="118"/>
  <c r="AV1176" i="118"/>
  <c r="AV1157" i="118"/>
  <c r="AV1104" i="118"/>
  <c r="AV1100" i="118"/>
  <c r="AV1043" i="118"/>
  <c r="AV1035" i="118"/>
  <c r="AV1030" i="118"/>
  <c r="AV1027" i="118"/>
  <c r="AV1469" i="118"/>
  <c r="AV1465" i="118"/>
  <c r="AV1464" i="118"/>
  <c r="AV1459" i="118"/>
  <c r="AV1458" i="118"/>
  <c r="AV1456" i="118"/>
  <c r="AV1454" i="118"/>
  <c r="AV1423" i="118"/>
  <c r="AV1416" i="118"/>
  <c r="AV1411" i="118"/>
  <c r="AV1406" i="118"/>
  <c r="AV1403" i="118"/>
  <c r="AV1385" i="118"/>
  <c r="AV1381" i="118"/>
  <c r="AV1371" i="118"/>
  <c r="AV1365" i="118"/>
  <c r="AV1306" i="118"/>
  <c r="AV1642" i="118"/>
  <c r="AV1639" i="118"/>
  <c r="AV1635" i="118"/>
  <c r="AV1633" i="118"/>
  <c r="AV1376" i="118"/>
  <c r="AV1547" i="118"/>
  <c r="AV1513" i="118"/>
  <c r="AV1507" i="118"/>
  <c r="AV1499" i="118"/>
  <c r="AV1493" i="118"/>
  <c r="AV2542" i="118"/>
  <c r="AV2803" i="118"/>
  <c r="AV3109" i="118"/>
  <c r="AV3102" i="118"/>
  <c r="AV3100" i="118"/>
  <c r="AV3097" i="118"/>
  <c r="AV3096" i="118"/>
  <c r="AV3095" i="118"/>
  <c r="AV3092" i="118"/>
  <c r="AV3089" i="118"/>
  <c r="AV3088" i="118"/>
  <c r="AV3051" i="118"/>
  <c r="AV3041" i="118"/>
  <c r="AV3037" i="118"/>
  <c r="AV3033" i="118"/>
  <c r="AV3034" i="118"/>
  <c r="AV3031" i="118"/>
  <c r="AV2965" i="118"/>
  <c r="AV2964" i="118"/>
  <c r="AV2958" i="118"/>
  <c r="AV2951" i="118"/>
  <c r="AV2912" i="118"/>
  <c r="AV2909" i="118"/>
  <c r="AV2903" i="118"/>
  <c r="AV2875" i="118"/>
  <c r="AV2511" i="118"/>
  <c r="AV2504" i="118"/>
  <c r="AV2503" i="118"/>
  <c r="AV2502" i="118"/>
  <c r="AV2459" i="118"/>
  <c r="AV2455" i="118"/>
  <c r="BH2450" i="118"/>
  <c r="BD2450" i="118"/>
  <c r="AC2450" i="118"/>
  <c r="AV2443" i="118"/>
  <c r="AV2439" i="118"/>
  <c r="AV2420" i="118"/>
  <c r="AV2412" i="118"/>
  <c r="AV2409" i="118"/>
  <c r="AV2405" i="118"/>
  <c r="AV2776" i="118"/>
  <c r="AV2774" i="118"/>
  <c r="AV2773" i="118"/>
  <c r="AV2711" i="118"/>
  <c r="AV2697" i="118"/>
  <c r="AV2660" i="118"/>
  <c r="AV2651" i="118"/>
  <c r="AV2645" i="118"/>
  <c r="AV2644" i="118"/>
  <c r="AV1999" i="118"/>
  <c r="BD1980" i="118"/>
  <c r="AV2088" i="118"/>
  <c r="AV2087" i="118"/>
  <c r="AV2083" i="118"/>
  <c r="AV2082" i="118"/>
  <c r="AV2081" i="118"/>
  <c r="AV2076" i="118"/>
  <c r="AV2008" i="118"/>
  <c r="AV1986" i="118"/>
  <c r="AV1979" i="118"/>
  <c r="AV2078" i="118"/>
  <c r="AV2077" i="118"/>
  <c r="AV2037" i="118"/>
  <c r="BG2450" i="118" l="1"/>
  <c r="BG1202" i="118"/>
  <c r="BI1202" i="118" s="1"/>
  <c r="BI2450" i="118"/>
  <c r="AV2010" i="118"/>
  <c r="AV2006" i="118"/>
  <c r="AV2004" i="118"/>
  <c r="BH2441" i="118"/>
  <c r="BD2441" i="118"/>
  <c r="BD2442" i="118"/>
  <c r="AC2441" i="118"/>
  <c r="BG2441" i="118" s="1"/>
  <c r="AV3112" i="118"/>
  <c r="AV3107" i="118"/>
  <c r="AV3104" i="118"/>
  <c r="AV3099" i="118"/>
  <c r="AV3098" i="118"/>
  <c r="AV3093" i="118"/>
  <c r="AV3091" i="118"/>
  <c r="AV3079" i="118"/>
  <c r="AV3065" i="118"/>
  <c r="AV3062" i="118"/>
  <c r="AV3057" i="118"/>
  <c r="AV3054" i="118"/>
  <c r="AV3053" i="118"/>
  <c r="AV3044" i="118"/>
  <c r="AV3032" i="118"/>
  <c r="BH3106" i="118"/>
  <c r="BH3107" i="118"/>
  <c r="BH3108" i="118"/>
  <c r="BD3108" i="118"/>
  <c r="AC3108" i="118"/>
  <c r="AV3060" i="118"/>
  <c r="AV1820" i="118"/>
  <c r="AV1819" i="118"/>
  <c r="BH1818" i="118"/>
  <c r="BD1818" i="118"/>
  <c r="AC1818" i="118"/>
  <c r="AV1815" i="118"/>
  <c r="AV1812" i="118"/>
  <c r="AV1810" i="118"/>
  <c r="AV1806" i="118"/>
  <c r="AV1805" i="118"/>
  <c r="AV1804" i="118"/>
  <c r="AV1803" i="118"/>
  <c r="AV1801" i="118"/>
  <c r="AV1799" i="118"/>
  <c r="AV1798" i="118"/>
  <c r="AV1795" i="118"/>
  <c r="AV1787" i="118"/>
  <c r="BH1783" i="118"/>
  <c r="BD1783" i="118"/>
  <c r="BD1784" i="118"/>
  <c r="AC1783" i="118"/>
  <c r="AV1779" i="118"/>
  <c r="BH1774" i="118"/>
  <c r="BD1774" i="118"/>
  <c r="AC1774" i="118"/>
  <c r="AV1772" i="118"/>
  <c r="AV1770" i="118"/>
  <c r="AV1769" i="118"/>
  <c r="AV1767" i="118"/>
  <c r="AV1766" i="118"/>
  <c r="AV1765" i="118"/>
  <c r="AV1764" i="118"/>
  <c r="AV1762" i="118"/>
  <c r="AV1761" i="118"/>
  <c r="AV1759" i="118"/>
  <c r="AV1757" i="118"/>
  <c r="AV1756" i="118"/>
  <c r="AV1754" i="118"/>
  <c r="AV1753" i="118"/>
  <c r="AV1751" i="118"/>
  <c r="AV1750" i="118"/>
  <c r="AV1749" i="118"/>
  <c r="AV1745" i="118"/>
  <c r="AV1161" i="118"/>
  <c r="AV1156" i="118"/>
  <c r="AV1151" i="118"/>
  <c r="AV1103" i="118"/>
  <c r="AV1101" i="118"/>
  <c r="AV1054" i="118"/>
  <c r="AV1052" i="118"/>
  <c r="AV1045" i="118"/>
  <c r="AV1034" i="118"/>
  <c r="AV2421" i="118"/>
  <c r="BI2441" i="118" l="1"/>
  <c r="BG3108" i="118"/>
  <c r="BI3108" i="118" s="1"/>
  <c r="BG1774" i="118"/>
  <c r="BI1774" i="118" s="1"/>
  <c r="BG1818" i="118"/>
  <c r="BI1818" i="118" s="1"/>
  <c r="BG1783" i="118"/>
  <c r="BI1783" i="118" s="1"/>
  <c r="AV1835" i="118"/>
  <c r="AV1169" i="118"/>
  <c r="AV1105" i="118"/>
  <c r="AV1095" i="118"/>
  <c r="AV1081" i="118"/>
  <c r="AV1063" i="118"/>
  <c r="BH1023" i="118"/>
  <c r="BD1023" i="118"/>
  <c r="BD1024" i="118"/>
  <c r="AC1023" i="118"/>
  <c r="BG1023" i="118" l="1"/>
  <c r="BI1023" i="118" s="1"/>
  <c r="AV2835" i="118"/>
  <c r="AV1615" i="118"/>
  <c r="AV1610" i="118"/>
  <c r="AV1597" i="118"/>
  <c r="AV1574" i="118"/>
  <c r="AV2672" i="118"/>
  <c r="AV1216" i="118"/>
  <c r="AV1190" i="118"/>
  <c r="AV2346" i="118"/>
  <c r="AV1911" i="118"/>
  <c r="AV1870" i="118"/>
  <c r="AV1959" i="118"/>
  <c r="AV1958" i="118"/>
  <c r="AV1901" i="118"/>
  <c r="AV1889" i="118"/>
  <c r="AV1856" i="118"/>
  <c r="AV1847" i="118"/>
  <c r="AV1844" i="118"/>
  <c r="AV1843" i="118"/>
  <c r="AV1344" i="118"/>
  <c r="AV1343" i="118"/>
  <c r="AV1341" i="118"/>
  <c r="AV1339" i="118"/>
  <c r="AV1336" i="118"/>
  <c r="AV1332" i="118"/>
  <c r="AV1314" i="118"/>
  <c r="AV1308" i="118"/>
  <c r="AV1303" i="118"/>
  <c r="AV1301" i="118"/>
  <c r="AV1300" i="118"/>
  <c r="AV1965" i="118"/>
  <c r="AV1954" i="118"/>
  <c r="AV1881" i="118"/>
  <c r="AV1878" i="118"/>
  <c r="AV1876" i="118"/>
  <c r="AV1863" i="118"/>
  <c r="AV2160" i="118"/>
  <c r="AV2151" i="118"/>
  <c r="AV2137" i="118"/>
  <c r="AV2913" i="118"/>
  <c r="AV2908" i="118"/>
  <c r="AV2889" i="118"/>
  <c r="AV2881" i="118"/>
  <c r="AV1731" i="118"/>
  <c r="AV1728" i="118"/>
  <c r="AV1726" i="118"/>
  <c r="AV1725" i="118"/>
  <c r="AV1717" i="118"/>
  <c r="AV1714" i="118"/>
  <c r="AV1712" i="118"/>
  <c r="AV1711" i="118"/>
  <c r="AV1709" i="118"/>
  <c r="AV1708" i="118"/>
  <c r="AV1707" i="118"/>
  <c r="AV1704" i="118"/>
  <c r="AV1699" i="118"/>
  <c r="AV1697" i="118"/>
  <c r="AV1689" i="118"/>
  <c r="AV1688" i="118"/>
  <c r="AV1686" i="118"/>
  <c r="AV1684" i="118"/>
  <c r="AV1681" i="118"/>
  <c r="AV1680" i="118"/>
  <c r="AV1678" i="118"/>
  <c r="AV1674" i="118"/>
  <c r="AV1671" i="118"/>
  <c r="AV1668" i="118"/>
  <c r="AV1665" i="118"/>
  <c r="AV1664" i="118"/>
  <c r="AV1663" i="118"/>
  <c r="BH2926" i="118"/>
  <c r="BD2926" i="118"/>
  <c r="AC2926" i="118"/>
  <c r="BH2896" i="118"/>
  <c r="BD2896" i="118"/>
  <c r="AC2896" i="118"/>
  <c r="AV2494" i="118"/>
  <c r="AV2493" i="118"/>
  <c r="BH2448" i="118"/>
  <c r="BD2448" i="118"/>
  <c r="AC2448" i="118"/>
  <c r="AV1560" i="118"/>
  <c r="AV1552" i="118"/>
  <c r="AV1546" i="118"/>
  <c r="AV1540" i="118"/>
  <c r="AV1521" i="118"/>
  <c r="AV1519" i="118"/>
  <c r="AV1518" i="118"/>
  <c r="AV1517" i="118"/>
  <c r="AV1516" i="118"/>
  <c r="AV1514" i="118"/>
  <c r="AV1510" i="118"/>
  <c r="AV1506" i="118"/>
  <c r="AV1494" i="118"/>
  <c r="AV1549" i="118"/>
  <c r="AV1496" i="118"/>
  <c r="BD3106" i="118"/>
  <c r="AC3106" i="118"/>
  <c r="BH1905" i="118"/>
  <c r="BH1906" i="118"/>
  <c r="BD1905" i="118"/>
  <c r="AC1905" i="118"/>
  <c r="BH1893" i="118"/>
  <c r="BD1893" i="118"/>
  <c r="AC1893" i="118"/>
  <c r="AV1479" i="118"/>
  <c r="AV1463" i="118"/>
  <c r="AV1432" i="118"/>
  <c r="AV1429" i="118"/>
  <c r="AV1428" i="118"/>
  <c r="AV1418" i="118"/>
  <c r="AV1414" i="118"/>
  <c r="AV1400" i="118"/>
  <c r="AV1397" i="118"/>
  <c r="BH2143" i="118"/>
  <c r="BD2143" i="118"/>
  <c r="AC2143" i="118"/>
  <c r="BG3106" i="118" l="1"/>
  <c r="BI3106" i="118" s="1"/>
  <c r="BG2448" i="118"/>
  <c r="BG2896" i="118"/>
  <c r="BI2896" i="118" s="1"/>
  <c r="BG2926" i="118"/>
  <c r="BI2926" i="118" s="1"/>
  <c r="BG1893" i="118"/>
  <c r="BG1905" i="118"/>
  <c r="BG2143" i="118"/>
  <c r="BI2448" i="118"/>
  <c r="BI2143" i="118"/>
  <c r="BI1905" i="118"/>
  <c r="BI1893" i="118"/>
  <c r="AV1287" i="118"/>
  <c r="AV1276" i="118"/>
  <c r="AV1270" i="118"/>
  <c r="AV1269" i="118"/>
  <c r="AV1235" i="118"/>
  <c r="AV1231" i="118"/>
  <c r="AV1229" i="118"/>
  <c r="AV1228" i="118"/>
  <c r="AV1225" i="118"/>
  <c r="AV1214" i="118"/>
  <c r="AV1198" i="118"/>
  <c r="AV1194" i="118"/>
  <c r="AV1147" i="118"/>
  <c r="AV1175" i="118" l="1"/>
  <c r="AV1171" i="118"/>
  <c r="AV1168" i="118"/>
  <c r="AV1160" i="118"/>
  <c r="AV1154" i="118"/>
  <c r="AV1152" i="118"/>
  <c r="AV1115" i="118"/>
  <c r="AV1032" i="118"/>
  <c r="BH1435" i="118" l="1"/>
  <c r="BD1435" i="118"/>
  <c r="AC1435" i="118"/>
  <c r="BH1548" i="118"/>
  <c r="BD1548" i="118"/>
  <c r="AC1548" i="118"/>
  <c r="U2423" i="118"/>
  <c r="U2421" i="118"/>
  <c r="BH1508" i="118"/>
  <c r="BD1508" i="118"/>
  <c r="AC1508" i="118"/>
  <c r="U1030" i="118"/>
  <c r="U1026" i="118"/>
  <c r="U2985" i="118"/>
  <c r="U2899" i="118"/>
  <c r="U2885" i="118"/>
  <c r="U2857" i="118"/>
  <c r="BG1548" i="118" l="1"/>
  <c r="BI1548" i="118" s="1"/>
  <c r="BG1508" i="118"/>
  <c r="BG1435" i="118"/>
  <c r="BI1435" i="118" s="1"/>
  <c r="BI1508" i="118"/>
  <c r="U2882" i="118"/>
  <c r="U2949" i="118"/>
  <c r="U2948" i="118"/>
  <c r="U2859" i="118"/>
  <c r="U2858" i="118"/>
  <c r="U3389" i="118"/>
  <c r="U3382" i="118"/>
  <c r="U3379" i="118"/>
  <c r="U3377" i="118"/>
  <c r="U3374" i="118"/>
  <c r="U3369" i="118"/>
  <c r="U3368" i="118"/>
  <c r="U3365" i="118"/>
  <c r="U3363" i="118"/>
  <c r="U3360" i="118"/>
  <c r="U3359" i="118"/>
  <c r="U3352" i="118"/>
  <c r="U3187" i="118"/>
  <c r="U3178" i="118"/>
  <c r="U3177" i="118"/>
  <c r="U3171" i="118"/>
  <c r="U3154" i="118"/>
  <c r="U3148" i="118"/>
  <c r="U3144" i="118"/>
  <c r="U3287" i="118"/>
  <c r="U3281" i="118"/>
  <c r="U3280" i="118"/>
  <c r="U3274" i="118"/>
  <c r="U3264" i="118"/>
  <c r="U3263" i="118"/>
  <c r="U3254" i="118"/>
  <c r="U3250" i="118"/>
  <c r="U3249" i="118"/>
  <c r="U3241" i="118"/>
  <c r="U3239" i="118"/>
  <c r="U3233" i="118"/>
  <c r="U3238" i="118"/>
  <c r="U3332" i="118"/>
  <c r="U3325" i="118"/>
  <c r="U3318" i="118"/>
  <c r="U3317" i="118"/>
  <c r="U3316" i="118"/>
  <c r="U3312" i="118"/>
  <c r="U3309" i="118"/>
  <c r="U3300" i="118"/>
  <c r="U3297" i="118"/>
  <c r="U3296" i="118"/>
  <c r="U3229" i="118"/>
  <c r="U3227" i="118"/>
  <c r="U3224" i="118"/>
  <c r="U3223" i="118"/>
  <c r="U3222" i="118"/>
  <c r="U3214" i="118"/>
  <c r="U3207" i="118"/>
  <c r="U3206" i="118"/>
  <c r="U3203" i="118"/>
  <c r="U3202" i="118"/>
  <c r="U3201" i="118"/>
  <c r="U1028" i="118"/>
  <c r="U1646" i="118"/>
  <c r="U1640" i="118"/>
  <c r="U1593" i="118"/>
  <c r="U1584" i="118"/>
  <c r="U1785" i="118"/>
  <c r="U2322" i="118"/>
  <c r="U2135" i="118"/>
  <c r="AC2083" i="118"/>
  <c r="BH2083" i="118"/>
  <c r="BD2083" i="118"/>
  <c r="BG2083" i="118" l="1"/>
  <c r="BI2083" i="118" s="1"/>
  <c r="U2958" i="118"/>
  <c r="U2922" i="118"/>
  <c r="U2875" i="118"/>
  <c r="U1920" i="118"/>
  <c r="U1860" i="118"/>
  <c r="U1856" i="118"/>
  <c r="BH3427" i="118"/>
  <c r="BD3427" i="118"/>
  <c r="AC3427" i="118"/>
  <c r="BD3422" i="118"/>
  <c r="AC3422" i="118"/>
  <c r="BH3422" i="118"/>
  <c r="U1195" i="118"/>
  <c r="U1190" i="118"/>
  <c r="U1176" i="118"/>
  <c r="U1157" i="118"/>
  <c r="U1156" i="118"/>
  <c r="U1104" i="118"/>
  <c r="U1100" i="118"/>
  <c r="U1043" i="118"/>
  <c r="BH3244" i="118"/>
  <c r="BD3244" i="118"/>
  <c r="AC3244" i="118"/>
  <c r="BH3243" i="118"/>
  <c r="BD3243" i="118"/>
  <c r="BD3245" i="118"/>
  <c r="AC3243" i="118"/>
  <c r="BG3243" i="118" s="1"/>
  <c r="AD3316" i="118"/>
  <c r="O3316" i="118"/>
  <c r="U3130" i="118"/>
  <c r="U3129" i="118"/>
  <c r="U3128" i="118"/>
  <c r="U3126" i="118"/>
  <c r="U3119" i="118"/>
  <c r="U1954" i="118"/>
  <c r="U1911" i="118"/>
  <c r="U1889" i="118"/>
  <c r="U1878" i="118"/>
  <c r="U1875" i="118"/>
  <c r="U1959" i="118"/>
  <c r="U1958" i="118"/>
  <c r="BH1644" i="118"/>
  <c r="BD1644" i="118"/>
  <c r="AC1644" i="118"/>
  <c r="AC1645" i="118"/>
  <c r="BH3401" i="118"/>
  <c r="BD3401" i="118"/>
  <c r="AC3401" i="118"/>
  <c r="BG3244" i="118" l="1"/>
  <c r="BI3244" i="118" s="1"/>
  <c r="BG3427" i="118"/>
  <c r="BI3427" i="118" s="1"/>
  <c r="BG3401" i="118"/>
  <c r="BI3401" i="118" s="1"/>
  <c r="BG1644" i="118"/>
  <c r="BI1644" i="118" s="1"/>
  <c r="BI3243" i="118"/>
  <c r="U3777" i="118"/>
  <c r="U3776" i="118"/>
  <c r="U3773" i="118"/>
  <c r="U3772" i="118"/>
  <c r="U3771" i="118"/>
  <c r="U3768" i="118"/>
  <c r="U3767" i="118"/>
  <c r="U3764" i="118"/>
  <c r="U3761" i="118"/>
  <c r="U3759" i="118"/>
  <c r="U3755" i="118"/>
  <c r="U3751" i="118"/>
  <c r="U3748" i="118"/>
  <c r="U3795" i="118"/>
  <c r="U3794" i="118"/>
  <c r="U3790" i="118"/>
  <c r="U3789" i="118"/>
  <c r="U3787" i="118"/>
  <c r="U3786" i="118"/>
  <c r="U3785" i="118"/>
  <c r="U3784" i="118"/>
  <c r="U3781" i="118"/>
  <c r="U3780" i="118"/>
  <c r="U3763" i="118"/>
  <c r="U3752" i="118"/>
  <c r="U3749" i="118"/>
  <c r="U979" i="118"/>
  <c r="U962" i="118"/>
  <c r="U953" i="118"/>
  <c r="U970" i="118"/>
  <c r="U969" i="118"/>
  <c r="U966" i="118"/>
  <c r="U939" i="118"/>
  <c r="U937" i="118"/>
  <c r="U628" i="118"/>
  <c r="U122" i="118"/>
  <c r="BH961" i="118"/>
  <c r="BD961" i="118"/>
  <c r="AC961" i="118"/>
  <c r="BH964" i="118"/>
  <c r="BD964" i="118"/>
  <c r="AC964" i="118"/>
  <c r="BG964" i="118" l="1"/>
  <c r="BI964" i="118" s="1"/>
  <c r="BG961" i="118"/>
  <c r="BI961" i="118" s="1"/>
  <c r="AV876" i="118"/>
  <c r="AV823" i="118"/>
  <c r="AV530" i="118"/>
  <c r="AV526" i="118"/>
  <c r="AV523" i="118"/>
  <c r="AV511" i="118"/>
  <c r="AV504" i="118"/>
  <c r="AV564" i="118"/>
  <c r="AV24" i="118"/>
  <c r="BH13" i="118"/>
  <c r="BD13" i="118"/>
  <c r="AC13" i="118"/>
  <c r="AV93" i="118"/>
  <c r="AV92" i="118"/>
  <c r="BH113" i="118"/>
  <c r="BH558" i="118"/>
  <c r="BD558" i="118"/>
  <c r="AC558" i="118"/>
  <c r="BH557" i="118"/>
  <c r="BD557" i="118"/>
  <c r="AC557" i="118"/>
  <c r="BH486" i="118"/>
  <c r="BD486" i="118"/>
  <c r="AC486" i="118"/>
  <c r="BH463" i="118"/>
  <c r="BD463" i="118"/>
  <c r="AC463" i="118"/>
  <c r="BH462" i="118"/>
  <c r="BD462" i="118"/>
  <c r="AC462" i="118"/>
  <c r="BH451" i="118"/>
  <c r="BD451" i="118"/>
  <c r="AC451" i="118"/>
  <c r="AV191" i="118"/>
  <c r="AV685" i="118"/>
  <c r="BH362" i="118"/>
  <c r="BD362" i="118"/>
  <c r="AC362" i="118"/>
  <c r="AC363" i="118"/>
  <c r="AC364" i="118"/>
  <c r="AV85" i="118"/>
  <c r="AV61" i="118"/>
  <c r="AV60" i="118"/>
  <c r="AV932" i="118"/>
  <c r="BH757" i="118"/>
  <c r="BD757" i="118"/>
  <c r="AC757" i="118"/>
  <c r="BH646" i="118"/>
  <c r="BD646" i="118"/>
  <c r="AC646" i="118"/>
  <c r="BH643" i="118"/>
  <c r="BD643" i="118"/>
  <c r="AC643" i="118"/>
  <c r="BH642" i="118"/>
  <c r="BD642" i="118"/>
  <c r="AC642" i="118"/>
  <c r="BG558" i="118" l="1"/>
  <c r="BG757" i="118"/>
  <c r="BI757" i="118" s="1"/>
  <c r="BG13" i="118"/>
  <c r="BI13" i="118" s="1"/>
  <c r="BG643" i="118"/>
  <c r="BI643" i="118" s="1"/>
  <c r="BG451" i="118"/>
  <c r="BG463" i="118"/>
  <c r="BI463" i="118" s="1"/>
  <c r="BG486" i="118"/>
  <c r="BI486" i="118" s="1"/>
  <c r="BG557" i="118"/>
  <c r="BI558" i="118"/>
  <c r="BI557" i="118"/>
  <c r="BG362" i="118"/>
  <c r="BI362" i="118" s="1"/>
  <c r="BG462" i="118"/>
  <c r="BI462" i="118" s="1"/>
  <c r="BI451" i="118"/>
  <c r="BG646" i="118"/>
  <c r="BI646" i="118" s="1"/>
  <c r="BG642" i="118"/>
  <c r="BI642" i="118" s="1"/>
  <c r="BH3428" i="118"/>
  <c r="BH3429" i="118"/>
  <c r="BD3428" i="118"/>
  <c r="BD3429" i="118"/>
  <c r="AC3429" i="118"/>
  <c r="AC3428" i="118"/>
  <c r="BG3429" i="118" l="1"/>
  <c r="BI3429" i="118" s="1"/>
  <c r="BG3428" i="118"/>
  <c r="BI3428" i="118" s="1"/>
  <c r="BH3298" i="118"/>
  <c r="BD3298" i="118"/>
  <c r="AC3298" i="118"/>
  <c r="BH2662" i="118"/>
  <c r="BD2662" i="118"/>
  <c r="AC2662" i="118"/>
  <c r="BH2661" i="118"/>
  <c r="BD2661" i="118"/>
  <c r="AC2661" i="118"/>
  <c r="BH2659" i="118"/>
  <c r="BD2659" i="118"/>
  <c r="AC2659" i="118"/>
  <c r="BG3298" i="118" l="1"/>
  <c r="BI3298" i="118" s="1"/>
  <c r="BG2662" i="118"/>
  <c r="BG2661" i="118"/>
  <c r="BI2661" i="118" s="1"/>
  <c r="BI2662" i="118"/>
  <c r="BG2659" i="118"/>
  <c r="BI2659" i="118" s="1"/>
  <c r="BH2701" i="118"/>
  <c r="BD2701" i="118"/>
  <c r="AC2701" i="118"/>
  <c r="BG2701" i="118" l="1"/>
  <c r="BI2701" i="118" s="1"/>
  <c r="BH758" i="118"/>
  <c r="BH759" i="118"/>
  <c r="BD758" i="118"/>
  <c r="AC758" i="118"/>
  <c r="BH430" i="118"/>
  <c r="BD430" i="118"/>
  <c r="AC430" i="118"/>
  <c r="BH428" i="118"/>
  <c r="BD428" i="118"/>
  <c r="AC428" i="118"/>
  <c r="BH1099" i="118"/>
  <c r="BD1099" i="118"/>
  <c r="AC1099" i="118"/>
  <c r="BH924" i="118"/>
  <c r="BD924" i="118"/>
  <c r="AC924" i="118"/>
  <c r="BH753" i="118"/>
  <c r="BD753" i="118"/>
  <c r="AC753" i="118"/>
  <c r="BH732" i="118"/>
  <c r="BH729" i="118"/>
  <c r="BD732" i="118"/>
  <c r="AC732" i="118"/>
  <c r="BH731" i="118"/>
  <c r="BD731" i="118"/>
  <c r="AC731" i="118"/>
  <c r="BH617" i="118"/>
  <c r="BD617" i="118"/>
  <c r="AC617" i="118"/>
  <c r="BH721" i="118"/>
  <c r="BD721" i="118"/>
  <c r="AC721" i="118"/>
  <c r="BH718" i="118"/>
  <c r="BD718" i="118"/>
  <c r="AC718" i="118"/>
  <c r="BH717" i="118"/>
  <c r="BD717" i="118"/>
  <c r="AC717" i="118"/>
  <c r="BH716" i="118"/>
  <c r="AC716" i="118"/>
  <c r="BD716" i="118"/>
  <c r="BH706" i="118"/>
  <c r="BD706" i="118"/>
  <c r="AC706" i="118"/>
  <c r="BG924" i="118" l="1"/>
  <c r="BI924" i="118" s="1"/>
  <c r="BG1099" i="118"/>
  <c r="BI1099" i="118" s="1"/>
  <c r="BG430" i="118"/>
  <c r="BI430" i="118" s="1"/>
  <c r="BG758" i="118"/>
  <c r="BI758" i="118" s="1"/>
  <c r="BG428" i="118"/>
  <c r="BI428" i="118" s="1"/>
  <c r="BG753" i="118"/>
  <c r="BI753" i="118" s="1"/>
  <c r="BG718" i="118"/>
  <c r="BI718" i="118" s="1"/>
  <c r="BG617" i="118"/>
  <c r="BI617" i="118" s="1"/>
  <c r="BG731" i="118"/>
  <c r="BI731" i="118" s="1"/>
  <c r="BG732" i="118"/>
  <c r="BI732" i="118" s="1"/>
  <c r="BG721" i="118"/>
  <c r="BI721" i="118" s="1"/>
  <c r="BG717" i="118"/>
  <c r="BG716" i="118"/>
  <c r="BI717" i="118"/>
  <c r="BI716" i="118"/>
  <c r="BG706" i="118"/>
  <c r="BI706" i="118" s="1"/>
  <c r="BH703" i="118"/>
  <c r="BD703" i="118"/>
  <c r="AC703" i="118"/>
  <c r="BH700" i="118"/>
  <c r="BD700" i="118"/>
  <c r="AC700" i="118"/>
  <c r="BG700" i="118" l="1"/>
  <c r="BI700" i="118" s="1"/>
  <c r="BG703" i="118"/>
  <c r="BI703" i="118" s="1"/>
  <c r="BH672" i="118" l="1"/>
  <c r="BD672" i="118"/>
  <c r="AC672" i="118"/>
  <c r="BG672" i="118" l="1"/>
  <c r="BI672" i="118" s="1"/>
  <c r="BH669" i="118"/>
  <c r="BD669" i="118"/>
  <c r="AC669" i="118"/>
  <c r="BH661" i="118"/>
  <c r="BD661" i="118"/>
  <c r="AC661" i="118"/>
  <c r="BH660" i="118"/>
  <c r="BD660" i="118"/>
  <c r="AC660" i="118"/>
  <c r="BH658" i="118"/>
  <c r="BD658" i="118"/>
  <c r="AC658" i="118"/>
  <c r="BH909" i="118"/>
  <c r="BD909" i="118"/>
  <c r="AC909" i="118"/>
  <c r="BH648" i="118"/>
  <c r="BD648" i="118"/>
  <c r="AC648" i="118"/>
  <c r="BH647" i="118"/>
  <c r="BD647" i="118"/>
  <c r="AC647" i="118"/>
  <c r="BH857" i="118"/>
  <c r="BD857" i="118"/>
  <c r="AC857" i="118"/>
  <c r="BH853" i="118"/>
  <c r="BD853" i="118"/>
  <c r="AC853" i="118"/>
  <c r="BH610" i="118"/>
  <c r="BD610" i="118"/>
  <c r="AC610" i="118"/>
  <c r="BH605" i="118"/>
  <c r="BD605" i="118"/>
  <c r="AC605" i="118"/>
  <c r="BD597" i="118"/>
  <c r="AC597" i="118"/>
  <c r="BG597" i="118" s="1"/>
  <c r="BI597" i="118" s="1"/>
  <c r="BH597" i="118"/>
  <c r="BH590" i="118"/>
  <c r="BD590" i="118"/>
  <c r="AC590" i="118"/>
  <c r="BH583" i="118"/>
  <c r="BH584" i="118"/>
  <c r="BD583" i="118"/>
  <c r="AC583" i="118"/>
  <c r="BH380" i="118"/>
  <c r="BD380" i="118"/>
  <c r="AC380" i="118"/>
  <c r="BH554" i="118"/>
  <c r="BD554" i="118"/>
  <c r="AC554" i="118"/>
  <c r="BH2438" i="118"/>
  <c r="BD2438" i="118"/>
  <c r="AC2438" i="118"/>
  <c r="BH516" i="118"/>
  <c r="BD516" i="118"/>
  <c r="AC516" i="118"/>
  <c r="BH374" i="118"/>
  <c r="BD374" i="118"/>
  <c r="AC374" i="118"/>
  <c r="BH78" i="118"/>
  <c r="BD78" i="118"/>
  <c r="AC78" i="118"/>
  <c r="BH80" i="118"/>
  <c r="BD80" i="118"/>
  <c r="AC80" i="118"/>
  <c r="BH366" i="118"/>
  <c r="BH367" i="118"/>
  <c r="BD366" i="118"/>
  <c r="AC366" i="118"/>
  <c r="BG909" i="118" l="1"/>
  <c r="BG669" i="118"/>
  <c r="BI669" i="118" s="1"/>
  <c r="BG2438" i="118"/>
  <c r="BI2438" i="118" s="1"/>
  <c r="BG857" i="118"/>
  <c r="BI857" i="118" s="1"/>
  <c r="BG661" i="118"/>
  <c r="BG660" i="118"/>
  <c r="BI661" i="118"/>
  <c r="BI660" i="118"/>
  <c r="BG648" i="118"/>
  <c r="BI648" i="118" s="1"/>
  <c r="BG658" i="118"/>
  <c r="BI658" i="118" s="1"/>
  <c r="BI909" i="118"/>
  <c r="BG853" i="118"/>
  <c r="BI853" i="118" s="1"/>
  <c r="BG647" i="118"/>
  <c r="BI647" i="118" s="1"/>
  <c r="BG590" i="118"/>
  <c r="BI590" i="118" s="1"/>
  <c r="BG380" i="118"/>
  <c r="BI380" i="118" s="1"/>
  <c r="BG583" i="118"/>
  <c r="BI583" i="118" s="1"/>
  <c r="BG610" i="118"/>
  <c r="BI610" i="118" s="1"/>
  <c r="BG516" i="118"/>
  <c r="BI516" i="118" s="1"/>
  <c r="BG605" i="118"/>
  <c r="BI605" i="118" s="1"/>
  <c r="BG554" i="118"/>
  <c r="BI554" i="118" s="1"/>
  <c r="BG366" i="118"/>
  <c r="BI366" i="118" s="1"/>
  <c r="BG78" i="118"/>
  <c r="BI78" i="118" s="1"/>
  <c r="BG374" i="118"/>
  <c r="BI374" i="118" s="1"/>
  <c r="BG80" i="118"/>
  <c r="BI80" i="118" s="1"/>
  <c r="BH55" i="118"/>
  <c r="BD55" i="118"/>
  <c r="AC55" i="118"/>
  <c r="BH489" i="118"/>
  <c r="BD489" i="118"/>
  <c r="AC489" i="118"/>
  <c r="BH34" i="118"/>
  <c r="BH35" i="118"/>
  <c r="BD34" i="118"/>
  <c r="AC34" i="118"/>
  <c r="BH347" i="118"/>
  <c r="BD347" i="118"/>
  <c r="AC347" i="118"/>
  <c r="BH329" i="118"/>
  <c r="BH330" i="118"/>
  <c r="BD329" i="118"/>
  <c r="AC329" i="118"/>
  <c r="BH319" i="118"/>
  <c r="BD319" i="118"/>
  <c r="AC319" i="118"/>
  <c r="BH295" i="118"/>
  <c r="BD295" i="118"/>
  <c r="AC295" i="118"/>
  <c r="BH292" i="118"/>
  <c r="BD292" i="118"/>
  <c r="AC292" i="118"/>
  <c r="BH575" i="118"/>
  <c r="BD575" i="118"/>
  <c r="AC575" i="118"/>
  <c r="BH574" i="118"/>
  <c r="BD574" i="118"/>
  <c r="AC574" i="118"/>
  <c r="BH477" i="118"/>
  <c r="BD477" i="118"/>
  <c r="AC477" i="118"/>
  <c r="BH197" i="118"/>
  <c r="BD197" i="118"/>
  <c r="AC197" i="118"/>
  <c r="BH461" i="118"/>
  <c r="BD461" i="118"/>
  <c r="AC461" i="118"/>
  <c r="BG477" i="118" l="1"/>
  <c r="BI477" i="118" s="1"/>
  <c r="BG574" i="118"/>
  <c r="BI574" i="118" s="1"/>
  <c r="BG575" i="118"/>
  <c r="BI575" i="118" s="1"/>
  <c r="BG489" i="118"/>
  <c r="BI489" i="118" s="1"/>
  <c r="BG347" i="118"/>
  <c r="BG55" i="118"/>
  <c r="BI55" i="118" s="1"/>
  <c r="BG319" i="118"/>
  <c r="BG34" i="118"/>
  <c r="BI34" i="118" s="1"/>
  <c r="BI347" i="118"/>
  <c r="BG329" i="118"/>
  <c r="BI329" i="118" s="1"/>
  <c r="BI319" i="118"/>
  <c r="BG197" i="118"/>
  <c r="BI197" i="118" s="1"/>
  <c r="BG292" i="118"/>
  <c r="BG295" i="118"/>
  <c r="BI295" i="118" s="1"/>
  <c r="BI292" i="118"/>
  <c r="BG461" i="118"/>
  <c r="BI461" i="118" s="1"/>
  <c r="BH149" i="118"/>
  <c r="BD149" i="118"/>
  <c r="AC149" i="118"/>
  <c r="BH641" i="118"/>
  <c r="BD641" i="118"/>
  <c r="AC641" i="118"/>
  <c r="BH2210" i="118"/>
  <c r="BD2210" i="118"/>
  <c r="AC2210" i="118"/>
  <c r="BH2663" i="118"/>
  <c r="BD2663" i="118"/>
  <c r="AC2663" i="118"/>
  <c r="BH3433" i="118"/>
  <c r="BH3434" i="118"/>
  <c r="BD3433" i="118"/>
  <c r="BD3434" i="118"/>
  <c r="AC3433" i="118"/>
  <c r="BG3433" i="118" s="1"/>
  <c r="AC3434" i="118"/>
  <c r="BG3434" i="118" s="1"/>
  <c r="BI3434" i="118" s="1"/>
  <c r="BH2229" i="118"/>
  <c r="BH2230" i="118"/>
  <c r="BH991" i="118"/>
  <c r="BD991" i="118"/>
  <c r="AC991" i="118"/>
  <c r="BH2830" i="118"/>
  <c r="BD2830" i="118"/>
  <c r="AC2830" i="118"/>
  <c r="BG2663" i="118" l="1"/>
  <c r="BI2663" i="118" s="1"/>
  <c r="BG2210" i="118"/>
  <c r="BI2210" i="118" s="1"/>
  <c r="BI3433" i="118"/>
  <c r="BG641" i="118"/>
  <c r="BI641" i="118" s="1"/>
  <c r="BG149" i="118"/>
  <c r="BI149" i="118" s="1"/>
  <c r="BG991" i="118"/>
  <c r="BI991" i="118" s="1"/>
  <c r="BG2830" i="118"/>
  <c r="BI2830" i="118" s="1"/>
  <c r="O3300" i="118" l="1"/>
  <c r="I3300" i="118"/>
  <c r="AP1081" i="118" l="1"/>
  <c r="O3431" i="118" l="1"/>
  <c r="O3415" i="118"/>
  <c r="O3233" i="118"/>
  <c r="O3137" i="118"/>
  <c r="O3116" i="118"/>
  <c r="O3022" i="118"/>
  <c r="O3021" i="118"/>
  <c r="O3020" i="118"/>
  <c r="O3000" i="118"/>
  <c r="O2999" i="118"/>
  <c r="O2998" i="118"/>
  <c r="O2997" i="118"/>
  <c r="O2996" i="118"/>
  <c r="O2995" i="118"/>
  <c r="O2994" i="118"/>
  <c r="O2852" i="118"/>
  <c r="O1012" i="118"/>
  <c r="O2790" i="118"/>
  <c r="O2637" i="118"/>
  <c r="O2527" i="118"/>
  <c r="O2526" i="118"/>
  <c r="O2396" i="118"/>
  <c r="O2168" i="118"/>
  <c r="O2131" i="118"/>
  <c r="O2128" i="118"/>
  <c r="AC2091" i="118"/>
  <c r="O1835" i="118"/>
  <c r="O1832" i="118"/>
  <c r="BH1827" i="118"/>
  <c r="O1742" i="118"/>
  <c r="O1741" i="118"/>
  <c r="O1568" i="118"/>
  <c r="O1490" i="118"/>
  <c r="O1394" i="118"/>
  <c r="O1298" i="118"/>
  <c r="O1188" i="118"/>
  <c r="O1018" i="118"/>
  <c r="O1017" i="118"/>
  <c r="AP2194" i="118" l="1"/>
  <c r="AP2761" i="118"/>
  <c r="AP2784" i="118"/>
  <c r="AP2776" i="118"/>
  <c r="AP2774" i="118"/>
  <c r="AP2773" i="118"/>
  <c r="AP2768" i="118"/>
  <c r="AP2697" i="118"/>
  <c r="AP2666" i="118"/>
  <c r="AP2660" i="118"/>
  <c r="AP2651" i="118"/>
  <c r="AP2645" i="118"/>
  <c r="AP2644" i="118"/>
  <c r="AP2520" i="118"/>
  <c r="AP2509" i="118"/>
  <c r="AP2503" i="118"/>
  <c r="AP2502" i="118"/>
  <c r="AP2497" i="118"/>
  <c r="AP2443" i="118"/>
  <c r="AP2352" i="118"/>
  <c r="AP2347" i="118"/>
  <c r="AP2342" i="118"/>
  <c r="AP2340" i="118"/>
  <c r="AP2339" i="118"/>
  <c r="AP2236" i="118"/>
  <c r="AP2189" i="118"/>
  <c r="AP2183" i="118"/>
  <c r="AP1819" i="118"/>
  <c r="AP1806" i="118"/>
  <c r="AP1805" i="118"/>
  <c r="AP1804" i="118"/>
  <c r="AP1803" i="118"/>
  <c r="AP1799" i="118"/>
  <c r="AP1798" i="118"/>
  <c r="AP1767" i="118"/>
  <c r="AP1764" i="118"/>
  <c r="AP1761" i="118"/>
  <c r="AP1756" i="118"/>
  <c r="AP1750" i="118"/>
  <c r="AP1749" i="118"/>
  <c r="AP1731" i="118"/>
  <c r="AP1726" i="118"/>
  <c r="AP1714" i="118"/>
  <c r="AP1712" i="118"/>
  <c r="AP1707" i="118"/>
  <c r="AP1699" i="118"/>
  <c r="AP1681" i="118"/>
  <c r="AP1678" i="118"/>
  <c r="AP1674" i="118"/>
  <c r="AP1671" i="118"/>
  <c r="AP1668" i="118"/>
  <c r="AP1664" i="118"/>
  <c r="AP1663" i="118"/>
  <c r="AP1649" i="118"/>
  <c r="AP1642" i="118"/>
  <c r="AP1641" i="118"/>
  <c r="AP1640" i="118"/>
  <c r="AP1635" i="118"/>
  <c r="AP1633" i="118"/>
  <c r="AP1584" i="118"/>
  <c r="AP1574" i="118"/>
  <c r="AP1481" i="118"/>
  <c r="AP1479" i="118"/>
  <c r="AP1474" i="118"/>
  <c r="AP1469" i="118"/>
  <c r="AP1464" i="118"/>
  <c r="AP1463" i="118"/>
  <c r="AP1459" i="118"/>
  <c r="AP1458" i="118"/>
  <c r="AP1454" i="118"/>
  <c r="AP1432" i="118"/>
  <c r="AP1406" i="118"/>
  <c r="AP1400" i="118"/>
  <c r="AP1399" i="118"/>
  <c r="AP1397" i="118"/>
  <c r="AP1385" i="118"/>
  <c r="AP1381" i="118"/>
  <c r="AP1377" i="118"/>
  <c r="AP1371" i="118"/>
  <c r="AP1365" i="118"/>
  <c r="AP1306" i="118"/>
  <c r="AP1301" i="118"/>
  <c r="AP1287" i="118"/>
  <c r="AP1276" i="118"/>
  <c r="AP1275" i="118"/>
  <c r="AP1272" i="118"/>
  <c r="AP1270" i="118"/>
  <c r="AP1269" i="118"/>
  <c r="AP1266" i="118"/>
  <c r="AP1265" i="118"/>
  <c r="AP1258" i="118"/>
  <c r="AP1243" i="118"/>
  <c r="AP1235" i="118"/>
  <c r="AP1233" i="118"/>
  <c r="AP1229" i="118"/>
  <c r="AP1228" i="118"/>
  <c r="AP1224" i="118"/>
  <c r="AP1216" i="118"/>
  <c r="AP1209" i="118"/>
  <c r="AP1205" i="118"/>
  <c r="AP1194" i="118"/>
  <c r="AP1176" i="118"/>
  <c r="AP1175" i="118"/>
  <c r="AP1161" i="118"/>
  <c r="AP1160" i="118"/>
  <c r="AP1157" i="118"/>
  <c r="AP1156" i="118"/>
  <c r="AP1154" i="118"/>
  <c r="AP1151" i="118"/>
  <c r="AP1132" i="118"/>
  <c r="AP1105" i="118"/>
  <c r="AP1104" i="118"/>
  <c r="AP1100" i="118"/>
  <c r="AP1043" i="118"/>
  <c r="AP1037" i="118"/>
  <c r="AP1034" i="118"/>
  <c r="AP1030" i="118"/>
  <c r="AP1027" i="118"/>
  <c r="AP3010" i="118"/>
  <c r="AP2993" i="118"/>
  <c r="AP2985" i="118"/>
  <c r="AP2899" i="118"/>
  <c r="AP2885" i="118"/>
  <c r="AP2857" i="118"/>
  <c r="AP2883" i="118"/>
  <c r="AP2881" i="118"/>
  <c r="AP3471" i="118"/>
  <c r="AP2437" i="118"/>
  <c r="AP2434" i="118"/>
  <c r="AP2432" i="118"/>
  <c r="AP2426" i="118"/>
  <c r="AP2424" i="118"/>
  <c r="AP2423" i="118"/>
  <c r="AP3389" i="118"/>
  <c r="AP3365" i="118"/>
  <c r="AP3359" i="118"/>
  <c r="AP3148" i="118"/>
  <c r="AP3144" i="118"/>
  <c r="AP3254" i="118"/>
  <c r="AP3241" i="118"/>
  <c r="AP1653" i="118"/>
  <c r="AP1611" i="118"/>
  <c r="AP1593" i="118"/>
  <c r="AP1579" i="118"/>
  <c r="AP2329" i="118" l="1"/>
  <c r="AP2326" i="118"/>
  <c r="AP2319" i="118"/>
  <c r="AP2317" i="118"/>
  <c r="AP2316" i="118"/>
  <c r="AP2315" i="118"/>
  <c r="AP2314" i="118"/>
  <c r="AP2313" i="118"/>
  <c r="AP2057" i="118"/>
  <c r="AP2045" i="118"/>
  <c r="AP2044" i="118"/>
  <c r="AP2205" i="118" l="1"/>
  <c r="AP2193" i="118"/>
  <c r="AP2627" i="118"/>
  <c r="AP2626" i="118"/>
  <c r="AP2625" i="118"/>
  <c r="AP2622" i="118"/>
  <c r="AP2619" i="118"/>
  <c r="AP2617" i="118"/>
  <c r="AP2616" i="118"/>
  <c r="AP2614" i="118"/>
  <c r="AP2613" i="118"/>
  <c r="AP2612" i="118"/>
  <c r="AP2611" i="118"/>
  <c r="AP2609" i="118"/>
  <c r="AP2608" i="118"/>
  <c r="AP2605" i="118"/>
  <c r="AP2601" i="118"/>
  <c r="AP2598" i="118"/>
  <c r="AP2596" i="118"/>
  <c r="AP2576" i="118"/>
  <c r="AP2574" i="118"/>
  <c r="AP2572" i="118"/>
  <c r="AP2571" i="118"/>
  <c r="AP2569" i="118"/>
  <c r="AP2568" i="118"/>
  <c r="AP2567" i="118"/>
  <c r="AP2566" i="118"/>
  <c r="AP2565" i="118"/>
  <c r="AP2564" i="118"/>
  <c r="AP2561" i="118"/>
  <c r="AP2553" i="118"/>
  <c r="AP2550" i="118"/>
  <c r="AP2548" i="118"/>
  <c r="AP2539" i="118"/>
  <c r="AP2537" i="118"/>
  <c r="AP2533" i="118"/>
  <c r="AP2532" i="118"/>
  <c r="AP2531" i="118"/>
  <c r="AP2530" i="118"/>
  <c r="AP1959" i="118"/>
  <c r="AP1920" i="118"/>
  <c r="AP1895" i="118"/>
  <c r="AP1875" i="118"/>
  <c r="AP1860" i="118"/>
  <c r="AP1856" i="118"/>
  <c r="AP1785" i="118"/>
  <c r="AP2816" i="118"/>
  <c r="AP2322" i="118"/>
  <c r="AP2224" i="118"/>
  <c r="AP2333" i="118"/>
  <c r="AP2207" i="118"/>
  <c r="AP2267" i="118"/>
  <c r="AP2265" i="118"/>
  <c r="AP2264" i="118"/>
  <c r="AP2261" i="118"/>
  <c r="AP2258" i="118"/>
  <c r="AP2255" i="118"/>
  <c r="AP2250" i="118"/>
  <c r="AP2222" i="118"/>
  <c r="AP2196" i="118"/>
  <c r="AP2195" i="118"/>
  <c r="AP2190" i="118"/>
  <c r="AP2182" i="118"/>
  <c r="AP2179" i="118"/>
  <c r="AP1329" i="118"/>
  <c r="AP1327" i="118"/>
  <c r="AP1326" i="118"/>
  <c r="AP1322" i="118"/>
  <c r="AP1318" i="118"/>
  <c r="AP1317" i="118"/>
  <c r="AP1646" i="118"/>
  <c r="AP1107" i="118"/>
  <c r="AP1035" i="118"/>
  <c r="AP1032" i="118"/>
  <c r="AP1472" i="118"/>
  <c r="AP1466" i="118"/>
  <c r="AP1465" i="118"/>
  <c r="AP1456" i="118"/>
  <c r="AP1421" i="118"/>
  <c r="AP1416" i="118"/>
  <c r="AP1415" i="118"/>
  <c r="AP1414" i="118"/>
  <c r="AP1411" i="118"/>
  <c r="AP1387" i="118"/>
  <c r="AP1303" i="118"/>
  <c r="AP1639" i="118"/>
  <c r="AP1555" i="118"/>
  <c r="AP1547" i="118"/>
  <c r="AP1546" i="118"/>
  <c r="AP1516" i="118"/>
  <c r="AP1513" i="118"/>
  <c r="AP1499" i="118"/>
  <c r="AP2542" i="118"/>
  <c r="AP2826" i="118"/>
  <c r="AP2803" i="118"/>
  <c r="AP2799" i="118"/>
  <c r="AP3109" i="118"/>
  <c r="AP3105" i="118"/>
  <c r="AP3102" i="118"/>
  <c r="AP3100" i="118"/>
  <c r="AP3099" i="118"/>
  <c r="AP3098" i="118"/>
  <c r="AP3097" i="118"/>
  <c r="AP3096" i="118"/>
  <c r="AP3095" i="118"/>
  <c r="AP3093" i="118"/>
  <c r="AP3092" i="118"/>
  <c r="AP3089" i="118"/>
  <c r="AP3088" i="118"/>
  <c r="AP3051" i="118"/>
  <c r="AP3037" i="118"/>
  <c r="AP3033" i="118"/>
  <c r="AP3032" i="118"/>
  <c r="AP3031" i="118"/>
  <c r="AP2979" i="118"/>
  <c r="AP2965" i="118"/>
  <c r="AP2964" i="118"/>
  <c r="AP2958" i="118"/>
  <c r="AP2951" i="118"/>
  <c r="AP2912" i="118"/>
  <c r="AP2903" i="118"/>
  <c r="AP2878" i="118"/>
  <c r="AP2875" i="118"/>
  <c r="AP2863" i="118"/>
  <c r="AP2511" i="118"/>
  <c r="AP2504" i="118"/>
  <c r="AP2455" i="118"/>
  <c r="AP2449" i="118"/>
  <c r="AP2420" i="118"/>
  <c r="AP2416" i="118"/>
  <c r="AP2412" i="118"/>
  <c r="AP2409" i="118"/>
  <c r="AP2405" i="118"/>
  <c r="AP2767" i="118"/>
  <c r="AP2714" i="118"/>
  <c r="AP2708" i="118"/>
  <c r="AP2647" i="118"/>
  <c r="AP1991" i="118"/>
  <c r="AP1986" i="118"/>
  <c r="AP2088" i="118"/>
  <c r="AP2087" i="118"/>
  <c r="AP2082" i="118"/>
  <c r="AP2081" i="118"/>
  <c r="AP2078" i="118"/>
  <c r="AP2077" i="118"/>
  <c r="AP2076" i="118"/>
  <c r="AP2037" i="118"/>
  <c r="AP2032" i="118"/>
  <c r="AP2011" i="118"/>
  <c r="AP2008" i="118"/>
  <c r="AP2006" i="118"/>
  <c r="AP2004" i="118"/>
  <c r="AP1999" i="118"/>
  <c r="AP1979" i="118"/>
  <c r="BE2021" i="118"/>
  <c r="AP2000" i="118"/>
  <c r="AJ2000" i="118"/>
  <c r="BE2000" i="118"/>
  <c r="AP3112" i="118" l="1"/>
  <c r="AP3107" i="118"/>
  <c r="AP3104" i="118"/>
  <c r="AP3091" i="118"/>
  <c r="AP3065" i="118"/>
  <c r="AP3064" i="118"/>
  <c r="AP3062" i="118"/>
  <c r="AP3060" i="118"/>
  <c r="AP3057" i="118"/>
  <c r="AP3053" i="118"/>
  <c r="AP3048" i="118"/>
  <c r="AP3044" i="118"/>
  <c r="AP3041" i="118"/>
  <c r="AP3036" i="118"/>
  <c r="AP1820" i="118"/>
  <c r="AP1815" i="118"/>
  <c r="AP1812" i="118"/>
  <c r="AP1810" i="118"/>
  <c r="AP1807" i="118"/>
  <c r="BH1802" i="118"/>
  <c r="BD1802" i="118"/>
  <c r="AC1802" i="118"/>
  <c r="AP1801" i="118"/>
  <c r="AP1797" i="118"/>
  <c r="AP1795" i="118"/>
  <c r="AP1787" i="118"/>
  <c r="AP1775" i="118"/>
  <c r="AP1772" i="118"/>
  <c r="AP1770" i="118"/>
  <c r="AP1769" i="118"/>
  <c r="AP1766" i="118"/>
  <c r="AP1765" i="118"/>
  <c r="AP1762" i="118"/>
  <c r="AP1759" i="118"/>
  <c r="AP1757" i="118"/>
  <c r="AP1754" i="118"/>
  <c r="AP1751" i="118"/>
  <c r="AP1745" i="118"/>
  <c r="AP1109" i="118"/>
  <c r="AP1101" i="118"/>
  <c r="AP1054" i="118"/>
  <c r="AP1052" i="118"/>
  <c r="AP1046" i="118"/>
  <c r="BG1802" i="118" l="1"/>
  <c r="BI1802" i="118" s="1"/>
  <c r="AP2464" i="118"/>
  <c r="AP2421" i="118"/>
  <c r="BH1125" i="118"/>
  <c r="BD1125" i="118"/>
  <c r="AC1125" i="118"/>
  <c r="BH1091" i="118"/>
  <c r="BD1091" i="118"/>
  <c r="AC1091" i="118"/>
  <c r="AP1063" i="118"/>
  <c r="AP1045" i="118"/>
  <c r="BH3135" i="118"/>
  <c r="BD3135" i="118"/>
  <c r="AC3135" i="118"/>
  <c r="AP3119" i="118"/>
  <c r="AP1026" i="118"/>
  <c r="AP2835" i="118"/>
  <c r="BE1618" i="118"/>
  <c r="AP1615" i="118"/>
  <c r="AP1610" i="118"/>
  <c r="AP1597" i="118"/>
  <c r="AP1112" i="118"/>
  <c r="BH2245" i="118"/>
  <c r="BD2245" i="118"/>
  <c r="AC2245" i="118"/>
  <c r="BH2228" i="118"/>
  <c r="BD2228" i="118"/>
  <c r="AC2228" i="118"/>
  <c r="BH2227" i="118"/>
  <c r="BD2227" i="118"/>
  <c r="AC2227" i="118"/>
  <c r="AP2983" i="118"/>
  <c r="AP2973" i="118"/>
  <c r="AP2971" i="118"/>
  <c r="AP2968" i="118"/>
  <c r="AP2962" i="118"/>
  <c r="AP2963" i="118"/>
  <c r="AP2916" i="118"/>
  <c r="AP2908" i="118"/>
  <c r="AP1911" i="118"/>
  <c r="AP1871" i="118"/>
  <c r="AP1965" i="118"/>
  <c r="AP1960" i="118"/>
  <c r="AP1917" i="118"/>
  <c r="AP1901" i="118"/>
  <c r="AP1889" i="118"/>
  <c r="AP1881" i="118"/>
  <c r="AP1848" i="118"/>
  <c r="AP1847" i="118"/>
  <c r="AP1843" i="118"/>
  <c r="AP1842" i="118"/>
  <c r="AP1376" i="118"/>
  <c r="AP1343" i="118"/>
  <c r="AP1341" i="118"/>
  <c r="AP1339" i="118"/>
  <c r="AP1338" i="118"/>
  <c r="AP1336" i="118"/>
  <c r="AP1332" i="118"/>
  <c r="AP1314" i="118"/>
  <c r="AP1300" i="118"/>
  <c r="AP1958" i="118"/>
  <c r="AP1954" i="118"/>
  <c r="AP1878" i="118"/>
  <c r="AP1877" i="118"/>
  <c r="AP1876" i="118"/>
  <c r="AP1872" i="118"/>
  <c r="AP1870" i="118"/>
  <c r="BD1827" i="118"/>
  <c r="AC1827" i="118"/>
  <c r="AP2160" i="118"/>
  <c r="AP2156" i="118"/>
  <c r="AP2151" i="118"/>
  <c r="AP2145" i="118"/>
  <c r="AP2144" i="118"/>
  <c r="AP2137" i="118"/>
  <c r="AP2134" i="118"/>
  <c r="BH2981" i="118"/>
  <c r="BD2981" i="118"/>
  <c r="AC2981" i="118"/>
  <c r="AP2913" i="118"/>
  <c r="AP2889" i="118"/>
  <c r="BH2880" i="118"/>
  <c r="BD2880" i="118"/>
  <c r="AC2880" i="118"/>
  <c r="AP1728" i="118"/>
  <c r="AP1727" i="118"/>
  <c r="AP1725" i="118"/>
  <c r="AP1717" i="118"/>
  <c r="AP1711" i="118"/>
  <c r="AP1709" i="118"/>
  <c r="AP1708" i="118"/>
  <c r="AP1704" i="118"/>
  <c r="AP1697" i="118"/>
  <c r="AP1688" i="118"/>
  <c r="AP1686" i="118"/>
  <c r="AP1684" i="118"/>
  <c r="AP1680" i="118"/>
  <c r="AP1679" i="118"/>
  <c r="AP1665" i="118"/>
  <c r="BG1827" i="118" l="1"/>
  <c r="BI1827" i="118" s="1"/>
  <c r="BG1125" i="118"/>
  <c r="BI1125" i="118" s="1"/>
  <c r="BG2245" i="118"/>
  <c r="BI2245" i="118" s="1"/>
  <c r="BG3135" i="118"/>
  <c r="BG1091" i="118"/>
  <c r="BI1091" i="118" s="1"/>
  <c r="BI3135" i="118"/>
  <c r="BG2880" i="118"/>
  <c r="BG2981" i="118"/>
  <c r="BI2981" i="118" s="1"/>
  <c r="BG2228" i="118"/>
  <c r="BG2227" i="118"/>
  <c r="BI2228" i="118"/>
  <c r="BI2227" i="118"/>
  <c r="BI2880" i="118"/>
  <c r="AP2693" i="118"/>
  <c r="BH1776" i="118"/>
  <c r="BD1776" i="118"/>
  <c r="AC1776" i="118"/>
  <c r="BH1775" i="118"/>
  <c r="BD1775" i="118"/>
  <c r="AC1775" i="118"/>
  <c r="BH1766" i="118"/>
  <c r="BD1766" i="118"/>
  <c r="AC1766" i="118"/>
  <c r="BE2125" i="118"/>
  <c r="AP1560" i="118"/>
  <c r="AP1541" i="118"/>
  <c r="AP1519" i="118"/>
  <c r="AP1517" i="118"/>
  <c r="AP1510" i="118"/>
  <c r="AP1494" i="118"/>
  <c r="AP1493" i="118"/>
  <c r="BH1676" i="118"/>
  <c r="BD1676" i="118"/>
  <c r="AC1676" i="118"/>
  <c r="AP1549" i="118"/>
  <c r="AP1540" i="118"/>
  <c r="BH1526" i="118"/>
  <c r="BD1526" i="118"/>
  <c r="AC1526" i="118"/>
  <c r="AP1506" i="118"/>
  <c r="AP1496" i="118"/>
  <c r="AP1383" i="118"/>
  <c r="BH1347" i="118"/>
  <c r="BD1347" i="118"/>
  <c r="AC1347" i="118"/>
  <c r="AP1344" i="118"/>
  <c r="AP1429" i="118"/>
  <c r="AP1428" i="118"/>
  <c r="BH3189" i="118"/>
  <c r="BD3189" i="118"/>
  <c r="BD3190" i="118"/>
  <c r="AC3189" i="118"/>
  <c r="BH3141" i="118"/>
  <c r="BH3138" i="118"/>
  <c r="BD3141" i="118"/>
  <c r="AC3141" i="118"/>
  <c r="AP1262" i="118"/>
  <c r="AP1245" i="118"/>
  <c r="AP1244" i="118"/>
  <c r="AP1231" i="118"/>
  <c r="AP1225" i="118"/>
  <c r="AP1198" i="118"/>
  <c r="AP1193" i="118"/>
  <c r="BH2702" i="118"/>
  <c r="BD2702" i="118"/>
  <c r="AC2702" i="118"/>
  <c r="BH2673" i="118"/>
  <c r="BH2674" i="118"/>
  <c r="BD2673" i="118"/>
  <c r="AC2673" i="118"/>
  <c r="BE1176" i="118"/>
  <c r="AJ1176" i="118"/>
  <c r="AD1176" i="118"/>
  <c r="I1176" i="118"/>
  <c r="AP1171" i="118"/>
  <c r="AP1152" i="118"/>
  <c r="BH1134" i="118"/>
  <c r="BD1134" i="118"/>
  <c r="AC1134" i="118"/>
  <c r="AP1115" i="118"/>
  <c r="AP1040" i="118"/>
  <c r="BH1433" i="118"/>
  <c r="BD1433" i="118"/>
  <c r="AC1433" i="118"/>
  <c r="AC1434" i="118"/>
  <c r="BE1411" i="118"/>
  <c r="BG2673" i="118" l="1"/>
  <c r="BG2702" i="118"/>
  <c r="BI2702" i="118" s="1"/>
  <c r="BG1766" i="118"/>
  <c r="BI1766" i="118" s="1"/>
  <c r="BG1776" i="118"/>
  <c r="BI1776" i="118" s="1"/>
  <c r="BG3141" i="118"/>
  <c r="BI3141" i="118" s="1"/>
  <c r="BG1775" i="118"/>
  <c r="BI1775" i="118" s="1"/>
  <c r="BG3189" i="118"/>
  <c r="BI3189" i="118" s="1"/>
  <c r="BG1347" i="118"/>
  <c r="BG1526" i="118"/>
  <c r="BG1676" i="118"/>
  <c r="BI1676" i="118" s="1"/>
  <c r="BI1526" i="118"/>
  <c r="BI1347" i="118"/>
  <c r="BI2673" i="118"/>
  <c r="BG1134" i="118"/>
  <c r="BI1134" i="118" s="1"/>
  <c r="BG1433" i="118"/>
  <c r="BI1433" i="118" s="1"/>
  <c r="O2136" i="118"/>
  <c r="O2130" i="118"/>
  <c r="O1979" i="118"/>
  <c r="O1804" i="118"/>
  <c r="O1743" i="118"/>
  <c r="O1640" i="118"/>
  <c r="O1569" i="118"/>
  <c r="O2424" i="118"/>
  <c r="O2421" i="118"/>
  <c r="BH1330" i="118"/>
  <c r="BD1330" i="118"/>
  <c r="AC1330" i="118"/>
  <c r="BH1057" i="118"/>
  <c r="BD1057" i="118"/>
  <c r="AC1057" i="118"/>
  <c r="O1030" i="118"/>
  <c r="O1026" i="118"/>
  <c r="BH1740" i="118"/>
  <c r="BD1740" i="118"/>
  <c r="AC1740" i="118"/>
  <c r="O3009" i="118"/>
  <c r="O2993" i="118"/>
  <c r="O2985" i="118"/>
  <c r="O2949" i="118"/>
  <c r="O2948" i="118"/>
  <c r="O2899" i="118"/>
  <c r="O2885" i="118"/>
  <c r="O2859" i="118"/>
  <c r="O2858" i="118"/>
  <c r="O2881" i="118"/>
  <c r="O3389" i="118"/>
  <c r="O3380" i="118"/>
  <c r="O3379" i="118"/>
  <c r="O3377" i="118"/>
  <c r="O3374" i="118"/>
  <c r="O3365" i="118"/>
  <c r="O3359" i="118"/>
  <c r="O3352" i="118"/>
  <c r="O3187" i="118"/>
  <c r="O3180" i="118"/>
  <c r="O3178" i="118"/>
  <c r="O3177" i="118"/>
  <c r="O3160" i="118"/>
  <c r="O3159" i="118"/>
  <c r="O3148" i="118"/>
  <c r="O3144" i="118"/>
  <c r="O3287" i="118"/>
  <c r="O3281" i="118"/>
  <c r="O3280" i="118"/>
  <c r="O3261" i="118"/>
  <c r="O3274" i="118"/>
  <c r="O3264" i="118"/>
  <c r="O3263" i="118"/>
  <c r="O3262" i="118"/>
  <c r="O3254" i="118"/>
  <c r="O3249" i="118"/>
  <c r="O3236" i="118"/>
  <c r="O3241" i="118"/>
  <c r="O3240" i="118"/>
  <c r="O3239" i="118"/>
  <c r="O3238" i="118"/>
  <c r="O3332" i="118"/>
  <c r="O3293" i="118"/>
  <c r="O3318" i="118"/>
  <c r="O3312" i="118"/>
  <c r="O3309" i="118"/>
  <c r="O3297" i="118"/>
  <c r="O3296" i="118"/>
  <c r="O3295" i="118"/>
  <c r="O3229" i="118"/>
  <c r="O3227" i="118"/>
  <c r="O3224" i="118"/>
  <c r="O3200" i="118"/>
  <c r="O3216" i="118"/>
  <c r="O3206" i="118"/>
  <c r="O3203" i="118"/>
  <c r="O3195" i="118"/>
  <c r="O3202" i="118"/>
  <c r="O3201" i="118"/>
  <c r="O1028" i="118"/>
  <c r="O1593" i="118"/>
  <c r="O1584" i="118"/>
  <c r="O2386" i="118"/>
  <c r="O2373" i="118"/>
  <c r="O2372" i="118"/>
  <c r="O2371" i="118"/>
  <c r="O2369" i="118"/>
  <c r="O2366" i="118"/>
  <c r="O2365" i="118"/>
  <c r="O1785" i="118"/>
  <c r="O2322" i="118"/>
  <c r="O2135" i="118"/>
  <c r="BG1740" i="118" l="1"/>
  <c r="BI1740" i="118" s="1"/>
  <c r="BG1057" i="118"/>
  <c r="BG1330" i="118"/>
  <c r="BI1330" i="118" s="1"/>
  <c r="BI1057" i="118"/>
  <c r="BH3134" i="118"/>
  <c r="BD3134" i="118"/>
  <c r="AC3134" i="118"/>
  <c r="BH3133" i="118"/>
  <c r="BD3133" i="118"/>
  <c r="AC3133" i="118"/>
  <c r="BH3122" i="118"/>
  <c r="BD3122" i="118"/>
  <c r="AC3122" i="118"/>
  <c r="BH3118" i="118"/>
  <c r="BD3118" i="118"/>
  <c r="AC3118" i="118"/>
  <c r="BH3117" i="118"/>
  <c r="BD3117" i="118"/>
  <c r="AC3117" i="118"/>
  <c r="O2958" i="118"/>
  <c r="O2922" i="118"/>
  <c r="O2875" i="118"/>
  <c r="O1954" i="118"/>
  <c r="O1920" i="118"/>
  <c r="O1912" i="118"/>
  <c r="O1860" i="118"/>
  <c r="O1856" i="118"/>
  <c r="BH1492" i="118"/>
  <c r="BD1492" i="118"/>
  <c r="AC1492" i="118"/>
  <c r="BH1572" i="118"/>
  <c r="BD1572" i="118"/>
  <c r="AC1572" i="118"/>
  <c r="O1190" i="118"/>
  <c r="O1195" i="118"/>
  <c r="O1157" i="118"/>
  <c r="BH3247" i="118"/>
  <c r="BD3247" i="118"/>
  <c r="AC3247" i="118"/>
  <c r="O3130" i="118"/>
  <c r="O3128" i="118"/>
  <c r="O3126" i="118"/>
  <c r="O3119" i="118"/>
  <c r="O1176" i="118"/>
  <c r="O1875" i="118"/>
  <c r="O1871" i="118"/>
  <c r="O1959" i="118"/>
  <c r="O1958" i="118"/>
  <c r="O1646" i="118"/>
  <c r="BH2370" i="118"/>
  <c r="BD2370" i="118"/>
  <c r="AC2370" i="118"/>
  <c r="O1043" i="118"/>
  <c r="BH3409" i="118"/>
  <c r="BD3409" i="118"/>
  <c r="AC3409" i="118"/>
  <c r="BG3247" i="118" l="1"/>
  <c r="BI3247" i="118" s="1"/>
  <c r="BG3134" i="118"/>
  <c r="BI3134" i="118" s="1"/>
  <c r="BG3409" i="118"/>
  <c r="BI3409" i="118" s="1"/>
  <c r="BG1492" i="118"/>
  <c r="BI1492" i="118" s="1"/>
  <c r="BG3133" i="118"/>
  <c r="BI3133" i="118" s="1"/>
  <c r="BG3117" i="118"/>
  <c r="BI3117" i="118" s="1"/>
  <c r="BG3122" i="118"/>
  <c r="BI3122" i="118" s="1"/>
  <c r="BG3118" i="118"/>
  <c r="BI3118" i="118" s="1"/>
  <c r="BG2370" i="118"/>
  <c r="BI2370" i="118" s="1"/>
  <c r="BG1572" i="118"/>
  <c r="BI1572" i="118" s="1"/>
  <c r="O3777" i="118" l="1"/>
  <c r="O3773" i="118"/>
  <c r="O3772" i="118"/>
  <c r="O3771" i="118"/>
  <c r="O3768" i="118"/>
  <c r="O3767" i="118"/>
  <c r="O3764" i="118"/>
  <c r="O3763" i="118"/>
  <c r="O3762" i="118"/>
  <c r="O3761" i="118"/>
  <c r="O3759" i="118"/>
  <c r="O3754" i="118"/>
  <c r="O3751" i="118"/>
  <c r="O3748" i="118"/>
  <c r="O3746" i="118"/>
  <c r="AO777" i="118"/>
  <c r="AP777" i="118"/>
  <c r="O3793" i="118"/>
  <c r="O3790" i="118"/>
  <c r="O3789" i="118"/>
  <c r="O3787" i="118"/>
  <c r="O3781" i="118"/>
  <c r="O3780" i="118"/>
  <c r="O3778" i="118"/>
  <c r="AP3790" i="118"/>
  <c r="AP3789" i="118"/>
  <c r="AP3780" i="118"/>
  <c r="BH3690" i="118"/>
  <c r="BC3690" i="118"/>
  <c r="BD3690" i="118"/>
  <c r="AB3690" i="118"/>
  <c r="AC3690" i="118"/>
  <c r="BG3690" i="118" l="1"/>
  <c r="BI3690" i="118" s="1"/>
  <c r="AP912" i="118"/>
  <c r="AO912" i="118"/>
  <c r="AP833" i="118"/>
  <c r="AO833" i="118"/>
  <c r="AP826" i="118"/>
  <c r="AO826" i="118"/>
  <c r="AP820" i="118"/>
  <c r="AO820" i="118"/>
  <c r="AP529" i="118"/>
  <c r="AO529" i="118"/>
  <c r="AP520" i="118"/>
  <c r="AO520" i="118"/>
  <c r="AP979" i="118"/>
  <c r="AO979" i="118"/>
  <c r="AP962" i="118"/>
  <c r="AO962" i="118"/>
  <c r="AP953" i="118"/>
  <c r="AO953" i="118"/>
  <c r="AP191" i="118"/>
  <c r="AO191" i="118"/>
  <c r="AP413" i="118"/>
  <c r="AO413" i="118"/>
  <c r="AP799" i="118"/>
  <c r="AO799" i="118"/>
  <c r="AP136" i="118"/>
  <c r="AO136" i="118"/>
  <c r="AP131" i="118"/>
  <c r="AO131" i="118"/>
  <c r="AP122" i="118"/>
  <c r="AO122" i="118"/>
  <c r="AP129" i="118"/>
  <c r="AO129" i="118"/>
  <c r="AP951" i="118"/>
  <c r="AO951" i="118"/>
  <c r="AP949" i="118"/>
  <c r="AO949" i="118"/>
  <c r="AP86" i="118"/>
  <c r="AO86" i="118"/>
  <c r="AP56" i="118"/>
  <c r="AO56" i="118"/>
  <c r="AP89" i="118"/>
  <c r="AO89" i="118"/>
  <c r="BH983" i="118"/>
  <c r="BC983" i="118"/>
  <c r="BD983" i="118"/>
  <c r="AB983" i="118"/>
  <c r="AC983" i="118"/>
  <c r="AP752" i="118"/>
  <c r="AO752" i="118"/>
  <c r="AP877" i="118"/>
  <c r="AO877" i="118"/>
  <c r="AP876" i="118"/>
  <c r="AO876" i="118"/>
  <c r="AP824" i="118"/>
  <c r="AO824" i="118"/>
  <c r="AP823" i="118"/>
  <c r="AO823" i="118"/>
  <c r="AP533" i="118"/>
  <c r="AO533" i="118"/>
  <c r="AP531" i="118"/>
  <c r="AO531" i="118"/>
  <c r="AP522" i="118"/>
  <c r="AO522" i="118"/>
  <c r="AP511" i="118"/>
  <c r="AO511" i="118"/>
  <c r="AP504" i="118"/>
  <c r="AO504" i="118"/>
  <c r="AP476" i="118"/>
  <c r="AO476" i="118"/>
  <c r="AP95" i="118"/>
  <c r="AO95" i="118"/>
  <c r="AP94" i="118"/>
  <c r="AO94" i="118"/>
  <c r="BG983" i="118" l="1"/>
  <c r="BI983" i="118" s="1"/>
  <c r="BH562" i="118"/>
  <c r="BC562" i="118"/>
  <c r="BD562" i="118"/>
  <c r="AB562" i="118"/>
  <c r="AC562" i="118"/>
  <c r="AP552" i="118"/>
  <c r="AO552" i="118"/>
  <c r="BH538" i="118"/>
  <c r="BC538" i="118"/>
  <c r="BD538" i="118"/>
  <c r="AB538" i="118"/>
  <c r="AC538" i="118"/>
  <c r="BH485" i="118"/>
  <c r="BC485" i="118"/>
  <c r="BD485" i="118"/>
  <c r="BC487" i="118"/>
  <c r="BD487" i="118"/>
  <c r="AB485" i="118"/>
  <c r="AC485" i="118"/>
  <c r="AP143" i="118"/>
  <c r="AO143" i="118"/>
  <c r="BH949" i="118"/>
  <c r="BC949" i="118"/>
  <c r="BD949" i="118"/>
  <c r="AB949" i="118"/>
  <c r="AC949" i="118"/>
  <c r="BH411" i="118"/>
  <c r="BC411" i="118"/>
  <c r="BD411" i="118"/>
  <c r="AB411" i="118"/>
  <c r="AC411" i="118"/>
  <c r="BH404" i="118"/>
  <c r="BC404" i="118"/>
  <c r="BD404" i="118"/>
  <c r="AB404" i="118"/>
  <c r="AC404" i="118"/>
  <c r="BH403" i="118"/>
  <c r="BC403" i="118"/>
  <c r="BD403" i="118"/>
  <c r="BC405" i="118"/>
  <c r="BD405" i="118"/>
  <c r="AB403" i="118"/>
  <c r="AC403" i="118"/>
  <c r="BH386" i="118"/>
  <c r="BC386" i="118"/>
  <c r="BD386" i="118"/>
  <c r="AB386" i="118"/>
  <c r="AC386" i="118"/>
  <c r="BH376" i="118"/>
  <c r="BC376" i="118"/>
  <c r="BD376" i="118"/>
  <c r="AB376" i="118"/>
  <c r="AC376" i="118"/>
  <c r="BH368" i="118"/>
  <c r="BC368" i="118"/>
  <c r="BD368" i="118"/>
  <c r="AB368" i="118"/>
  <c r="AC368" i="118"/>
  <c r="BH369" i="118"/>
  <c r="BC367" i="118"/>
  <c r="BD367" i="118"/>
  <c r="AB367" i="118"/>
  <c r="AC367" i="118"/>
  <c r="BG367" i="118" s="1"/>
  <c r="BI367" i="118" s="1"/>
  <c r="BH364" i="118"/>
  <c r="BC364" i="118"/>
  <c r="BD364" i="118"/>
  <c r="AB364" i="118"/>
  <c r="BG364" i="118"/>
  <c r="BH363" i="118"/>
  <c r="BC363" i="118"/>
  <c r="BD363" i="118"/>
  <c r="BC365" i="118"/>
  <c r="BD365" i="118"/>
  <c r="AB363" i="118"/>
  <c r="BH314" i="118"/>
  <c r="BC314" i="118"/>
  <c r="BD314" i="118"/>
  <c r="AB314" i="118"/>
  <c r="AC314" i="118"/>
  <c r="AP142" i="118"/>
  <c r="AO142" i="118"/>
  <c r="AP140" i="118"/>
  <c r="AO140" i="118"/>
  <c r="BC109" i="118"/>
  <c r="AP42" i="118"/>
  <c r="AO42" i="118"/>
  <c r="BH29" i="118"/>
  <c r="BC29" i="118"/>
  <c r="BD29" i="118"/>
  <c r="AB29" i="118"/>
  <c r="AC29" i="118"/>
  <c r="BG29" i="118" s="1"/>
  <c r="BH11" i="118"/>
  <c r="BC11" i="118"/>
  <c r="BD11" i="118"/>
  <c r="AB11" i="118"/>
  <c r="AC11" i="118"/>
  <c r="BG11" i="118" s="1"/>
  <c r="AP762" i="118"/>
  <c r="AO762" i="118"/>
  <c r="BH633" i="118"/>
  <c r="BD633" i="118"/>
  <c r="BC633" i="118"/>
  <c r="BC631" i="118"/>
  <c r="AB633" i="118"/>
  <c r="AB631" i="118"/>
  <c r="AC633" i="118"/>
  <c r="BG363" i="118" l="1"/>
  <c r="BI363" i="118" s="1"/>
  <c r="BG368" i="118"/>
  <c r="BI368" i="118" s="1"/>
  <c r="BG386" i="118"/>
  <c r="BI386" i="118" s="1"/>
  <c r="BG404" i="118"/>
  <c r="BI404" i="118" s="1"/>
  <c r="BG949" i="118"/>
  <c r="BI949" i="118" s="1"/>
  <c r="BG538" i="118"/>
  <c r="BI538" i="118" s="1"/>
  <c r="BG314" i="118"/>
  <c r="BI314" i="118" s="1"/>
  <c r="BG376" i="118"/>
  <c r="BI376" i="118" s="1"/>
  <c r="BG403" i="118"/>
  <c r="BI403" i="118" s="1"/>
  <c r="BG411" i="118"/>
  <c r="BI411" i="118" s="1"/>
  <c r="BG485" i="118"/>
  <c r="BI485" i="118" s="1"/>
  <c r="BG562" i="118"/>
  <c r="BI562" i="118" s="1"/>
  <c r="BG633" i="118"/>
  <c r="BI633" i="118" s="1"/>
  <c r="BI11" i="118"/>
  <c r="BI29" i="118"/>
  <c r="BI364" i="118"/>
  <c r="AB3567" i="118"/>
  <c r="AC3567" i="118"/>
  <c r="BC3567" i="118"/>
  <c r="BD3567" i="118"/>
  <c r="BF3567" i="118"/>
  <c r="BG3567" i="118"/>
  <c r="BH3567" i="118"/>
  <c r="AB3568" i="118"/>
  <c r="AC3568" i="118"/>
  <c r="BC3568" i="118"/>
  <c r="BF3568" i="118" s="1"/>
  <c r="BD3568" i="118"/>
  <c r="BG3568" i="118" s="1"/>
  <c r="BH3568" i="118"/>
  <c r="BI3568" i="118" l="1"/>
  <c r="BI3567" i="118"/>
  <c r="AI686" i="118"/>
  <c r="AJ686" i="118"/>
  <c r="BH747" i="118"/>
  <c r="BC747" i="118"/>
  <c r="BD747" i="118"/>
  <c r="BH2029" i="118"/>
  <c r="BD2029" i="118"/>
  <c r="AI2029" i="118"/>
  <c r="BC2029" i="118" s="1"/>
  <c r="AC2029" i="118"/>
  <c r="AB2029" i="118"/>
  <c r="BG2029" i="118" l="1"/>
  <c r="BI2029" i="118" s="1"/>
  <c r="BF2029" i="118"/>
  <c r="BH3351" i="118"/>
  <c r="BH3352" i="118"/>
  <c r="BC3351" i="118"/>
  <c r="BD3351" i="118"/>
  <c r="AB3351" i="118"/>
  <c r="AC3351" i="118"/>
  <c r="BG3351" i="118" s="1"/>
  <c r="BH3314" i="118"/>
  <c r="BH3320" i="118"/>
  <c r="BC3314" i="118"/>
  <c r="BD3314" i="118"/>
  <c r="BC3320" i="118"/>
  <c r="BD3320" i="118"/>
  <c r="AB3314" i="118"/>
  <c r="AC3314" i="118"/>
  <c r="AB3320" i="118"/>
  <c r="AC3320" i="118"/>
  <c r="BG3320" i="118" s="1"/>
  <c r="BH3276" i="118"/>
  <c r="BC3276" i="118"/>
  <c r="BD3276" i="118"/>
  <c r="AB3276" i="118"/>
  <c r="AC3276" i="118"/>
  <c r="BG3276" i="118" s="1"/>
  <c r="BH3204" i="118"/>
  <c r="BH3205" i="118"/>
  <c r="BC3204" i="118"/>
  <c r="BD3204" i="118"/>
  <c r="BC3205" i="118"/>
  <c r="BD3205" i="118"/>
  <c r="AB3204" i="118"/>
  <c r="AC3204" i="118"/>
  <c r="BG3204" i="118" s="1"/>
  <c r="AB3205" i="118"/>
  <c r="AC3205" i="118"/>
  <c r="BG3205" i="118" s="1"/>
  <c r="BH2802" i="118"/>
  <c r="BC2802" i="118"/>
  <c r="BD2802" i="118"/>
  <c r="AB2802" i="118"/>
  <c r="AC2802" i="118"/>
  <c r="BG2802" i="118" s="1"/>
  <c r="BI2802" i="118" s="1"/>
  <c r="BH2695" i="118"/>
  <c r="BC2695" i="118"/>
  <c r="BD2695" i="118"/>
  <c r="AB2695" i="118"/>
  <c r="AC2695" i="118"/>
  <c r="BH2692" i="118"/>
  <c r="BH2693" i="118"/>
  <c r="BC2692" i="118"/>
  <c r="BD2692" i="118"/>
  <c r="AB2692" i="118"/>
  <c r="AC2692" i="118"/>
  <c r="BG2692" i="118" s="1"/>
  <c r="BG2695" i="118" l="1"/>
  <c r="BI2695" i="118" s="1"/>
  <c r="BG3314" i="118"/>
  <c r="BI3314" i="118" s="1"/>
  <c r="BI3204" i="118"/>
  <c r="BI3351" i="118"/>
  <c r="BI3276" i="118"/>
  <c r="BI2692" i="118"/>
  <c r="BI3320" i="118"/>
  <c r="BI3205" i="118"/>
  <c r="H627" i="118"/>
  <c r="I627" i="118"/>
  <c r="H969" i="118"/>
  <c r="I969" i="118"/>
  <c r="AJ2045" i="118" l="1"/>
  <c r="AJ2043" i="118"/>
  <c r="BH2361" i="118" l="1"/>
  <c r="BC2361" i="118"/>
  <c r="BD2361" i="118"/>
  <c r="AB2361" i="118"/>
  <c r="BF2361" i="118" s="1"/>
  <c r="AC2361" i="118"/>
  <c r="BG2361" i="118" s="1"/>
  <c r="BI2361" i="118" s="1"/>
  <c r="BH519" i="118"/>
  <c r="BC519" i="118"/>
  <c r="BD519" i="118"/>
  <c r="AB519" i="118"/>
  <c r="BF519" i="118" s="1"/>
  <c r="AC519" i="118"/>
  <c r="AJ504" i="118"/>
  <c r="AI504" i="118"/>
  <c r="BH619" i="118"/>
  <c r="BD619" i="118"/>
  <c r="BC619" i="118"/>
  <c r="AB619" i="118"/>
  <c r="AC619" i="118"/>
  <c r="BH600" i="118"/>
  <c r="BC600" i="118"/>
  <c r="BD600" i="118"/>
  <c r="AB600" i="118"/>
  <c r="AC600" i="118"/>
  <c r="BH587" i="118"/>
  <c r="AB587" i="118"/>
  <c r="AC587" i="118"/>
  <c r="BD587" i="118"/>
  <c r="BC587" i="118"/>
  <c r="BH2545" i="118"/>
  <c r="BH2546" i="118"/>
  <c r="BC2545" i="118"/>
  <c r="BD2545" i="118"/>
  <c r="AB2545" i="118"/>
  <c r="BF2545" i="118" s="1"/>
  <c r="AC2545" i="118"/>
  <c r="BG2545" i="118" s="1"/>
  <c r="BH548" i="118"/>
  <c r="BH509" i="118"/>
  <c r="BD548" i="118"/>
  <c r="BC548" i="118"/>
  <c r="BD509" i="118"/>
  <c r="BC509" i="118"/>
  <c r="AB509" i="118"/>
  <c r="AC509" i="118"/>
  <c r="AB548" i="118"/>
  <c r="AC548" i="118"/>
  <c r="BH506" i="118"/>
  <c r="BC506" i="118"/>
  <c r="BD506" i="118"/>
  <c r="AB506" i="118"/>
  <c r="AC506" i="118"/>
  <c r="BH503" i="118"/>
  <c r="BC503" i="118"/>
  <c r="BD503" i="118"/>
  <c r="AB503" i="118"/>
  <c r="AC503" i="118"/>
  <c r="BH502" i="118"/>
  <c r="BC502" i="118"/>
  <c r="BD502" i="118"/>
  <c r="AB502" i="118"/>
  <c r="AC502" i="118"/>
  <c r="BG502" i="118" s="1"/>
  <c r="BH2233" i="118"/>
  <c r="BC2233" i="118"/>
  <c r="BD2233" i="118"/>
  <c r="AB2233" i="118"/>
  <c r="AC2233" i="118"/>
  <c r="BH2220" i="118"/>
  <c r="BC2220" i="118"/>
  <c r="BD2220" i="118"/>
  <c r="AB2220" i="118"/>
  <c r="BF2220" i="118" s="1"/>
  <c r="AC2220" i="118"/>
  <c r="BG2220" i="118" s="1"/>
  <c r="BH350" i="118"/>
  <c r="BD350" i="118"/>
  <c r="BC350" i="118"/>
  <c r="AB350" i="118"/>
  <c r="AC350" i="118"/>
  <c r="BH349" i="118"/>
  <c r="BC349" i="118"/>
  <c r="BD349" i="118"/>
  <c r="AB349" i="118"/>
  <c r="AC349" i="118"/>
  <c r="BH2320" i="118"/>
  <c r="BC2320" i="118"/>
  <c r="BD2320" i="118"/>
  <c r="AB2320" i="118"/>
  <c r="AC2320" i="118"/>
  <c r="BG2320" i="118" s="1"/>
  <c r="BI2320" i="118" s="1"/>
  <c r="BH436" i="118"/>
  <c r="BC436" i="118"/>
  <c r="BD436" i="118"/>
  <c r="AB436" i="118"/>
  <c r="BF436" i="118" s="1"/>
  <c r="AC436" i="118"/>
  <c r="BG436" i="118" s="1"/>
  <c r="BI436" i="118" s="1"/>
  <c r="BH416" i="118"/>
  <c r="BC416" i="118"/>
  <c r="BD416" i="118"/>
  <c r="AB416" i="118"/>
  <c r="BF416" i="118" s="1"/>
  <c r="AC416" i="118"/>
  <c r="BH415" i="118"/>
  <c r="BC415" i="118"/>
  <c r="BD415" i="118"/>
  <c r="AB415" i="118"/>
  <c r="BF415" i="118" s="1"/>
  <c r="AC415" i="118"/>
  <c r="BH383" i="118"/>
  <c r="BC383" i="118"/>
  <c r="BD383" i="118"/>
  <c r="AB383" i="118"/>
  <c r="AC383" i="118"/>
  <c r="BH373" i="118"/>
  <c r="BH378" i="118"/>
  <c r="BC373" i="118"/>
  <c r="BD373" i="118"/>
  <c r="BC378" i="118"/>
  <c r="BD378" i="118"/>
  <c r="AB378" i="118"/>
  <c r="AC378" i="118"/>
  <c r="AB373" i="118"/>
  <c r="AC373" i="118"/>
  <c r="BH360" i="118"/>
  <c r="BC360" i="118"/>
  <c r="BD360" i="118"/>
  <c r="AB360" i="118"/>
  <c r="BF360" i="118" s="1"/>
  <c r="AC360" i="118"/>
  <c r="BG360" i="118" s="1"/>
  <c r="BI360" i="118" s="1"/>
  <c r="BH1865" i="118"/>
  <c r="BC1865" i="118"/>
  <c r="BD1865" i="118"/>
  <c r="AB1865" i="118"/>
  <c r="AC1865" i="118"/>
  <c r="BG1865" i="118" s="1"/>
  <c r="BI1865" i="118" l="1"/>
  <c r="BG415" i="118"/>
  <c r="BG416" i="118"/>
  <c r="BI416" i="118" s="1"/>
  <c r="BF502" i="118"/>
  <c r="BF587" i="118"/>
  <c r="BF619" i="118"/>
  <c r="BG350" i="118"/>
  <c r="BF2320" i="118"/>
  <c r="BG378" i="118"/>
  <c r="BI378" i="118" s="1"/>
  <c r="BG373" i="118"/>
  <c r="BI373" i="118" s="1"/>
  <c r="BG383" i="118"/>
  <c r="BI383" i="118" s="1"/>
  <c r="BG349" i="118"/>
  <c r="BI349" i="118" s="1"/>
  <c r="BI2220" i="118"/>
  <c r="BF2233" i="118"/>
  <c r="BF503" i="118"/>
  <c r="BG506" i="118"/>
  <c r="BI506" i="118" s="1"/>
  <c r="BF600" i="118"/>
  <c r="BF1865" i="118"/>
  <c r="BF378" i="118"/>
  <c r="BF373" i="118"/>
  <c r="BF383" i="118"/>
  <c r="BF349" i="118"/>
  <c r="BF350" i="118"/>
  <c r="BG2233" i="118"/>
  <c r="BI2233" i="118" s="1"/>
  <c r="BG503" i="118"/>
  <c r="BI503" i="118" s="1"/>
  <c r="BF506" i="118"/>
  <c r="BG509" i="118"/>
  <c r="BI2545" i="118"/>
  <c r="BG587" i="118"/>
  <c r="BI587" i="118" s="1"/>
  <c r="BG600" i="118"/>
  <c r="BI600" i="118" s="1"/>
  <c r="BG619" i="118"/>
  <c r="BI619" i="118" s="1"/>
  <c r="BG519" i="118"/>
  <c r="BI519" i="118" s="1"/>
  <c r="BF548" i="118"/>
  <c r="BF509" i="118"/>
  <c r="BI509" i="118"/>
  <c r="BG548" i="118"/>
  <c r="BI502" i="118"/>
  <c r="BI415" i="118"/>
  <c r="BI350" i="118"/>
  <c r="BH341" i="118"/>
  <c r="BC341" i="118"/>
  <c r="BD341" i="118"/>
  <c r="AB341" i="118"/>
  <c r="BF341" i="118" s="1"/>
  <c r="AC341" i="118"/>
  <c r="BG341" i="118" s="1"/>
  <c r="BI341" i="118" s="1"/>
  <c r="BH340" i="118"/>
  <c r="BC340" i="118"/>
  <c r="BD340" i="118"/>
  <c r="AB340" i="118"/>
  <c r="BF340" i="118" s="1"/>
  <c r="AC340" i="118"/>
  <c r="BG340" i="118" s="1"/>
  <c r="BI340" i="118" s="1"/>
  <c r="BH323" i="118"/>
  <c r="BD323" i="118"/>
  <c r="BC323" i="118"/>
  <c r="AB323" i="118"/>
  <c r="AC323" i="118"/>
  <c r="BH315" i="118"/>
  <c r="BD315" i="118"/>
  <c r="BC315" i="118"/>
  <c r="AB315" i="118"/>
  <c r="AC315" i="118"/>
  <c r="BH313" i="118"/>
  <c r="BC313" i="118"/>
  <c r="BD313" i="118"/>
  <c r="AB313" i="118"/>
  <c r="AC313" i="118"/>
  <c r="BH305" i="118"/>
  <c r="BC305" i="118"/>
  <c r="BD305" i="118"/>
  <c r="AB305" i="118"/>
  <c r="AC305" i="118"/>
  <c r="BH214" i="118"/>
  <c r="BD214" i="118"/>
  <c r="BC214" i="118"/>
  <c r="AB214" i="118"/>
  <c r="AC214" i="118"/>
  <c r="BH204" i="118"/>
  <c r="BD204" i="118"/>
  <c r="BC204" i="118"/>
  <c r="AB204" i="118"/>
  <c r="AC204" i="118"/>
  <c r="BH150" i="118"/>
  <c r="BC150" i="118"/>
  <c r="BD150" i="118"/>
  <c r="AB150" i="118"/>
  <c r="BF150" i="118" s="1"/>
  <c r="AC150" i="118"/>
  <c r="BG150" i="118" s="1"/>
  <c r="BH147" i="118"/>
  <c r="BD147" i="118"/>
  <c r="BC147" i="118"/>
  <c r="AB147" i="118"/>
  <c r="AC147" i="118"/>
  <c r="BH145" i="118"/>
  <c r="BC145" i="118"/>
  <c r="BD145" i="118"/>
  <c r="AB145" i="118"/>
  <c r="AC145" i="118"/>
  <c r="BH132" i="118"/>
  <c r="AB132" i="118"/>
  <c r="AC132" i="118"/>
  <c r="BD132" i="118"/>
  <c r="BC132" i="118"/>
  <c r="BH82" i="118"/>
  <c r="BC82" i="118"/>
  <c r="BD82" i="118"/>
  <c r="AB82" i="118"/>
  <c r="BF82" i="118" s="1"/>
  <c r="AC82" i="118"/>
  <c r="BG82" i="118" s="1"/>
  <c r="BH53" i="118"/>
  <c r="BC53" i="118"/>
  <c r="BD53" i="118"/>
  <c r="AB53" i="118"/>
  <c r="BF53" i="118" s="1"/>
  <c r="AC53" i="118"/>
  <c r="BG53" i="118" s="1"/>
  <c r="BI53" i="118" s="1"/>
  <c r="BH43" i="118"/>
  <c r="AB43" i="118"/>
  <c r="AC43" i="118"/>
  <c r="BD43" i="118"/>
  <c r="BC43" i="118"/>
  <c r="BH892" i="118"/>
  <c r="BC892" i="118"/>
  <c r="BD892" i="118"/>
  <c r="AB892" i="118"/>
  <c r="BF892" i="118" s="1"/>
  <c r="AC892" i="118"/>
  <c r="BG892" i="118" s="1"/>
  <c r="BH1189" i="118"/>
  <c r="BC1189" i="118"/>
  <c r="BD1189" i="118"/>
  <c r="AB1189" i="118"/>
  <c r="BF1189" i="118" s="1"/>
  <c r="AC1189" i="118"/>
  <c r="BG1189" i="118" s="1"/>
  <c r="BI1189" i="118" s="1"/>
  <c r="BH2928" i="118"/>
  <c r="BC2928" i="118"/>
  <c r="BD2928" i="118"/>
  <c r="AB2928" i="118"/>
  <c r="BF2928" i="118" s="1"/>
  <c r="AC2928" i="118"/>
  <c r="BH925" i="118"/>
  <c r="BH926" i="118"/>
  <c r="BC925" i="118"/>
  <c r="BD925" i="118"/>
  <c r="AB925" i="118"/>
  <c r="BF925" i="118" s="1"/>
  <c r="AC925" i="118"/>
  <c r="BG925" i="118" s="1"/>
  <c r="BH919" i="118"/>
  <c r="BC919" i="118"/>
  <c r="BD919" i="118"/>
  <c r="AB919" i="118"/>
  <c r="BF919" i="118" s="1"/>
  <c r="AC919" i="118"/>
  <c r="BG919" i="118" s="1"/>
  <c r="BI919" i="118" s="1"/>
  <c r="BH915" i="118"/>
  <c r="BC915" i="118"/>
  <c r="BD915" i="118"/>
  <c r="AB915" i="118"/>
  <c r="BF915" i="118" s="1"/>
  <c r="AC915" i="118"/>
  <c r="BG915" i="118" s="1"/>
  <c r="BI915" i="118" s="1"/>
  <c r="BH914" i="118"/>
  <c r="BC914" i="118"/>
  <c r="BD914" i="118"/>
  <c r="AB914" i="118"/>
  <c r="BF914" i="118" s="1"/>
  <c r="AC914" i="118"/>
  <c r="BG914" i="118" s="1"/>
  <c r="BH912" i="118"/>
  <c r="BC912" i="118"/>
  <c r="BD912" i="118"/>
  <c r="AB912" i="118"/>
  <c r="BF912" i="118" s="1"/>
  <c r="AC912" i="118"/>
  <c r="BG912" i="118" s="1"/>
  <c r="BH903" i="118"/>
  <c r="BC903" i="118"/>
  <c r="BD903" i="118"/>
  <c r="AB903" i="118"/>
  <c r="BF903" i="118" s="1"/>
  <c r="AC903" i="118"/>
  <c r="BG903" i="118" s="1"/>
  <c r="BI903" i="118" s="1"/>
  <c r="BH898" i="118"/>
  <c r="BC898" i="118"/>
  <c r="BD898" i="118"/>
  <c r="AB898" i="118"/>
  <c r="BF898" i="118" s="1"/>
  <c r="AC898" i="118"/>
  <c r="BG898" i="118" s="1"/>
  <c r="BI898" i="118" s="1"/>
  <c r="BH885" i="118"/>
  <c r="BC885" i="118"/>
  <c r="BD885" i="118"/>
  <c r="AB885" i="118"/>
  <c r="AC885" i="118"/>
  <c r="BH874" i="118"/>
  <c r="BC874" i="118"/>
  <c r="BD874" i="118"/>
  <c r="AB874" i="118"/>
  <c r="AC874" i="118"/>
  <c r="BH842" i="118"/>
  <c r="BC842" i="118"/>
  <c r="BD842" i="118"/>
  <c r="AB842" i="118"/>
  <c r="BF842" i="118" s="1"/>
  <c r="AC842" i="118"/>
  <c r="BG842" i="118" s="1"/>
  <c r="BI842" i="118" s="1"/>
  <c r="BH840" i="118"/>
  <c r="BC840" i="118"/>
  <c r="BD840" i="118"/>
  <c r="AB840" i="118"/>
  <c r="AC840" i="118"/>
  <c r="BH835" i="118"/>
  <c r="BC835" i="118"/>
  <c r="BD835" i="118"/>
  <c r="AB835" i="118"/>
  <c r="BF835" i="118" s="1"/>
  <c r="AC835" i="118"/>
  <c r="BG835" i="118" s="1"/>
  <c r="BI835" i="118" s="1"/>
  <c r="BH815" i="118"/>
  <c r="AB815" i="118"/>
  <c r="AC815" i="118"/>
  <c r="BD815" i="118"/>
  <c r="BC815" i="118"/>
  <c r="BH810" i="118"/>
  <c r="BC810" i="118"/>
  <c r="BD810" i="118"/>
  <c r="AB810" i="118"/>
  <c r="AC810" i="118"/>
  <c r="BH792" i="118"/>
  <c r="BC792" i="118"/>
  <c r="BD792" i="118"/>
  <c r="AB792" i="118"/>
  <c r="AC792" i="118"/>
  <c r="BH787" i="118"/>
  <c r="BC787" i="118"/>
  <c r="BD787" i="118"/>
  <c r="AB787" i="118"/>
  <c r="AC787" i="118"/>
  <c r="BH783" i="118"/>
  <c r="BC783" i="118"/>
  <c r="BD783" i="118"/>
  <c r="AB783" i="118"/>
  <c r="AC783" i="118"/>
  <c r="BH504" i="118"/>
  <c r="BC504" i="118"/>
  <c r="BD504" i="118"/>
  <c r="AB504" i="118"/>
  <c r="BF504" i="118" s="1"/>
  <c r="AC504" i="118"/>
  <c r="BG504" i="118" s="1"/>
  <c r="BI504" i="118" s="1"/>
  <c r="BH1575" i="118"/>
  <c r="BC1575" i="118"/>
  <c r="BD1575" i="118"/>
  <c r="BC1576" i="118"/>
  <c r="BD1576" i="118"/>
  <c r="AB1575" i="118"/>
  <c r="AC1575" i="118"/>
  <c r="BH756" i="118"/>
  <c r="BC756" i="118"/>
  <c r="BD756" i="118"/>
  <c r="AB756" i="118"/>
  <c r="AC756" i="118"/>
  <c r="AB747" i="118"/>
  <c r="BF747" i="118" s="1"/>
  <c r="AC747" i="118"/>
  <c r="BG747" i="118" s="1"/>
  <c r="BI747" i="118" s="1"/>
  <c r="BH738" i="118"/>
  <c r="BC738" i="118"/>
  <c r="BD738" i="118"/>
  <c r="AC738" i="118"/>
  <c r="AB738" i="118"/>
  <c r="BH734" i="118"/>
  <c r="BC734" i="118"/>
  <c r="BD734" i="118"/>
  <c r="AC734" i="118"/>
  <c r="AB734" i="118"/>
  <c r="BH733" i="118"/>
  <c r="BC733" i="118"/>
  <c r="BD733" i="118"/>
  <c r="AB733" i="118"/>
  <c r="BF733" i="118" s="1"/>
  <c r="AC733" i="118"/>
  <c r="BG733" i="118" s="1"/>
  <c r="BI733" i="118" s="1"/>
  <c r="BH728" i="118"/>
  <c r="BC728" i="118"/>
  <c r="BD728" i="118"/>
  <c r="AB728" i="118"/>
  <c r="BF728" i="118" s="1"/>
  <c r="AC728" i="118"/>
  <c r="BH723" i="118"/>
  <c r="BC723" i="118"/>
  <c r="BD723" i="118"/>
  <c r="AB723" i="118"/>
  <c r="BF723" i="118" s="1"/>
  <c r="AC723" i="118"/>
  <c r="BH702" i="118"/>
  <c r="BC702" i="118"/>
  <c r="BD702" i="118"/>
  <c r="AB702" i="118"/>
  <c r="AC702" i="118"/>
  <c r="BH696" i="118"/>
  <c r="BC696" i="118"/>
  <c r="BD696" i="118"/>
  <c r="AB696" i="118"/>
  <c r="AC696" i="118"/>
  <c r="BG696" i="118" s="1"/>
  <c r="BH695" i="118"/>
  <c r="BC695" i="118"/>
  <c r="BD695" i="118"/>
  <c r="AB695" i="118"/>
  <c r="AC695" i="118"/>
  <c r="BH693" i="118"/>
  <c r="BC693" i="118"/>
  <c r="BD693" i="118"/>
  <c r="AB693" i="118"/>
  <c r="AC693" i="118"/>
  <c r="BH688" i="118"/>
  <c r="BC688" i="118"/>
  <c r="BD688" i="118"/>
  <c r="AB688" i="118"/>
  <c r="AC688" i="118"/>
  <c r="BH684" i="118"/>
  <c r="BC684" i="118"/>
  <c r="BD684" i="118"/>
  <c r="AB684" i="118"/>
  <c r="AC684" i="118"/>
  <c r="BH678" i="118"/>
  <c r="BC678" i="118"/>
  <c r="BD678" i="118"/>
  <c r="AB678" i="118"/>
  <c r="AC678" i="118"/>
  <c r="BH670" i="118"/>
  <c r="BC670" i="118"/>
  <c r="BD670" i="118"/>
  <c r="AB670" i="118"/>
  <c r="AC670" i="118"/>
  <c r="BH665" i="118"/>
  <c r="BC665" i="118"/>
  <c r="BD665" i="118"/>
  <c r="AB665" i="118"/>
  <c r="AC665" i="118"/>
  <c r="BH664" i="118"/>
  <c r="BC664" i="118"/>
  <c r="BD664" i="118"/>
  <c r="AB664" i="118"/>
  <c r="AC664" i="118"/>
  <c r="BC655" i="118"/>
  <c r="BD655" i="118"/>
  <c r="AC655" i="118"/>
  <c r="AB655" i="118"/>
  <c r="BH650" i="118"/>
  <c r="BC650" i="118"/>
  <c r="BD650" i="118"/>
  <c r="AB650" i="118"/>
  <c r="AC650" i="118"/>
  <c r="BH1480" i="118"/>
  <c r="BC1480" i="118"/>
  <c r="BD1480" i="118"/>
  <c r="AB1480" i="118"/>
  <c r="BF1480" i="118" s="1"/>
  <c r="AC1480" i="118"/>
  <c r="BH1784" i="118"/>
  <c r="BC1784" i="118"/>
  <c r="AB1784" i="118"/>
  <c r="AC1784" i="118"/>
  <c r="BG1784" i="118" s="1"/>
  <c r="I3318" i="118"/>
  <c r="AC3318" i="118" s="1"/>
  <c r="BH3274" i="118"/>
  <c r="BC3274" i="118"/>
  <c r="BD3274" i="118"/>
  <c r="AB3274" i="118"/>
  <c r="BF3274" i="118" s="1"/>
  <c r="AC3274" i="118"/>
  <c r="BG3274" i="118" s="1"/>
  <c r="BI3274" i="118" s="1"/>
  <c r="BH615" i="118"/>
  <c r="BC615" i="118"/>
  <c r="BD615" i="118"/>
  <c r="AB615" i="118"/>
  <c r="BF615" i="118" s="1"/>
  <c r="AC615" i="118"/>
  <c r="BG615" i="118" s="1"/>
  <c r="BI615" i="118" s="1"/>
  <c r="BF3820" i="118"/>
  <c r="BC15" i="118"/>
  <c r="BD15" i="118"/>
  <c r="BC16" i="118"/>
  <c r="BD16" i="118"/>
  <c r="BC17" i="118"/>
  <c r="BD17" i="118"/>
  <c r="BC18" i="118"/>
  <c r="BD18" i="118"/>
  <c r="BC19" i="118"/>
  <c r="BD19" i="118"/>
  <c r="BC21" i="118"/>
  <c r="BD21" i="118"/>
  <c r="BC22" i="118"/>
  <c r="BD22" i="118"/>
  <c r="BC23" i="118"/>
  <c r="BD23" i="118"/>
  <c r="BC24" i="118"/>
  <c r="BD24" i="118"/>
  <c r="BC25" i="118"/>
  <c r="BD25" i="118"/>
  <c r="BC26" i="118"/>
  <c r="BD26" i="118"/>
  <c r="BC27" i="118"/>
  <c r="BD27" i="118"/>
  <c r="BC28" i="118"/>
  <c r="BD28" i="118"/>
  <c r="BC30" i="118"/>
  <c r="BD30" i="118"/>
  <c r="BC31" i="118"/>
  <c r="BD31" i="118"/>
  <c r="BC33" i="118"/>
  <c r="BD33" i="118"/>
  <c r="BC35" i="118"/>
  <c r="BD35" i="118"/>
  <c r="BC36" i="118"/>
  <c r="BD36" i="118"/>
  <c r="BC37" i="118"/>
  <c r="BD37" i="118"/>
  <c r="BC38" i="118"/>
  <c r="BD38" i="118"/>
  <c r="BC39" i="118"/>
  <c r="BD39" i="118"/>
  <c r="BC40" i="118"/>
  <c r="BD40" i="118"/>
  <c r="BC41" i="118"/>
  <c r="BD41" i="118"/>
  <c r="BC42" i="118"/>
  <c r="BD42" i="118"/>
  <c r="BC44" i="118"/>
  <c r="BD44" i="118"/>
  <c r="BC45" i="118"/>
  <c r="BD45" i="118"/>
  <c r="BC46" i="118"/>
  <c r="BD46" i="118"/>
  <c r="BC47" i="118"/>
  <c r="BD47" i="118"/>
  <c r="BC48" i="118"/>
  <c r="BD48" i="118"/>
  <c r="BC49" i="118"/>
  <c r="BD49" i="118"/>
  <c r="BC51" i="118"/>
  <c r="BD51" i="118"/>
  <c r="BC52" i="118"/>
  <c r="BD52" i="118"/>
  <c r="BC54" i="118"/>
  <c r="BD54" i="118"/>
  <c r="BC57" i="118"/>
  <c r="BD57" i="118"/>
  <c r="BC58" i="118"/>
  <c r="BD58" i="118"/>
  <c r="BC61" i="118"/>
  <c r="BD61" i="118"/>
  <c r="BC62" i="118"/>
  <c r="BD62" i="118"/>
  <c r="BC63" i="118"/>
  <c r="BD63" i="118"/>
  <c r="BC64" i="118"/>
  <c r="BD64" i="118"/>
  <c r="BC65" i="118"/>
  <c r="BD65" i="118"/>
  <c r="BC66" i="118"/>
  <c r="BD66" i="118"/>
  <c r="BC67" i="118"/>
  <c r="BD67" i="118"/>
  <c r="BC68" i="118"/>
  <c r="BD68" i="118"/>
  <c r="BC69" i="118"/>
  <c r="BD69" i="118"/>
  <c r="BC70" i="118"/>
  <c r="BD70" i="118"/>
  <c r="BC71" i="118"/>
  <c r="BD71" i="118"/>
  <c r="BC72" i="118"/>
  <c r="BD72" i="118"/>
  <c r="BC73" i="118"/>
  <c r="BD73" i="118"/>
  <c r="BC74" i="118"/>
  <c r="BD74" i="118"/>
  <c r="BC75" i="118"/>
  <c r="BD75" i="118"/>
  <c r="BC76" i="118"/>
  <c r="BD76" i="118"/>
  <c r="BC77" i="118"/>
  <c r="BD77" i="118"/>
  <c r="BC79" i="118"/>
  <c r="BD79" i="118"/>
  <c r="BC81" i="118"/>
  <c r="BD81" i="118"/>
  <c r="BC83" i="118"/>
  <c r="BD83" i="118"/>
  <c r="BC84" i="118"/>
  <c r="BD84" i="118"/>
  <c r="BC85" i="118"/>
  <c r="BD85" i="118"/>
  <c r="BC86" i="118"/>
  <c r="BD86" i="118"/>
  <c r="BC87" i="118"/>
  <c r="BD87" i="118"/>
  <c r="BC88" i="118"/>
  <c r="BD88" i="118"/>
  <c r="BC89" i="118"/>
  <c r="BD89" i="118"/>
  <c r="BC90" i="118"/>
  <c r="BD90" i="118"/>
  <c r="BC93" i="118"/>
  <c r="BD93" i="118"/>
  <c r="BC94" i="118"/>
  <c r="BD94" i="118"/>
  <c r="BC95" i="118"/>
  <c r="BD95" i="118"/>
  <c r="BC96" i="118"/>
  <c r="BD96" i="118"/>
  <c r="BC97" i="118"/>
  <c r="BD97" i="118"/>
  <c r="BC98" i="118"/>
  <c r="BD98" i="118"/>
  <c r="BC99" i="118"/>
  <c r="BD99" i="118"/>
  <c r="BC100" i="118"/>
  <c r="BD100" i="118"/>
  <c r="BC101" i="118"/>
  <c r="BD101" i="118"/>
  <c r="BC102" i="118"/>
  <c r="BD102" i="118"/>
  <c r="BC103" i="118"/>
  <c r="BD103" i="118"/>
  <c r="BC104" i="118"/>
  <c r="BD104" i="118"/>
  <c r="BC105" i="118"/>
  <c r="BD105" i="118"/>
  <c r="BC106" i="118"/>
  <c r="BD106" i="118"/>
  <c r="BC107" i="118"/>
  <c r="BD107" i="118"/>
  <c r="BC108" i="118"/>
  <c r="BD108" i="118"/>
  <c r="BD109" i="118"/>
  <c r="BC110" i="118"/>
  <c r="BD110" i="118"/>
  <c r="BC111" i="118"/>
  <c r="BD111" i="118"/>
  <c r="BC112" i="118"/>
  <c r="BD112" i="118"/>
  <c r="BC113" i="118"/>
  <c r="BD113" i="118"/>
  <c r="BC115" i="118"/>
  <c r="BD115" i="118"/>
  <c r="BC116" i="118"/>
  <c r="BD116" i="118"/>
  <c r="BC117" i="118"/>
  <c r="BD117" i="118"/>
  <c r="BC118" i="118"/>
  <c r="BD118" i="118"/>
  <c r="BC119" i="118"/>
  <c r="BD119" i="118"/>
  <c r="BC120" i="118"/>
  <c r="BD120" i="118"/>
  <c r="BC121" i="118"/>
  <c r="BD121" i="118"/>
  <c r="BC122" i="118"/>
  <c r="BD122" i="118"/>
  <c r="BC124" i="118"/>
  <c r="BD124" i="118"/>
  <c r="BC125" i="118"/>
  <c r="BD125" i="118"/>
  <c r="BC126" i="118"/>
  <c r="BD126" i="118"/>
  <c r="BC127" i="118"/>
  <c r="BD127" i="118"/>
  <c r="BC128" i="118"/>
  <c r="BD128" i="118"/>
  <c r="BC129" i="118"/>
  <c r="BD129" i="118"/>
  <c r="BC130" i="118"/>
  <c r="BD130" i="118"/>
  <c r="BC131" i="118"/>
  <c r="BD131" i="118"/>
  <c r="BC133" i="118"/>
  <c r="BD133" i="118"/>
  <c r="BC134" i="118"/>
  <c r="BD134" i="118"/>
  <c r="BC135" i="118"/>
  <c r="BD135" i="118"/>
  <c r="BC136" i="118"/>
  <c r="BD136" i="118"/>
  <c r="BC137" i="118"/>
  <c r="BD137" i="118"/>
  <c r="BC138" i="118"/>
  <c r="BD138" i="118"/>
  <c r="BC139" i="118"/>
  <c r="BD139" i="118"/>
  <c r="BC140" i="118"/>
  <c r="BD140" i="118"/>
  <c r="BC141" i="118"/>
  <c r="BD141" i="118"/>
  <c r="BC142" i="118"/>
  <c r="BD142" i="118"/>
  <c r="BC143" i="118"/>
  <c r="BD143" i="118"/>
  <c r="BC144" i="118"/>
  <c r="BD144" i="118"/>
  <c r="BC146" i="118"/>
  <c r="BD146" i="118"/>
  <c r="BC148" i="118"/>
  <c r="BD148" i="118"/>
  <c r="BC151" i="118"/>
  <c r="BD151" i="118"/>
  <c r="BC152" i="118"/>
  <c r="BD152" i="118"/>
  <c r="BC153" i="118"/>
  <c r="BD153" i="118"/>
  <c r="BC154" i="118"/>
  <c r="BD154" i="118"/>
  <c r="BC155" i="118"/>
  <c r="BD155" i="118"/>
  <c r="BC156" i="118"/>
  <c r="BD156" i="118"/>
  <c r="BC157" i="118"/>
  <c r="BD157" i="118"/>
  <c r="BC158" i="118"/>
  <c r="BD158" i="118"/>
  <c r="BC159" i="118"/>
  <c r="BD159" i="118"/>
  <c r="BC160" i="118"/>
  <c r="BD160" i="118"/>
  <c r="BC161" i="118"/>
  <c r="BD161" i="118"/>
  <c r="BC162" i="118"/>
  <c r="BD162" i="118"/>
  <c r="BC163" i="118"/>
  <c r="BD163" i="118"/>
  <c r="BC164" i="118"/>
  <c r="BD164" i="118"/>
  <c r="BC165" i="118"/>
  <c r="BD165" i="118"/>
  <c r="BC166" i="118"/>
  <c r="BD166" i="118"/>
  <c r="BC167" i="118"/>
  <c r="BD167" i="118"/>
  <c r="BC168" i="118"/>
  <c r="BD168" i="118"/>
  <c r="BC169" i="118"/>
  <c r="BD169" i="118"/>
  <c r="BC170" i="118"/>
  <c r="BD170" i="118"/>
  <c r="BC171" i="118"/>
  <c r="BD171" i="118"/>
  <c r="BC172" i="118"/>
  <c r="BD172" i="118"/>
  <c r="BC173" i="118"/>
  <c r="BD173" i="118"/>
  <c r="BC174" i="118"/>
  <c r="BD174" i="118"/>
  <c r="BC175" i="118"/>
  <c r="BD175" i="118"/>
  <c r="BC176" i="118"/>
  <c r="BD176" i="118"/>
  <c r="BC177" i="118"/>
  <c r="BD177" i="118"/>
  <c r="BC178" i="118"/>
  <c r="BD178" i="118"/>
  <c r="BC179" i="118"/>
  <c r="BD179" i="118"/>
  <c r="BC180" i="118"/>
  <c r="BD180" i="118"/>
  <c r="BC181" i="118"/>
  <c r="BD181" i="118"/>
  <c r="BC182" i="118"/>
  <c r="BD182" i="118"/>
  <c r="BC183" i="118"/>
  <c r="BD183" i="118"/>
  <c r="BC184" i="118"/>
  <c r="BD184" i="118"/>
  <c r="BC185" i="118"/>
  <c r="BD185" i="118"/>
  <c r="BC186" i="118"/>
  <c r="BD186" i="118"/>
  <c r="BC187" i="118"/>
  <c r="BD187" i="118"/>
  <c r="BC188" i="118"/>
  <c r="BD188" i="118"/>
  <c r="BC189" i="118"/>
  <c r="BD189" i="118"/>
  <c r="BC190" i="118"/>
  <c r="BD190" i="118"/>
  <c r="BC192" i="118"/>
  <c r="BD192" i="118"/>
  <c r="BC193" i="118"/>
  <c r="BD193" i="118"/>
  <c r="BC194" i="118"/>
  <c r="BD194" i="118"/>
  <c r="BC195" i="118"/>
  <c r="BD195" i="118"/>
  <c r="BC196" i="118"/>
  <c r="BD196" i="118"/>
  <c r="BC198" i="118"/>
  <c r="BD198" i="118"/>
  <c r="BC199" i="118"/>
  <c r="BD199" i="118"/>
  <c r="BC200" i="118"/>
  <c r="BD200" i="118"/>
  <c r="BC201" i="118"/>
  <c r="BD201" i="118"/>
  <c r="BC202" i="118"/>
  <c r="BD202" i="118"/>
  <c r="BC203" i="118"/>
  <c r="BD203" i="118"/>
  <c r="BC205" i="118"/>
  <c r="BD205" i="118"/>
  <c r="BC206" i="118"/>
  <c r="BD206" i="118"/>
  <c r="BC207" i="118"/>
  <c r="BD207" i="118"/>
  <c r="BC208" i="118"/>
  <c r="BD208" i="118"/>
  <c r="BC209" i="118"/>
  <c r="BD209" i="118"/>
  <c r="BC210" i="118"/>
  <c r="BD210" i="118"/>
  <c r="BC211" i="118"/>
  <c r="BD211" i="118"/>
  <c r="BC212" i="118"/>
  <c r="BD212" i="118"/>
  <c r="BC213" i="118"/>
  <c r="BD213" i="118"/>
  <c r="BC215" i="118"/>
  <c r="BD215" i="118"/>
  <c r="BC216" i="118"/>
  <c r="BD216" i="118"/>
  <c r="BC217" i="118"/>
  <c r="BD217" i="118"/>
  <c r="BC218" i="118"/>
  <c r="BD218" i="118"/>
  <c r="BC219" i="118"/>
  <c r="BD219" i="118"/>
  <c r="BC220" i="118"/>
  <c r="BD220" i="118"/>
  <c r="BC221" i="118"/>
  <c r="BD221" i="118"/>
  <c r="BC222" i="118"/>
  <c r="BD222" i="118"/>
  <c r="BC223" i="118"/>
  <c r="BD223" i="118"/>
  <c r="BC224" i="118"/>
  <c r="BD224" i="118"/>
  <c r="BC225" i="118"/>
  <c r="BD225" i="118"/>
  <c r="BC226" i="118"/>
  <c r="BD226" i="118"/>
  <c r="BC227" i="118"/>
  <c r="BD227" i="118"/>
  <c r="BC228" i="118"/>
  <c r="BD228" i="118"/>
  <c r="BC229" i="118"/>
  <c r="BD229" i="118"/>
  <c r="BC290" i="118"/>
  <c r="BD290" i="118"/>
  <c r="BC291" i="118"/>
  <c r="BD291" i="118"/>
  <c r="BC293" i="118"/>
  <c r="BD293" i="118"/>
  <c r="BC294" i="118"/>
  <c r="BD294" i="118"/>
  <c r="BC296" i="118"/>
  <c r="BD296" i="118"/>
  <c r="BC297" i="118"/>
  <c r="BD297" i="118"/>
  <c r="BC298" i="118"/>
  <c r="BD298" i="118"/>
  <c r="BC299" i="118"/>
  <c r="BD299" i="118"/>
  <c r="BC300" i="118"/>
  <c r="BD300" i="118"/>
  <c r="BC301" i="118"/>
  <c r="BD301" i="118"/>
  <c r="BC302" i="118"/>
  <c r="BD302" i="118"/>
  <c r="BC303" i="118"/>
  <c r="BD303" i="118"/>
  <c r="BC304" i="118"/>
  <c r="BD304" i="118"/>
  <c r="BC306" i="118"/>
  <c r="BD306" i="118"/>
  <c r="BC307" i="118"/>
  <c r="BD307" i="118"/>
  <c r="BC308" i="118"/>
  <c r="BD308" i="118"/>
  <c r="BC309" i="118"/>
  <c r="BD309" i="118"/>
  <c r="BC310" i="118"/>
  <c r="BD310" i="118"/>
  <c r="BC311" i="118"/>
  <c r="BD311" i="118"/>
  <c r="BC312" i="118"/>
  <c r="BD312" i="118"/>
  <c r="BC316" i="118"/>
  <c r="BD316" i="118"/>
  <c r="BC317" i="118"/>
  <c r="BD317" i="118"/>
  <c r="BC318" i="118"/>
  <c r="BD318" i="118"/>
  <c r="BC320" i="118"/>
  <c r="BD320" i="118"/>
  <c r="BC321" i="118"/>
  <c r="BD321" i="118"/>
  <c r="BC322" i="118"/>
  <c r="BD322" i="118"/>
  <c r="BC324" i="118"/>
  <c r="BD324" i="118"/>
  <c r="BC325" i="118"/>
  <c r="BD325" i="118"/>
  <c r="BC326" i="118"/>
  <c r="BD326" i="118"/>
  <c r="BC327" i="118"/>
  <c r="BD327" i="118"/>
  <c r="BC328" i="118"/>
  <c r="BD328" i="118"/>
  <c r="BC330" i="118"/>
  <c r="BD330" i="118"/>
  <c r="BC331" i="118"/>
  <c r="BD331" i="118"/>
  <c r="BC332" i="118"/>
  <c r="BD332" i="118"/>
  <c r="BC333" i="118"/>
  <c r="BD333" i="118"/>
  <c r="BC334" i="118"/>
  <c r="BD334" i="118"/>
  <c r="BC335" i="118"/>
  <c r="BD335" i="118"/>
  <c r="BC336" i="118"/>
  <c r="BD336" i="118"/>
  <c r="BC337" i="118"/>
  <c r="BD337" i="118"/>
  <c r="BC338" i="118"/>
  <c r="BD338" i="118"/>
  <c r="BC339" i="118"/>
  <c r="BD339" i="118"/>
  <c r="BC342" i="118"/>
  <c r="BD342" i="118"/>
  <c r="BC343" i="118"/>
  <c r="BD343" i="118"/>
  <c r="BC344" i="118"/>
  <c r="BD344" i="118"/>
  <c r="BC345" i="118"/>
  <c r="BD345" i="118"/>
  <c r="BC346" i="118"/>
  <c r="BD346" i="118"/>
  <c r="BC348" i="118"/>
  <c r="BD348" i="118"/>
  <c r="BC351" i="118"/>
  <c r="BD351" i="118"/>
  <c r="BC352" i="118"/>
  <c r="BD352" i="118"/>
  <c r="BC353" i="118"/>
  <c r="BD353" i="118"/>
  <c r="BC354" i="118"/>
  <c r="BD354" i="118"/>
  <c r="BC355" i="118"/>
  <c r="BD355" i="118"/>
  <c r="BC356" i="118"/>
  <c r="BD356" i="118"/>
  <c r="BC357" i="118"/>
  <c r="BD357" i="118"/>
  <c r="BC358" i="118"/>
  <c r="BD358" i="118"/>
  <c r="BC359" i="118"/>
  <c r="BD359" i="118"/>
  <c r="BC361" i="118"/>
  <c r="BD361" i="118"/>
  <c r="BC369" i="118"/>
  <c r="BD369" i="118"/>
  <c r="BC370" i="118"/>
  <c r="BD370" i="118"/>
  <c r="BC371" i="118"/>
  <c r="BD371" i="118"/>
  <c r="BC375" i="118"/>
  <c r="BD375" i="118"/>
  <c r="BC377" i="118"/>
  <c r="BD377" i="118"/>
  <c r="BC379" i="118"/>
  <c r="BD379" i="118"/>
  <c r="BC381" i="118"/>
  <c r="BD381" i="118"/>
  <c r="BC382" i="118"/>
  <c r="BD382" i="118"/>
  <c r="BC384" i="118"/>
  <c r="BD384" i="118"/>
  <c r="BC385" i="118"/>
  <c r="BD385" i="118"/>
  <c r="BC387" i="118"/>
  <c r="BD387" i="118"/>
  <c r="BC388" i="118"/>
  <c r="BD388" i="118"/>
  <c r="BC389" i="118"/>
  <c r="BD389" i="118"/>
  <c r="BC391" i="118"/>
  <c r="BD391" i="118"/>
  <c r="BC392" i="118"/>
  <c r="BD392" i="118"/>
  <c r="BC393" i="118"/>
  <c r="BD393" i="118"/>
  <c r="BC394" i="118"/>
  <c r="BD394" i="118"/>
  <c r="BC395" i="118"/>
  <c r="BD395" i="118"/>
  <c r="BC396" i="118"/>
  <c r="BD396" i="118"/>
  <c r="BC397" i="118"/>
  <c r="BD397" i="118"/>
  <c r="BC398" i="118"/>
  <c r="BD398" i="118"/>
  <c r="BC399" i="118"/>
  <c r="BD399" i="118"/>
  <c r="BC400" i="118"/>
  <c r="BD400" i="118"/>
  <c r="BC401" i="118"/>
  <c r="BD401" i="118"/>
  <c r="BC402" i="118"/>
  <c r="BD402" i="118"/>
  <c r="BC406" i="118"/>
  <c r="BD406" i="118"/>
  <c r="BC407" i="118"/>
  <c r="BD407" i="118"/>
  <c r="BC408" i="118"/>
  <c r="BD408" i="118"/>
  <c r="BC409" i="118"/>
  <c r="BD409" i="118"/>
  <c r="BC410" i="118"/>
  <c r="BD410" i="118"/>
  <c r="BC412" i="118"/>
  <c r="BD412" i="118"/>
  <c r="BC413" i="118"/>
  <c r="BD413" i="118"/>
  <c r="BC417" i="118"/>
  <c r="BD417" i="118"/>
  <c r="BC418" i="118"/>
  <c r="BD418" i="118"/>
  <c r="BC419" i="118"/>
  <c r="BD419" i="118"/>
  <c r="BC420" i="118"/>
  <c r="BD420" i="118"/>
  <c r="BC421" i="118"/>
  <c r="BD421" i="118"/>
  <c r="BC422" i="118"/>
  <c r="BD422" i="118"/>
  <c r="BC423" i="118"/>
  <c r="BD423" i="118"/>
  <c r="BC424" i="118"/>
  <c r="BD424" i="118"/>
  <c r="BC425" i="118"/>
  <c r="BD425" i="118"/>
  <c r="BC426" i="118"/>
  <c r="BD426" i="118"/>
  <c r="BC427" i="118"/>
  <c r="BD427" i="118"/>
  <c r="BC429" i="118"/>
  <c r="BD429" i="118"/>
  <c r="BC431" i="118"/>
  <c r="BD431" i="118"/>
  <c r="BC432" i="118"/>
  <c r="BD432" i="118"/>
  <c r="BC433" i="118"/>
  <c r="BD433" i="118"/>
  <c r="BC434" i="118"/>
  <c r="BD434" i="118"/>
  <c r="BC435" i="118"/>
  <c r="BD435" i="118"/>
  <c r="BC437" i="118"/>
  <c r="BD437" i="118"/>
  <c r="BC438" i="118"/>
  <c r="BD438" i="118"/>
  <c r="BC439" i="118"/>
  <c r="BD439" i="118"/>
  <c r="BC440" i="118"/>
  <c r="BD440" i="118"/>
  <c r="BC442" i="118"/>
  <c r="BD442" i="118"/>
  <c r="BC443" i="118"/>
  <c r="BD443" i="118"/>
  <c r="BC445" i="118"/>
  <c r="BD445" i="118"/>
  <c r="BC447" i="118"/>
  <c r="BD447" i="118"/>
  <c r="BC448" i="118"/>
  <c r="BD448" i="118"/>
  <c r="BC449" i="118"/>
  <c r="BD449" i="118"/>
  <c r="BC450" i="118"/>
  <c r="BD450" i="118"/>
  <c r="BC452" i="118"/>
  <c r="BD452" i="118"/>
  <c r="BC453" i="118"/>
  <c r="BD453" i="118"/>
  <c r="BC454" i="118"/>
  <c r="BD454" i="118"/>
  <c r="BC455" i="118"/>
  <c r="BD455" i="118"/>
  <c r="BC456" i="118"/>
  <c r="BD456" i="118"/>
  <c r="BC457" i="118"/>
  <c r="BD457" i="118"/>
  <c r="BC458" i="118"/>
  <c r="BD458" i="118"/>
  <c r="BC459" i="118"/>
  <c r="BD459" i="118"/>
  <c r="BC460" i="118"/>
  <c r="BD460" i="118"/>
  <c r="BC464" i="118"/>
  <c r="BD464" i="118"/>
  <c r="BC465" i="118"/>
  <c r="BD465" i="118"/>
  <c r="BC466" i="118"/>
  <c r="BD466" i="118"/>
  <c r="BC467" i="118"/>
  <c r="BD467" i="118"/>
  <c r="BC468" i="118"/>
  <c r="BD468" i="118"/>
  <c r="BC469" i="118"/>
  <c r="BD469" i="118"/>
  <c r="BC470" i="118"/>
  <c r="BD470" i="118"/>
  <c r="BC471" i="118"/>
  <c r="BD471" i="118"/>
  <c r="BC472" i="118"/>
  <c r="BD472" i="118"/>
  <c r="BC473" i="118"/>
  <c r="BD473" i="118"/>
  <c r="BC474" i="118"/>
  <c r="BD474" i="118"/>
  <c r="BC475" i="118"/>
  <c r="BD475" i="118"/>
  <c r="BC476" i="118"/>
  <c r="BD476" i="118"/>
  <c r="BC478" i="118"/>
  <c r="BD478" i="118"/>
  <c r="BC479" i="118"/>
  <c r="BD479" i="118"/>
  <c r="BC480" i="118"/>
  <c r="BD480" i="118"/>
  <c r="BC481" i="118"/>
  <c r="BD481" i="118"/>
  <c r="BC482" i="118"/>
  <c r="BD482" i="118"/>
  <c r="BC483" i="118"/>
  <c r="BD483" i="118"/>
  <c r="BC484" i="118"/>
  <c r="BD484" i="118"/>
  <c r="BC488" i="118"/>
  <c r="BD488" i="118"/>
  <c r="BC490" i="118"/>
  <c r="BD490" i="118"/>
  <c r="BC491" i="118"/>
  <c r="BD491" i="118"/>
  <c r="BC492" i="118"/>
  <c r="BD492" i="118"/>
  <c r="BC493" i="118"/>
  <c r="BD493" i="118"/>
  <c r="BC494" i="118"/>
  <c r="BD494" i="118"/>
  <c r="BC495" i="118"/>
  <c r="BD495" i="118"/>
  <c r="BC496" i="118"/>
  <c r="BD496" i="118"/>
  <c r="BC497" i="118"/>
  <c r="BD497" i="118"/>
  <c r="BC498" i="118"/>
  <c r="BD498" i="118"/>
  <c r="BC499" i="118"/>
  <c r="BD499" i="118"/>
  <c r="BC500" i="118"/>
  <c r="BD500" i="118"/>
  <c r="BC501" i="118"/>
  <c r="BD501" i="118"/>
  <c r="BC505" i="118"/>
  <c r="BD505" i="118"/>
  <c r="BC507" i="118"/>
  <c r="BD507" i="118"/>
  <c r="BC508" i="118"/>
  <c r="BD508" i="118"/>
  <c r="BC510" i="118"/>
  <c r="BD510" i="118"/>
  <c r="BC513" i="118"/>
  <c r="BD513" i="118"/>
  <c r="BC515" i="118"/>
  <c r="BD515" i="118"/>
  <c r="BC517" i="118"/>
  <c r="BD517" i="118"/>
  <c r="BC520" i="118"/>
  <c r="BD520" i="118"/>
  <c r="BC521" i="118"/>
  <c r="BD521" i="118"/>
  <c r="BC523" i="118"/>
  <c r="BD523" i="118"/>
  <c r="BC524" i="118"/>
  <c r="BD524" i="118"/>
  <c r="BC525" i="118"/>
  <c r="BD525" i="118"/>
  <c r="BC527" i="118"/>
  <c r="BD527" i="118"/>
  <c r="BC529" i="118"/>
  <c r="BD529" i="118"/>
  <c r="BC531" i="118"/>
  <c r="BD531" i="118"/>
  <c r="BC532" i="118"/>
  <c r="BD532" i="118"/>
  <c r="BC533" i="118"/>
  <c r="BD533" i="118"/>
  <c r="BC534" i="118"/>
  <c r="BD534" i="118"/>
  <c r="BC535" i="118"/>
  <c r="BD535" i="118"/>
  <c r="BC536" i="118"/>
  <c r="BD536" i="118"/>
  <c r="BC537" i="118"/>
  <c r="BD537" i="118"/>
  <c r="BC539" i="118"/>
  <c r="BD539" i="118"/>
  <c r="BC540" i="118"/>
  <c r="BD540" i="118"/>
  <c r="BC541" i="118"/>
  <c r="BD541" i="118"/>
  <c r="BC543" i="118"/>
  <c r="BD543" i="118"/>
  <c r="BC544" i="118"/>
  <c r="BD544" i="118"/>
  <c r="BC545" i="118"/>
  <c r="BD545" i="118"/>
  <c r="BC546" i="118"/>
  <c r="BD546" i="118"/>
  <c r="BC547" i="118"/>
  <c r="BD547" i="118"/>
  <c r="BC549" i="118"/>
  <c r="BD549" i="118"/>
  <c r="BC550" i="118"/>
  <c r="BD550" i="118"/>
  <c r="BC551" i="118"/>
  <c r="BD551" i="118"/>
  <c r="BC552" i="118"/>
  <c r="BD552" i="118"/>
  <c r="BC553" i="118"/>
  <c r="BD553" i="118"/>
  <c r="BC555" i="118"/>
  <c r="BD555" i="118"/>
  <c r="BC556" i="118"/>
  <c r="BD556" i="118"/>
  <c r="BC559" i="118"/>
  <c r="BD559" i="118"/>
  <c r="BC560" i="118"/>
  <c r="BD560" i="118"/>
  <c r="BC563" i="118"/>
  <c r="BD563" i="118"/>
  <c r="BC565" i="118"/>
  <c r="BD565" i="118"/>
  <c r="BC566" i="118"/>
  <c r="BD566" i="118"/>
  <c r="BC568" i="118"/>
  <c r="BD568" i="118"/>
  <c r="BC569" i="118"/>
  <c r="BD569" i="118"/>
  <c r="BC570" i="118"/>
  <c r="BD570" i="118"/>
  <c r="BC571" i="118"/>
  <c r="BD571" i="118"/>
  <c r="BC572" i="118"/>
  <c r="BD572" i="118"/>
  <c r="BC573" i="118"/>
  <c r="BD573" i="118"/>
  <c r="BC576" i="118"/>
  <c r="BD576" i="118"/>
  <c r="BC577" i="118"/>
  <c r="BD577" i="118"/>
  <c r="BC578" i="118"/>
  <c r="BD578" i="118"/>
  <c r="BC579" i="118"/>
  <c r="BD579" i="118"/>
  <c r="BC580" i="118"/>
  <c r="BD580" i="118"/>
  <c r="BC581" i="118"/>
  <c r="BD581" i="118"/>
  <c r="BC582" i="118"/>
  <c r="BD582" i="118"/>
  <c r="BC584" i="118"/>
  <c r="BD584" i="118"/>
  <c r="BC585" i="118"/>
  <c r="BD585" i="118"/>
  <c r="BC586" i="118"/>
  <c r="BD586" i="118"/>
  <c r="BC588" i="118"/>
  <c r="BD588" i="118"/>
  <c r="BC589" i="118"/>
  <c r="BD589" i="118"/>
  <c r="BC591" i="118"/>
  <c r="BD591" i="118"/>
  <c r="BC592" i="118"/>
  <c r="BD592" i="118"/>
  <c r="BC593" i="118"/>
  <c r="BD593" i="118"/>
  <c r="BC594" i="118"/>
  <c r="BD594" i="118"/>
  <c r="BC595" i="118"/>
  <c r="BD595" i="118"/>
  <c r="BC596" i="118"/>
  <c r="BD596" i="118"/>
  <c r="BC598" i="118"/>
  <c r="BD598" i="118"/>
  <c r="BC599" i="118"/>
  <c r="BD599" i="118"/>
  <c r="BC601" i="118"/>
  <c r="BD601" i="118"/>
  <c r="BC602" i="118"/>
  <c r="BD602" i="118"/>
  <c r="BC603" i="118"/>
  <c r="BD603" i="118"/>
  <c r="BC604" i="118"/>
  <c r="BD604" i="118"/>
  <c r="BC606" i="118"/>
  <c r="BD606" i="118"/>
  <c r="BC607" i="118"/>
  <c r="BD607" i="118"/>
  <c r="BC608" i="118"/>
  <c r="BD608" i="118"/>
  <c r="BC609" i="118"/>
  <c r="BD609" i="118"/>
  <c r="BC611" i="118"/>
  <c r="BD611" i="118"/>
  <c r="BC612" i="118"/>
  <c r="BD612" i="118"/>
  <c r="BC614" i="118"/>
  <c r="BD614" i="118"/>
  <c r="BC616" i="118"/>
  <c r="BD616" i="118"/>
  <c r="BC618" i="118"/>
  <c r="BD618" i="118"/>
  <c r="BC620" i="118"/>
  <c r="BD620" i="118"/>
  <c r="BC621" i="118"/>
  <c r="BD621" i="118"/>
  <c r="BC622" i="118"/>
  <c r="BD622" i="118"/>
  <c r="BC623" i="118"/>
  <c r="BD623" i="118"/>
  <c r="BC624" i="118"/>
  <c r="BD624" i="118"/>
  <c r="BC625" i="118"/>
  <c r="BD625" i="118"/>
  <c r="BC626" i="118"/>
  <c r="BD626" i="118"/>
  <c r="BC628" i="118"/>
  <c r="BD628" i="118"/>
  <c r="BC629" i="118"/>
  <c r="BD629" i="118"/>
  <c r="BC630" i="118"/>
  <c r="BD630" i="118"/>
  <c r="BD631" i="118"/>
  <c r="BC632" i="118"/>
  <c r="BD632" i="118"/>
  <c r="BC635" i="118"/>
  <c r="BD635" i="118"/>
  <c r="BC636" i="118"/>
  <c r="BD636" i="118"/>
  <c r="BC637" i="118"/>
  <c r="BD637" i="118"/>
  <c r="BC638" i="118"/>
  <c r="BD638" i="118"/>
  <c r="BC639" i="118"/>
  <c r="BD639" i="118"/>
  <c r="BC640" i="118"/>
  <c r="BD640" i="118"/>
  <c r="BC644" i="118"/>
  <c r="BD644" i="118"/>
  <c r="BC645" i="118"/>
  <c r="BD645" i="118"/>
  <c r="BC649" i="118"/>
  <c r="BD649" i="118"/>
  <c r="BC651" i="118"/>
  <c r="BD651" i="118"/>
  <c r="BC652" i="118"/>
  <c r="BD652" i="118"/>
  <c r="BC653" i="118"/>
  <c r="BD653" i="118"/>
  <c r="BC654" i="118"/>
  <c r="BD654" i="118"/>
  <c r="BC656" i="118"/>
  <c r="BD656" i="118"/>
  <c r="BC657" i="118"/>
  <c r="BD657" i="118"/>
  <c r="BC659" i="118"/>
  <c r="BD659" i="118"/>
  <c r="BC662" i="118"/>
  <c r="BD662" i="118"/>
  <c r="BC663" i="118"/>
  <c r="BD663" i="118"/>
  <c r="BC666" i="118"/>
  <c r="BD666" i="118"/>
  <c r="BC667" i="118"/>
  <c r="BD667" i="118"/>
  <c r="BC668" i="118"/>
  <c r="BD668" i="118"/>
  <c r="BC671" i="118"/>
  <c r="BD671" i="118"/>
  <c r="BC673" i="118"/>
  <c r="BD673" i="118"/>
  <c r="BC674" i="118"/>
  <c r="BD674" i="118"/>
  <c r="BC675" i="118"/>
  <c r="BD675" i="118"/>
  <c r="BC676" i="118"/>
  <c r="BD676" i="118"/>
  <c r="BC677" i="118"/>
  <c r="BD677" i="118"/>
  <c r="BC679" i="118"/>
  <c r="BD679" i="118"/>
  <c r="BC680" i="118"/>
  <c r="BD680" i="118"/>
  <c r="BC681" i="118"/>
  <c r="BD681" i="118"/>
  <c r="BC682" i="118"/>
  <c r="BD682" i="118"/>
  <c r="BC683" i="118"/>
  <c r="BD683" i="118"/>
  <c r="BC685" i="118"/>
  <c r="BD685" i="118"/>
  <c r="BC686" i="118"/>
  <c r="BD686" i="118"/>
  <c r="BC687" i="118"/>
  <c r="BD687" i="118"/>
  <c r="BC689" i="118"/>
  <c r="BD689" i="118"/>
  <c r="BC690" i="118"/>
  <c r="BD690" i="118"/>
  <c r="BC691" i="118"/>
  <c r="BD691" i="118"/>
  <c r="BC692" i="118"/>
  <c r="BD692" i="118"/>
  <c r="BC694" i="118"/>
  <c r="BD694" i="118"/>
  <c r="BC697" i="118"/>
  <c r="BD697" i="118"/>
  <c r="BC698" i="118"/>
  <c r="BD698" i="118"/>
  <c r="BC699" i="118"/>
  <c r="BD699" i="118"/>
  <c r="BC701" i="118"/>
  <c r="BD701" i="118"/>
  <c r="BC704" i="118"/>
  <c r="BD704" i="118"/>
  <c r="BC705" i="118"/>
  <c r="BD705" i="118"/>
  <c r="BC707" i="118"/>
  <c r="BD707" i="118"/>
  <c r="BC708" i="118"/>
  <c r="BD708" i="118"/>
  <c r="BC709" i="118"/>
  <c r="BD709" i="118"/>
  <c r="BC710" i="118"/>
  <c r="BD710" i="118"/>
  <c r="BC711" i="118"/>
  <c r="BD711" i="118"/>
  <c r="BC712" i="118"/>
  <c r="BD712" i="118"/>
  <c r="BC713" i="118"/>
  <c r="BD713" i="118"/>
  <c r="BC714" i="118"/>
  <c r="BD714" i="118"/>
  <c r="BC715" i="118"/>
  <c r="BD715" i="118"/>
  <c r="BC719" i="118"/>
  <c r="BD719" i="118"/>
  <c r="BC720" i="118"/>
  <c r="BD720" i="118"/>
  <c r="BC722" i="118"/>
  <c r="BD722" i="118"/>
  <c r="BC724" i="118"/>
  <c r="BD724" i="118"/>
  <c r="BC725" i="118"/>
  <c r="BD725" i="118"/>
  <c r="BC726" i="118"/>
  <c r="BD726" i="118"/>
  <c r="BC727" i="118"/>
  <c r="BD727" i="118"/>
  <c r="BC729" i="118"/>
  <c r="BD729" i="118"/>
  <c r="BC730" i="118"/>
  <c r="BD730" i="118"/>
  <c r="BC735" i="118"/>
  <c r="BD735" i="118"/>
  <c r="BC736" i="118"/>
  <c r="BD736" i="118"/>
  <c r="BC737" i="118"/>
  <c r="BD737" i="118"/>
  <c r="BC739" i="118"/>
  <c r="BD739" i="118"/>
  <c r="BC740" i="118"/>
  <c r="BD740" i="118"/>
  <c r="BC741" i="118"/>
  <c r="BD741" i="118"/>
  <c r="BC742" i="118"/>
  <c r="BD742" i="118"/>
  <c r="BC743" i="118"/>
  <c r="BD743" i="118"/>
  <c r="BC744" i="118"/>
  <c r="BD744" i="118"/>
  <c r="BC745" i="118"/>
  <c r="BD745" i="118"/>
  <c r="BC746" i="118"/>
  <c r="BD746" i="118"/>
  <c r="BC748" i="118"/>
  <c r="BD748" i="118"/>
  <c r="BC749" i="118"/>
  <c r="BD749" i="118"/>
  <c r="BC750" i="118"/>
  <c r="BD750" i="118"/>
  <c r="BC751" i="118"/>
  <c r="BD751" i="118"/>
  <c r="BC752" i="118"/>
  <c r="BD752" i="118"/>
  <c r="BC754" i="118"/>
  <c r="BD754" i="118"/>
  <c r="BC755" i="118"/>
  <c r="BD755" i="118"/>
  <c r="BC759" i="118"/>
  <c r="BD759" i="118"/>
  <c r="BC761" i="118"/>
  <c r="BD761" i="118"/>
  <c r="BC762" i="118"/>
  <c r="BD762" i="118"/>
  <c r="BC763" i="118"/>
  <c r="BD763" i="118"/>
  <c r="BC764" i="118"/>
  <c r="BD764" i="118"/>
  <c r="BC766" i="118"/>
  <c r="BD766" i="118"/>
  <c r="BC767" i="118"/>
  <c r="BD767" i="118"/>
  <c r="BC768" i="118"/>
  <c r="BD768" i="118"/>
  <c r="BC769" i="118"/>
  <c r="BD769" i="118"/>
  <c r="BC770" i="118"/>
  <c r="BD770" i="118"/>
  <c r="BC772" i="118"/>
  <c r="BD772" i="118"/>
  <c r="BC773" i="118"/>
  <c r="BD773" i="118"/>
  <c r="BC774" i="118"/>
  <c r="BD774" i="118"/>
  <c r="BC775" i="118"/>
  <c r="BD775" i="118"/>
  <c r="BC776" i="118"/>
  <c r="BD776" i="118"/>
  <c r="BC777" i="118"/>
  <c r="BD777" i="118"/>
  <c r="BC778" i="118"/>
  <c r="BD778" i="118"/>
  <c r="BC779" i="118"/>
  <c r="BD779" i="118"/>
  <c r="BC780" i="118"/>
  <c r="BD780" i="118"/>
  <c r="BC781" i="118"/>
  <c r="BD781" i="118"/>
  <c r="BC782" i="118"/>
  <c r="BD782" i="118"/>
  <c r="BC784" i="118"/>
  <c r="BD784" i="118"/>
  <c r="BC785" i="118"/>
  <c r="BD785" i="118"/>
  <c r="BC786" i="118"/>
  <c r="BD786" i="118"/>
  <c r="BC788" i="118"/>
  <c r="BD788" i="118"/>
  <c r="BC789" i="118"/>
  <c r="BD789" i="118"/>
  <c r="BC793" i="118"/>
  <c r="BD793" i="118"/>
  <c r="BC794" i="118"/>
  <c r="BD794" i="118"/>
  <c r="BC795" i="118"/>
  <c r="BD795" i="118"/>
  <c r="BC796" i="118"/>
  <c r="BD796" i="118"/>
  <c r="BC797" i="118"/>
  <c r="BD797" i="118"/>
  <c r="BC798" i="118"/>
  <c r="BD798" i="118"/>
  <c r="BC799" i="118"/>
  <c r="BD799" i="118"/>
  <c r="BC800" i="118"/>
  <c r="BD800" i="118"/>
  <c r="BC801" i="118"/>
  <c r="BD801" i="118"/>
  <c r="BC802" i="118"/>
  <c r="BD802" i="118"/>
  <c r="BC803" i="118"/>
  <c r="BD803" i="118"/>
  <c r="BC804" i="118"/>
  <c r="BD804" i="118"/>
  <c r="BC805" i="118"/>
  <c r="BD805" i="118"/>
  <c r="BC806" i="118"/>
  <c r="BD806" i="118"/>
  <c r="BC807" i="118"/>
  <c r="BD807" i="118"/>
  <c r="BC808" i="118"/>
  <c r="BD808" i="118"/>
  <c r="BC809" i="118"/>
  <c r="BD809" i="118"/>
  <c r="BC811" i="118"/>
  <c r="BD811" i="118"/>
  <c r="BC812" i="118"/>
  <c r="BD812" i="118"/>
  <c r="BC813" i="118"/>
  <c r="BD813" i="118"/>
  <c r="BC814" i="118"/>
  <c r="BD814" i="118"/>
  <c r="BC816" i="118"/>
  <c r="BD816" i="118"/>
  <c r="BC817" i="118"/>
  <c r="BD817" i="118"/>
  <c r="BC818" i="118"/>
  <c r="BD818" i="118"/>
  <c r="BC819" i="118"/>
  <c r="BD819" i="118"/>
  <c r="BC820" i="118"/>
  <c r="BD820" i="118"/>
  <c r="BC821" i="118"/>
  <c r="BD821" i="118"/>
  <c r="BC822" i="118"/>
  <c r="BD822" i="118"/>
  <c r="BC824" i="118"/>
  <c r="BD824" i="118"/>
  <c r="BC825" i="118"/>
  <c r="BD825" i="118"/>
  <c r="BC826" i="118"/>
  <c r="BD826" i="118"/>
  <c r="BC827" i="118"/>
  <c r="BD827" i="118"/>
  <c r="BC828" i="118"/>
  <c r="BD828" i="118"/>
  <c r="BC829" i="118"/>
  <c r="BD829" i="118"/>
  <c r="BC830" i="118"/>
  <c r="BD830" i="118"/>
  <c r="BC831" i="118"/>
  <c r="BD831" i="118"/>
  <c r="BC832" i="118"/>
  <c r="BD832" i="118"/>
  <c r="BC833" i="118"/>
  <c r="BD833" i="118"/>
  <c r="BC834" i="118"/>
  <c r="BD834" i="118"/>
  <c r="BC836" i="118"/>
  <c r="BD836" i="118"/>
  <c r="BC837" i="118"/>
  <c r="BD837" i="118"/>
  <c r="BC839" i="118"/>
  <c r="BD839" i="118"/>
  <c r="BC841" i="118"/>
  <c r="BD841" i="118"/>
  <c r="BC843" i="118"/>
  <c r="BD843" i="118"/>
  <c r="BC844" i="118"/>
  <c r="BD844" i="118"/>
  <c r="BC845" i="118"/>
  <c r="BD845" i="118"/>
  <c r="BC846" i="118"/>
  <c r="BD846" i="118"/>
  <c r="BC847" i="118"/>
  <c r="BD847" i="118"/>
  <c r="BC848" i="118"/>
  <c r="BD848" i="118"/>
  <c r="BC849" i="118"/>
  <c r="BD849" i="118"/>
  <c r="BC850" i="118"/>
  <c r="BD850" i="118"/>
  <c r="BC851" i="118"/>
  <c r="BD851" i="118"/>
  <c r="BC852" i="118"/>
  <c r="BD852" i="118"/>
  <c r="BC854" i="118"/>
  <c r="BD854" i="118"/>
  <c r="BC855" i="118"/>
  <c r="BD855" i="118"/>
  <c r="BC856" i="118"/>
  <c r="BD856" i="118"/>
  <c r="BC858" i="118"/>
  <c r="BD858" i="118"/>
  <c r="BC859" i="118"/>
  <c r="BD859" i="118"/>
  <c r="BC860" i="118"/>
  <c r="BD860" i="118"/>
  <c r="BC861" i="118"/>
  <c r="BD861" i="118"/>
  <c r="BC862" i="118"/>
  <c r="BD862" i="118"/>
  <c r="BC863" i="118"/>
  <c r="BD863" i="118"/>
  <c r="BC864" i="118"/>
  <c r="BD864" i="118"/>
  <c r="BC865" i="118"/>
  <c r="BD865" i="118"/>
  <c r="BC866" i="118"/>
  <c r="BD866" i="118"/>
  <c r="BC867" i="118"/>
  <c r="BD867" i="118"/>
  <c r="BC868" i="118"/>
  <c r="BD868" i="118"/>
  <c r="BC869" i="118"/>
  <c r="BD869" i="118"/>
  <c r="BC870" i="118"/>
  <c r="BD870" i="118"/>
  <c r="BC871" i="118"/>
  <c r="BD871" i="118"/>
  <c r="BC872" i="118"/>
  <c r="BD872" i="118"/>
  <c r="BC873" i="118"/>
  <c r="BD873" i="118"/>
  <c r="BC875" i="118"/>
  <c r="BD875" i="118"/>
  <c r="BC876" i="118"/>
  <c r="BD876" i="118"/>
  <c r="BC878" i="118"/>
  <c r="BD878" i="118"/>
  <c r="BC879" i="118"/>
  <c r="BD879" i="118"/>
  <c r="BC880" i="118"/>
  <c r="BD880" i="118"/>
  <c r="BC881" i="118"/>
  <c r="BD881" i="118"/>
  <c r="BC882" i="118"/>
  <c r="BD882" i="118"/>
  <c r="BC883" i="118"/>
  <c r="BD883" i="118"/>
  <c r="BC884" i="118"/>
  <c r="BD884" i="118"/>
  <c r="BC886" i="118"/>
  <c r="BD886" i="118"/>
  <c r="BC887" i="118"/>
  <c r="BD887" i="118"/>
  <c r="BC888" i="118"/>
  <c r="BD888" i="118"/>
  <c r="BC889" i="118"/>
  <c r="BD889" i="118"/>
  <c r="BC890" i="118"/>
  <c r="BD890" i="118"/>
  <c r="BC891" i="118"/>
  <c r="BD891" i="118"/>
  <c r="BC893" i="118"/>
  <c r="BD893" i="118"/>
  <c r="BC894" i="118"/>
  <c r="BD894" i="118"/>
  <c r="BC895" i="118"/>
  <c r="BD895" i="118"/>
  <c r="BC896" i="118"/>
  <c r="BD896" i="118"/>
  <c r="BC897" i="118"/>
  <c r="BD897" i="118"/>
  <c r="BC899" i="118"/>
  <c r="BD899" i="118"/>
  <c r="BC900" i="118"/>
  <c r="BD900" i="118"/>
  <c r="BC901" i="118"/>
  <c r="BD901" i="118"/>
  <c r="BC902" i="118"/>
  <c r="BD902" i="118"/>
  <c r="BC904" i="118"/>
  <c r="BD904" i="118"/>
  <c r="BC905" i="118"/>
  <c r="BD905" i="118"/>
  <c r="BC906" i="118"/>
  <c r="BD906" i="118"/>
  <c r="BC907" i="118"/>
  <c r="BD907" i="118"/>
  <c r="BC908" i="118"/>
  <c r="BD908" i="118"/>
  <c r="BC910" i="118"/>
  <c r="BD910" i="118"/>
  <c r="BC911" i="118"/>
  <c r="BD911" i="118"/>
  <c r="BC913" i="118"/>
  <c r="BD913" i="118"/>
  <c r="BC916" i="118"/>
  <c r="BD916" i="118"/>
  <c r="BC917" i="118"/>
  <c r="BD917" i="118"/>
  <c r="BC918" i="118"/>
  <c r="BD918" i="118"/>
  <c r="BC920" i="118"/>
  <c r="BD920" i="118"/>
  <c r="BC921" i="118"/>
  <c r="BD921" i="118"/>
  <c r="BC922" i="118"/>
  <c r="BD922" i="118"/>
  <c r="BC923" i="118"/>
  <c r="BD923" i="118"/>
  <c r="BC926" i="118"/>
  <c r="BD926" i="118"/>
  <c r="BC927" i="118"/>
  <c r="BD927" i="118"/>
  <c r="BC928" i="118"/>
  <c r="BD928" i="118"/>
  <c r="BC929" i="118"/>
  <c r="BD929" i="118"/>
  <c r="BC930" i="118"/>
  <c r="BD930" i="118"/>
  <c r="BC931" i="118"/>
  <c r="BD931" i="118"/>
  <c r="BC932" i="118"/>
  <c r="BD932" i="118"/>
  <c r="BC935" i="118"/>
  <c r="BD935" i="118"/>
  <c r="BC936" i="118"/>
  <c r="BD936" i="118"/>
  <c r="BC937" i="118"/>
  <c r="BD937" i="118"/>
  <c r="BC938" i="118"/>
  <c r="BD938" i="118"/>
  <c r="BC939" i="118"/>
  <c r="BD939" i="118"/>
  <c r="BC940" i="118"/>
  <c r="BD940" i="118"/>
  <c r="BC941" i="118"/>
  <c r="BD941" i="118"/>
  <c r="BC942" i="118"/>
  <c r="BD942" i="118"/>
  <c r="BC943" i="118"/>
  <c r="BD943" i="118"/>
  <c r="BC944" i="118"/>
  <c r="BD944" i="118"/>
  <c r="BC945" i="118"/>
  <c r="BD945" i="118"/>
  <c r="BC946" i="118"/>
  <c r="BD946" i="118"/>
  <c r="BC948" i="118"/>
  <c r="BD948" i="118"/>
  <c r="BC950" i="118"/>
  <c r="BD950" i="118"/>
  <c r="BC951" i="118"/>
  <c r="BD951" i="118"/>
  <c r="BC952" i="118"/>
  <c r="BD952" i="118"/>
  <c r="BC953" i="118"/>
  <c r="BD953" i="118"/>
  <c r="BC955" i="118"/>
  <c r="BD955" i="118"/>
  <c r="BC956" i="118"/>
  <c r="BD956" i="118"/>
  <c r="BC957" i="118"/>
  <c r="BD957" i="118"/>
  <c r="BC958" i="118"/>
  <c r="BD958" i="118"/>
  <c r="BC960" i="118"/>
  <c r="BD960" i="118"/>
  <c r="BC959" i="118"/>
  <c r="BD959" i="118"/>
  <c r="BC962" i="118"/>
  <c r="BD962" i="118"/>
  <c r="BC965" i="118"/>
  <c r="BD965" i="118"/>
  <c r="BC966" i="118"/>
  <c r="BD966" i="118"/>
  <c r="BC967" i="118"/>
  <c r="BD967" i="118"/>
  <c r="BC968" i="118"/>
  <c r="BD968" i="118"/>
  <c r="BC969" i="118"/>
  <c r="BD969" i="118"/>
  <c r="BC970" i="118"/>
  <c r="BD970" i="118"/>
  <c r="BC971" i="118"/>
  <c r="BD971" i="118"/>
  <c r="BC972" i="118"/>
  <c r="BD972" i="118"/>
  <c r="BC973" i="118"/>
  <c r="BD973" i="118"/>
  <c r="BC974" i="118"/>
  <c r="BD974" i="118"/>
  <c r="BC975" i="118"/>
  <c r="BD975" i="118"/>
  <c r="BC977" i="118"/>
  <c r="BD977" i="118"/>
  <c r="BC979" i="118"/>
  <c r="BD979" i="118"/>
  <c r="BC980" i="118"/>
  <c r="BD980" i="118"/>
  <c r="BC981" i="118"/>
  <c r="BD981" i="118"/>
  <c r="BC984" i="118"/>
  <c r="BD984" i="118"/>
  <c r="BC985" i="118"/>
  <c r="BD985" i="118"/>
  <c r="BC986" i="118"/>
  <c r="BD986" i="118"/>
  <c r="BC988" i="118"/>
  <c r="BD988" i="118"/>
  <c r="BC989" i="118"/>
  <c r="BD989" i="118"/>
  <c r="BC990" i="118"/>
  <c r="BD990" i="118"/>
  <c r="BC992" i="118"/>
  <c r="BD992" i="118"/>
  <c r="BC993" i="118"/>
  <c r="BD993" i="118"/>
  <c r="BC994" i="118"/>
  <c r="BD994" i="118"/>
  <c r="BC996" i="118"/>
  <c r="BD996" i="118"/>
  <c r="BC998" i="118"/>
  <c r="BD998" i="118"/>
  <c r="BC999" i="118"/>
  <c r="BD999" i="118"/>
  <c r="BC1000" i="118"/>
  <c r="BD1000" i="118"/>
  <c r="BC1001" i="118"/>
  <c r="BD1001" i="118"/>
  <c r="BC1002" i="118"/>
  <c r="BD1002" i="118"/>
  <c r="BC1003" i="118"/>
  <c r="BD1003" i="118"/>
  <c r="BC1004" i="118"/>
  <c r="BD1004" i="118"/>
  <c r="BC1005" i="118"/>
  <c r="BD1005" i="118"/>
  <c r="BC1006" i="118"/>
  <c r="BD1006" i="118"/>
  <c r="BC1007" i="118"/>
  <c r="BD1007" i="118"/>
  <c r="BC1008" i="118"/>
  <c r="BD1008" i="118"/>
  <c r="BC1010" i="118"/>
  <c r="BD1010" i="118"/>
  <c r="BC1012" i="118"/>
  <c r="BD1012" i="118"/>
  <c r="BC1013" i="118"/>
  <c r="BD1013" i="118"/>
  <c r="BC1014" i="118"/>
  <c r="BD1014" i="118"/>
  <c r="BC1015" i="118"/>
  <c r="BD1015" i="118"/>
  <c r="BC1016" i="118"/>
  <c r="BD1016" i="118"/>
  <c r="BC1017" i="118"/>
  <c r="BD1017" i="118"/>
  <c r="BC1018" i="118"/>
  <c r="BD1018" i="118"/>
  <c r="BC1019" i="118"/>
  <c r="BD1019" i="118"/>
  <c r="BC1020" i="118"/>
  <c r="BD1020" i="118"/>
  <c r="BC1021" i="118"/>
  <c r="BD1021" i="118"/>
  <c r="BC1022" i="118"/>
  <c r="BD1022" i="118"/>
  <c r="BC1024" i="118"/>
  <c r="BC1025" i="118"/>
  <c r="BD1025" i="118"/>
  <c r="BC1026" i="118"/>
  <c r="BC1027" i="118"/>
  <c r="BC1028" i="118"/>
  <c r="BD1028" i="118"/>
  <c r="BC1029" i="118"/>
  <c r="BD1029" i="118"/>
  <c r="BC1030" i="118"/>
  <c r="BC1031" i="118"/>
  <c r="BD1031" i="118"/>
  <c r="BC1032" i="118"/>
  <c r="BC1033" i="118"/>
  <c r="BC1034" i="118"/>
  <c r="BC1035" i="118"/>
  <c r="BC1036" i="118"/>
  <c r="BD1036" i="118"/>
  <c r="BC1037" i="118"/>
  <c r="BC1038" i="118"/>
  <c r="BD1038" i="118"/>
  <c r="BC1039" i="118"/>
  <c r="BD1039" i="118"/>
  <c r="BC1040" i="118"/>
  <c r="BD1040" i="118"/>
  <c r="BC1041" i="118"/>
  <c r="BD1041" i="118"/>
  <c r="BC1042" i="118"/>
  <c r="BD1042" i="118"/>
  <c r="BC1043" i="118"/>
  <c r="BC1044" i="118"/>
  <c r="BD1044" i="118"/>
  <c r="BC1045" i="118"/>
  <c r="BC1046" i="118"/>
  <c r="BD1046" i="118"/>
  <c r="BC1047" i="118"/>
  <c r="BD1047" i="118"/>
  <c r="BC1048" i="118"/>
  <c r="BD1048" i="118"/>
  <c r="BC1049" i="118"/>
  <c r="BD1049" i="118"/>
  <c r="BC1050" i="118"/>
  <c r="BD1050" i="118"/>
  <c r="BC1051" i="118"/>
  <c r="BD1051" i="118"/>
  <c r="BC1052" i="118"/>
  <c r="BC1053" i="118"/>
  <c r="BD1053" i="118"/>
  <c r="BC1054" i="118"/>
  <c r="BC1055" i="118"/>
  <c r="BD1055" i="118"/>
  <c r="BC1056" i="118"/>
  <c r="BD1056" i="118"/>
  <c r="BC1058" i="118"/>
  <c r="BD1058" i="118"/>
  <c r="BC1059" i="118"/>
  <c r="BD1059" i="118"/>
  <c r="BC1060" i="118"/>
  <c r="BD1060" i="118"/>
  <c r="BC1061" i="118"/>
  <c r="BD1061" i="118"/>
  <c r="BC1062" i="118"/>
  <c r="BD1062" i="118"/>
  <c r="BC1063" i="118"/>
  <c r="BC1064" i="118"/>
  <c r="BD1064" i="118"/>
  <c r="BC1065" i="118"/>
  <c r="BD1065" i="118"/>
  <c r="BC1066" i="118"/>
  <c r="BD1066" i="118"/>
  <c r="BC1067" i="118"/>
  <c r="BD1067" i="118"/>
  <c r="BC1068" i="118"/>
  <c r="BD1068" i="118"/>
  <c r="BC1069" i="118"/>
  <c r="BD1069" i="118"/>
  <c r="BC1070" i="118"/>
  <c r="BD1070" i="118"/>
  <c r="BC1071" i="118"/>
  <c r="BD1071" i="118"/>
  <c r="BC1072" i="118"/>
  <c r="BD1072" i="118"/>
  <c r="BC1073" i="118"/>
  <c r="BD1073" i="118"/>
  <c r="BC1074" i="118"/>
  <c r="BD1074" i="118"/>
  <c r="BC1075" i="118"/>
  <c r="BD1075" i="118"/>
  <c r="BC1076" i="118"/>
  <c r="BD1076" i="118"/>
  <c r="BC1077" i="118"/>
  <c r="BD1077" i="118"/>
  <c r="BC1078" i="118"/>
  <c r="BD1078" i="118"/>
  <c r="BC1079" i="118"/>
  <c r="BD1079" i="118"/>
  <c r="BC1080" i="118"/>
  <c r="BD1080" i="118"/>
  <c r="BC1081" i="118"/>
  <c r="BD1081" i="118"/>
  <c r="BC1082" i="118"/>
  <c r="BD1082" i="118"/>
  <c r="BC1083" i="118"/>
  <c r="BD1083" i="118"/>
  <c r="BC1084" i="118"/>
  <c r="BD1084" i="118"/>
  <c r="BC1085" i="118"/>
  <c r="BD1085" i="118"/>
  <c r="BC1086" i="118"/>
  <c r="BD1086" i="118"/>
  <c r="BC1087" i="118"/>
  <c r="BD1087" i="118"/>
  <c r="BC1088" i="118"/>
  <c r="BD1088" i="118"/>
  <c r="BC1089" i="118"/>
  <c r="BD1089" i="118"/>
  <c r="BC1090" i="118"/>
  <c r="BD1090" i="118"/>
  <c r="BC1092" i="118"/>
  <c r="BD1092" i="118"/>
  <c r="BC1093" i="118"/>
  <c r="BD1093" i="118"/>
  <c r="BC1094" i="118"/>
  <c r="BD1094" i="118"/>
  <c r="BC1095" i="118"/>
  <c r="BD1095" i="118"/>
  <c r="BC1096" i="118"/>
  <c r="BC1097" i="118"/>
  <c r="BD1097" i="118"/>
  <c r="BC1098" i="118"/>
  <c r="BD1098" i="118"/>
  <c r="BC1100" i="118"/>
  <c r="BC1101" i="118"/>
  <c r="BC1102" i="118"/>
  <c r="BD1102" i="118"/>
  <c r="BC1103" i="118"/>
  <c r="BC1104" i="118"/>
  <c r="BC1105" i="118"/>
  <c r="BC1106" i="118"/>
  <c r="BD1106" i="118"/>
  <c r="BC1107" i="118"/>
  <c r="BC1108" i="118"/>
  <c r="BD1108" i="118"/>
  <c r="BC1109" i="118"/>
  <c r="BC1110" i="118"/>
  <c r="BD1110" i="118"/>
  <c r="BC1111" i="118"/>
  <c r="BD1111" i="118"/>
  <c r="BC1112" i="118"/>
  <c r="BC1113" i="118"/>
  <c r="BD1113" i="118"/>
  <c r="BC1114" i="118"/>
  <c r="BD1114" i="118"/>
  <c r="BC1115" i="118"/>
  <c r="BC1116" i="118"/>
  <c r="BD1116" i="118"/>
  <c r="BC1117" i="118"/>
  <c r="BD1117" i="118"/>
  <c r="BC1118" i="118"/>
  <c r="BD1118" i="118"/>
  <c r="BC1119" i="118"/>
  <c r="BC1120" i="118"/>
  <c r="BD1120" i="118"/>
  <c r="BC1121" i="118"/>
  <c r="BD1121" i="118"/>
  <c r="BC1122" i="118"/>
  <c r="BD1122" i="118"/>
  <c r="BC1123" i="118"/>
  <c r="BD1123" i="118"/>
  <c r="BC1124" i="118"/>
  <c r="BD1124" i="118"/>
  <c r="BC1126" i="118"/>
  <c r="BD1126" i="118"/>
  <c r="BC1127" i="118"/>
  <c r="BD1127" i="118"/>
  <c r="BC1128" i="118"/>
  <c r="BD1128" i="118"/>
  <c r="BC1129" i="118"/>
  <c r="BD1129" i="118"/>
  <c r="BC1130" i="118"/>
  <c r="BD1130" i="118"/>
  <c r="BC1131" i="118"/>
  <c r="BD1131" i="118"/>
  <c r="BC1132" i="118"/>
  <c r="BC1133" i="118"/>
  <c r="BD1133" i="118"/>
  <c r="BC1135" i="118"/>
  <c r="BD1135" i="118"/>
  <c r="BC1136" i="118"/>
  <c r="BD1136" i="118"/>
  <c r="BC1137" i="118"/>
  <c r="BD1137" i="118"/>
  <c r="BC1138" i="118"/>
  <c r="BD1138" i="118"/>
  <c r="BC1139" i="118"/>
  <c r="BD1139" i="118"/>
  <c r="BC1140" i="118"/>
  <c r="BD1140" i="118"/>
  <c r="BC1141" i="118"/>
  <c r="BD1141" i="118"/>
  <c r="BC1143" i="118"/>
  <c r="BD1143" i="118"/>
  <c r="BC1144" i="118"/>
  <c r="BD1144" i="118"/>
  <c r="BC1145" i="118"/>
  <c r="BD1145" i="118"/>
  <c r="BC1147" i="118"/>
  <c r="BC1148" i="118"/>
  <c r="BD1148" i="118"/>
  <c r="BC1149" i="118"/>
  <c r="BC1150" i="118"/>
  <c r="BD1150" i="118"/>
  <c r="BC1151" i="118"/>
  <c r="BC1152" i="118"/>
  <c r="BC1153" i="118"/>
  <c r="BD1153" i="118"/>
  <c r="BC1154" i="118"/>
  <c r="BC1155" i="118"/>
  <c r="BD1155" i="118"/>
  <c r="BC1156" i="118"/>
  <c r="BC1157" i="118"/>
  <c r="BC1158" i="118"/>
  <c r="BD1158" i="118"/>
  <c r="BC1159" i="118"/>
  <c r="BC1160" i="118"/>
  <c r="BC1161" i="118"/>
  <c r="BC1163" i="118"/>
  <c r="BD1163" i="118"/>
  <c r="BC1164" i="118"/>
  <c r="BD1164" i="118"/>
  <c r="BC1165" i="118"/>
  <c r="BD1165" i="118"/>
  <c r="BC1166" i="118"/>
  <c r="BD1166" i="118"/>
  <c r="BC1167" i="118"/>
  <c r="BD1167" i="118"/>
  <c r="BC1168" i="118"/>
  <c r="BC1169" i="118"/>
  <c r="BC1170" i="118"/>
  <c r="BD1170" i="118"/>
  <c r="BC1171" i="118"/>
  <c r="BC1172" i="118"/>
  <c r="BD1172" i="118"/>
  <c r="BC1173" i="118"/>
  <c r="BD1173" i="118"/>
  <c r="BC1174" i="118"/>
  <c r="BD1174" i="118"/>
  <c r="BC1175" i="118"/>
  <c r="BC1176" i="118"/>
  <c r="BC1177" i="118"/>
  <c r="BD1177" i="118"/>
  <c r="BC1178" i="118"/>
  <c r="BD1178" i="118"/>
  <c r="BC1179" i="118"/>
  <c r="BD1179" i="118"/>
  <c r="BC1180" i="118"/>
  <c r="BD1180" i="118"/>
  <c r="BC1181" i="118"/>
  <c r="BD1181" i="118"/>
  <c r="BC1182" i="118"/>
  <c r="BD1182" i="118"/>
  <c r="BC1184" i="118"/>
  <c r="BD1184" i="118"/>
  <c r="BC1185" i="118"/>
  <c r="BD1185" i="118"/>
  <c r="BC1186" i="118"/>
  <c r="BD1186" i="118"/>
  <c r="BC1187" i="118"/>
  <c r="BD1187" i="118"/>
  <c r="BC1188" i="118"/>
  <c r="BD1188" i="118"/>
  <c r="BC1190" i="118"/>
  <c r="BC1191" i="118"/>
  <c r="BD1191" i="118"/>
  <c r="BC1192" i="118"/>
  <c r="BD1192" i="118"/>
  <c r="BC1193" i="118"/>
  <c r="BD1193" i="118"/>
  <c r="BC1194" i="118"/>
  <c r="BC1195" i="118"/>
  <c r="BD1195" i="118"/>
  <c r="BC1196" i="118"/>
  <c r="BD1196" i="118"/>
  <c r="BC1197" i="118"/>
  <c r="BC1198" i="118"/>
  <c r="BD1198" i="118"/>
  <c r="BC1199" i="118"/>
  <c r="BD1199" i="118"/>
  <c r="BC1200" i="118"/>
  <c r="BD1200" i="118"/>
  <c r="BC1201" i="118"/>
  <c r="BD1201" i="118"/>
  <c r="BC1203" i="118"/>
  <c r="BD1203" i="118"/>
  <c r="BC1204" i="118"/>
  <c r="BD1204" i="118"/>
  <c r="BC1205" i="118"/>
  <c r="BC1206" i="118"/>
  <c r="BD1206" i="118"/>
  <c r="BC1207" i="118"/>
  <c r="BC1208" i="118"/>
  <c r="BD1208" i="118"/>
  <c r="BC1209" i="118"/>
  <c r="BC1210" i="118"/>
  <c r="BD1210" i="118"/>
  <c r="BC1211" i="118"/>
  <c r="BC1212" i="118"/>
  <c r="BD1212" i="118"/>
  <c r="BC1213" i="118"/>
  <c r="BD1213" i="118"/>
  <c r="BC1214" i="118"/>
  <c r="BC1215" i="118"/>
  <c r="BD1215" i="118"/>
  <c r="BC1216" i="118"/>
  <c r="BC1217" i="118"/>
  <c r="BC1218" i="118"/>
  <c r="BC1219" i="118"/>
  <c r="BD1219" i="118"/>
  <c r="BC1220" i="118"/>
  <c r="BD1220" i="118"/>
  <c r="BC1221" i="118"/>
  <c r="BD1221" i="118"/>
  <c r="BC1222" i="118"/>
  <c r="BD1222" i="118"/>
  <c r="BC1223" i="118"/>
  <c r="BD1223" i="118"/>
  <c r="BC1224" i="118"/>
  <c r="BC1225" i="118"/>
  <c r="BC1226" i="118"/>
  <c r="BD1226" i="118"/>
  <c r="BC1227" i="118"/>
  <c r="BD1227" i="118"/>
  <c r="BC1228" i="118"/>
  <c r="BC1229" i="118"/>
  <c r="BC1230" i="118"/>
  <c r="BD1230" i="118"/>
  <c r="BC1231" i="118"/>
  <c r="BC1232" i="118"/>
  <c r="BD1232" i="118"/>
  <c r="BC1233" i="118"/>
  <c r="BC1234" i="118"/>
  <c r="BD1234" i="118"/>
  <c r="BC1235" i="118"/>
  <c r="BC1236" i="118"/>
  <c r="BC1237" i="118"/>
  <c r="BD1237" i="118"/>
  <c r="BC1238" i="118"/>
  <c r="BC1239" i="118"/>
  <c r="BD1239" i="118"/>
  <c r="BC1240" i="118"/>
  <c r="BD1240" i="118"/>
  <c r="BC1241" i="118"/>
  <c r="BC1242" i="118"/>
  <c r="BD1242" i="118"/>
  <c r="BC1243" i="118"/>
  <c r="BD1243" i="118"/>
  <c r="BC1244" i="118"/>
  <c r="BC1245" i="118"/>
  <c r="BC1246" i="118"/>
  <c r="BD1246" i="118"/>
  <c r="BC1247" i="118"/>
  <c r="BD1247" i="118"/>
  <c r="BC1248" i="118"/>
  <c r="BD1248" i="118"/>
  <c r="BC1249" i="118"/>
  <c r="BD1249" i="118"/>
  <c r="BC1250" i="118"/>
  <c r="BC1251" i="118"/>
  <c r="BD1251" i="118"/>
  <c r="BC1252" i="118"/>
  <c r="BD1252" i="118"/>
  <c r="BC1253" i="118"/>
  <c r="BD1253" i="118"/>
  <c r="BC1254" i="118"/>
  <c r="BD1254" i="118"/>
  <c r="BC1255" i="118"/>
  <c r="BD1255" i="118"/>
  <c r="BC1256" i="118"/>
  <c r="BD1256" i="118"/>
  <c r="BC1257" i="118"/>
  <c r="BD1257" i="118"/>
  <c r="BC1258" i="118"/>
  <c r="BC1259" i="118"/>
  <c r="BD1259" i="118"/>
  <c r="BC1260" i="118"/>
  <c r="BD1260" i="118"/>
  <c r="BC1261" i="118"/>
  <c r="BD1261" i="118"/>
  <c r="BC1262" i="118"/>
  <c r="BC1263" i="118"/>
  <c r="BD1263" i="118"/>
  <c r="BC1264" i="118"/>
  <c r="BD1264" i="118"/>
  <c r="BC1265" i="118"/>
  <c r="BC1266" i="118"/>
  <c r="BC1267" i="118"/>
  <c r="BD1267" i="118"/>
  <c r="BC1268" i="118"/>
  <c r="BD1268" i="118"/>
  <c r="BC1269" i="118"/>
  <c r="BC1270" i="118"/>
  <c r="BC1272" i="118"/>
  <c r="BC1273" i="118"/>
  <c r="BD1273" i="118"/>
  <c r="BC1274" i="118"/>
  <c r="BD1274" i="118"/>
  <c r="BC1275" i="118"/>
  <c r="BC1276" i="118"/>
  <c r="BC1277" i="118"/>
  <c r="BD1277" i="118"/>
  <c r="BC1278" i="118"/>
  <c r="BD1278" i="118"/>
  <c r="BC1279" i="118"/>
  <c r="BD1279" i="118"/>
  <c r="BC1280" i="118"/>
  <c r="BD1280" i="118"/>
  <c r="BC1281" i="118"/>
  <c r="BD1281" i="118"/>
  <c r="BC1282" i="118"/>
  <c r="BD1282" i="118"/>
  <c r="BC1283" i="118"/>
  <c r="BD1283" i="118"/>
  <c r="BC1284" i="118"/>
  <c r="BD1284" i="118"/>
  <c r="BC1285" i="118"/>
  <c r="BD1285" i="118"/>
  <c r="BC1286" i="118"/>
  <c r="BD1286" i="118"/>
  <c r="BC1287" i="118"/>
  <c r="BC1288" i="118"/>
  <c r="BD1288" i="118"/>
  <c r="BC1289" i="118"/>
  <c r="BD1289" i="118"/>
  <c r="BC1290" i="118"/>
  <c r="BD1290" i="118"/>
  <c r="BC1291" i="118"/>
  <c r="BD1291" i="118"/>
  <c r="BC1292" i="118"/>
  <c r="BD1292" i="118"/>
  <c r="BC1293" i="118"/>
  <c r="BD1293" i="118"/>
  <c r="BC1294" i="118"/>
  <c r="BD1294" i="118"/>
  <c r="BC1296" i="118"/>
  <c r="BD1296" i="118"/>
  <c r="BC1297" i="118"/>
  <c r="BD1297" i="118"/>
  <c r="BC1298" i="118"/>
  <c r="BD1298" i="118"/>
  <c r="BC1300" i="118"/>
  <c r="BC1301" i="118"/>
  <c r="BC1302" i="118"/>
  <c r="BD1302" i="118"/>
  <c r="BC1303" i="118"/>
  <c r="BC1304" i="118"/>
  <c r="BD1304" i="118"/>
  <c r="BC1305" i="118"/>
  <c r="BD1305" i="118"/>
  <c r="BC1306" i="118"/>
  <c r="BC1307" i="118"/>
  <c r="BD1307" i="118"/>
  <c r="BC1308" i="118"/>
  <c r="BD1308" i="118"/>
  <c r="BC1309" i="118"/>
  <c r="BD1309" i="118"/>
  <c r="BC1310" i="118"/>
  <c r="BD1310" i="118"/>
  <c r="BC1311" i="118"/>
  <c r="BD1311" i="118"/>
  <c r="BC1312" i="118"/>
  <c r="BD1312" i="118"/>
  <c r="BC1313" i="118"/>
  <c r="BD1313" i="118"/>
  <c r="BC1314" i="118"/>
  <c r="BC1315" i="118"/>
  <c r="BD1315" i="118"/>
  <c r="BC1316" i="118"/>
  <c r="BD1316" i="118"/>
  <c r="BC1317" i="118"/>
  <c r="BC1318" i="118"/>
  <c r="BC1319" i="118"/>
  <c r="BD1319" i="118"/>
  <c r="BC1320" i="118"/>
  <c r="BD1320" i="118"/>
  <c r="BC1321" i="118"/>
  <c r="BD1321" i="118"/>
  <c r="BC1322" i="118"/>
  <c r="BD1322" i="118"/>
  <c r="BC1323" i="118"/>
  <c r="BD1323" i="118"/>
  <c r="BC1324" i="118"/>
  <c r="BD1324" i="118"/>
  <c r="BC1325" i="118"/>
  <c r="BD1325" i="118"/>
  <c r="BC1326" i="118"/>
  <c r="BC1327" i="118"/>
  <c r="BC1328" i="118"/>
  <c r="BD1328" i="118"/>
  <c r="BC1329" i="118"/>
  <c r="BC1331" i="118"/>
  <c r="BD1331" i="118"/>
  <c r="BC1332" i="118"/>
  <c r="BC1333" i="118"/>
  <c r="BD1333" i="118"/>
  <c r="BC1334" i="118"/>
  <c r="BD1334" i="118"/>
  <c r="BC1335" i="118"/>
  <c r="BD1335" i="118"/>
  <c r="BC1336" i="118"/>
  <c r="BC1337" i="118"/>
  <c r="BD1337" i="118"/>
  <c r="BC1338" i="118"/>
  <c r="BC1339" i="118"/>
  <c r="BC1340" i="118"/>
  <c r="BD1340" i="118"/>
  <c r="BC1341" i="118"/>
  <c r="BD1341" i="118"/>
  <c r="BC1342" i="118"/>
  <c r="BD1342" i="118"/>
  <c r="BC1343" i="118"/>
  <c r="BC1344" i="118"/>
  <c r="BD1344" i="118"/>
  <c r="BC1345" i="118"/>
  <c r="BD1345" i="118"/>
  <c r="BC1346" i="118"/>
  <c r="BD1346" i="118"/>
  <c r="BC1348" i="118"/>
  <c r="BD1348" i="118"/>
  <c r="BC1349" i="118"/>
  <c r="BD1349" i="118"/>
  <c r="BC1350" i="118"/>
  <c r="BD1350" i="118"/>
  <c r="BC1351" i="118"/>
  <c r="BD1351" i="118"/>
  <c r="BC1352" i="118"/>
  <c r="BD1352" i="118"/>
  <c r="BC1353" i="118"/>
  <c r="BD1353" i="118"/>
  <c r="BC1354" i="118"/>
  <c r="BD1354" i="118"/>
  <c r="BC1355" i="118"/>
  <c r="BD1355" i="118"/>
  <c r="BC1356" i="118"/>
  <c r="BD1356" i="118"/>
  <c r="BC1357" i="118"/>
  <c r="BD1357" i="118"/>
  <c r="BC1358" i="118"/>
  <c r="BD1358" i="118"/>
  <c r="BC1359" i="118"/>
  <c r="BD1359" i="118"/>
  <c r="BC1360" i="118"/>
  <c r="BD1360" i="118"/>
  <c r="BC1361" i="118"/>
  <c r="BD1361" i="118"/>
  <c r="BC1362" i="118"/>
  <c r="BD1362" i="118"/>
  <c r="BC1363" i="118"/>
  <c r="BD1363" i="118"/>
  <c r="BC1364" i="118"/>
  <c r="BD1364" i="118"/>
  <c r="BC1365" i="118"/>
  <c r="BC1366" i="118"/>
  <c r="BD1366" i="118"/>
  <c r="BC1367" i="118"/>
  <c r="BD1367" i="118"/>
  <c r="BC1368" i="118"/>
  <c r="BD1368" i="118"/>
  <c r="BC1369" i="118"/>
  <c r="BD1369" i="118"/>
  <c r="BC1370" i="118"/>
  <c r="BD1370" i="118"/>
  <c r="BC1371" i="118"/>
  <c r="BC1372" i="118"/>
  <c r="BD1372" i="118"/>
  <c r="BC1373" i="118"/>
  <c r="BD1373" i="118"/>
  <c r="BC1374" i="118"/>
  <c r="BD1374" i="118"/>
  <c r="BC1375" i="118"/>
  <c r="BD1375" i="118"/>
  <c r="BC1376" i="118"/>
  <c r="BD1376" i="118"/>
  <c r="BC1377" i="118"/>
  <c r="BC1378" i="118"/>
  <c r="BD1378" i="118"/>
  <c r="BC1379" i="118"/>
  <c r="BD1379" i="118"/>
  <c r="BC1380" i="118"/>
  <c r="BD1380" i="118"/>
  <c r="BC1381" i="118"/>
  <c r="BC1382" i="118"/>
  <c r="BD1382" i="118"/>
  <c r="BC1383" i="118"/>
  <c r="BD1383" i="118"/>
  <c r="BC1384" i="118"/>
  <c r="BD1384" i="118"/>
  <c r="BC1385" i="118"/>
  <c r="BC1386" i="118"/>
  <c r="BD1386" i="118"/>
  <c r="BC1387" i="118"/>
  <c r="BD1387" i="118"/>
  <c r="BC1388" i="118"/>
  <c r="BD1388" i="118"/>
  <c r="BC1390" i="118"/>
  <c r="BD1390" i="118"/>
  <c r="BC1391" i="118"/>
  <c r="BD1391" i="118"/>
  <c r="BC1392" i="118"/>
  <c r="BD1392" i="118"/>
  <c r="BC1393" i="118"/>
  <c r="BD1393" i="118"/>
  <c r="BC1394" i="118"/>
  <c r="BD1394" i="118"/>
  <c r="BC1396" i="118"/>
  <c r="BD1396" i="118"/>
  <c r="BC1397" i="118"/>
  <c r="BC1398" i="118"/>
  <c r="BD1398" i="118"/>
  <c r="BC1399" i="118"/>
  <c r="BC1400" i="118"/>
  <c r="BC1401" i="118"/>
  <c r="BD1401" i="118"/>
  <c r="BC1402" i="118"/>
  <c r="BD1402" i="118"/>
  <c r="BC1403" i="118"/>
  <c r="BD1403" i="118"/>
  <c r="BC1404" i="118"/>
  <c r="BD1404" i="118"/>
  <c r="BC1405" i="118"/>
  <c r="BD1405" i="118"/>
  <c r="BC1406" i="118"/>
  <c r="BC1407" i="118"/>
  <c r="BD1407" i="118"/>
  <c r="BC1410" i="118"/>
  <c r="BD1410" i="118"/>
  <c r="BC1411" i="118"/>
  <c r="BC1408" i="118"/>
  <c r="BD1408" i="118"/>
  <c r="BC1409" i="118"/>
  <c r="BD1409" i="118"/>
  <c r="BC1412" i="118"/>
  <c r="BD1412" i="118"/>
  <c r="BC1413" i="118"/>
  <c r="BD1413" i="118"/>
  <c r="BC1414" i="118"/>
  <c r="BC1415" i="118"/>
  <c r="BC1416" i="118"/>
  <c r="BD1416" i="118"/>
  <c r="BC1417" i="118"/>
  <c r="BD1417" i="118"/>
  <c r="BC1418" i="118"/>
  <c r="BC1419" i="118"/>
  <c r="BD1419" i="118"/>
  <c r="BC1420" i="118"/>
  <c r="BD1420" i="118"/>
  <c r="BC1421" i="118"/>
  <c r="BC1422" i="118"/>
  <c r="BD1422" i="118"/>
  <c r="BC1423" i="118"/>
  <c r="BC1424" i="118"/>
  <c r="BD1424" i="118"/>
  <c r="BC1425" i="118"/>
  <c r="BD1425" i="118"/>
  <c r="BC1426" i="118"/>
  <c r="BD1426" i="118"/>
  <c r="BC1427" i="118"/>
  <c r="BD1427" i="118"/>
  <c r="BC1428" i="118"/>
  <c r="BC1429" i="118"/>
  <c r="BC1430" i="118"/>
  <c r="BD1430" i="118"/>
  <c r="BC1431" i="118"/>
  <c r="BD1431" i="118"/>
  <c r="BC1432" i="118"/>
  <c r="BC1434" i="118"/>
  <c r="BD1434" i="118"/>
  <c r="BG1434" i="118" s="1"/>
  <c r="BC1436" i="118"/>
  <c r="BD1436" i="118"/>
  <c r="BC1437" i="118"/>
  <c r="BD1437" i="118"/>
  <c r="BC1438" i="118"/>
  <c r="BD1438" i="118"/>
  <c r="BC1439" i="118"/>
  <c r="BD1439" i="118"/>
  <c r="BC1440" i="118"/>
  <c r="BD1440" i="118"/>
  <c r="BC1441" i="118"/>
  <c r="BD1441" i="118"/>
  <c r="BC1442" i="118"/>
  <c r="BD1442" i="118"/>
  <c r="BC1443" i="118"/>
  <c r="BD1443" i="118"/>
  <c r="BC1444" i="118"/>
  <c r="BD1444" i="118"/>
  <c r="BC1445" i="118"/>
  <c r="BD1445" i="118"/>
  <c r="BC1446" i="118"/>
  <c r="BD1446" i="118"/>
  <c r="BC1447" i="118"/>
  <c r="BD1447" i="118"/>
  <c r="BC1448" i="118"/>
  <c r="BD1448" i="118"/>
  <c r="BC1449" i="118"/>
  <c r="BD1449" i="118"/>
  <c r="BC1450" i="118"/>
  <c r="BD1450" i="118"/>
  <c r="BC1451" i="118"/>
  <c r="BD1451" i="118"/>
  <c r="BC1452" i="118"/>
  <c r="BD1452" i="118"/>
  <c r="BC1453" i="118"/>
  <c r="BD1453" i="118"/>
  <c r="BC1454" i="118"/>
  <c r="BC1455" i="118"/>
  <c r="BD1455" i="118"/>
  <c r="BC1456" i="118"/>
  <c r="BC1457" i="118"/>
  <c r="BD1457" i="118"/>
  <c r="BC1458" i="118"/>
  <c r="BC1459" i="118"/>
  <c r="BC1460" i="118"/>
  <c r="BD1460" i="118"/>
  <c r="BC1461" i="118"/>
  <c r="BD1461" i="118"/>
  <c r="BC1462" i="118"/>
  <c r="BD1462" i="118"/>
  <c r="BC1463" i="118"/>
  <c r="BC1464" i="118"/>
  <c r="BC1465" i="118"/>
  <c r="BC1466" i="118"/>
  <c r="BD1466" i="118"/>
  <c r="BC1467" i="118"/>
  <c r="BD1467" i="118"/>
  <c r="BC1468" i="118"/>
  <c r="BD1468" i="118"/>
  <c r="BC1469" i="118"/>
  <c r="BC1470" i="118"/>
  <c r="BD1470" i="118"/>
  <c r="BC1471" i="118"/>
  <c r="BD1471" i="118"/>
  <c r="BC1472" i="118"/>
  <c r="BC1473" i="118"/>
  <c r="BD1473" i="118"/>
  <c r="BC1474" i="118"/>
  <c r="BD1474" i="118"/>
  <c r="BC1475" i="118"/>
  <c r="BC1476" i="118"/>
  <c r="BD1476" i="118"/>
  <c r="BC1477" i="118"/>
  <c r="BD1477" i="118"/>
  <c r="BC1478" i="118"/>
  <c r="BD1478" i="118"/>
  <c r="BC1479" i="118"/>
  <c r="BC1481" i="118"/>
  <c r="BD1481" i="118"/>
  <c r="BC1482" i="118"/>
  <c r="BD1482" i="118"/>
  <c r="BC1483" i="118"/>
  <c r="BD1483" i="118"/>
  <c r="BC1484" i="118"/>
  <c r="BD1484" i="118"/>
  <c r="BC1485" i="118"/>
  <c r="BD1485" i="118"/>
  <c r="BC1486" i="118"/>
  <c r="BD1486" i="118"/>
  <c r="BC1487" i="118"/>
  <c r="BD1487" i="118"/>
  <c r="BC1489" i="118"/>
  <c r="BD1489" i="118"/>
  <c r="BC1490" i="118"/>
  <c r="BD1490" i="118"/>
  <c r="BC1491" i="118"/>
  <c r="BD1491" i="118"/>
  <c r="BC1493" i="118"/>
  <c r="BC1494" i="118"/>
  <c r="BC1495" i="118"/>
  <c r="BD1495" i="118"/>
  <c r="BC1496" i="118"/>
  <c r="BC1497" i="118"/>
  <c r="BD1497" i="118"/>
  <c r="BC1498" i="118"/>
  <c r="BD1498" i="118"/>
  <c r="BC1499" i="118"/>
  <c r="BC1500" i="118"/>
  <c r="BD1500" i="118"/>
  <c r="BC1501" i="118"/>
  <c r="BD1501" i="118"/>
  <c r="BC1502" i="118"/>
  <c r="BD1502" i="118"/>
  <c r="BC1503" i="118"/>
  <c r="BD1503" i="118"/>
  <c r="BC1504" i="118"/>
  <c r="BD1504" i="118"/>
  <c r="BC1505" i="118"/>
  <c r="BD1505" i="118"/>
  <c r="BC1506" i="118"/>
  <c r="BC1507" i="118"/>
  <c r="BC1509" i="118"/>
  <c r="BD1509" i="118"/>
  <c r="BC1510" i="118"/>
  <c r="BC1511" i="118"/>
  <c r="BD1511" i="118"/>
  <c r="BC1512" i="118"/>
  <c r="BD1512" i="118"/>
  <c r="BC1513" i="118"/>
  <c r="BC1514" i="118"/>
  <c r="BD1514" i="118"/>
  <c r="BC1515" i="118"/>
  <c r="BD1515" i="118"/>
  <c r="BC1516" i="118"/>
  <c r="BC1517" i="118"/>
  <c r="BD1517" i="118"/>
  <c r="BC1518" i="118"/>
  <c r="BD1518" i="118"/>
  <c r="BC1519" i="118"/>
  <c r="BC1520" i="118"/>
  <c r="BC1521" i="118"/>
  <c r="BD1521" i="118"/>
  <c r="BC1523" i="118"/>
  <c r="BD1523" i="118"/>
  <c r="BC1524" i="118"/>
  <c r="BD1524" i="118"/>
  <c r="BC1525" i="118"/>
  <c r="BD1525" i="118"/>
  <c r="BC1527" i="118"/>
  <c r="BD1527" i="118"/>
  <c r="BC1528" i="118"/>
  <c r="BD1528" i="118"/>
  <c r="BC1529" i="118"/>
  <c r="BD1529" i="118"/>
  <c r="BC1530" i="118"/>
  <c r="BD1530" i="118"/>
  <c r="BC1531" i="118"/>
  <c r="BD1531" i="118"/>
  <c r="BC1532" i="118"/>
  <c r="BD1532" i="118"/>
  <c r="BC1533" i="118"/>
  <c r="BD1533" i="118"/>
  <c r="BC1534" i="118"/>
  <c r="BD1534" i="118"/>
  <c r="BC1535" i="118"/>
  <c r="BD1535" i="118"/>
  <c r="BC1536" i="118"/>
  <c r="BD1536" i="118"/>
  <c r="BC1537" i="118"/>
  <c r="BD1537" i="118"/>
  <c r="BC1538" i="118"/>
  <c r="BD1538" i="118"/>
  <c r="BC1539" i="118"/>
  <c r="BD1539" i="118"/>
  <c r="BC1540" i="118"/>
  <c r="BD1540" i="118"/>
  <c r="BC1541" i="118"/>
  <c r="BC1542" i="118"/>
  <c r="BC1543" i="118"/>
  <c r="BD1543" i="118"/>
  <c r="BC1544" i="118"/>
  <c r="BD1544" i="118"/>
  <c r="BC1545" i="118"/>
  <c r="BD1545" i="118"/>
  <c r="BC1546" i="118"/>
  <c r="BC1547" i="118"/>
  <c r="BC1549" i="118"/>
  <c r="BC1550" i="118"/>
  <c r="BD1550" i="118"/>
  <c r="BC1551" i="118"/>
  <c r="BC1552" i="118"/>
  <c r="BC1553" i="118"/>
  <c r="BD1553" i="118"/>
  <c r="BC1554" i="118"/>
  <c r="BD1554" i="118"/>
  <c r="BC1555" i="118"/>
  <c r="BC1556" i="118"/>
  <c r="BD1556" i="118"/>
  <c r="BC1557" i="118"/>
  <c r="BC1558" i="118"/>
  <c r="BD1558" i="118"/>
  <c r="BC1559" i="118"/>
  <c r="BD1559" i="118"/>
  <c r="BC1560" i="118"/>
  <c r="BC1561" i="118"/>
  <c r="BD1561" i="118"/>
  <c r="BC1562" i="118"/>
  <c r="BD1562" i="118"/>
  <c r="BC1563" i="118"/>
  <c r="BD1563" i="118"/>
  <c r="BC1564" i="118"/>
  <c r="BD1564" i="118"/>
  <c r="BC1566" i="118"/>
  <c r="BD1566" i="118"/>
  <c r="BC1567" i="118"/>
  <c r="BD1567" i="118"/>
  <c r="BC1568" i="118"/>
  <c r="BD1568" i="118"/>
  <c r="BC1569" i="118"/>
  <c r="BD1569" i="118"/>
  <c r="BC1570" i="118"/>
  <c r="BD1570" i="118"/>
  <c r="BC1571" i="118"/>
  <c r="BD1571" i="118"/>
  <c r="BC1573" i="118"/>
  <c r="BC1574" i="118"/>
  <c r="BC1577" i="118"/>
  <c r="BD1577" i="118"/>
  <c r="BC1578" i="118"/>
  <c r="BD1578" i="118"/>
  <c r="BC1579" i="118"/>
  <c r="BC1580" i="118"/>
  <c r="BD1580" i="118"/>
  <c r="BC1581" i="118"/>
  <c r="BD1581" i="118"/>
  <c r="BC1582" i="118"/>
  <c r="BD1582" i="118"/>
  <c r="BC1583" i="118"/>
  <c r="BD1583" i="118"/>
  <c r="BC1584" i="118"/>
  <c r="BC1585" i="118"/>
  <c r="BD1585" i="118"/>
  <c r="BC1586" i="118"/>
  <c r="BD1586" i="118"/>
  <c r="BC1587" i="118"/>
  <c r="BD1587" i="118"/>
  <c r="BC1588" i="118"/>
  <c r="BC1589" i="118"/>
  <c r="BD1589" i="118"/>
  <c r="BC1590" i="118"/>
  <c r="BD1590" i="118"/>
  <c r="BC1591" i="118"/>
  <c r="BD1591" i="118"/>
  <c r="BC1592" i="118"/>
  <c r="BD1592" i="118"/>
  <c r="BC1593" i="118"/>
  <c r="BC1594" i="118"/>
  <c r="BD1594" i="118"/>
  <c r="BC1595" i="118"/>
  <c r="BD1595" i="118"/>
  <c r="BC1596" i="118"/>
  <c r="BD1596" i="118"/>
  <c r="BC1597" i="118"/>
  <c r="BC1598" i="118"/>
  <c r="BD1598" i="118"/>
  <c r="BC1599" i="118"/>
  <c r="BD1599" i="118"/>
  <c r="BC1600" i="118"/>
  <c r="BD1600" i="118"/>
  <c r="BC1601" i="118"/>
  <c r="BD1601" i="118"/>
  <c r="BC1602" i="118"/>
  <c r="BD1602" i="118"/>
  <c r="BC1603" i="118"/>
  <c r="BD1603" i="118"/>
  <c r="BC1604" i="118"/>
  <c r="BD1604" i="118"/>
  <c r="BC1605" i="118"/>
  <c r="BD1605" i="118"/>
  <c r="BC1606" i="118"/>
  <c r="BC1607" i="118"/>
  <c r="BD1607" i="118"/>
  <c r="BC1608" i="118"/>
  <c r="BD1608" i="118"/>
  <c r="BC1609" i="118"/>
  <c r="BD1609" i="118"/>
  <c r="BC1610" i="118"/>
  <c r="BC1611" i="118"/>
  <c r="BC1612" i="118"/>
  <c r="BD1612" i="118"/>
  <c r="BC1613" i="118"/>
  <c r="BD1613" i="118"/>
  <c r="BC1614" i="118"/>
  <c r="BD1614" i="118"/>
  <c r="BC1615" i="118"/>
  <c r="BC1616" i="118"/>
  <c r="BD1616" i="118"/>
  <c r="BC1617" i="118"/>
  <c r="BD1617" i="118"/>
  <c r="BC1618" i="118"/>
  <c r="BD1618" i="118"/>
  <c r="BC1619" i="118"/>
  <c r="BD1619" i="118"/>
  <c r="BC1620" i="118"/>
  <c r="BD1620" i="118"/>
  <c r="BC1621" i="118"/>
  <c r="BD1621" i="118"/>
  <c r="BC1622" i="118"/>
  <c r="BD1622" i="118"/>
  <c r="BC1623" i="118"/>
  <c r="BD1623" i="118"/>
  <c r="BC1624" i="118"/>
  <c r="BD1624" i="118"/>
  <c r="BC1625" i="118"/>
  <c r="BD1625" i="118"/>
  <c r="BC1626" i="118"/>
  <c r="BC1627" i="118"/>
  <c r="BD1627" i="118"/>
  <c r="BC1628" i="118"/>
  <c r="BD1628" i="118"/>
  <c r="BC1629" i="118"/>
  <c r="BD1629" i="118"/>
  <c r="BC1631" i="118"/>
  <c r="BD1631" i="118"/>
  <c r="BC1632" i="118"/>
  <c r="BC1633" i="118"/>
  <c r="BC1634" i="118"/>
  <c r="BD1634" i="118"/>
  <c r="BC1635" i="118"/>
  <c r="BC1636" i="118"/>
  <c r="BD1636" i="118"/>
  <c r="BC1637" i="118"/>
  <c r="BD1637" i="118"/>
  <c r="BC1638" i="118"/>
  <c r="BD1638" i="118"/>
  <c r="BC1639" i="118"/>
  <c r="BC1640" i="118"/>
  <c r="BC1641" i="118"/>
  <c r="BD1641" i="118"/>
  <c r="BC1642" i="118"/>
  <c r="BC1643" i="118"/>
  <c r="BD1643" i="118"/>
  <c r="BC1645" i="118"/>
  <c r="BD1645" i="118"/>
  <c r="BC1646" i="118"/>
  <c r="BC1647" i="118"/>
  <c r="BC1648" i="118"/>
  <c r="BD1648" i="118"/>
  <c r="BC1649" i="118"/>
  <c r="BD1649" i="118"/>
  <c r="BC1650" i="118"/>
  <c r="BD1650" i="118"/>
  <c r="BC1651" i="118"/>
  <c r="BD1651" i="118"/>
  <c r="BC1652" i="118"/>
  <c r="BC1653" i="118"/>
  <c r="BC1654" i="118"/>
  <c r="BD1654" i="118"/>
  <c r="BC1655" i="118"/>
  <c r="BD1655" i="118"/>
  <c r="BC1657" i="118"/>
  <c r="BD1657" i="118"/>
  <c r="BC1658" i="118"/>
  <c r="BD1658" i="118"/>
  <c r="BC1659" i="118"/>
  <c r="BD1659" i="118"/>
  <c r="BC1660" i="118"/>
  <c r="BD1660" i="118"/>
  <c r="BC1661" i="118"/>
  <c r="BD1661" i="118"/>
  <c r="BC1662" i="118"/>
  <c r="BD1662" i="118"/>
  <c r="BC1663" i="118"/>
  <c r="BC1664" i="118"/>
  <c r="BC1665" i="118"/>
  <c r="BC1666" i="118"/>
  <c r="BD1666" i="118"/>
  <c r="BC1667" i="118"/>
  <c r="BD1667" i="118"/>
  <c r="BC1668" i="118"/>
  <c r="BC1669" i="118"/>
  <c r="BD1669" i="118"/>
  <c r="BC1670" i="118"/>
  <c r="BD1670" i="118"/>
  <c r="BC1671" i="118"/>
  <c r="BC1672" i="118"/>
  <c r="BD1672" i="118"/>
  <c r="BC1673" i="118"/>
  <c r="BD1673" i="118"/>
  <c r="BC1674" i="118"/>
  <c r="BC1675" i="118"/>
  <c r="BD1675" i="118"/>
  <c r="BC1677" i="118"/>
  <c r="BD1677" i="118"/>
  <c r="BC1678" i="118"/>
  <c r="BC1679" i="118"/>
  <c r="BC1680" i="118"/>
  <c r="BC1681" i="118"/>
  <c r="BC1682" i="118"/>
  <c r="BD1682" i="118"/>
  <c r="BC1683" i="118"/>
  <c r="BC1684" i="118"/>
  <c r="BC1685" i="118"/>
  <c r="BD1685" i="118"/>
  <c r="BC1686" i="118"/>
  <c r="BC1687" i="118"/>
  <c r="BD1687" i="118"/>
  <c r="BC1688" i="118"/>
  <c r="BC1689" i="118"/>
  <c r="BD1689" i="118"/>
  <c r="BC1690" i="118"/>
  <c r="BD1690" i="118"/>
  <c r="BC1691" i="118"/>
  <c r="BD1691" i="118"/>
  <c r="BC1692" i="118"/>
  <c r="BD1692" i="118"/>
  <c r="BC1693" i="118"/>
  <c r="BD1693" i="118"/>
  <c r="BC1694" i="118"/>
  <c r="BD1694" i="118"/>
  <c r="BC1695" i="118"/>
  <c r="BD1695" i="118"/>
  <c r="BC1696" i="118"/>
  <c r="BD1696" i="118"/>
  <c r="BC1697" i="118"/>
  <c r="BD1697" i="118"/>
  <c r="BC1698" i="118"/>
  <c r="BD1698" i="118"/>
  <c r="BC1699" i="118"/>
  <c r="BC1700" i="118"/>
  <c r="BD1700" i="118"/>
  <c r="BC1701" i="118"/>
  <c r="BD1701" i="118"/>
  <c r="BC1702" i="118"/>
  <c r="BD1702" i="118"/>
  <c r="BC1703" i="118"/>
  <c r="BD1703" i="118"/>
  <c r="BC1704" i="118"/>
  <c r="BD1704" i="118"/>
  <c r="BC1705" i="118"/>
  <c r="BD1705" i="118"/>
  <c r="BC1706" i="118"/>
  <c r="BD1706" i="118"/>
  <c r="BC1707" i="118"/>
  <c r="BC1708" i="118"/>
  <c r="BC1709" i="118"/>
  <c r="BC1710" i="118"/>
  <c r="BD1710" i="118"/>
  <c r="BC1711" i="118"/>
  <c r="BC1712" i="118"/>
  <c r="BC1713" i="118"/>
  <c r="BD1713" i="118"/>
  <c r="BC1714" i="118"/>
  <c r="BC1715" i="118"/>
  <c r="BD1715" i="118"/>
  <c r="BC1716" i="118"/>
  <c r="BD1716" i="118"/>
  <c r="BC1717" i="118"/>
  <c r="BC1718" i="118"/>
  <c r="BD1718" i="118"/>
  <c r="BC1719" i="118"/>
  <c r="BC1720" i="118"/>
  <c r="BD1720" i="118"/>
  <c r="BC1721" i="118"/>
  <c r="BD1721" i="118"/>
  <c r="BC1722" i="118"/>
  <c r="BD1722" i="118"/>
  <c r="BC1723" i="118"/>
  <c r="BC1724" i="118"/>
  <c r="BD1724" i="118"/>
  <c r="BC1725" i="118"/>
  <c r="BC1726" i="118"/>
  <c r="BC1727" i="118"/>
  <c r="BD1727" i="118"/>
  <c r="BC1728" i="118"/>
  <c r="BD1728" i="118"/>
  <c r="BC1729" i="118"/>
  <c r="BD1729" i="118"/>
  <c r="BC1730" i="118"/>
  <c r="BD1730" i="118"/>
  <c r="BC1731" i="118"/>
  <c r="BC1733" i="118"/>
  <c r="BD1733" i="118"/>
  <c r="BC1734" i="118"/>
  <c r="BD1734" i="118"/>
  <c r="BC1735" i="118"/>
  <c r="BD1735" i="118"/>
  <c r="BC1736" i="118"/>
  <c r="BD1736" i="118"/>
  <c r="BC1737" i="118"/>
  <c r="BD1737" i="118"/>
  <c r="BC1739" i="118"/>
  <c r="BD1739" i="118"/>
  <c r="BC1741" i="118"/>
  <c r="BD1741" i="118"/>
  <c r="BC1742" i="118"/>
  <c r="BD1742" i="118"/>
  <c r="BC1743" i="118"/>
  <c r="BD1743" i="118"/>
  <c r="BC1744" i="118"/>
  <c r="BD1744" i="118"/>
  <c r="BC1745" i="118"/>
  <c r="BD1745" i="118"/>
  <c r="BC1746" i="118"/>
  <c r="BD1746" i="118"/>
  <c r="BC1747" i="118"/>
  <c r="BD1747" i="118"/>
  <c r="BC1748" i="118"/>
  <c r="BD1748" i="118"/>
  <c r="BC1749" i="118"/>
  <c r="BC1750" i="118"/>
  <c r="BC1751" i="118"/>
  <c r="BC1752" i="118"/>
  <c r="BD1752" i="118"/>
  <c r="BC1753" i="118"/>
  <c r="BD1753" i="118"/>
  <c r="BC1754" i="118"/>
  <c r="BC1755" i="118"/>
  <c r="BD1755" i="118"/>
  <c r="BC1756" i="118"/>
  <c r="BC1757" i="118"/>
  <c r="BD1757" i="118"/>
  <c r="BC1758" i="118"/>
  <c r="BD1758" i="118"/>
  <c r="BC1759" i="118"/>
  <c r="BC1760" i="118"/>
  <c r="BD1760" i="118"/>
  <c r="BC1761" i="118"/>
  <c r="BC1762" i="118"/>
  <c r="BC1763" i="118"/>
  <c r="BD1763" i="118"/>
  <c r="BC1764" i="118"/>
  <c r="BC1765" i="118"/>
  <c r="BC1767" i="118"/>
  <c r="BC1768" i="118"/>
  <c r="BD1768" i="118"/>
  <c r="BC1769" i="118"/>
  <c r="BC1770" i="118"/>
  <c r="BC1771" i="118"/>
  <c r="BD1771" i="118"/>
  <c r="BC1772" i="118"/>
  <c r="BC1773" i="118"/>
  <c r="BD1773" i="118"/>
  <c r="BC1777" i="118"/>
  <c r="BD1777" i="118"/>
  <c r="BC1778" i="118"/>
  <c r="BD1778" i="118"/>
  <c r="BC1779" i="118"/>
  <c r="BD1779" i="118"/>
  <c r="BC1780" i="118"/>
  <c r="BD1780" i="118"/>
  <c r="BC1781" i="118"/>
  <c r="BD1781" i="118"/>
  <c r="BC1782" i="118"/>
  <c r="BD1782" i="118"/>
  <c r="BC1785" i="118"/>
  <c r="BC1786" i="118"/>
  <c r="BD1786" i="118"/>
  <c r="BC1787" i="118"/>
  <c r="BC1788" i="118"/>
  <c r="BD1788" i="118"/>
  <c r="BC1789" i="118"/>
  <c r="BD1789" i="118"/>
  <c r="BC1790" i="118"/>
  <c r="BD1790" i="118"/>
  <c r="BC1791" i="118"/>
  <c r="BD1791" i="118"/>
  <c r="BC1792" i="118"/>
  <c r="BD1792" i="118"/>
  <c r="BC1793" i="118"/>
  <c r="BD1793" i="118"/>
  <c r="BC1794" i="118"/>
  <c r="BD1794" i="118"/>
  <c r="BC1795" i="118"/>
  <c r="BC1796" i="118"/>
  <c r="BD1796" i="118"/>
  <c r="BC1797" i="118"/>
  <c r="BD1797" i="118"/>
  <c r="BC1798" i="118"/>
  <c r="BC1799" i="118"/>
  <c r="BC1800" i="118"/>
  <c r="BD1800" i="118"/>
  <c r="BC1801" i="118"/>
  <c r="BC1803" i="118"/>
  <c r="BC1804" i="118"/>
  <c r="BC1805" i="118"/>
  <c r="BC1806" i="118"/>
  <c r="BC1807" i="118"/>
  <c r="BD1807" i="118"/>
  <c r="BC1808" i="118"/>
  <c r="BD1808" i="118"/>
  <c r="BC1809" i="118"/>
  <c r="BD1809" i="118"/>
  <c r="BC1810" i="118"/>
  <c r="BC1811" i="118"/>
  <c r="BD1811" i="118"/>
  <c r="BC1812" i="118"/>
  <c r="BC1813" i="118"/>
  <c r="BD1813" i="118"/>
  <c r="BC1814" i="118"/>
  <c r="BD1814" i="118"/>
  <c r="BC1815" i="118"/>
  <c r="BC1816" i="118"/>
  <c r="BD1816" i="118"/>
  <c r="BC1817" i="118"/>
  <c r="BD1817" i="118"/>
  <c r="BC1819" i="118"/>
  <c r="BC1820" i="118"/>
  <c r="BC1821" i="118"/>
  <c r="BD1821" i="118"/>
  <c r="BC1822" i="118"/>
  <c r="BD1822" i="118"/>
  <c r="BC1823" i="118"/>
  <c r="BC1825" i="118"/>
  <c r="BD1825" i="118"/>
  <c r="BC1828" i="118"/>
  <c r="BD1828" i="118"/>
  <c r="BC1829" i="118"/>
  <c r="BD1829" i="118"/>
  <c r="BC1830" i="118"/>
  <c r="BD1830" i="118"/>
  <c r="BC1831" i="118"/>
  <c r="BD1831" i="118"/>
  <c r="BC1832" i="118"/>
  <c r="BD1832" i="118"/>
  <c r="BC1833" i="118"/>
  <c r="BD1833" i="118"/>
  <c r="BC1834" i="118"/>
  <c r="BD1834" i="118"/>
  <c r="BC1835" i="118"/>
  <c r="BD1835" i="118"/>
  <c r="BC1836" i="118"/>
  <c r="BD1836" i="118"/>
  <c r="BC1837" i="118"/>
  <c r="BD1837" i="118"/>
  <c r="BC1838" i="118"/>
  <c r="BD1838" i="118"/>
  <c r="BC1839" i="118"/>
  <c r="BD1839" i="118"/>
  <c r="BC1840" i="118"/>
  <c r="BD1840" i="118"/>
  <c r="BC1841" i="118"/>
  <c r="BD1841" i="118"/>
  <c r="BC1842" i="118"/>
  <c r="BD1842" i="118"/>
  <c r="BC1843" i="118"/>
  <c r="BC1844" i="118"/>
  <c r="BC1845" i="118"/>
  <c r="BD1845" i="118"/>
  <c r="BC1846" i="118"/>
  <c r="BD1846" i="118"/>
  <c r="BC1847" i="118"/>
  <c r="BC1848" i="118"/>
  <c r="BD1848" i="118"/>
  <c r="BC1849" i="118"/>
  <c r="BD1849" i="118"/>
  <c r="BC1850" i="118"/>
  <c r="BD1850" i="118"/>
  <c r="BC1851" i="118"/>
  <c r="BD1851" i="118"/>
  <c r="BC1852" i="118"/>
  <c r="BD1852" i="118"/>
  <c r="BC1853" i="118"/>
  <c r="BD1853" i="118"/>
  <c r="BC1854" i="118"/>
  <c r="BD1854" i="118"/>
  <c r="BC1855" i="118"/>
  <c r="BD1855" i="118"/>
  <c r="BC1856" i="118"/>
  <c r="BC1857" i="118"/>
  <c r="BD1857" i="118"/>
  <c r="BC1858" i="118"/>
  <c r="BD1858" i="118"/>
  <c r="BC1859" i="118"/>
  <c r="BD1859" i="118"/>
  <c r="BC1860" i="118"/>
  <c r="BC1861" i="118"/>
  <c r="BD1861" i="118"/>
  <c r="BC1862" i="118"/>
  <c r="BD1862" i="118"/>
  <c r="BC1863" i="118"/>
  <c r="BD1863" i="118"/>
  <c r="BC1864" i="118"/>
  <c r="BD1864" i="118"/>
  <c r="BC1866" i="118"/>
  <c r="BD1866" i="118"/>
  <c r="BC1867" i="118"/>
  <c r="BD1867" i="118"/>
  <c r="BC1868" i="118"/>
  <c r="BD1868" i="118"/>
  <c r="BC1869" i="118"/>
  <c r="BD1869" i="118"/>
  <c r="BC1870" i="118"/>
  <c r="BC1871" i="118"/>
  <c r="BC1872" i="118"/>
  <c r="BC1873" i="118"/>
  <c r="BD1873" i="118"/>
  <c r="BC1874" i="118"/>
  <c r="BD1874" i="118"/>
  <c r="BC1875" i="118"/>
  <c r="BC1876" i="118"/>
  <c r="BC1877" i="118"/>
  <c r="BC1878" i="118"/>
  <c r="BC1879" i="118"/>
  <c r="BD1879" i="118"/>
  <c r="BC1880" i="118"/>
  <c r="BD1880" i="118"/>
  <c r="BC1881" i="118"/>
  <c r="BD1881" i="118"/>
  <c r="BC1882" i="118"/>
  <c r="BD1882" i="118"/>
  <c r="BC1883" i="118"/>
  <c r="BD1883" i="118"/>
  <c r="BC1884" i="118"/>
  <c r="BD1884" i="118"/>
  <c r="BC1885" i="118"/>
  <c r="BD1885" i="118"/>
  <c r="BC1886" i="118"/>
  <c r="BD1886" i="118"/>
  <c r="BC1887" i="118"/>
  <c r="BD1887" i="118"/>
  <c r="BC1888" i="118"/>
  <c r="BD1888" i="118"/>
  <c r="BC1889" i="118"/>
  <c r="BC1890" i="118"/>
  <c r="BD1890" i="118"/>
  <c r="BC1891" i="118"/>
  <c r="BD1891" i="118"/>
  <c r="BC1892" i="118"/>
  <c r="BD1892" i="118"/>
  <c r="BC1894" i="118"/>
  <c r="BD1894" i="118"/>
  <c r="BC1895" i="118"/>
  <c r="BD1895" i="118"/>
  <c r="BC1896" i="118"/>
  <c r="BD1896" i="118"/>
  <c r="BC1897" i="118"/>
  <c r="BD1897" i="118"/>
  <c r="BC1898" i="118"/>
  <c r="BD1898" i="118"/>
  <c r="BC1899" i="118"/>
  <c r="BD1899" i="118"/>
  <c r="BC1900" i="118"/>
  <c r="BD1900" i="118"/>
  <c r="BC1901" i="118"/>
  <c r="BD1901" i="118"/>
  <c r="BC1902" i="118"/>
  <c r="BD1902" i="118"/>
  <c r="BC1903" i="118"/>
  <c r="BD1903" i="118"/>
  <c r="BC1904" i="118"/>
  <c r="BD1904" i="118"/>
  <c r="BC1906" i="118"/>
  <c r="BD1906" i="118"/>
  <c r="BC1907" i="118"/>
  <c r="BD1907" i="118"/>
  <c r="BC1908" i="118"/>
  <c r="BD1908" i="118"/>
  <c r="BC1909" i="118"/>
  <c r="BD1909" i="118"/>
  <c r="BC1910" i="118"/>
  <c r="BD1910" i="118"/>
  <c r="BC1911" i="118"/>
  <c r="BC1912" i="118"/>
  <c r="BD1912" i="118"/>
  <c r="BC1913" i="118"/>
  <c r="BD1913" i="118"/>
  <c r="BC1914" i="118"/>
  <c r="BD1914" i="118"/>
  <c r="BC1915" i="118"/>
  <c r="BD1915" i="118"/>
  <c r="BC1916" i="118"/>
  <c r="BD1916" i="118"/>
  <c r="BC1917" i="118"/>
  <c r="BD1917" i="118"/>
  <c r="BC1918" i="118"/>
  <c r="BD1918" i="118"/>
  <c r="BC1919" i="118"/>
  <c r="BD1919" i="118"/>
  <c r="BC1920" i="118"/>
  <c r="BD1920" i="118"/>
  <c r="BC1921" i="118"/>
  <c r="BD1921" i="118"/>
  <c r="BC1922" i="118"/>
  <c r="BD1922" i="118"/>
  <c r="BC1923" i="118"/>
  <c r="BD1923" i="118"/>
  <c r="BC1924" i="118"/>
  <c r="BD1924" i="118"/>
  <c r="BC1925" i="118"/>
  <c r="BD1925" i="118"/>
  <c r="BC1926" i="118"/>
  <c r="BD1926" i="118"/>
  <c r="BC1927" i="118"/>
  <c r="BD1927" i="118"/>
  <c r="BC1928" i="118"/>
  <c r="BD1928" i="118"/>
  <c r="BC1929" i="118"/>
  <c r="BD1929" i="118"/>
  <c r="BC1930" i="118"/>
  <c r="BD1930" i="118"/>
  <c r="BC1931" i="118"/>
  <c r="BD1931" i="118"/>
  <c r="BC1932" i="118"/>
  <c r="BD1932" i="118"/>
  <c r="BC1933" i="118"/>
  <c r="BD1933" i="118"/>
  <c r="BC1934" i="118"/>
  <c r="BD1934" i="118"/>
  <c r="BC1935" i="118"/>
  <c r="BD1935" i="118"/>
  <c r="BC1936" i="118"/>
  <c r="BD1936" i="118"/>
  <c r="BC1937" i="118"/>
  <c r="BD1937" i="118"/>
  <c r="BC1938" i="118"/>
  <c r="BD1938" i="118"/>
  <c r="BC1939" i="118"/>
  <c r="BD1939" i="118"/>
  <c r="BC1940" i="118"/>
  <c r="BD1940" i="118"/>
  <c r="BC1941" i="118"/>
  <c r="BD1941" i="118"/>
  <c r="BC1942" i="118"/>
  <c r="BD1942" i="118"/>
  <c r="BC1943" i="118"/>
  <c r="BD1943" i="118"/>
  <c r="BC1944" i="118"/>
  <c r="BD1944" i="118"/>
  <c r="BC1945" i="118"/>
  <c r="BD1945" i="118"/>
  <c r="BC1946" i="118"/>
  <c r="BD1946" i="118"/>
  <c r="BC1947" i="118"/>
  <c r="BD1947" i="118"/>
  <c r="BC1948" i="118"/>
  <c r="BD1948" i="118"/>
  <c r="BC1949" i="118"/>
  <c r="BD1949" i="118"/>
  <c r="BC1950" i="118"/>
  <c r="BD1950" i="118"/>
  <c r="BC1951" i="118"/>
  <c r="BD1951" i="118"/>
  <c r="BC1952" i="118"/>
  <c r="BD1952" i="118"/>
  <c r="BC1953" i="118"/>
  <c r="BD1953" i="118"/>
  <c r="BC1954" i="118"/>
  <c r="BC1955" i="118"/>
  <c r="BD1955" i="118"/>
  <c r="BC1956" i="118"/>
  <c r="BD1956" i="118"/>
  <c r="BC1957" i="118"/>
  <c r="BD1957" i="118"/>
  <c r="BC1958" i="118"/>
  <c r="BC1959" i="118"/>
  <c r="BC1960" i="118"/>
  <c r="BC1961" i="118"/>
  <c r="BD1961" i="118"/>
  <c r="BC1962" i="118"/>
  <c r="BD1962" i="118"/>
  <c r="BC1964" i="118"/>
  <c r="BD1964" i="118"/>
  <c r="BC1965" i="118"/>
  <c r="BC1967" i="118"/>
  <c r="BD1967" i="118"/>
  <c r="BC1969" i="118"/>
  <c r="BD1969" i="118"/>
  <c r="BC1970" i="118"/>
  <c r="BD1970" i="118"/>
  <c r="BC1971" i="118"/>
  <c r="BD1971" i="118"/>
  <c r="BC1972" i="118"/>
  <c r="BD1972" i="118"/>
  <c r="BC1973" i="118"/>
  <c r="BD1973" i="118"/>
  <c r="BC1974" i="118"/>
  <c r="BD1974" i="118"/>
  <c r="BC1975" i="118"/>
  <c r="BD1975" i="118"/>
  <c r="BC1976" i="118"/>
  <c r="BD1976" i="118"/>
  <c r="BC1977" i="118"/>
  <c r="BD1977" i="118"/>
  <c r="BC1978" i="118"/>
  <c r="BD1978" i="118"/>
  <c r="BC1979" i="118"/>
  <c r="BC1980" i="118"/>
  <c r="BC1981" i="118"/>
  <c r="BD1981" i="118"/>
  <c r="BC1982" i="118"/>
  <c r="BD1982" i="118"/>
  <c r="BC1983" i="118"/>
  <c r="BD1983" i="118"/>
  <c r="BC1984" i="118"/>
  <c r="BD1984" i="118"/>
  <c r="BC1985" i="118"/>
  <c r="BD1985" i="118"/>
  <c r="BC1986" i="118"/>
  <c r="BC1987" i="118"/>
  <c r="BD1987" i="118"/>
  <c r="BC1988" i="118"/>
  <c r="BD1988" i="118"/>
  <c r="BC1989" i="118"/>
  <c r="BD1989" i="118"/>
  <c r="BC1990" i="118"/>
  <c r="BD1990" i="118"/>
  <c r="BC1991" i="118"/>
  <c r="BC1992" i="118"/>
  <c r="BD1992" i="118"/>
  <c r="BC1993" i="118"/>
  <c r="BD1993" i="118"/>
  <c r="BC1994" i="118"/>
  <c r="BD1994" i="118"/>
  <c r="BC1995" i="118"/>
  <c r="BD1995" i="118"/>
  <c r="BC1996" i="118"/>
  <c r="BD1996" i="118"/>
  <c r="BC1997" i="118"/>
  <c r="BD1997" i="118"/>
  <c r="BC1998" i="118"/>
  <c r="BD1998" i="118"/>
  <c r="BC1999" i="118"/>
  <c r="BC2000" i="118"/>
  <c r="BD2000" i="118"/>
  <c r="BC2001" i="118"/>
  <c r="BD2001" i="118"/>
  <c r="BC2002" i="118"/>
  <c r="BD2002" i="118"/>
  <c r="BC2003" i="118"/>
  <c r="BD2003" i="118"/>
  <c r="BC2004" i="118"/>
  <c r="BC2005" i="118"/>
  <c r="BD2005" i="118"/>
  <c r="BC2006" i="118"/>
  <c r="BC2007" i="118"/>
  <c r="BD2007" i="118"/>
  <c r="BC2008" i="118"/>
  <c r="BC2009" i="118"/>
  <c r="BD2009" i="118"/>
  <c r="BC2010" i="118"/>
  <c r="BD2010" i="118"/>
  <c r="BC2011" i="118"/>
  <c r="BC2012" i="118"/>
  <c r="BD2012" i="118"/>
  <c r="BC2013" i="118"/>
  <c r="BD2013" i="118"/>
  <c r="BC2014" i="118"/>
  <c r="BD2014" i="118"/>
  <c r="BC2015" i="118"/>
  <c r="BD2015" i="118"/>
  <c r="BC2016" i="118"/>
  <c r="BD2016" i="118"/>
  <c r="BC2017" i="118"/>
  <c r="BD2017" i="118"/>
  <c r="BC2018" i="118"/>
  <c r="BD2018" i="118"/>
  <c r="BC2019" i="118"/>
  <c r="BD2019" i="118"/>
  <c r="BC2020" i="118"/>
  <c r="BD2020" i="118"/>
  <c r="BC2021" i="118"/>
  <c r="BD2021" i="118"/>
  <c r="BC2022" i="118"/>
  <c r="BD2022" i="118"/>
  <c r="BC2023" i="118"/>
  <c r="BD2023" i="118"/>
  <c r="BC2024" i="118"/>
  <c r="BD2024" i="118"/>
  <c r="BC2025" i="118"/>
  <c r="BD2025" i="118"/>
  <c r="BC2026" i="118"/>
  <c r="BD2026" i="118"/>
  <c r="BC2027" i="118"/>
  <c r="BD2027" i="118"/>
  <c r="BC2028" i="118"/>
  <c r="BD2028" i="118"/>
  <c r="BC2030" i="118"/>
  <c r="BD2030" i="118"/>
  <c r="BC2031" i="118"/>
  <c r="BD2031" i="118"/>
  <c r="BC2032" i="118"/>
  <c r="BC2033" i="118"/>
  <c r="BD2033" i="118"/>
  <c r="BC2034" i="118"/>
  <c r="BD2034" i="118"/>
  <c r="BC2035" i="118"/>
  <c r="BD2035" i="118"/>
  <c r="BC2036" i="118"/>
  <c r="BD2036" i="118"/>
  <c r="BC2037" i="118"/>
  <c r="BC2038" i="118"/>
  <c r="BD2038" i="118"/>
  <c r="BC2039" i="118"/>
  <c r="BD2039" i="118"/>
  <c r="BC2040" i="118"/>
  <c r="BD2040" i="118"/>
  <c r="BC2041" i="118"/>
  <c r="BD2041" i="118"/>
  <c r="BC2042" i="118"/>
  <c r="BD2042" i="118"/>
  <c r="BC2043" i="118"/>
  <c r="BC2044" i="118"/>
  <c r="BD2044" i="118"/>
  <c r="BC2045" i="118"/>
  <c r="BC2046" i="118"/>
  <c r="BC2047" i="118"/>
  <c r="BD2047" i="118"/>
  <c r="BC2048" i="118"/>
  <c r="BD2048" i="118"/>
  <c r="BC2049" i="118"/>
  <c r="BC2050" i="118"/>
  <c r="BD2050" i="118"/>
  <c r="BC2051" i="118"/>
  <c r="BD2051" i="118"/>
  <c r="BC2052" i="118"/>
  <c r="BD2052" i="118"/>
  <c r="BC2053" i="118"/>
  <c r="BD2053" i="118"/>
  <c r="BC2054" i="118"/>
  <c r="BD2054" i="118"/>
  <c r="BC2055" i="118"/>
  <c r="BD2055" i="118"/>
  <c r="BC2056" i="118"/>
  <c r="BD2056" i="118"/>
  <c r="BC2057" i="118"/>
  <c r="BD2057" i="118"/>
  <c r="BC2058" i="118"/>
  <c r="BD2058" i="118"/>
  <c r="BC2059" i="118"/>
  <c r="BD2059" i="118"/>
  <c r="BC2060" i="118"/>
  <c r="BC2061" i="118"/>
  <c r="BD2061" i="118"/>
  <c r="BC2062" i="118"/>
  <c r="BD2062" i="118"/>
  <c r="BC2063" i="118"/>
  <c r="BD2063" i="118"/>
  <c r="BC2064" i="118"/>
  <c r="BD2064" i="118"/>
  <c r="BC2065" i="118"/>
  <c r="BD2065" i="118"/>
  <c r="BC2066" i="118"/>
  <c r="BD2066" i="118"/>
  <c r="BC2067" i="118"/>
  <c r="BD2067" i="118"/>
  <c r="BC2068" i="118"/>
  <c r="BD2068" i="118"/>
  <c r="BC2069" i="118"/>
  <c r="BD2069" i="118"/>
  <c r="BC2070" i="118"/>
  <c r="BD2070" i="118"/>
  <c r="BC2071" i="118"/>
  <c r="BD2071" i="118"/>
  <c r="BC2072" i="118"/>
  <c r="BD2072" i="118"/>
  <c r="BC2073" i="118"/>
  <c r="BD2073" i="118"/>
  <c r="BC2074" i="118"/>
  <c r="BD2074" i="118"/>
  <c r="BC2075" i="118"/>
  <c r="BD2075" i="118"/>
  <c r="BC2076" i="118"/>
  <c r="BD2076" i="118"/>
  <c r="BC2077" i="118"/>
  <c r="BC2078" i="118"/>
  <c r="BC2079" i="118"/>
  <c r="BD2079" i="118"/>
  <c r="BC2080" i="118"/>
  <c r="BD2080" i="118"/>
  <c r="BC2081" i="118"/>
  <c r="BC2082" i="118"/>
  <c r="BC2084" i="118"/>
  <c r="BD2084" i="118"/>
  <c r="BC2085" i="118"/>
  <c r="BD2085" i="118"/>
  <c r="BC2086" i="118"/>
  <c r="BD2086" i="118"/>
  <c r="BC2087" i="118"/>
  <c r="BD2087" i="118"/>
  <c r="BC2088" i="118"/>
  <c r="BC2089" i="118"/>
  <c r="BD2089" i="118"/>
  <c r="BC2091" i="118"/>
  <c r="BD2091" i="118"/>
  <c r="BC2092" i="118"/>
  <c r="BD2092" i="118"/>
  <c r="BC2093" i="118"/>
  <c r="BD2093" i="118"/>
  <c r="BC2094" i="118"/>
  <c r="BD2094" i="118"/>
  <c r="BC2095" i="118"/>
  <c r="BD2095" i="118"/>
  <c r="BC2096" i="118"/>
  <c r="BD2096" i="118"/>
  <c r="BC2097" i="118"/>
  <c r="BD2097" i="118"/>
  <c r="BC2098" i="118"/>
  <c r="BD2098" i="118"/>
  <c r="BC2099" i="118"/>
  <c r="BD2099" i="118"/>
  <c r="BC2100" i="118"/>
  <c r="BD2100" i="118"/>
  <c r="BC2101" i="118"/>
  <c r="BD2101" i="118"/>
  <c r="BC2102" i="118"/>
  <c r="BD2102" i="118"/>
  <c r="BC2103" i="118"/>
  <c r="BD2103" i="118"/>
  <c r="BC2104" i="118"/>
  <c r="BD2104" i="118"/>
  <c r="BC2105" i="118"/>
  <c r="BD2105" i="118"/>
  <c r="BC2106" i="118"/>
  <c r="BD2106" i="118"/>
  <c r="BC2107" i="118"/>
  <c r="BD2107" i="118"/>
  <c r="BC2108" i="118"/>
  <c r="BD2108" i="118"/>
  <c r="BC2109" i="118"/>
  <c r="BD2109" i="118"/>
  <c r="BC2110" i="118"/>
  <c r="BD2110" i="118"/>
  <c r="BC2111" i="118"/>
  <c r="BD2111" i="118"/>
  <c r="BC2112" i="118"/>
  <c r="BD2112" i="118"/>
  <c r="BC2113" i="118"/>
  <c r="BD2113" i="118"/>
  <c r="BC2114" i="118"/>
  <c r="BD2114" i="118"/>
  <c r="BC2115" i="118"/>
  <c r="BD2115" i="118"/>
  <c r="BC2116" i="118"/>
  <c r="BD2116" i="118"/>
  <c r="BC2117" i="118"/>
  <c r="BD2117" i="118"/>
  <c r="BC2118" i="118"/>
  <c r="BD2118" i="118"/>
  <c r="BC2119" i="118"/>
  <c r="BD2119" i="118"/>
  <c r="BC2120" i="118"/>
  <c r="BD2120" i="118"/>
  <c r="BC2121" i="118"/>
  <c r="BD2121" i="118"/>
  <c r="BC2122" i="118"/>
  <c r="BD2122" i="118"/>
  <c r="BC2123" i="118"/>
  <c r="BD2123" i="118"/>
  <c r="BC2124" i="118"/>
  <c r="BD2124" i="118"/>
  <c r="BC2125" i="118"/>
  <c r="BD2125" i="118"/>
  <c r="BC2126" i="118"/>
  <c r="BD2126" i="118"/>
  <c r="BC2128" i="118"/>
  <c r="BD2128" i="118"/>
  <c r="BC2129" i="118"/>
  <c r="BD2129" i="118"/>
  <c r="BC2130" i="118"/>
  <c r="BD2130" i="118"/>
  <c r="BC2131" i="118"/>
  <c r="BD2131" i="118"/>
  <c r="BC2132" i="118"/>
  <c r="BD2132" i="118"/>
  <c r="BC2133" i="118"/>
  <c r="BD2133" i="118"/>
  <c r="BC2134" i="118"/>
  <c r="BD2134" i="118"/>
  <c r="BC2135" i="118"/>
  <c r="BD2135" i="118"/>
  <c r="BC2136" i="118"/>
  <c r="BD2136" i="118"/>
  <c r="BC2137" i="118"/>
  <c r="BD2137" i="118"/>
  <c r="BC2138" i="118"/>
  <c r="BD2138" i="118"/>
  <c r="BC2139" i="118"/>
  <c r="BD2139" i="118"/>
  <c r="BC2140" i="118"/>
  <c r="BD2140" i="118"/>
  <c r="BC2142" i="118"/>
  <c r="BD2142" i="118"/>
  <c r="BC2144" i="118"/>
  <c r="BD2144" i="118"/>
  <c r="BC2145" i="118"/>
  <c r="BD2145" i="118"/>
  <c r="BC2146" i="118"/>
  <c r="BD2146" i="118"/>
  <c r="BC2147" i="118"/>
  <c r="BD2147" i="118"/>
  <c r="BC2148" i="118"/>
  <c r="BD2148" i="118"/>
  <c r="BC2149" i="118"/>
  <c r="BD2149" i="118"/>
  <c r="BC2150" i="118"/>
  <c r="BD2150" i="118"/>
  <c r="BC2151" i="118"/>
  <c r="BD2151" i="118"/>
  <c r="BC2152" i="118"/>
  <c r="BD2152" i="118"/>
  <c r="BC2153" i="118"/>
  <c r="BD2153" i="118"/>
  <c r="BC2154" i="118"/>
  <c r="BD2154" i="118"/>
  <c r="BC2155" i="118"/>
  <c r="BD2155" i="118"/>
  <c r="BC2156" i="118"/>
  <c r="BD2156" i="118"/>
  <c r="BC2157" i="118"/>
  <c r="BD2157" i="118"/>
  <c r="BC2158" i="118"/>
  <c r="BD2158" i="118"/>
  <c r="BC2159" i="118"/>
  <c r="BD2159" i="118"/>
  <c r="BC2160" i="118"/>
  <c r="BD2160" i="118"/>
  <c r="BC2164" i="118"/>
  <c r="BD2164" i="118"/>
  <c r="BC2162" i="118"/>
  <c r="BD2162" i="118"/>
  <c r="BC2163" i="118"/>
  <c r="BD2163" i="118"/>
  <c r="BC2165" i="118"/>
  <c r="BD2165" i="118"/>
  <c r="BC2166" i="118"/>
  <c r="BD2166" i="118"/>
  <c r="BC2167" i="118"/>
  <c r="BD2167" i="118"/>
  <c r="BC2168" i="118"/>
  <c r="BD2168" i="118"/>
  <c r="BC2169" i="118"/>
  <c r="BD2169" i="118"/>
  <c r="BC2170" i="118"/>
  <c r="BD2170" i="118"/>
  <c r="BC2171" i="118"/>
  <c r="BD2171" i="118"/>
  <c r="BC2172" i="118"/>
  <c r="BD2172" i="118"/>
  <c r="BC2173" i="118"/>
  <c r="BD2173" i="118"/>
  <c r="BC2174" i="118"/>
  <c r="BD2174" i="118"/>
  <c r="BC2175" i="118"/>
  <c r="BD2175" i="118"/>
  <c r="BC2176" i="118"/>
  <c r="BD2176" i="118"/>
  <c r="BC2177" i="118"/>
  <c r="BD2177" i="118"/>
  <c r="BC2178" i="118"/>
  <c r="BD2178" i="118"/>
  <c r="BC2179" i="118"/>
  <c r="BD2179" i="118"/>
  <c r="BC2180" i="118"/>
  <c r="BD2180" i="118"/>
  <c r="BC2181" i="118"/>
  <c r="BD2181" i="118"/>
  <c r="BC2182" i="118"/>
  <c r="BC2183" i="118"/>
  <c r="BC2184" i="118"/>
  <c r="BD2184" i="118"/>
  <c r="BC2185" i="118"/>
  <c r="BD2185" i="118"/>
  <c r="BC2186" i="118"/>
  <c r="BD2186" i="118"/>
  <c r="BC2187" i="118"/>
  <c r="BD2187" i="118"/>
  <c r="BC2188" i="118"/>
  <c r="BD2188" i="118"/>
  <c r="BC2189" i="118"/>
  <c r="BC2190" i="118"/>
  <c r="BC2191" i="118"/>
  <c r="BD2191" i="118"/>
  <c r="BC2192" i="118"/>
  <c r="BD2192" i="118"/>
  <c r="BC2193" i="118"/>
  <c r="BC2194" i="118"/>
  <c r="BC2195" i="118"/>
  <c r="BC2196" i="118"/>
  <c r="BC2197" i="118"/>
  <c r="BD2197" i="118"/>
  <c r="BC2198" i="118"/>
  <c r="BD2198" i="118"/>
  <c r="BC2199" i="118"/>
  <c r="BD2199" i="118"/>
  <c r="BC2200" i="118"/>
  <c r="BD2200" i="118"/>
  <c r="BC2201" i="118"/>
  <c r="BD2201" i="118"/>
  <c r="BC2202" i="118"/>
  <c r="BC2203" i="118"/>
  <c r="BD2203" i="118"/>
  <c r="BC2205" i="118"/>
  <c r="BC2206" i="118"/>
  <c r="BC2207" i="118"/>
  <c r="BC2208" i="118"/>
  <c r="BD2208" i="118"/>
  <c r="BC2209" i="118"/>
  <c r="BD2209" i="118"/>
  <c r="BC2211" i="118"/>
  <c r="BD2211" i="118"/>
  <c r="BC2212" i="118"/>
  <c r="BD2212" i="118"/>
  <c r="BC2213" i="118"/>
  <c r="BD2213" i="118"/>
  <c r="BC2214" i="118"/>
  <c r="BD2214" i="118"/>
  <c r="BC2215" i="118"/>
  <c r="BD2215" i="118"/>
  <c r="BC2216" i="118"/>
  <c r="BD2216" i="118"/>
  <c r="BC2218" i="118"/>
  <c r="BC2221" i="118"/>
  <c r="BD2221" i="118"/>
  <c r="BC2222" i="118"/>
  <c r="BC2224" i="118"/>
  <c r="BC2225" i="118"/>
  <c r="BD2225" i="118"/>
  <c r="BC2229" i="118"/>
  <c r="BD2229" i="118"/>
  <c r="BC2230" i="118"/>
  <c r="BD2230" i="118"/>
  <c r="BC2231" i="118"/>
  <c r="BD2231" i="118"/>
  <c r="BC2232" i="118"/>
  <c r="BD2232" i="118"/>
  <c r="BC2234" i="118"/>
  <c r="BD2234" i="118"/>
  <c r="BC2236" i="118"/>
  <c r="BC2237" i="118"/>
  <c r="BD2237" i="118"/>
  <c r="BC2238" i="118"/>
  <c r="BD2238" i="118"/>
  <c r="BC2239" i="118"/>
  <c r="BD2239" i="118"/>
  <c r="BC2240" i="118"/>
  <c r="BD2240" i="118"/>
  <c r="BC2241" i="118"/>
  <c r="BD2241" i="118"/>
  <c r="BC2242" i="118"/>
  <c r="BD2242" i="118"/>
  <c r="BC2243" i="118"/>
  <c r="BD2243" i="118"/>
  <c r="BC2244" i="118"/>
  <c r="BD2244" i="118"/>
  <c r="BC2246" i="118"/>
  <c r="BD2246" i="118"/>
  <c r="BC2247" i="118"/>
  <c r="BC2248" i="118"/>
  <c r="BC2249" i="118"/>
  <c r="BD2249" i="118"/>
  <c r="BC2250" i="118"/>
  <c r="BC2251" i="118"/>
  <c r="BD2251" i="118"/>
  <c r="BC2252" i="118"/>
  <c r="BD2252" i="118"/>
  <c r="BC2253" i="118"/>
  <c r="BC2254" i="118"/>
  <c r="BD2254" i="118"/>
  <c r="BC2255" i="118"/>
  <c r="BC2256" i="118"/>
  <c r="BD2256" i="118"/>
  <c r="BC2257" i="118"/>
  <c r="BD2257" i="118"/>
  <c r="BC2258" i="118"/>
  <c r="BC2259" i="118"/>
  <c r="BD2259" i="118"/>
  <c r="BC2260" i="118"/>
  <c r="BD2260" i="118"/>
  <c r="BC2261" i="118"/>
  <c r="BC2262" i="118"/>
  <c r="BD2262" i="118"/>
  <c r="BC2263" i="118"/>
  <c r="BD2263" i="118"/>
  <c r="BC2264" i="118"/>
  <c r="BC2265" i="118"/>
  <c r="BC2266" i="118"/>
  <c r="BD2266" i="118"/>
  <c r="BC2267" i="118"/>
  <c r="BC2268" i="118"/>
  <c r="BD2268" i="118"/>
  <c r="BC2269" i="118"/>
  <c r="BD2269" i="118"/>
  <c r="BC2270" i="118"/>
  <c r="BD2270" i="118"/>
  <c r="BC2271" i="118"/>
  <c r="BD2271" i="118"/>
  <c r="BC2272" i="118"/>
  <c r="BD2272" i="118"/>
  <c r="BC2273" i="118"/>
  <c r="BD2273" i="118"/>
  <c r="BC2274" i="118"/>
  <c r="BD2274" i="118"/>
  <c r="BC2275" i="118"/>
  <c r="BD2275" i="118"/>
  <c r="BC2276" i="118"/>
  <c r="BD2276" i="118"/>
  <c r="BC2277" i="118"/>
  <c r="BD2277" i="118"/>
  <c r="BC2278" i="118"/>
  <c r="BD2278" i="118"/>
  <c r="BC2279" i="118"/>
  <c r="BD2279" i="118"/>
  <c r="BC2280" i="118"/>
  <c r="BD2280" i="118"/>
  <c r="BC2281" i="118"/>
  <c r="BD2281" i="118"/>
  <c r="BC2282" i="118"/>
  <c r="BD2282" i="118"/>
  <c r="BC2283" i="118"/>
  <c r="BD2283" i="118"/>
  <c r="BC2284" i="118"/>
  <c r="BD2284" i="118"/>
  <c r="BC2285" i="118"/>
  <c r="BD2285" i="118"/>
  <c r="BC2286" i="118"/>
  <c r="BD2286" i="118"/>
  <c r="BC2287" i="118"/>
  <c r="BD2287" i="118"/>
  <c r="BC2288" i="118"/>
  <c r="BD2288" i="118"/>
  <c r="BC2289" i="118"/>
  <c r="BD2289" i="118"/>
  <c r="BC2290" i="118"/>
  <c r="BD2290" i="118"/>
  <c r="BC2291" i="118"/>
  <c r="BD2291" i="118"/>
  <c r="BC2292" i="118"/>
  <c r="BD2292" i="118"/>
  <c r="BC2293" i="118"/>
  <c r="BD2293" i="118"/>
  <c r="BC2294" i="118"/>
  <c r="BD2294" i="118"/>
  <c r="BC2295" i="118"/>
  <c r="BD2295" i="118"/>
  <c r="BC2296" i="118"/>
  <c r="BD2296" i="118"/>
  <c r="BC2297" i="118"/>
  <c r="BD2297" i="118"/>
  <c r="BC2298" i="118"/>
  <c r="BD2298" i="118"/>
  <c r="BC2299" i="118"/>
  <c r="BD2299" i="118"/>
  <c r="BC2300" i="118"/>
  <c r="BD2300" i="118"/>
  <c r="BC2301" i="118"/>
  <c r="BD2301" i="118"/>
  <c r="BC2302" i="118"/>
  <c r="BD2302" i="118"/>
  <c r="BC2303" i="118"/>
  <c r="BD2303" i="118"/>
  <c r="BC2304" i="118"/>
  <c r="BD2304" i="118"/>
  <c r="BC2305" i="118"/>
  <c r="BD2305" i="118"/>
  <c r="BC2306" i="118"/>
  <c r="BD2306" i="118"/>
  <c r="BC2307" i="118"/>
  <c r="BD2307" i="118"/>
  <c r="BC2308" i="118"/>
  <c r="BD2308" i="118"/>
  <c r="BC2309" i="118"/>
  <c r="BD2309" i="118"/>
  <c r="BC2310" i="118"/>
  <c r="BD2310" i="118"/>
  <c r="BC2311" i="118"/>
  <c r="BD2311" i="118"/>
  <c r="BC2312" i="118"/>
  <c r="BD2312" i="118"/>
  <c r="BC2313" i="118"/>
  <c r="BD2313" i="118"/>
  <c r="BC2314" i="118"/>
  <c r="BD2314" i="118"/>
  <c r="BC2315" i="118"/>
  <c r="BD2315" i="118"/>
  <c r="BC2316" i="118"/>
  <c r="BD2316" i="118"/>
  <c r="BC2317" i="118"/>
  <c r="BD2317" i="118"/>
  <c r="BC2318" i="118"/>
  <c r="BD2318" i="118"/>
  <c r="BC2319" i="118"/>
  <c r="BD2319" i="118"/>
  <c r="BC2321" i="118"/>
  <c r="BC2322" i="118"/>
  <c r="BC2323" i="118"/>
  <c r="BD2323" i="118"/>
  <c r="BC2324" i="118"/>
  <c r="BD2324" i="118"/>
  <c r="BC2325" i="118"/>
  <c r="BD2325" i="118"/>
  <c r="BC2326" i="118"/>
  <c r="BC2328" i="118"/>
  <c r="BD2328" i="118"/>
  <c r="BC2329" i="118"/>
  <c r="BD2329" i="118"/>
  <c r="BC2330" i="118"/>
  <c r="BD2330" i="118"/>
  <c r="BC2332" i="118"/>
  <c r="BD2332" i="118"/>
  <c r="BG2332" i="118" s="1"/>
  <c r="BI2332" i="118" s="1"/>
  <c r="BC2333" i="118"/>
  <c r="BC2334" i="118"/>
  <c r="BD2334" i="118"/>
  <c r="BC2335" i="118"/>
  <c r="BD2335" i="118"/>
  <c r="BC2336" i="118"/>
  <c r="BD2336" i="118"/>
  <c r="BC2337" i="118"/>
  <c r="BD2337" i="118"/>
  <c r="BC2338" i="118"/>
  <c r="BD2338" i="118"/>
  <c r="BC2339" i="118"/>
  <c r="BC2340" i="118"/>
  <c r="BC2341" i="118"/>
  <c r="BD2341" i="118"/>
  <c r="BC2342" i="118"/>
  <c r="BC2343" i="118"/>
  <c r="BD2343" i="118"/>
  <c r="BC2344" i="118"/>
  <c r="BD2344" i="118"/>
  <c r="BC2345" i="118"/>
  <c r="BD2345" i="118"/>
  <c r="BC2346" i="118"/>
  <c r="BD2346" i="118"/>
  <c r="BC2347" i="118"/>
  <c r="BC2348" i="118"/>
  <c r="BD2348" i="118"/>
  <c r="BC2349" i="118"/>
  <c r="BD2349" i="118"/>
  <c r="BC2350" i="118"/>
  <c r="BD2350" i="118"/>
  <c r="BC2351" i="118"/>
  <c r="BD2351" i="118"/>
  <c r="BC2352" i="118"/>
  <c r="BC2353" i="118"/>
  <c r="BD2353" i="118"/>
  <c r="BC2354" i="118"/>
  <c r="BD2354" i="118"/>
  <c r="BC2355" i="118"/>
  <c r="BD2355" i="118"/>
  <c r="BC2356" i="118"/>
  <c r="BD2356" i="118"/>
  <c r="BC2357" i="118"/>
  <c r="BC2358" i="118"/>
  <c r="BD2358" i="118"/>
  <c r="BC2359" i="118"/>
  <c r="BD2359" i="118"/>
  <c r="BC2360" i="118"/>
  <c r="BD2360" i="118"/>
  <c r="BC2363" i="118"/>
  <c r="BD2363" i="118"/>
  <c r="BC2364" i="118"/>
  <c r="BD2364" i="118"/>
  <c r="BC2365" i="118"/>
  <c r="BD2365" i="118"/>
  <c r="BC2366" i="118"/>
  <c r="BD2366" i="118"/>
  <c r="BC2367" i="118"/>
  <c r="BD2367" i="118"/>
  <c r="BC2368" i="118"/>
  <c r="BC2369" i="118"/>
  <c r="BC2371" i="118"/>
  <c r="BC2372" i="118"/>
  <c r="BC2373" i="118"/>
  <c r="BC2374" i="118"/>
  <c r="BD2374" i="118"/>
  <c r="BC2375" i="118"/>
  <c r="BC2376" i="118"/>
  <c r="BD2376" i="118"/>
  <c r="BC2377" i="118"/>
  <c r="BD2377" i="118"/>
  <c r="BC2378" i="118"/>
  <c r="BD2378" i="118"/>
  <c r="BC2379" i="118"/>
  <c r="BC2380" i="118"/>
  <c r="BC2381" i="118"/>
  <c r="BC2382" i="118"/>
  <c r="BC2383" i="118"/>
  <c r="BC2384" i="118"/>
  <c r="BC2385" i="118"/>
  <c r="BD2385" i="118"/>
  <c r="BC2386" i="118"/>
  <c r="BD2386" i="118"/>
  <c r="BC2387" i="118"/>
  <c r="BD2387" i="118"/>
  <c r="BC2388" i="118"/>
  <c r="BD2388" i="118"/>
  <c r="BC2389" i="118"/>
  <c r="BD2389" i="118"/>
  <c r="BC2392" i="118"/>
  <c r="BD2392" i="118"/>
  <c r="BC2391" i="118"/>
  <c r="BD2391" i="118"/>
  <c r="BC2393" i="118"/>
  <c r="BD2393" i="118"/>
  <c r="BC2394" i="118"/>
  <c r="BD2394" i="118"/>
  <c r="BC2395" i="118"/>
  <c r="BD2395" i="118"/>
  <c r="BC2396" i="118"/>
  <c r="BD2396" i="118"/>
  <c r="BC2397" i="118"/>
  <c r="BD2397" i="118"/>
  <c r="BC2398" i="118"/>
  <c r="BD2398" i="118"/>
  <c r="BC2399" i="118"/>
  <c r="BD2399" i="118"/>
  <c r="BC2400" i="118"/>
  <c r="BD2400" i="118"/>
  <c r="BC2401" i="118"/>
  <c r="BD2401" i="118"/>
  <c r="BC2402" i="118"/>
  <c r="BD2402" i="118"/>
  <c r="BC2403" i="118"/>
  <c r="BD2403" i="118"/>
  <c r="BC2404" i="118"/>
  <c r="BD2404" i="118"/>
  <c r="BC2405" i="118"/>
  <c r="BC2406" i="118"/>
  <c r="BD2406" i="118"/>
  <c r="BC2407" i="118"/>
  <c r="BD2407" i="118"/>
  <c r="BC2408" i="118"/>
  <c r="BD2408" i="118"/>
  <c r="BC2409" i="118"/>
  <c r="BC2410" i="118"/>
  <c r="BD2410" i="118"/>
  <c r="BC2411" i="118"/>
  <c r="BD2411" i="118"/>
  <c r="BC2412" i="118"/>
  <c r="BC2413" i="118"/>
  <c r="BD2413" i="118"/>
  <c r="BC2414" i="118"/>
  <c r="BD2414" i="118"/>
  <c r="BC2415" i="118"/>
  <c r="BD2415" i="118"/>
  <c r="BC2416" i="118"/>
  <c r="BC2417" i="118"/>
  <c r="BD2417" i="118"/>
  <c r="BC2418" i="118"/>
  <c r="BD2418" i="118"/>
  <c r="BC2419" i="118"/>
  <c r="BD2419" i="118"/>
  <c r="BC2420" i="118"/>
  <c r="BC2421" i="118"/>
  <c r="BD2421" i="118"/>
  <c r="BC2422" i="118"/>
  <c r="BD2422" i="118"/>
  <c r="BC2423" i="118"/>
  <c r="BC2424" i="118"/>
  <c r="BD2424" i="118"/>
  <c r="BC2425" i="118"/>
  <c r="BD2425" i="118"/>
  <c r="BC2426" i="118"/>
  <c r="BC2427" i="118"/>
  <c r="BD2427" i="118"/>
  <c r="BC2428" i="118"/>
  <c r="BD2428" i="118"/>
  <c r="BC2429" i="118"/>
  <c r="BD2429" i="118"/>
  <c r="BC2430" i="118"/>
  <c r="BD2430" i="118"/>
  <c r="BC2431" i="118"/>
  <c r="BD2431" i="118"/>
  <c r="BC2432" i="118"/>
  <c r="BC2433" i="118"/>
  <c r="BD2433" i="118"/>
  <c r="BC2434" i="118"/>
  <c r="BC2435" i="118"/>
  <c r="BD2435" i="118"/>
  <c r="BC2436" i="118"/>
  <c r="BD2436" i="118"/>
  <c r="BC2437" i="118"/>
  <c r="BC2439" i="118"/>
  <c r="BD2439" i="118"/>
  <c r="BC2440" i="118"/>
  <c r="BD2440" i="118"/>
  <c r="BC2442" i="118"/>
  <c r="BC2443" i="118"/>
  <c r="BC2444" i="118"/>
  <c r="BD2444" i="118"/>
  <c r="BC2445" i="118"/>
  <c r="BD2445" i="118"/>
  <c r="BC2446" i="118"/>
  <c r="BD2446" i="118"/>
  <c r="BC2447" i="118"/>
  <c r="BD2447" i="118"/>
  <c r="BC2449" i="118"/>
  <c r="BC2451" i="118"/>
  <c r="BD2451" i="118"/>
  <c r="BC2452" i="118"/>
  <c r="BD2452" i="118"/>
  <c r="BC2453" i="118"/>
  <c r="BC2454" i="118"/>
  <c r="BD2454" i="118"/>
  <c r="BC2455" i="118"/>
  <c r="BC2456" i="118"/>
  <c r="BD2456" i="118"/>
  <c r="BC2457" i="118"/>
  <c r="BC2458" i="118"/>
  <c r="BD2458" i="118"/>
  <c r="BC2459" i="118"/>
  <c r="BD2459" i="118"/>
  <c r="BC2460" i="118"/>
  <c r="BC2461" i="118"/>
  <c r="BD2461" i="118"/>
  <c r="BC2462" i="118"/>
  <c r="BD2462" i="118"/>
  <c r="BC2463" i="118"/>
  <c r="BD2463" i="118"/>
  <c r="BC2464" i="118"/>
  <c r="BD2464" i="118"/>
  <c r="BC2465" i="118"/>
  <c r="BD2465" i="118"/>
  <c r="BC2466" i="118"/>
  <c r="BD2466" i="118"/>
  <c r="BC2467" i="118"/>
  <c r="BD2467" i="118"/>
  <c r="BC2468" i="118"/>
  <c r="BD2468" i="118"/>
  <c r="BC2469" i="118"/>
  <c r="BD2469" i="118"/>
  <c r="BC2470" i="118"/>
  <c r="BD2470" i="118"/>
  <c r="BC2471" i="118"/>
  <c r="BD2471" i="118"/>
  <c r="BC2472" i="118"/>
  <c r="BD2472" i="118"/>
  <c r="BC2473" i="118"/>
  <c r="BD2473" i="118"/>
  <c r="BC2474" i="118"/>
  <c r="BD2474" i="118"/>
  <c r="BC2475" i="118"/>
  <c r="BD2475" i="118"/>
  <c r="BC2476" i="118"/>
  <c r="BD2476" i="118"/>
  <c r="BC2477" i="118"/>
  <c r="BD2477" i="118"/>
  <c r="BC2478" i="118"/>
  <c r="BD2478" i="118"/>
  <c r="BC2479" i="118"/>
  <c r="BD2479" i="118"/>
  <c r="BC2480" i="118"/>
  <c r="BD2480" i="118"/>
  <c r="BC2481" i="118"/>
  <c r="BD2481" i="118"/>
  <c r="BC2482" i="118"/>
  <c r="BD2482" i="118"/>
  <c r="BC2483" i="118"/>
  <c r="BD2483" i="118"/>
  <c r="BC2484" i="118"/>
  <c r="BD2484" i="118"/>
  <c r="BC2485" i="118"/>
  <c r="BD2485" i="118"/>
  <c r="BC2486" i="118"/>
  <c r="BD2486" i="118"/>
  <c r="BC2487" i="118"/>
  <c r="BD2487" i="118"/>
  <c r="BC2488" i="118"/>
  <c r="BD2488" i="118"/>
  <c r="BC2489" i="118"/>
  <c r="BD2489" i="118"/>
  <c r="BC2490" i="118"/>
  <c r="BD2490" i="118"/>
  <c r="BC2491" i="118"/>
  <c r="BD2491" i="118"/>
  <c r="BC2492" i="118"/>
  <c r="BD2492" i="118"/>
  <c r="BC2493" i="118"/>
  <c r="BD2493" i="118"/>
  <c r="BC2494" i="118"/>
  <c r="BD2494" i="118"/>
  <c r="BC2495" i="118"/>
  <c r="BD2495" i="118"/>
  <c r="BC2496" i="118"/>
  <c r="BC2497" i="118"/>
  <c r="BC2498" i="118"/>
  <c r="BD2498" i="118"/>
  <c r="BC2499" i="118"/>
  <c r="BD2499" i="118"/>
  <c r="BC2500" i="118"/>
  <c r="BD2500" i="118"/>
  <c r="BC2501" i="118"/>
  <c r="BD2501" i="118"/>
  <c r="BC2502" i="118"/>
  <c r="BC2503" i="118"/>
  <c r="BC2504" i="118"/>
  <c r="BC2505" i="118"/>
  <c r="BD2505" i="118"/>
  <c r="BC2506" i="118"/>
  <c r="BD2506" i="118"/>
  <c r="BC2507" i="118"/>
  <c r="BD2507" i="118"/>
  <c r="BC2508" i="118"/>
  <c r="BD2508" i="118"/>
  <c r="BC2509" i="118"/>
  <c r="BC2510" i="118"/>
  <c r="BD2510" i="118"/>
  <c r="BC2511" i="118"/>
  <c r="BC2512" i="118"/>
  <c r="BD2512" i="118"/>
  <c r="BC2513" i="118"/>
  <c r="BD2513" i="118"/>
  <c r="BC2514" i="118"/>
  <c r="BD2514" i="118"/>
  <c r="BC2516" i="118"/>
  <c r="BD2516" i="118"/>
  <c r="BC2517" i="118"/>
  <c r="BD2517" i="118"/>
  <c r="BC2518" i="118"/>
  <c r="BD2518" i="118"/>
  <c r="BC2519" i="118"/>
  <c r="BD2519" i="118"/>
  <c r="BC2520" i="118"/>
  <c r="BC2521" i="118"/>
  <c r="BD2521" i="118"/>
  <c r="BC2523" i="118"/>
  <c r="BD2523" i="118"/>
  <c r="BC2524" i="118"/>
  <c r="BD2524" i="118"/>
  <c r="BC2525" i="118"/>
  <c r="BD2525" i="118"/>
  <c r="BC2526" i="118"/>
  <c r="BD2526" i="118"/>
  <c r="BC2527" i="118"/>
  <c r="BD2527" i="118"/>
  <c r="BC2528" i="118"/>
  <c r="BD2528" i="118"/>
  <c r="BC2529" i="118"/>
  <c r="BD2529" i="118"/>
  <c r="BC2530" i="118"/>
  <c r="BC2531" i="118"/>
  <c r="BC2532" i="118"/>
  <c r="BD2532" i="118"/>
  <c r="BC2533" i="118"/>
  <c r="BC2534" i="118"/>
  <c r="BC2535" i="118"/>
  <c r="BD2535" i="118"/>
  <c r="BC2536" i="118"/>
  <c r="BC2537" i="118"/>
  <c r="BC2538" i="118"/>
  <c r="BD2538" i="118"/>
  <c r="BC2539" i="118"/>
  <c r="BC2540" i="118"/>
  <c r="BD2540" i="118"/>
  <c r="BC2541" i="118"/>
  <c r="BC2542" i="118"/>
  <c r="BC2543" i="118"/>
  <c r="BD2543" i="118"/>
  <c r="BC2544" i="118"/>
  <c r="BD2544" i="118"/>
  <c r="BC2546" i="118"/>
  <c r="BC2547" i="118"/>
  <c r="BD2547" i="118"/>
  <c r="BC2548" i="118"/>
  <c r="BC2549" i="118"/>
  <c r="BD2549" i="118"/>
  <c r="BC2550" i="118"/>
  <c r="BC2551" i="118"/>
  <c r="BD2551" i="118"/>
  <c r="BC2552" i="118"/>
  <c r="BD2552" i="118"/>
  <c r="BC2553" i="118"/>
  <c r="BC2554" i="118"/>
  <c r="BC2555" i="118"/>
  <c r="BD2555" i="118"/>
  <c r="BC2556" i="118"/>
  <c r="BD2556" i="118"/>
  <c r="BC2558" i="118"/>
  <c r="BD2558" i="118"/>
  <c r="BC2559" i="118"/>
  <c r="BD2559" i="118"/>
  <c r="BC2560" i="118"/>
  <c r="BD2560" i="118"/>
  <c r="BC2561" i="118"/>
  <c r="BC2562" i="118"/>
  <c r="BD2562" i="118"/>
  <c r="BC2563" i="118"/>
  <c r="BD2563" i="118"/>
  <c r="BC2564" i="118"/>
  <c r="BC2565" i="118"/>
  <c r="BC2566" i="118"/>
  <c r="BC2567" i="118"/>
  <c r="BC2568" i="118"/>
  <c r="BD2568" i="118"/>
  <c r="BC2569" i="118"/>
  <c r="BC2570" i="118"/>
  <c r="BD2570" i="118"/>
  <c r="BC2571" i="118"/>
  <c r="BC2572" i="118"/>
  <c r="BC2573" i="118"/>
  <c r="BD2573" i="118"/>
  <c r="BC2574" i="118"/>
  <c r="BC2575" i="118"/>
  <c r="BD2575" i="118"/>
  <c r="BC2576" i="118"/>
  <c r="BC2577" i="118"/>
  <c r="BD2577" i="118"/>
  <c r="BC2578" i="118"/>
  <c r="BD2578" i="118"/>
  <c r="BC2579" i="118"/>
  <c r="BD2579" i="118"/>
  <c r="BC2580" i="118"/>
  <c r="BD2580" i="118"/>
  <c r="BC2581" i="118"/>
  <c r="BD2581" i="118"/>
  <c r="BC2582" i="118"/>
  <c r="BD2582" i="118"/>
  <c r="BC2583" i="118"/>
  <c r="BD2583" i="118"/>
  <c r="BC2584" i="118"/>
  <c r="BD2584" i="118"/>
  <c r="BC2585" i="118"/>
  <c r="BD2585" i="118"/>
  <c r="BC2586" i="118"/>
  <c r="BD2586" i="118"/>
  <c r="BC2587" i="118"/>
  <c r="BD2587" i="118"/>
  <c r="BC2588" i="118"/>
  <c r="BD2588" i="118"/>
  <c r="BC2589" i="118"/>
  <c r="BD2589" i="118"/>
  <c r="BC2590" i="118"/>
  <c r="BD2590" i="118"/>
  <c r="BC2591" i="118"/>
  <c r="BD2591" i="118"/>
  <c r="BC2592" i="118"/>
  <c r="BD2592" i="118"/>
  <c r="BC2593" i="118"/>
  <c r="BD2593" i="118"/>
  <c r="BC2594" i="118"/>
  <c r="BD2594" i="118"/>
  <c r="BC2595" i="118"/>
  <c r="BD2595" i="118"/>
  <c r="BC2596" i="118"/>
  <c r="BC2597" i="118"/>
  <c r="BD2597" i="118"/>
  <c r="BC2598" i="118"/>
  <c r="BC2599" i="118"/>
  <c r="BD2599" i="118"/>
  <c r="BC2600" i="118"/>
  <c r="BD2600" i="118"/>
  <c r="BC2601" i="118"/>
  <c r="BC2602" i="118"/>
  <c r="BD2602" i="118"/>
  <c r="BC2603" i="118"/>
  <c r="BD2603" i="118"/>
  <c r="BC2604" i="118"/>
  <c r="BD2604" i="118"/>
  <c r="BC2605" i="118"/>
  <c r="BC2606" i="118"/>
  <c r="BD2606" i="118"/>
  <c r="BC2607" i="118"/>
  <c r="BD2607" i="118"/>
  <c r="BC2608" i="118"/>
  <c r="BC2609" i="118"/>
  <c r="BC2610" i="118"/>
  <c r="BD2610" i="118"/>
  <c r="BC2611" i="118"/>
  <c r="BC2612" i="118"/>
  <c r="BD2612" i="118"/>
  <c r="BC2613" i="118"/>
  <c r="BC2614" i="118"/>
  <c r="BC2615" i="118"/>
  <c r="BD2615" i="118"/>
  <c r="BC2616" i="118"/>
  <c r="BC2617" i="118"/>
  <c r="BC2618" i="118"/>
  <c r="BD2618" i="118"/>
  <c r="BC2619" i="118"/>
  <c r="BC2620" i="118"/>
  <c r="BD2620" i="118"/>
  <c r="BC2621" i="118"/>
  <c r="BD2621" i="118"/>
  <c r="BC2622" i="118"/>
  <c r="BC2623" i="118"/>
  <c r="BC2624" i="118"/>
  <c r="BD2624" i="118"/>
  <c r="BC2625" i="118"/>
  <c r="BC2626" i="118"/>
  <c r="BD2626" i="118"/>
  <c r="BC2627" i="118"/>
  <c r="BC2628" i="118"/>
  <c r="BD2628" i="118"/>
  <c r="BC2629" i="118"/>
  <c r="BD2629" i="118"/>
  <c r="BC2630" i="118"/>
  <c r="BD2630" i="118"/>
  <c r="BC2631" i="118"/>
  <c r="BD2631" i="118"/>
  <c r="BC2633" i="118"/>
  <c r="BD2633" i="118"/>
  <c r="BC2634" i="118"/>
  <c r="BD2634" i="118"/>
  <c r="BC2635" i="118"/>
  <c r="BD2635" i="118"/>
  <c r="BC2636" i="118"/>
  <c r="BD2636" i="118"/>
  <c r="BC2637" i="118"/>
  <c r="BD2637" i="118"/>
  <c r="BC2639" i="118"/>
  <c r="BD2639" i="118"/>
  <c r="BC2640" i="118"/>
  <c r="BD2640" i="118"/>
  <c r="BC2641" i="118"/>
  <c r="BD2641" i="118"/>
  <c r="BC2642" i="118"/>
  <c r="BD2642" i="118"/>
  <c r="BC2643" i="118"/>
  <c r="BD2643" i="118"/>
  <c r="BC2644" i="118"/>
  <c r="BC2645" i="118"/>
  <c r="BC2646" i="118"/>
  <c r="BD2646" i="118"/>
  <c r="BC2647" i="118"/>
  <c r="BC2648" i="118"/>
  <c r="BD2648" i="118"/>
  <c r="BC2649" i="118"/>
  <c r="BD2649" i="118"/>
  <c r="BC2650" i="118"/>
  <c r="BD2650" i="118"/>
  <c r="BC2651" i="118"/>
  <c r="BC2652" i="118"/>
  <c r="BD2652" i="118"/>
  <c r="BC2653" i="118"/>
  <c r="BD2653" i="118"/>
  <c r="BC2654" i="118"/>
  <c r="BD2654" i="118"/>
  <c r="BC2655" i="118"/>
  <c r="BD2655" i="118"/>
  <c r="BC2656" i="118"/>
  <c r="BD2656" i="118"/>
  <c r="BC2657" i="118"/>
  <c r="BD2657" i="118"/>
  <c r="BC2658" i="118"/>
  <c r="BD2658" i="118"/>
  <c r="BC2660" i="118"/>
  <c r="BC2664" i="118"/>
  <c r="BD2664" i="118"/>
  <c r="BC2665" i="118"/>
  <c r="BD2665" i="118"/>
  <c r="BC2666" i="118"/>
  <c r="BC2668" i="118"/>
  <c r="BD2668" i="118"/>
  <c r="BC2669" i="118"/>
  <c r="BD2669" i="118"/>
  <c r="BC2670" i="118"/>
  <c r="BD2670" i="118"/>
  <c r="BC2671" i="118"/>
  <c r="BD2671" i="118"/>
  <c r="BC2672" i="118"/>
  <c r="BD2672" i="118"/>
  <c r="BC2674" i="118"/>
  <c r="BD2674" i="118"/>
  <c r="BC2675" i="118"/>
  <c r="BD2675" i="118"/>
  <c r="BC2676" i="118"/>
  <c r="BD2676" i="118"/>
  <c r="BC2677" i="118"/>
  <c r="BD2677" i="118"/>
  <c r="BC2678" i="118"/>
  <c r="BD2678" i="118"/>
  <c r="BC2680" i="118"/>
  <c r="BD2680" i="118"/>
  <c r="BC2681" i="118"/>
  <c r="BD2681" i="118"/>
  <c r="BC2682" i="118"/>
  <c r="BD2682" i="118"/>
  <c r="BC2683" i="118"/>
  <c r="BD2683" i="118"/>
  <c r="BC2685" i="118"/>
  <c r="BD2685" i="118"/>
  <c r="BC2686" i="118"/>
  <c r="BD2686" i="118"/>
  <c r="BC2687" i="118"/>
  <c r="BD2687" i="118"/>
  <c r="BC2688" i="118"/>
  <c r="BD2688" i="118"/>
  <c r="BC2689" i="118"/>
  <c r="BD2689" i="118"/>
  <c r="BC2690" i="118"/>
  <c r="BD2690" i="118"/>
  <c r="BC2691" i="118"/>
  <c r="BD2691" i="118"/>
  <c r="BC2693" i="118"/>
  <c r="BD2693" i="118"/>
  <c r="BC2694" i="118"/>
  <c r="BD2694" i="118"/>
  <c r="BC2696" i="118"/>
  <c r="BD2696" i="118"/>
  <c r="BC2697" i="118"/>
  <c r="BC2698" i="118"/>
  <c r="BD2698" i="118"/>
  <c r="BC2699" i="118"/>
  <c r="BD2699" i="118"/>
  <c r="BC2700" i="118"/>
  <c r="BD2700" i="118"/>
  <c r="BC2703" i="118"/>
  <c r="BD2703" i="118"/>
  <c r="BC2704" i="118"/>
  <c r="BD2704" i="118"/>
  <c r="BC2705" i="118"/>
  <c r="BD2705" i="118"/>
  <c r="BC2706" i="118"/>
  <c r="BD2706" i="118"/>
  <c r="BC2707" i="118"/>
  <c r="BD2707" i="118"/>
  <c r="BC2708" i="118"/>
  <c r="BC2709" i="118"/>
  <c r="BD2709" i="118"/>
  <c r="BC2710" i="118"/>
  <c r="BD2710" i="118"/>
  <c r="BC2711" i="118"/>
  <c r="BD2711" i="118"/>
  <c r="BC2712" i="118"/>
  <c r="BD2712" i="118"/>
  <c r="BC2713" i="118"/>
  <c r="BD2713" i="118"/>
  <c r="BC2714" i="118"/>
  <c r="BC2715" i="118"/>
  <c r="BD2715" i="118"/>
  <c r="BC2716" i="118"/>
  <c r="BD2716" i="118"/>
  <c r="BC2717" i="118"/>
  <c r="BD2717" i="118"/>
  <c r="BC2718" i="118"/>
  <c r="BD2718" i="118"/>
  <c r="BC2719" i="118"/>
  <c r="BD2719" i="118"/>
  <c r="BC2720" i="118"/>
  <c r="BD2720" i="118"/>
  <c r="BC2721" i="118"/>
  <c r="BD2721" i="118"/>
  <c r="BC2722" i="118"/>
  <c r="BD2722" i="118"/>
  <c r="BC2723" i="118"/>
  <c r="BD2723" i="118"/>
  <c r="BC2724" i="118"/>
  <c r="BD2724" i="118"/>
  <c r="BC2725" i="118"/>
  <c r="BD2725" i="118"/>
  <c r="BC2726" i="118"/>
  <c r="BD2726" i="118"/>
  <c r="BC2727" i="118"/>
  <c r="BD2727" i="118"/>
  <c r="BC2728" i="118"/>
  <c r="BD2728" i="118"/>
  <c r="BC2729" i="118"/>
  <c r="BD2729" i="118"/>
  <c r="BC2730" i="118"/>
  <c r="BD2730" i="118"/>
  <c r="BC2731" i="118"/>
  <c r="BD2731" i="118"/>
  <c r="BC2732" i="118"/>
  <c r="BD2732" i="118"/>
  <c r="BC2733" i="118"/>
  <c r="BD2733" i="118"/>
  <c r="BC2734" i="118"/>
  <c r="BD2734" i="118"/>
  <c r="BC2735" i="118"/>
  <c r="BD2735" i="118"/>
  <c r="BC2736" i="118"/>
  <c r="BD2736" i="118"/>
  <c r="BC2737" i="118"/>
  <c r="BD2737" i="118"/>
  <c r="BC2738" i="118"/>
  <c r="BD2738" i="118"/>
  <c r="BC2739" i="118"/>
  <c r="BD2739" i="118"/>
  <c r="BC2740" i="118"/>
  <c r="BD2740" i="118"/>
  <c r="BC2741" i="118"/>
  <c r="BD2741" i="118"/>
  <c r="BC2742" i="118"/>
  <c r="BD2742" i="118"/>
  <c r="BC2743" i="118"/>
  <c r="BD2743" i="118"/>
  <c r="BC2744" i="118"/>
  <c r="BD2744" i="118"/>
  <c r="BC2745" i="118"/>
  <c r="BD2745" i="118"/>
  <c r="BC2746" i="118"/>
  <c r="BD2746" i="118"/>
  <c r="BC2747" i="118"/>
  <c r="BD2747" i="118"/>
  <c r="BC2748" i="118"/>
  <c r="BD2748" i="118"/>
  <c r="BC2749" i="118"/>
  <c r="BD2749" i="118"/>
  <c r="BC2750" i="118"/>
  <c r="BD2750" i="118"/>
  <c r="BC2751" i="118"/>
  <c r="BD2751" i="118"/>
  <c r="BC2752" i="118"/>
  <c r="BD2752" i="118"/>
  <c r="BC2753" i="118"/>
  <c r="BD2753" i="118"/>
  <c r="BC2754" i="118"/>
  <c r="BD2754" i="118"/>
  <c r="BC2755" i="118"/>
  <c r="BD2755" i="118"/>
  <c r="BC2756" i="118"/>
  <c r="BD2756" i="118"/>
  <c r="BC2757" i="118"/>
  <c r="BD2757" i="118"/>
  <c r="BC2758" i="118"/>
  <c r="BD2758" i="118"/>
  <c r="BC2759" i="118"/>
  <c r="BD2759" i="118"/>
  <c r="BC2760" i="118"/>
  <c r="BD2760" i="118"/>
  <c r="BC2761" i="118"/>
  <c r="BD2761" i="118"/>
  <c r="BC2762" i="118"/>
  <c r="BD2762" i="118"/>
  <c r="BC2763" i="118"/>
  <c r="BD2763" i="118"/>
  <c r="BC2764" i="118"/>
  <c r="BD2764" i="118"/>
  <c r="BC2765" i="118"/>
  <c r="BD2765" i="118"/>
  <c r="BC2766" i="118"/>
  <c r="BD2766" i="118"/>
  <c r="BC2767" i="118"/>
  <c r="BC2768" i="118"/>
  <c r="BC2769" i="118"/>
  <c r="BD2769" i="118"/>
  <c r="BC2770" i="118"/>
  <c r="BD2770" i="118"/>
  <c r="BC2771" i="118"/>
  <c r="BD2771" i="118"/>
  <c r="BC2772" i="118"/>
  <c r="BD2772" i="118"/>
  <c r="BC2773" i="118"/>
  <c r="BC2774" i="118"/>
  <c r="BC2775" i="118"/>
  <c r="BD2775" i="118"/>
  <c r="BC2776" i="118"/>
  <c r="BC2777" i="118"/>
  <c r="BC2778" i="118"/>
  <c r="BD2778" i="118"/>
  <c r="BC2779" i="118"/>
  <c r="BD2779" i="118"/>
  <c r="BC2780" i="118"/>
  <c r="BD2780" i="118"/>
  <c r="BC2781" i="118"/>
  <c r="BD2781" i="118"/>
  <c r="BC2782" i="118"/>
  <c r="BD2782" i="118"/>
  <c r="BC2783" i="118"/>
  <c r="BD2783" i="118"/>
  <c r="BC2784" i="118"/>
  <c r="BC2785" i="118"/>
  <c r="BD2785" i="118"/>
  <c r="BC2787" i="118"/>
  <c r="BD2787" i="118"/>
  <c r="BC2788" i="118"/>
  <c r="BD2788" i="118"/>
  <c r="BC2789" i="118"/>
  <c r="BD2789" i="118"/>
  <c r="BC2790" i="118"/>
  <c r="BD2790" i="118"/>
  <c r="BC2791" i="118"/>
  <c r="BD2791" i="118"/>
  <c r="BC2792" i="118"/>
  <c r="BD2792" i="118"/>
  <c r="BC2793" i="118"/>
  <c r="BD2793" i="118"/>
  <c r="BC2794" i="118"/>
  <c r="BD2794" i="118"/>
  <c r="BC2795" i="118"/>
  <c r="BD2795" i="118"/>
  <c r="BC2796" i="118"/>
  <c r="BD2796" i="118"/>
  <c r="BC2797" i="118"/>
  <c r="BD2797" i="118"/>
  <c r="BC2798" i="118"/>
  <c r="BD2798" i="118"/>
  <c r="BC2799" i="118"/>
  <c r="BC2800" i="118"/>
  <c r="BD2800" i="118"/>
  <c r="BC2801" i="118"/>
  <c r="BD2801" i="118"/>
  <c r="BC2803" i="118"/>
  <c r="BC2804" i="118"/>
  <c r="BD2804" i="118"/>
  <c r="BC2805" i="118"/>
  <c r="BD2805" i="118"/>
  <c r="BC2806" i="118"/>
  <c r="BD2806" i="118"/>
  <c r="BC2807" i="118"/>
  <c r="BD2807" i="118"/>
  <c r="BC2808" i="118"/>
  <c r="BD2808" i="118"/>
  <c r="BC2809" i="118"/>
  <c r="BD2809" i="118"/>
  <c r="BC2810" i="118"/>
  <c r="BD2810" i="118"/>
  <c r="BC2811" i="118"/>
  <c r="BD2811" i="118"/>
  <c r="BC2812" i="118"/>
  <c r="BD2812" i="118"/>
  <c r="BC2813" i="118"/>
  <c r="BD2813" i="118"/>
  <c r="BC2814" i="118"/>
  <c r="BD2814" i="118"/>
  <c r="BC2815" i="118"/>
  <c r="BD2815" i="118"/>
  <c r="BC2816" i="118"/>
  <c r="BC2817" i="118"/>
  <c r="BD2817" i="118"/>
  <c r="BC2818" i="118"/>
  <c r="BD2818" i="118"/>
  <c r="BC2819" i="118"/>
  <c r="BD2819" i="118"/>
  <c r="BC2820" i="118"/>
  <c r="BD2820" i="118"/>
  <c r="BC2821" i="118"/>
  <c r="BD2821" i="118"/>
  <c r="BC2822" i="118"/>
  <c r="BC2823" i="118"/>
  <c r="BD2823" i="118"/>
  <c r="BC2824" i="118"/>
  <c r="BD2824" i="118"/>
  <c r="BC2825" i="118"/>
  <c r="BD2825" i="118"/>
  <c r="BC2826" i="118"/>
  <c r="BC2827" i="118"/>
  <c r="BD2827" i="118"/>
  <c r="BC2828" i="118"/>
  <c r="BD2828" i="118"/>
  <c r="BC2831" i="118"/>
  <c r="BD2831" i="118"/>
  <c r="BC2832" i="118"/>
  <c r="BD2832" i="118"/>
  <c r="BC2833" i="118"/>
  <c r="BD2833" i="118"/>
  <c r="BC2834" i="118"/>
  <c r="BD2834" i="118"/>
  <c r="BC2835" i="118"/>
  <c r="BC2836" i="118"/>
  <c r="BD2836" i="118"/>
  <c r="BC2837" i="118"/>
  <c r="BD2837" i="118"/>
  <c r="BC2838" i="118"/>
  <c r="BD2838" i="118"/>
  <c r="BC2839" i="118"/>
  <c r="BD2839" i="118"/>
  <c r="BC2840" i="118"/>
  <c r="BD2840" i="118"/>
  <c r="BC2841" i="118"/>
  <c r="BD2841" i="118"/>
  <c r="BC2842" i="118"/>
  <c r="BD2842" i="118"/>
  <c r="BC2843" i="118"/>
  <c r="BD2843" i="118"/>
  <c r="BC2844" i="118"/>
  <c r="BD2844" i="118"/>
  <c r="BC2846" i="118"/>
  <c r="BD2846" i="118"/>
  <c r="BC2848" i="118"/>
  <c r="BD2848" i="118"/>
  <c r="BC2849" i="118"/>
  <c r="BD2849" i="118"/>
  <c r="BC2850" i="118"/>
  <c r="BD2850" i="118"/>
  <c r="BC2851" i="118"/>
  <c r="BD2851" i="118"/>
  <c r="BC2852" i="118"/>
  <c r="BD2852" i="118"/>
  <c r="BC2853" i="118"/>
  <c r="BD2853" i="118"/>
  <c r="BC2854" i="118"/>
  <c r="BD2854" i="118"/>
  <c r="BC2855" i="118"/>
  <c r="BD2855" i="118"/>
  <c r="BC2856" i="118"/>
  <c r="BD2856" i="118"/>
  <c r="BC2857" i="118"/>
  <c r="BC2858" i="118"/>
  <c r="BD2858" i="118"/>
  <c r="BC2859" i="118"/>
  <c r="BD2859" i="118"/>
  <c r="BC2860" i="118"/>
  <c r="BD2860" i="118"/>
  <c r="BC2861" i="118"/>
  <c r="BD2861" i="118"/>
  <c r="BC2862" i="118"/>
  <c r="BD2862" i="118"/>
  <c r="BC2863" i="118"/>
  <c r="BC2864" i="118"/>
  <c r="BD2864" i="118"/>
  <c r="BC2865" i="118"/>
  <c r="BC2866" i="118"/>
  <c r="BD2866" i="118"/>
  <c r="BC2867" i="118"/>
  <c r="BD2867" i="118"/>
  <c r="BC2868" i="118"/>
  <c r="BD2868" i="118"/>
  <c r="BC2869" i="118"/>
  <c r="BD2869" i="118"/>
  <c r="BC2870" i="118"/>
  <c r="BD2870" i="118"/>
  <c r="BC2871" i="118"/>
  <c r="BD2871" i="118"/>
  <c r="BC2872" i="118"/>
  <c r="BD2872" i="118"/>
  <c r="BC2873" i="118"/>
  <c r="BD2873" i="118"/>
  <c r="BC2874" i="118"/>
  <c r="BD2874" i="118"/>
  <c r="BC2875" i="118"/>
  <c r="BC2876" i="118"/>
  <c r="BD2876" i="118"/>
  <c r="BC2877" i="118"/>
  <c r="BD2877" i="118"/>
  <c r="BC2878" i="118"/>
  <c r="BC2879" i="118"/>
  <c r="BD2879" i="118"/>
  <c r="BC2881" i="118"/>
  <c r="BD2881" i="118"/>
  <c r="BC2882" i="118"/>
  <c r="BC2883" i="118"/>
  <c r="BD2883" i="118"/>
  <c r="BC2884" i="118"/>
  <c r="BD2884" i="118"/>
  <c r="BC2885" i="118"/>
  <c r="BC2886" i="118"/>
  <c r="BD2886" i="118"/>
  <c r="BC2887" i="118"/>
  <c r="BD2887" i="118"/>
  <c r="BC2888" i="118"/>
  <c r="BD2888" i="118"/>
  <c r="BC2889" i="118"/>
  <c r="BD2889" i="118"/>
  <c r="BC2890" i="118"/>
  <c r="BD2890" i="118"/>
  <c r="BC2891" i="118"/>
  <c r="BC2892" i="118"/>
  <c r="BC2893" i="118"/>
  <c r="BD2893" i="118"/>
  <c r="BC2894" i="118"/>
  <c r="BD2894" i="118"/>
  <c r="BC2895" i="118"/>
  <c r="BD2895" i="118"/>
  <c r="BC2897" i="118"/>
  <c r="BD2897" i="118"/>
  <c r="BC2898" i="118"/>
  <c r="BD2898" i="118"/>
  <c r="BC2899" i="118"/>
  <c r="BC2900" i="118"/>
  <c r="BD2900" i="118"/>
  <c r="BC2901" i="118"/>
  <c r="BD2901" i="118"/>
  <c r="BC2902" i="118"/>
  <c r="BD2902" i="118"/>
  <c r="BC2903" i="118"/>
  <c r="BC2904" i="118"/>
  <c r="BD2904" i="118"/>
  <c r="BC2905" i="118"/>
  <c r="BD2905" i="118"/>
  <c r="BC2906" i="118"/>
  <c r="BD2906" i="118"/>
  <c r="BC2907" i="118"/>
  <c r="BD2907" i="118"/>
  <c r="BC2908" i="118"/>
  <c r="BC2909" i="118"/>
  <c r="BD2909" i="118"/>
  <c r="BC2910" i="118"/>
  <c r="BD2910" i="118"/>
  <c r="BC2911" i="118"/>
  <c r="BD2911" i="118"/>
  <c r="BC2912" i="118"/>
  <c r="BC2913" i="118"/>
  <c r="BC2914" i="118"/>
  <c r="BD2914" i="118"/>
  <c r="BC2915" i="118"/>
  <c r="BD2915" i="118"/>
  <c r="BC2916" i="118"/>
  <c r="BC2917" i="118"/>
  <c r="BD2917" i="118"/>
  <c r="BC2918" i="118"/>
  <c r="BC2919" i="118"/>
  <c r="BD2919" i="118"/>
  <c r="BC2920" i="118"/>
  <c r="BD2920" i="118"/>
  <c r="BC2921" i="118"/>
  <c r="BD2921" i="118"/>
  <c r="BC2922" i="118"/>
  <c r="BD2922" i="118"/>
  <c r="BC2923" i="118"/>
  <c r="BD2923" i="118"/>
  <c r="BC2924" i="118"/>
  <c r="BD2924" i="118"/>
  <c r="BC2925" i="118"/>
  <c r="BC2927" i="118"/>
  <c r="BD2927" i="118"/>
  <c r="BC2929" i="118"/>
  <c r="BD2929" i="118"/>
  <c r="BC2930" i="118"/>
  <c r="BD2930" i="118"/>
  <c r="BC2931" i="118"/>
  <c r="BD2931" i="118"/>
  <c r="BC2932" i="118"/>
  <c r="BD2932" i="118"/>
  <c r="BC2933" i="118"/>
  <c r="BD2933" i="118"/>
  <c r="BC2934" i="118"/>
  <c r="BD2934" i="118"/>
  <c r="BC2935" i="118"/>
  <c r="BD2935" i="118"/>
  <c r="BC2936" i="118"/>
  <c r="BD2936" i="118"/>
  <c r="BC2937" i="118"/>
  <c r="BD2937" i="118"/>
  <c r="BC2938" i="118"/>
  <c r="BD2938" i="118"/>
  <c r="BC2939" i="118"/>
  <c r="BD2939" i="118"/>
  <c r="BC2940" i="118"/>
  <c r="BD2940" i="118"/>
  <c r="BC2941" i="118"/>
  <c r="BD2941" i="118"/>
  <c r="BC2942" i="118"/>
  <c r="BD2942" i="118"/>
  <c r="BC2943" i="118"/>
  <c r="BD2943" i="118"/>
  <c r="BC2944" i="118"/>
  <c r="BD2944" i="118"/>
  <c r="BC2945" i="118"/>
  <c r="BD2945" i="118"/>
  <c r="BC2946" i="118"/>
  <c r="BD2946" i="118"/>
  <c r="BC2947" i="118"/>
  <c r="BD2947" i="118"/>
  <c r="BC2948" i="118"/>
  <c r="BD2948" i="118"/>
  <c r="BC2949" i="118"/>
  <c r="BD2949" i="118"/>
  <c r="BC2950" i="118"/>
  <c r="BD2950" i="118"/>
  <c r="BC2951" i="118"/>
  <c r="BC2952" i="118"/>
  <c r="BD2952" i="118"/>
  <c r="BC2953" i="118"/>
  <c r="BD2953" i="118"/>
  <c r="BC2954" i="118"/>
  <c r="BD2954" i="118"/>
  <c r="BC2955" i="118"/>
  <c r="BD2955" i="118"/>
  <c r="BC2956" i="118"/>
  <c r="BD2956" i="118"/>
  <c r="BC2957" i="118"/>
  <c r="BD2957" i="118"/>
  <c r="BC2958" i="118"/>
  <c r="BC2959" i="118"/>
  <c r="BD2959" i="118"/>
  <c r="BC2960" i="118"/>
  <c r="BD2960" i="118"/>
  <c r="BC2961" i="118"/>
  <c r="BD2961" i="118"/>
  <c r="BC2962" i="118"/>
  <c r="BD2962" i="118"/>
  <c r="BC2963" i="118"/>
  <c r="BC2964" i="118"/>
  <c r="BC2965" i="118"/>
  <c r="BC2966" i="118"/>
  <c r="BD2966" i="118"/>
  <c r="BC2967" i="118"/>
  <c r="BC2968" i="118"/>
  <c r="BC2969" i="118"/>
  <c r="BD2969" i="118"/>
  <c r="BC2970" i="118"/>
  <c r="BD2970" i="118"/>
  <c r="BC2971" i="118"/>
  <c r="BD2971" i="118"/>
  <c r="BC2972" i="118"/>
  <c r="BD2972" i="118"/>
  <c r="BC2973" i="118"/>
  <c r="BD2973" i="118"/>
  <c r="BC2974" i="118"/>
  <c r="BD2974" i="118"/>
  <c r="BC2975" i="118"/>
  <c r="BD2975" i="118"/>
  <c r="BC2976" i="118"/>
  <c r="BD2976" i="118"/>
  <c r="BC2977" i="118"/>
  <c r="BD2977" i="118"/>
  <c r="BC2978" i="118"/>
  <c r="BD2978" i="118"/>
  <c r="BC2979" i="118"/>
  <c r="BC2980" i="118"/>
  <c r="BD2980" i="118"/>
  <c r="BC2982" i="118"/>
  <c r="BD2982" i="118"/>
  <c r="BC2983" i="118"/>
  <c r="BD2983" i="118"/>
  <c r="BC2984" i="118"/>
  <c r="BD2984" i="118"/>
  <c r="BC2985" i="118"/>
  <c r="BC2986" i="118"/>
  <c r="BD2986" i="118"/>
  <c r="BC2987" i="118"/>
  <c r="BD2987" i="118"/>
  <c r="BC2988" i="118"/>
  <c r="BD2988" i="118"/>
  <c r="BC2989" i="118"/>
  <c r="BD2989" i="118"/>
  <c r="BC2990" i="118"/>
  <c r="BD2990" i="118"/>
  <c r="BC2991" i="118"/>
  <c r="BD2991" i="118"/>
  <c r="BC2992" i="118"/>
  <c r="BD2992" i="118"/>
  <c r="BC2993" i="118"/>
  <c r="BD2993" i="118"/>
  <c r="BC3002" i="118"/>
  <c r="BD3002" i="118"/>
  <c r="BC3003" i="118"/>
  <c r="BD3003" i="118"/>
  <c r="BC3004" i="118"/>
  <c r="BD3004" i="118"/>
  <c r="BC3005" i="118"/>
  <c r="BD3005" i="118"/>
  <c r="BC3006" i="118"/>
  <c r="BD3006" i="118"/>
  <c r="BC2994" i="118"/>
  <c r="BD2994" i="118"/>
  <c r="BC2995" i="118"/>
  <c r="BD2995" i="118"/>
  <c r="BC2996" i="118"/>
  <c r="BD2996" i="118"/>
  <c r="BC2997" i="118"/>
  <c r="BD2997" i="118"/>
  <c r="BC2998" i="118"/>
  <c r="BD2998" i="118"/>
  <c r="BC2999" i="118"/>
  <c r="BD2999" i="118"/>
  <c r="BC3000" i="118"/>
  <c r="BD3000" i="118"/>
  <c r="BC3001" i="118"/>
  <c r="BD3001" i="118"/>
  <c r="BC3007" i="118"/>
  <c r="BD3007" i="118"/>
  <c r="BC3008" i="118"/>
  <c r="BD3008" i="118"/>
  <c r="BC3009" i="118"/>
  <c r="BD3009" i="118"/>
  <c r="BC3010" i="118"/>
  <c r="BD3010" i="118"/>
  <c r="BC3012" i="118"/>
  <c r="BD3012" i="118"/>
  <c r="BC3013" i="118"/>
  <c r="BD3013" i="118"/>
  <c r="BC3014" i="118"/>
  <c r="BD3014" i="118"/>
  <c r="BC3015" i="118"/>
  <c r="BD3015" i="118"/>
  <c r="BC3016" i="118"/>
  <c r="BD3016" i="118"/>
  <c r="BC3017" i="118"/>
  <c r="BD3017" i="118"/>
  <c r="BC3018" i="118"/>
  <c r="BD3018" i="118"/>
  <c r="BC3019" i="118"/>
  <c r="BD3019" i="118"/>
  <c r="BC3020" i="118"/>
  <c r="BD3020" i="118"/>
  <c r="BC3021" i="118"/>
  <c r="BD3021" i="118"/>
  <c r="BC3022" i="118"/>
  <c r="BD3022" i="118"/>
  <c r="BC3023" i="118"/>
  <c r="BD3023" i="118"/>
  <c r="BC3024" i="118"/>
  <c r="BD3024" i="118"/>
  <c r="BC3025" i="118"/>
  <c r="BD3025" i="118"/>
  <c r="BC3026" i="118"/>
  <c r="BD3026" i="118"/>
  <c r="BC3027" i="118"/>
  <c r="BD3027" i="118"/>
  <c r="BC3028" i="118"/>
  <c r="BC3029" i="118"/>
  <c r="BD3029" i="118"/>
  <c r="BC3030" i="118"/>
  <c r="BD3030" i="118"/>
  <c r="BC3031" i="118"/>
  <c r="BC3032" i="118"/>
  <c r="BC3033" i="118"/>
  <c r="BC3034" i="118"/>
  <c r="BC3035" i="118"/>
  <c r="BD3035" i="118"/>
  <c r="BC3036" i="118"/>
  <c r="BD3036" i="118"/>
  <c r="BC3037" i="118"/>
  <c r="BC3038" i="118"/>
  <c r="BD3038" i="118"/>
  <c r="BC3039" i="118"/>
  <c r="BD3039" i="118"/>
  <c r="BC3040" i="118"/>
  <c r="BD3040" i="118"/>
  <c r="BC3041" i="118"/>
  <c r="BC3042" i="118"/>
  <c r="BD3042" i="118"/>
  <c r="BC3043" i="118"/>
  <c r="BD3043" i="118"/>
  <c r="BC3044" i="118"/>
  <c r="BC3045" i="118"/>
  <c r="BD3045" i="118"/>
  <c r="BC3046" i="118"/>
  <c r="BD3046" i="118"/>
  <c r="BC3047" i="118"/>
  <c r="BD3047" i="118"/>
  <c r="BC3048" i="118"/>
  <c r="BD3048" i="118"/>
  <c r="BC3049" i="118"/>
  <c r="BD3049" i="118"/>
  <c r="BC3050" i="118"/>
  <c r="BD3050" i="118"/>
  <c r="BC3051" i="118"/>
  <c r="BC3052" i="118"/>
  <c r="BD3052" i="118"/>
  <c r="BC3053" i="118"/>
  <c r="BC3054" i="118"/>
  <c r="BD3054" i="118"/>
  <c r="BC3055" i="118"/>
  <c r="BD3055" i="118"/>
  <c r="BC3056" i="118"/>
  <c r="BD3056" i="118"/>
  <c r="BC3057" i="118"/>
  <c r="BC3058" i="118"/>
  <c r="BD3058" i="118"/>
  <c r="BC3059" i="118"/>
  <c r="BD3059" i="118"/>
  <c r="BC3060" i="118"/>
  <c r="BD3060" i="118"/>
  <c r="BC3061" i="118"/>
  <c r="BD3061" i="118"/>
  <c r="BC3062" i="118"/>
  <c r="BC3063" i="118"/>
  <c r="BD3063" i="118"/>
  <c r="BC3064" i="118"/>
  <c r="BC3065" i="118"/>
  <c r="BC3066" i="118"/>
  <c r="BD3066" i="118"/>
  <c r="BC3067" i="118"/>
  <c r="BD3067" i="118"/>
  <c r="BC3068" i="118"/>
  <c r="BD3068" i="118"/>
  <c r="BC3069" i="118"/>
  <c r="BD3069" i="118"/>
  <c r="BC3070" i="118"/>
  <c r="BD3070" i="118"/>
  <c r="BC3071" i="118"/>
  <c r="BD3071" i="118"/>
  <c r="BC3072" i="118"/>
  <c r="BD3072" i="118"/>
  <c r="BC3073" i="118"/>
  <c r="BD3073" i="118"/>
  <c r="BC3074" i="118"/>
  <c r="BD3074" i="118"/>
  <c r="BC3075" i="118"/>
  <c r="BD3075" i="118"/>
  <c r="BC3076" i="118"/>
  <c r="BD3076" i="118"/>
  <c r="BC3077" i="118"/>
  <c r="BD3077" i="118"/>
  <c r="BC3078" i="118"/>
  <c r="BD3078" i="118"/>
  <c r="BC3079" i="118"/>
  <c r="BC3080" i="118"/>
  <c r="BD3080" i="118"/>
  <c r="BC3081" i="118"/>
  <c r="BD3081" i="118"/>
  <c r="BC3082" i="118"/>
  <c r="BD3082" i="118"/>
  <c r="BC3083" i="118"/>
  <c r="BD3083" i="118"/>
  <c r="BC3084" i="118"/>
  <c r="BD3084" i="118"/>
  <c r="BC3085" i="118"/>
  <c r="BD3085" i="118"/>
  <c r="BC3086" i="118"/>
  <c r="BD3086" i="118"/>
  <c r="BC3087" i="118"/>
  <c r="BD3087" i="118"/>
  <c r="BC3088" i="118"/>
  <c r="BC3089" i="118"/>
  <c r="BC3090" i="118"/>
  <c r="BD3090" i="118"/>
  <c r="BC3091" i="118"/>
  <c r="BC3092" i="118"/>
  <c r="BC3093" i="118"/>
  <c r="BC3094" i="118"/>
  <c r="BD3094" i="118"/>
  <c r="BC3095" i="118"/>
  <c r="BC3096" i="118"/>
  <c r="BC3097" i="118"/>
  <c r="BC3098" i="118"/>
  <c r="BC3099" i="118"/>
  <c r="BC3100" i="118"/>
  <c r="BC3101" i="118"/>
  <c r="BD3101" i="118"/>
  <c r="BC3102" i="118"/>
  <c r="BC3103" i="118"/>
  <c r="BD3103" i="118"/>
  <c r="BC3104" i="118"/>
  <c r="BC3105" i="118"/>
  <c r="BC3107" i="118"/>
  <c r="BC3109" i="118"/>
  <c r="BC3110" i="118"/>
  <c r="BD3110" i="118"/>
  <c r="BC3111" i="118"/>
  <c r="BD3111" i="118"/>
  <c r="BC3112" i="118"/>
  <c r="BC3113" i="118"/>
  <c r="BD3113" i="118"/>
  <c r="BC3114" i="118"/>
  <c r="BD3114" i="118"/>
  <c r="BC3116" i="118"/>
  <c r="BD3116" i="118"/>
  <c r="BC3119" i="118"/>
  <c r="BD3119" i="118"/>
  <c r="BC3120" i="118"/>
  <c r="BD3120" i="118"/>
  <c r="BC3121" i="118"/>
  <c r="BD3121" i="118"/>
  <c r="BC3123" i="118"/>
  <c r="BD3123" i="118"/>
  <c r="BC3124" i="118"/>
  <c r="BC3125" i="118"/>
  <c r="BD3125" i="118"/>
  <c r="BC3126" i="118"/>
  <c r="BD3126" i="118"/>
  <c r="BC3127" i="118"/>
  <c r="BD3127" i="118"/>
  <c r="BC3128" i="118"/>
  <c r="BD3128" i="118"/>
  <c r="BC3129" i="118"/>
  <c r="BC3130" i="118"/>
  <c r="BD3130" i="118"/>
  <c r="BC3131" i="118"/>
  <c r="BD3131" i="118"/>
  <c r="BC3132" i="118"/>
  <c r="BD3132" i="118"/>
  <c r="BC3137" i="118"/>
  <c r="BD3137" i="118"/>
  <c r="BC3138" i="118"/>
  <c r="BD3138" i="118"/>
  <c r="BC3139" i="118"/>
  <c r="BD3139" i="118"/>
  <c r="BC3140" i="118"/>
  <c r="BD3140" i="118"/>
  <c r="BC3142" i="118"/>
  <c r="BD3142" i="118"/>
  <c r="BC3143" i="118"/>
  <c r="BD3143" i="118"/>
  <c r="BC3144" i="118"/>
  <c r="BC3145" i="118"/>
  <c r="BD3145" i="118"/>
  <c r="BC3146" i="118"/>
  <c r="BD3146" i="118"/>
  <c r="BC3147" i="118"/>
  <c r="BD3147" i="118"/>
  <c r="BC3148" i="118"/>
  <c r="BD3148" i="118"/>
  <c r="BC3149" i="118"/>
  <c r="BD3149" i="118"/>
  <c r="BC3150" i="118"/>
  <c r="BD3150" i="118"/>
  <c r="BC3151" i="118"/>
  <c r="BD3151" i="118"/>
  <c r="BC3152" i="118"/>
  <c r="BD3152" i="118"/>
  <c r="BC3153" i="118"/>
  <c r="BD3153" i="118"/>
  <c r="BC3154" i="118"/>
  <c r="BD3154" i="118"/>
  <c r="BC3155" i="118"/>
  <c r="BD3155" i="118"/>
  <c r="BC3156" i="118"/>
  <c r="BD3156" i="118"/>
  <c r="BC3157" i="118"/>
  <c r="BD3157" i="118"/>
  <c r="BC3158" i="118"/>
  <c r="BD3158" i="118"/>
  <c r="BC3159" i="118"/>
  <c r="BD3159" i="118"/>
  <c r="BC3160" i="118"/>
  <c r="BD3160" i="118"/>
  <c r="BC3161" i="118"/>
  <c r="BD3161" i="118"/>
  <c r="BC3162" i="118"/>
  <c r="BD3162" i="118"/>
  <c r="BC3163" i="118"/>
  <c r="BD3163" i="118"/>
  <c r="BC3164" i="118"/>
  <c r="BD3164" i="118"/>
  <c r="BC3165" i="118"/>
  <c r="BD3165" i="118"/>
  <c r="BC3166" i="118"/>
  <c r="BD3166" i="118"/>
  <c r="BC3167" i="118"/>
  <c r="BD3167" i="118"/>
  <c r="BC3168" i="118"/>
  <c r="BD3168" i="118"/>
  <c r="BC3169" i="118"/>
  <c r="BD3169" i="118"/>
  <c r="BC3170" i="118"/>
  <c r="BD3170" i="118"/>
  <c r="BC3171" i="118"/>
  <c r="BD3171" i="118"/>
  <c r="BC3172" i="118"/>
  <c r="BD3172" i="118"/>
  <c r="BC3173" i="118"/>
  <c r="BD3173" i="118"/>
  <c r="BC3174" i="118"/>
  <c r="BD3174" i="118"/>
  <c r="BC3175" i="118"/>
  <c r="BD3175" i="118"/>
  <c r="BC3176" i="118"/>
  <c r="BD3176" i="118"/>
  <c r="BC3177" i="118"/>
  <c r="BD3177" i="118"/>
  <c r="BC3178" i="118"/>
  <c r="BD3178" i="118"/>
  <c r="BC3179" i="118"/>
  <c r="BD3179" i="118"/>
  <c r="BC3180" i="118"/>
  <c r="BD3180" i="118"/>
  <c r="BC3181" i="118"/>
  <c r="BD3181" i="118"/>
  <c r="BC3182" i="118"/>
  <c r="BD3182" i="118"/>
  <c r="BC3183" i="118"/>
  <c r="BD3183" i="118"/>
  <c r="BC3184" i="118"/>
  <c r="BD3184" i="118"/>
  <c r="BC3185" i="118"/>
  <c r="BD3185" i="118"/>
  <c r="BC3186" i="118"/>
  <c r="BD3186" i="118"/>
  <c r="BC3187" i="118"/>
  <c r="BD3187" i="118"/>
  <c r="BC3188" i="118"/>
  <c r="BD3188" i="118"/>
  <c r="BC3190" i="118"/>
  <c r="BC3193" i="118"/>
  <c r="BD3193" i="118"/>
  <c r="BC3194" i="118"/>
  <c r="BD3194" i="118"/>
  <c r="BC3195" i="118"/>
  <c r="BD3195" i="118"/>
  <c r="BC3196" i="118"/>
  <c r="BD3196" i="118"/>
  <c r="BC3197" i="118"/>
  <c r="BD3197" i="118"/>
  <c r="BC3198" i="118"/>
  <c r="BD3198" i="118"/>
  <c r="BC3199" i="118"/>
  <c r="BD3199" i="118"/>
  <c r="BC3200" i="118"/>
  <c r="BD3200" i="118"/>
  <c r="BC3201" i="118"/>
  <c r="BD3201" i="118"/>
  <c r="BC3202" i="118"/>
  <c r="BD3202" i="118"/>
  <c r="BC3203" i="118"/>
  <c r="BD3203" i="118"/>
  <c r="BC3206" i="118"/>
  <c r="BD3206" i="118"/>
  <c r="BC3207" i="118"/>
  <c r="BD3207" i="118"/>
  <c r="BC3208" i="118"/>
  <c r="BD3208" i="118"/>
  <c r="BC3209" i="118"/>
  <c r="BD3209" i="118"/>
  <c r="BC3210" i="118"/>
  <c r="BD3210" i="118"/>
  <c r="BC3211" i="118"/>
  <c r="BD3211" i="118"/>
  <c r="BC3212" i="118"/>
  <c r="BD3212" i="118"/>
  <c r="BC3214" i="118"/>
  <c r="BD3214" i="118"/>
  <c r="BC3213" i="118"/>
  <c r="BD3213" i="118"/>
  <c r="BC3215" i="118"/>
  <c r="BD3215" i="118"/>
  <c r="BC3216" i="118"/>
  <c r="BD3216" i="118"/>
  <c r="BC3217" i="118"/>
  <c r="BD3217" i="118"/>
  <c r="BC3218" i="118"/>
  <c r="BD3218" i="118"/>
  <c r="BC3219" i="118"/>
  <c r="BD3219" i="118"/>
  <c r="BC3220" i="118"/>
  <c r="BD3220" i="118"/>
  <c r="BC3221" i="118"/>
  <c r="BD3221" i="118"/>
  <c r="BC3222" i="118"/>
  <c r="BD3222" i="118"/>
  <c r="BC3223" i="118"/>
  <c r="BD3223" i="118"/>
  <c r="BC3224" i="118"/>
  <c r="BD3224" i="118"/>
  <c r="BC3225" i="118"/>
  <c r="BD3225" i="118"/>
  <c r="BC3226" i="118"/>
  <c r="BD3226" i="118"/>
  <c r="BC3227" i="118"/>
  <c r="BD3227" i="118"/>
  <c r="BC3228" i="118"/>
  <c r="BD3228" i="118"/>
  <c r="BC3229" i="118"/>
  <c r="BD3229" i="118"/>
  <c r="BC3231" i="118"/>
  <c r="BD3231" i="118"/>
  <c r="BC3232" i="118"/>
  <c r="BD3232" i="118"/>
  <c r="BC3233" i="118"/>
  <c r="BD3233" i="118"/>
  <c r="BC3234" i="118"/>
  <c r="BD3234" i="118"/>
  <c r="BC3235" i="118"/>
  <c r="BD3235" i="118"/>
  <c r="BC3236" i="118"/>
  <c r="BD3236" i="118"/>
  <c r="BC3237" i="118"/>
  <c r="BD3237" i="118"/>
  <c r="BC3238" i="118"/>
  <c r="BD3238" i="118"/>
  <c r="BC3239" i="118"/>
  <c r="BD3239" i="118"/>
  <c r="BC3240" i="118"/>
  <c r="BD3240" i="118"/>
  <c r="BC3241" i="118"/>
  <c r="BD3241" i="118"/>
  <c r="BC3242" i="118"/>
  <c r="BD3242" i="118"/>
  <c r="BC3245" i="118"/>
  <c r="BC3246" i="118"/>
  <c r="BD3246" i="118"/>
  <c r="BC3248" i="118"/>
  <c r="BD3248" i="118"/>
  <c r="BC3249" i="118"/>
  <c r="BD3249" i="118"/>
  <c r="BC3250" i="118"/>
  <c r="BD3250" i="118"/>
  <c r="BC3251" i="118"/>
  <c r="BD3251" i="118"/>
  <c r="BC3252" i="118"/>
  <c r="BD3252" i="118"/>
  <c r="BC3253" i="118"/>
  <c r="BD3253" i="118"/>
  <c r="BC3254" i="118"/>
  <c r="BC3256" i="118"/>
  <c r="BD3256" i="118"/>
  <c r="BC3257" i="118"/>
  <c r="BD3257" i="118"/>
  <c r="BC3258" i="118"/>
  <c r="BD3258" i="118"/>
  <c r="BC3259" i="118"/>
  <c r="BD3259" i="118"/>
  <c r="BC3260" i="118"/>
  <c r="BD3260" i="118"/>
  <c r="BC3261" i="118"/>
  <c r="BD3261" i="118"/>
  <c r="BC3262" i="118"/>
  <c r="BD3262" i="118"/>
  <c r="BC3263" i="118"/>
  <c r="BD3263" i="118"/>
  <c r="BC3264" i="118"/>
  <c r="BD3264" i="118"/>
  <c r="BC3265" i="118"/>
  <c r="BD3265" i="118"/>
  <c r="BC3266" i="118"/>
  <c r="BD3266" i="118"/>
  <c r="BC3267" i="118"/>
  <c r="BD3267" i="118"/>
  <c r="BC3268" i="118"/>
  <c r="BD3268" i="118"/>
  <c r="BC3269" i="118"/>
  <c r="BD3269" i="118"/>
  <c r="BC3270" i="118"/>
  <c r="BD3270" i="118"/>
  <c r="BC3271" i="118"/>
  <c r="BD3271" i="118"/>
  <c r="BC3272" i="118"/>
  <c r="BD3272" i="118"/>
  <c r="BC3273" i="118"/>
  <c r="BD3273" i="118"/>
  <c r="BC3275" i="118"/>
  <c r="BD3275" i="118"/>
  <c r="BC3277" i="118"/>
  <c r="BD3277" i="118"/>
  <c r="BC3278" i="118"/>
  <c r="BD3278" i="118"/>
  <c r="BC3279" i="118"/>
  <c r="BD3279" i="118"/>
  <c r="BC3280" i="118"/>
  <c r="BD3280" i="118"/>
  <c r="BC3281" i="118"/>
  <c r="BD3281" i="118"/>
  <c r="BC3282" i="118"/>
  <c r="BD3282" i="118"/>
  <c r="BC3283" i="118"/>
  <c r="BD3283" i="118"/>
  <c r="BC3285" i="118"/>
  <c r="BD3285" i="118"/>
  <c r="BC3286" i="118"/>
  <c r="BD3286" i="118"/>
  <c r="BC3287" i="118"/>
  <c r="BD3287" i="118"/>
  <c r="BC3289" i="118"/>
  <c r="BD3289" i="118"/>
  <c r="BC3290" i="118"/>
  <c r="BD3290" i="118"/>
  <c r="BC3291" i="118"/>
  <c r="BD3291" i="118"/>
  <c r="BC3292" i="118"/>
  <c r="BD3292" i="118"/>
  <c r="BC3293" i="118"/>
  <c r="BD3293" i="118"/>
  <c r="BC3294" i="118"/>
  <c r="BD3294" i="118"/>
  <c r="BC3295" i="118"/>
  <c r="BD3295" i="118"/>
  <c r="BC3296" i="118"/>
  <c r="BD3296" i="118"/>
  <c r="BC3297" i="118"/>
  <c r="BD3297" i="118"/>
  <c r="BC3299" i="118"/>
  <c r="BD3299" i="118"/>
  <c r="BC3300" i="118"/>
  <c r="BD3300" i="118"/>
  <c r="BC3301" i="118"/>
  <c r="BD3301" i="118"/>
  <c r="BC3302" i="118"/>
  <c r="BD3302" i="118"/>
  <c r="BC3303" i="118"/>
  <c r="BD3303" i="118"/>
  <c r="BC3304" i="118"/>
  <c r="BD3304" i="118"/>
  <c r="BC3305" i="118"/>
  <c r="BD3305" i="118"/>
  <c r="BC3306" i="118"/>
  <c r="BD3306" i="118"/>
  <c r="BC3307" i="118"/>
  <c r="BD3307" i="118"/>
  <c r="BC3308" i="118"/>
  <c r="BD3308" i="118"/>
  <c r="BC3309" i="118"/>
  <c r="BD3309" i="118"/>
  <c r="BC3310" i="118"/>
  <c r="BD3310" i="118"/>
  <c r="BC3311" i="118"/>
  <c r="BD3311" i="118"/>
  <c r="BC3312" i="118"/>
  <c r="BD3312" i="118"/>
  <c r="BC3313" i="118"/>
  <c r="BD3313" i="118"/>
  <c r="BC3315" i="118"/>
  <c r="BD3315" i="118"/>
  <c r="BC3316" i="118"/>
  <c r="BD3316" i="118"/>
  <c r="BC3317" i="118"/>
  <c r="BD3317" i="118"/>
  <c r="BC3318" i="118"/>
  <c r="BD3318" i="118"/>
  <c r="BC3319" i="118"/>
  <c r="BD3319" i="118"/>
  <c r="BC3321" i="118"/>
  <c r="BD3321" i="118"/>
  <c r="BC3322" i="118"/>
  <c r="BD3322" i="118"/>
  <c r="BC3323" i="118"/>
  <c r="BD3323" i="118"/>
  <c r="BC3324" i="118"/>
  <c r="BD3324" i="118"/>
  <c r="BC3325" i="118"/>
  <c r="BD3325" i="118"/>
  <c r="BC3326" i="118"/>
  <c r="BD3326" i="118"/>
  <c r="BC3327" i="118"/>
  <c r="BD3327" i="118"/>
  <c r="BC3328" i="118"/>
  <c r="BD3328" i="118"/>
  <c r="BC3329" i="118"/>
  <c r="BD3329" i="118"/>
  <c r="BC3330" i="118"/>
  <c r="BD3330" i="118"/>
  <c r="BC3331" i="118"/>
  <c r="BD3331" i="118"/>
  <c r="BC3332" i="118"/>
  <c r="BD3332" i="118"/>
  <c r="BC3334" i="118"/>
  <c r="BD3334" i="118"/>
  <c r="BC3335" i="118"/>
  <c r="BD3335" i="118"/>
  <c r="BC3336" i="118"/>
  <c r="BD3336" i="118"/>
  <c r="BC3337" i="118"/>
  <c r="BD3337" i="118"/>
  <c r="BC3338" i="118"/>
  <c r="BD3338" i="118"/>
  <c r="BC3339" i="118"/>
  <c r="BD3339" i="118"/>
  <c r="BC3340" i="118"/>
  <c r="BD3340" i="118"/>
  <c r="BC3341" i="118"/>
  <c r="BD3341" i="118"/>
  <c r="BC3342" i="118"/>
  <c r="BD3342" i="118"/>
  <c r="BC3343" i="118"/>
  <c r="BD3343" i="118"/>
  <c r="BC3344" i="118"/>
  <c r="BD3344" i="118"/>
  <c r="BC3345" i="118"/>
  <c r="BD3345" i="118"/>
  <c r="BC3347" i="118"/>
  <c r="BD3347" i="118"/>
  <c r="BC3348" i="118"/>
  <c r="BD3348" i="118"/>
  <c r="BC3349" i="118"/>
  <c r="BD3349" i="118"/>
  <c r="BC3350" i="118"/>
  <c r="BD3350" i="118"/>
  <c r="BC3352" i="118"/>
  <c r="BD3352" i="118"/>
  <c r="BC3353" i="118"/>
  <c r="BD3353" i="118"/>
  <c r="BC3354" i="118"/>
  <c r="BD3354" i="118"/>
  <c r="BC3355" i="118"/>
  <c r="BD3355" i="118"/>
  <c r="BC3356" i="118"/>
  <c r="BD3356" i="118"/>
  <c r="BC3357" i="118"/>
  <c r="BD3357" i="118"/>
  <c r="BC3358" i="118"/>
  <c r="BD3358" i="118"/>
  <c r="BC3359" i="118"/>
  <c r="BC3360" i="118"/>
  <c r="BD3360" i="118"/>
  <c r="BC3361" i="118"/>
  <c r="BD3361" i="118"/>
  <c r="BC3362" i="118"/>
  <c r="BD3362" i="118"/>
  <c r="BC3363" i="118"/>
  <c r="BD3363" i="118"/>
  <c r="BC3364" i="118"/>
  <c r="BD3364" i="118"/>
  <c r="BC3365" i="118"/>
  <c r="BC3366" i="118"/>
  <c r="BD3366" i="118"/>
  <c r="BC3367" i="118"/>
  <c r="BD3367" i="118"/>
  <c r="BC3368" i="118"/>
  <c r="BD3368" i="118"/>
  <c r="BC3369" i="118"/>
  <c r="BD3369" i="118"/>
  <c r="BC3370" i="118"/>
  <c r="BD3370" i="118"/>
  <c r="BC3371" i="118"/>
  <c r="BD3371" i="118"/>
  <c r="BC3372" i="118"/>
  <c r="BD3372" i="118"/>
  <c r="BC3373" i="118"/>
  <c r="BD3373" i="118"/>
  <c r="BC3374" i="118"/>
  <c r="BD3374" i="118"/>
  <c r="BC3375" i="118"/>
  <c r="BD3375" i="118"/>
  <c r="BC3376" i="118"/>
  <c r="BD3376" i="118"/>
  <c r="BC3377" i="118"/>
  <c r="BD3377" i="118"/>
  <c r="BC3378" i="118"/>
  <c r="BD3378" i="118"/>
  <c r="BC3379" i="118"/>
  <c r="BD3379" i="118"/>
  <c r="BC3380" i="118"/>
  <c r="BD3380" i="118"/>
  <c r="BC3381" i="118"/>
  <c r="BD3381" i="118"/>
  <c r="BC3382" i="118"/>
  <c r="BD3382" i="118"/>
  <c r="BC3383" i="118"/>
  <c r="BD3383" i="118"/>
  <c r="BC3384" i="118"/>
  <c r="BD3384" i="118"/>
  <c r="BC3385" i="118"/>
  <c r="BD3385" i="118"/>
  <c r="BC3386" i="118"/>
  <c r="BD3386" i="118"/>
  <c r="BC3387" i="118"/>
  <c r="BD3387" i="118"/>
  <c r="BC3388" i="118"/>
  <c r="BD3388" i="118"/>
  <c r="BC3389" i="118"/>
  <c r="BC3390" i="118"/>
  <c r="BD3390" i="118"/>
  <c r="BC3391" i="118"/>
  <c r="BD3391" i="118"/>
  <c r="BC3392" i="118"/>
  <c r="BD3392" i="118"/>
  <c r="BC3393" i="118"/>
  <c r="BD3393" i="118"/>
  <c r="BC3394" i="118"/>
  <c r="BD3394" i="118"/>
  <c r="BC3396" i="118"/>
  <c r="BD3396" i="118"/>
  <c r="BC3397" i="118"/>
  <c r="BD3397" i="118"/>
  <c r="BC3398" i="118"/>
  <c r="BD3398" i="118"/>
  <c r="BC3399" i="118"/>
  <c r="BD3399" i="118"/>
  <c r="BC3400" i="118"/>
  <c r="BD3400" i="118"/>
  <c r="BC3402" i="118"/>
  <c r="BD3402" i="118"/>
  <c r="BC3403" i="118"/>
  <c r="BD3403" i="118"/>
  <c r="BC3404" i="118"/>
  <c r="BD3404" i="118"/>
  <c r="BC3405" i="118"/>
  <c r="BD3405" i="118"/>
  <c r="BC3406" i="118"/>
  <c r="BD3406" i="118"/>
  <c r="BC3407" i="118"/>
  <c r="BD3407" i="118"/>
  <c r="BC3408" i="118"/>
  <c r="BD3408" i="118"/>
  <c r="BC3410" i="118"/>
  <c r="BD3410" i="118"/>
  <c r="BC3411" i="118"/>
  <c r="BD3411" i="118"/>
  <c r="BC3412" i="118"/>
  <c r="BD3412" i="118"/>
  <c r="BC3413" i="118"/>
  <c r="BD3413" i="118"/>
  <c r="BC3415" i="118"/>
  <c r="BD3415" i="118"/>
  <c r="BC3416" i="118"/>
  <c r="BD3416" i="118"/>
  <c r="BC3417" i="118"/>
  <c r="BD3417" i="118"/>
  <c r="BC3418" i="118"/>
  <c r="BD3418" i="118"/>
  <c r="BC3419" i="118"/>
  <c r="BD3419" i="118"/>
  <c r="BC3420" i="118"/>
  <c r="BD3420" i="118"/>
  <c r="BC3421" i="118"/>
  <c r="BD3421" i="118"/>
  <c r="BC3423" i="118"/>
  <c r="BD3423" i="118"/>
  <c r="BC3424" i="118"/>
  <c r="BD3424" i="118"/>
  <c r="BC3425" i="118"/>
  <c r="BD3425" i="118"/>
  <c r="BC3426" i="118"/>
  <c r="BD3426" i="118"/>
  <c r="BC3431" i="118"/>
  <c r="BD3431" i="118"/>
  <c r="BC3432" i="118"/>
  <c r="BD3432" i="118"/>
  <c r="BC3435" i="118"/>
  <c r="BD3435" i="118"/>
  <c r="BC3436" i="118"/>
  <c r="BD3436" i="118"/>
  <c r="BC3437" i="118"/>
  <c r="BD3437" i="118"/>
  <c r="BC3438" i="118"/>
  <c r="BD3438" i="118"/>
  <c r="BC3439" i="118"/>
  <c r="BD3439" i="118"/>
  <c r="BC3440" i="118"/>
  <c r="BD3440" i="118"/>
  <c r="BC3441" i="118"/>
  <c r="BD3441" i="118"/>
  <c r="BC3442" i="118"/>
  <c r="BD3442" i="118"/>
  <c r="BC3443" i="118"/>
  <c r="BD3443" i="118"/>
  <c r="BC3444" i="118"/>
  <c r="BD3444" i="118"/>
  <c r="BC3445" i="118"/>
  <c r="BD3445" i="118"/>
  <c r="BC3446" i="118"/>
  <c r="BD3446" i="118"/>
  <c r="BC3447" i="118"/>
  <c r="BD3447" i="118"/>
  <c r="BC3448" i="118"/>
  <c r="BD3448" i="118"/>
  <c r="BC3449" i="118"/>
  <c r="BD3449" i="118"/>
  <c r="BC3450" i="118"/>
  <c r="BD3450" i="118"/>
  <c r="BC3451" i="118"/>
  <c r="BD3451" i="118"/>
  <c r="BC3452" i="118"/>
  <c r="BD3452" i="118"/>
  <c r="BC3453" i="118"/>
  <c r="BD3453" i="118"/>
  <c r="BC3454" i="118"/>
  <c r="BD3454" i="118"/>
  <c r="BC3455" i="118"/>
  <c r="BD3455" i="118"/>
  <c r="BC3456" i="118"/>
  <c r="BD3456" i="118"/>
  <c r="BC3457" i="118"/>
  <c r="BD3457" i="118"/>
  <c r="BC3459" i="118"/>
  <c r="BD3459" i="118"/>
  <c r="BC3460" i="118"/>
  <c r="BD3460" i="118"/>
  <c r="BC3462" i="118"/>
  <c r="BD3462" i="118"/>
  <c r="BC3463" i="118"/>
  <c r="BD3463" i="118"/>
  <c r="BC3464" i="118"/>
  <c r="BD3464" i="118"/>
  <c r="BC3465" i="118"/>
  <c r="BC3466" i="118"/>
  <c r="BD3466" i="118"/>
  <c r="BC3467" i="118"/>
  <c r="BD3467" i="118"/>
  <c r="BC3468" i="118"/>
  <c r="BD3468" i="118"/>
  <c r="BC3469" i="118"/>
  <c r="BD3469" i="118"/>
  <c r="BC3470" i="118"/>
  <c r="BD3470" i="118"/>
  <c r="BC3471" i="118"/>
  <c r="BD3471" i="118"/>
  <c r="BC3472" i="118"/>
  <c r="BD3472" i="118"/>
  <c r="BC3473" i="118"/>
  <c r="BD3473" i="118"/>
  <c r="BC3475" i="118"/>
  <c r="BD3475" i="118"/>
  <c r="BC3476" i="118"/>
  <c r="BD3476" i="118"/>
  <c r="BC3479" i="118"/>
  <c r="BD3479" i="118"/>
  <c r="BC3480" i="118"/>
  <c r="BD3480" i="118"/>
  <c r="BC3481" i="118"/>
  <c r="BD3481" i="118"/>
  <c r="BC3482" i="118"/>
  <c r="BD3482" i="118"/>
  <c r="BC3483" i="118"/>
  <c r="BD3483" i="118"/>
  <c r="BC3484" i="118"/>
  <c r="BD3484" i="118"/>
  <c r="BC3485" i="118"/>
  <c r="BD3485" i="118"/>
  <c r="BC3486" i="118"/>
  <c r="BD3486" i="118"/>
  <c r="BC3487" i="118"/>
  <c r="BD3487" i="118"/>
  <c r="BC3488" i="118"/>
  <c r="BD3488" i="118"/>
  <c r="BC3489" i="118"/>
  <c r="BD3489" i="118"/>
  <c r="BC3490" i="118"/>
  <c r="BD3490" i="118"/>
  <c r="BC3491" i="118"/>
  <c r="BD3491" i="118"/>
  <c r="BC3492" i="118"/>
  <c r="BD3492" i="118"/>
  <c r="BC3493" i="118"/>
  <c r="BD3493" i="118"/>
  <c r="BC3494" i="118"/>
  <c r="BD3494" i="118"/>
  <c r="BC3495" i="118"/>
  <c r="BD3495" i="118"/>
  <c r="BC3497" i="118"/>
  <c r="BD3497" i="118"/>
  <c r="BC3498" i="118"/>
  <c r="BD3498" i="118"/>
  <c r="BC3499" i="118"/>
  <c r="BD3499" i="118"/>
  <c r="BC3500" i="118"/>
  <c r="BD3500" i="118"/>
  <c r="BC3501" i="118"/>
  <c r="BD3501" i="118"/>
  <c r="BC3502" i="118"/>
  <c r="BD3502" i="118"/>
  <c r="BC3503" i="118"/>
  <c r="BD3503" i="118"/>
  <c r="BC3504" i="118"/>
  <c r="BD3504" i="118"/>
  <c r="BC3505" i="118"/>
  <c r="BD3505" i="118"/>
  <c r="BC3506" i="118"/>
  <c r="BD3506" i="118"/>
  <c r="BC3507" i="118"/>
  <c r="BD3507" i="118"/>
  <c r="BC3508" i="118"/>
  <c r="BD3508" i="118"/>
  <c r="BC3509" i="118"/>
  <c r="BD3509" i="118"/>
  <c r="BC3510" i="118"/>
  <c r="BD3510" i="118"/>
  <c r="BC3511" i="118"/>
  <c r="BD3511" i="118"/>
  <c r="BC3513" i="118"/>
  <c r="BD3513" i="118"/>
  <c r="BC3514" i="118"/>
  <c r="BD3514" i="118"/>
  <c r="BC3515" i="118"/>
  <c r="BD3515" i="118"/>
  <c r="BC3516" i="118"/>
  <c r="BD3516" i="118"/>
  <c r="BC3517" i="118"/>
  <c r="BD3517" i="118"/>
  <c r="BC3518" i="118"/>
  <c r="BD3518" i="118"/>
  <c r="BC3519" i="118"/>
  <c r="BD3519" i="118"/>
  <c r="BC3520" i="118"/>
  <c r="BD3520" i="118"/>
  <c r="BC3521" i="118"/>
  <c r="BD3521" i="118"/>
  <c r="BC3522" i="118"/>
  <c r="BD3522" i="118"/>
  <c r="BC3523" i="118"/>
  <c r="BD3523" i="118"/>
  <c r="BC3524" i="118"/>
  <c r="BD3524" i="118"/>
  <c r="BC3526" i="118"/>
  <c r="BD3526" i="118"/>
  <c r="BC3527" i="118"/>
  <c r="BD3527" i="118"/>
  <c r="BC3528" i="118"/>
  <c r="BD3528" i="118"/>
  <c r="BC3529" i="118"/>
  <c r="BD3529" i="118"/>
  <c r="BC3530" i="118"/>
  <c r="BD3530" i="118"/>
  <c r="BC3531" i="118"/>
  <c r="BD3531" i="118"/>
  <c r="BC3532" i="118"/>
  <c r="BD3532" i="118"/>
  <c r="BC3533" i="118"/>
  <c r="BD3533" i="118"/>
  <c r="BC3534" i="118"/>
  <c r="BD3534" i="118"/>
  <c r="BC3535" i="118"/>
  <c r="BD3535" i="118"/>
  <c r="BC3536" i="118"/>
  <c r="BD3536" i="118"/>
  <c r="BC3537" i="118"/>
  <c r="BD3537" i="118"/>
  <c r="BC3538" i="118"/>
  <c r="BD3538" i="118"/>
  <c r="BC3540" i="118"/>
  <c r="BD3540" i="118"/>
  <c r="BC3541" i="118"/>
  <c r="BD3541" i="118"/>
  <c r="BC3542" i="118"/>
  <c r="BD3542" i="118"/>
  <c r="BC3543" i="118"/>
  <c r="BD3543" i="118"/>
  <c r="BC3544" i="118"/>
  <c r="BD3544" i="118"/>
  <c r="BC3545" i="118"/>
  <c r="BD3545" i="118"/>
  <c r="BC3546" i="118"/>
  <c r="BD3546" i="118"/>
  <c r="BC3547" i="118"/>
  <c r="BD3547" i="118"/>
  <c r="BC3548" i="118"/>
  <c r="BD3548" i="118"/>
  <c r="BC3549" i="118"/>
  <c r="BD3549" i="118"/>
  <c r="BC3550" i="118"/>
  <c r="BD3550" i="118"/>
  <c r="BC3552" i="118"/>
  <c r="BD3552" i="118"/>
  <c r="BC3553" i="118"/>
  <c r="BD3553" i="118"/>
  <c r="BC3554" i="118"/>
  <c r="BD3554" i="118"/>
  <c r="BC3555" i="118"/>
  <c r="BD3555" i="118"/>
  <c r="BC3556" i="118"/>
  <c r="BD3556" i="118"/>
  <c r="BC3557" i="118"/>
  <c r="BD3557" i="118"/>
  <c r="BC3558" i="118"/>
  <c r="BD3558" i="118"/>
  <c r="BC3559" i="118"/>
  <c r="BD3559" i="118"/>
  <c r="BC3560" i="118"/>
  <c r="BD3560" i="118"/>
  <c r="BC3561" i="118"/>
  <c r="BD3561" i="118"/>
  <c r="BC3562" i="118"/>
  <c r="BD3562" i="118"/>
  <c r="BC3563" i="118"/>
  <c r="BD3563" i="118"/>
  <c r="BC3564" i="118"/>
  <c r="BD3564" i="118"/>
  <c r="BC3565" i="118"/>
  <c r="BD3565" i="118"/>
  <c r="BC3566" i="118"/>
  <c r="BD3566" i="118"/>
  <c r="BC3570" i="118"/>
  <c r="BD3570" i="118"/>
  <c r="BC3571" i="118"/>
  <c r="BD3571" i="118"/>
  <c r="BC3572" i="118"/>
  <c r="BD3572" i="118"/>
  <c r="BC3573" i="118"/>
  <c r="BD3573" i="118"/>
  <c r="BC3574" i="118"/>
  <c r="BD3574" i="118"/>
  <c r="BC3575" i="118"/>
  <c r="BD3575" i="118"/>
  <c r="BC3576" i="118"/>
  <c r="BD3576" i="118"/>
  <c r="BC3577" i="118"/>
  <c r="BD3577" i="118"/>
  <c r="BC3578" i="118"/>
  <c r="BD3578" i="118"/>
  <c r="BC3579" i="118"/>
  <c r="BD3579" i="118"/>
  <c r="BC3580" i="118"/>
  <c r="BD3580" i="118"/>
  <c r="BC3581" i="118"/>
  <c r="BD3581" i="118"/>
  <c r="BC3582" i="118"/>
  <c r="BD3582" i="118"/>
  <c r="BC3583" i="118"/>
  <c r="BD3583" i="118"/>
  <c r="BC3584" i="118"/>
  <c r="BD3584" i="118"/>
  <c r="BC3585" i="118"/>
  <c r="BD3585" i="118"/>
  <c r="BC3586" i="118"/>
  <c r="BD3586" i="118"/>
  <c r="BC3587" i="118"/>
  <c r="BD3587" i="118"/>
  <c r="BC3589" i="118"/>
  <c r="BD3589" i="118"/>
  <c r="BC3590" i="118"/>
  <c r="BD3590" i="118"/>
  <c r="BC3591" i="118"/>
  <c r="BD3591" i="118"/>
  <c r="BC3592" i="118"/>
  <c r="BD3592" i="118"/>
  <c r="BC3593" i="118"/>
  <c r="BD3593" i="118"/>
  <c r="BC3594" i="118"/>
  <c r="BD3594" i="118"/>
  <c r="BC3595" i="118"/>
  <c r="BD3595" i="118"/>
  <c r="BC3596" i="118"/>
  <c r="BD3596" i="118"/>
  <c r="BC3597" i="118"/>
  <c r="BD3597" i="118"/>
  <c r="BC3598" i="118"/>
  <c r="BD3598" i="118"/>
  <c r="BC3599" i="118"/>
  <c r="BD3599" i="118"/>
  <c r="BC3600" i="118"/>
  <c r="BD3600" i="118"/>
  <c r="BC3601" i="118"/>
  <c r="BD3601" i="118"/>
  <c r="BC3602" i="118"/>
  <c r="BD3602" i="118"/>
  <c r="BC3604" i="118"/>
  <c r="BD3604" i="118"/>
  <c r="BC3605" i="118"/>
  <c r="BD3605" i="118"/>
  <c r="BC3607" i="118"/>
  <c r="BD3607" i="118"/>
  <c r="BC3608" i="118"/>
  <c r="BD3608" i="118"/>
  <c r="BC3609" i="118"/>
  <c r="BD3609" i="118"/>
  <c r="BC3610" i="118"/>
  <c r="BD3610" i="118"/>
  <c r="BC3611" i="118"/>
  <c r="BD3611" i="118"/>
  <c r="BC3612" i="118"/>
  <c r="BD3612" i="118"/>
  <c r="BC3613" i="118"/>
  <c r="BD3613" i="118"/>
  <c r="BC3614" i="118"/>
  <c r="BD3614" i="118"/>
  <c r="BC3615" i="118"/>
  <c r="BD3615" i="118"/>
  <c r="BC3616" i="118"/>
  <c r="BD3616" i="118"/>
  <c r="BC3617" i="118"/>
  <c r="BD3617" i="118"/>
  <c r="BC3619" i="118"/>
  <c r="BD3619" i="118"/>
  <c r="BC3620" i="118"/>
  <c r="BD3620" i="118"/>
  <c r="BC3621" i="118"/>
  <c r="BD3621" i="118"/>
  <c r="BC3622" i="118"/>
  <c r="BD3622" i="118"/>
  <c r="BC3623" i="118"/>
  <c r="BD3623" i="118"/>
  <c r="BC3624" i="118"/>
  <c r="BD3624" i="118"/>
  <c r="BC3625" i="118"/>
  <c r="BD3625" i="118"/>
  <c r="BC3627" i="118"/>
  <c r="BD3627" i="118"/>
  <c r="BC3629" i="118"/>
  <c r="BD3629" i="118"/>
  <c r="BC3630" i="118"/>
  <c r="BD3630" i="118"/>
  <c r="BC3632" i="118"/>
  <c r="BD3632" i="118"/>
  <c r="BC3633" i="118"/>
  <c r="BD3633" i="118"/>
  <c r="BC3634" i="118"/>
  <c r="BD3634" i="118"/>
  <c r="BC3635" i="118"/>
  <c r="BD3635" i="118"/>
  <c r="BC3636" i="118"/>
  <c r="BD3636" i="118"/>
  <c r="BC3637" i="118"/>
  <c r="BD3637" i="118"/>
  <c r="BC3638" i="118"/>
  <c r="BD3638" i="118"/>
  <c r="BC3639" i="118"/>
  <c r="BD3639" i="118"/>
  <c r="BC3640" i="118"/>
  <c r="BD3640" i="118"/>
  <c r="BC3641" i="118"/>
  <c r="BD3641" i="118"/>
  <c r="BC3642" i="118"/>
  <c r="BD3642" i="118"/>
  <c r="BC3643" i="118"/>
  <c r="BD3643" i="118"/>
  <c r="BC3644" i="118"/>
  <c r="BD3644" i="118"/>
  <c r="BC3645" i="118"/>
  <c r="BD3645" i="118"/>
  <c r="BC3646" i="118"/>
  <c r="BD3646" i="118"/>
  <c r="BC3647" i="118"/>
  <c r="BD3647" i="118"/>
  <c r="BC3648" i="118"/>
  <c r="BD3648" i="118"/>
  <c r="BC3649" i="118"/>
  <c r="BD3649" i="118"/>
  <c r="BC3650" i="118"/>
  <c r="BD3650" i="118"/>
  <c r="BC3651" i="118"/>
  <c r="BD3651" i="118"/>
  <c r="BC3653" i="118"/>
  <c r="BD3653" i="118"/>
  <c r="BC3655" i="118"/>
  <c r="BD3655" i="118"/>
  <c r="BC3656" i="118"/>
  <c r="BD3656" i="118"/>
  <c r="BC3657" i="118"/>
  <c r="BD3657" i="118"/>
  <c r="BC3658" i="118"/>
  <c r="BD3658" i="118"/>
  <c r="BC3659" i="118"/>
  <c r="BD3659" i="118"/>
  <c r="BC3660" i="118"/>
  <c r="BD3660" i="118"/>
  <c r="BC3661" i="118"/>
  <c r="BD3661" i="118"/>
  <c r="BC3662" i="118"/>
  <c r="BD3662" i="118"/>
  <c r="BC3663" i="118"/>
  <c r="BD3663" i="118"/>
  <c r="BC3664" i="118"/>
  <c r="BD3664" i="118"/>
  <c r="BC3665" i="118"/>
  <c r="BD3665" i="118"/>
  <c r="BC3666" i="118"/>
  <c r="BD3666" i="118"/>
  <c r="BC3668" i="118"/>
  <c r="BD3668" i="118"/>
  <c r="BC3669" i="118"/>
  <c r="BD3669" i="118"/>
  <c r="BC3670" i="118"/>
  <c r="BD3670" i="118"/>
  <c r="BC3671" i="118"/>
  <c r="BD3671" i="118"/>
  <c r="BC3672" i="118"/>
  <c r="BD3672" i="118"/>
  <c r="BC3673" i="118"/>
  <c r="BD3673" i="118"/>
  <c r="BC3674" i="118"/>
  <c r="BD3674" i="118"/>
  <c r="BC3675" i="118"/>
  <c r="BD3675" i="118"/>
  <c r="BC3676" i="118"/>
  <c r="BD3676" i="118"/>
  <c r="BC3677" i="118"/>
  <c r="BD3677" i="118"/>
  <c r="BC3678" i="118"/>
  <c r="BD3678" i="118"/>
  <c r="BC3679" i="118"/>
  <c r="BD3679" i="118"/>
  <c r="BC3680" i="118"/>
  <c r="BD3680" i="118"/>
  <c r="BC3681" i="118"/>
  <c r="BD3681" i="118"/>
  <c r="BC3682" i="118"/>
  <c r="BD3682" i="118"/>
  <c r="BC3683" i="118"/>
  <c r="BD3683" i="118"/>
  <c r="BC3684" i="118"/>
  <c r="BD3684" i="118"/>
  <c r="BC3686" i="118"/>
  <c r="BD3686" i="118"/>
  <c r="BC3687" i="118"/>
  <c r="BD3687" i="118"/>
  <c r="BC3688" i="118"/>
  <c r="BD3688" i="118"/>
  <c r="BC3689" i="118"/>
  <c r="BD3689" i="118"/>
  <c r="BC3691" i="118"/>
  <c r="BD3691" i="118"/>
  <c r="BC3692" i="118"/>
  <c r="BD3692" i="118"/>
  <c r="BC3693" i="118"/>
  <c r="BD3693" i="118"/>
  <c r="BC3694" i="118"/>
  <c r="BD3694" i="118"/>
  <c r="BC3695" i="118"/>
  <c r="BD3695" i="118"/>
  <c r="BC3696" i="118"/>
  <c r="BD3696" i="118"/>
  <c r="BC3697" i="118"/>
  <c r="BD3697" i="118"/>
  <c r="BC3698" i="118"/>
  <c r="BD3698" i="118"/>
  <c r="BC3699" i="118"/>
  <c r="BD3699" i="118"/>
  <c r="BC3700" i="118"/>
  <c r="BD3700" i="118"/>
  <c r="BC3701" i="118"/>
  <c r="BD3701" i="118"/>
  <c r="BC3702" i="118"/>
  <c r="BD3702" i="118"/>
  <c r="BC3703" i="118"/>
  <c r="BD3703" i="118"/>
  <c r="BC3704" i="118"/>
  <c r="BD3704" i="118"/>
  <c r="BC3705" i="118"/>
  <c r="BD3705" i="118"/>
  <c r="BC3706" i="118"/>
  <c r="BD3706" i="118"/>
  <c r="BC3707" i="118"/>
  <c r="BD3707" i="118"/>
  <c r="BC3708" i="118"/>
  <c r="BD3708" i="118"/>
  <c r="BC3709" i="118"/>
  <c r="BD3709" i="118"/>
  <c r="BC3710" i="118"/>
  <c r="BD3710" i="118"/>
  <c r="BC3711" i="118"/>
  <c r="BD3711" i="118"/>
  <c r="BC3713" i="118"/>
  <c r="BD3713" i="118"/>
  <c r="BC3714" i="118"/>
  <c r="BD3714" i="118"/>
  <c r="BC3715" i="118"/>
  <c r="BD3715" i="118"/>
  <c r="BC3716" i="118"/>
  <c r="BD3716" i="118"/>
  <c r="BC3717" i="118"/>
  <c r="BD3717" i="118"/>
  <c r="BC3718" i="118"/>
  <c r="BD3718" i="118"/>
  <c r="BC3719" i="118"/>
  <c r="BD3719" i="118"/>
  <c r="BC3720" i="118"/>
  <c r="BD3720" i="118"/>
  <c r="BC3721" i="118"/>
  <c r="BD3721" i="118"/>
  <c r="BC3722" i="118"/>
  <c r="BD3722" i="118"/>
  <c r="BC3723" i="118"/>
  <c r="BD3723" i="118"/>
  <c r="BC3725" i="118"/>
  <c r="BD3725" i="118"/>
  <c r="BC3727" i="118"/>
  <c r="BD3727" i="118"/>
  <c r="BC3728" i="118"/>
  <c r="BD3728" i="118"/>
  <c r="BC3729" i="118"/>
  <c r="BD3729" i="118"/>
  <c r="BC3730" i="118"/>
  <c r="BD3730" i="118"/>
  <c r="BC3731" i="118"/>
  <c r="BD3731" i="118"/>
  <c r="BC3732" i="118"/>
  <c r="BD3732" i="118"/>
  <c r="BC3734" i="118"/>
  <c r="BD3734" i="118"/>
  <c r="BC3735" i="118"/>
  <c r="BD3735" i="118"/>
  <c r="BC3736" i="118"/>
  <c r="BD3736" i="118"/>
  <c r="BC3737" i="118"/>
  <c r="BD3737" i="118"/>
  <c r="BC3738" i="118"/>
  <c r="BD3738" i="118"/>
  <c r="BC3739" i="118"/>
  <c r="BD3739" i="118"/>
  <c r="BC3740" i="118"/>
  <c r="BD3740" i="118"/>
  <c r="BC3741" i="118"/>
  <c r="BD3741" i="118"/>
  <c r="BC3742" i="118"/>
  <c r="BD3742" i="118"/>
  <c r="BC3743" i="118"/>
  <c r="BD3743" i="118"/>
  <c r="BC3744" i="118"/>
  <c r="BD3744" i="118"/>
  <c r="BC3746" i="118"/>
  <c r="BD3746" i="118"/>
  <c r="BC3747" i="118"/>
  <c r="BD3747" i="118"/>
  <c r="BC3748" i="118"/>
  <c r="BD3748" i="118"/>
  <c r="BC3749" i="118"/>
  <c r="BD3749" i="118"/>
  <c r="BC3750" i="118"/>
  <c r="BD3750" i="118"/>
  <c r="BC3751" i="118"/>
  <c r="BD3751" i="118"/>
  <c r="BC3752" i="118"/>
  <c r="BD3752" i="118"/>
  <c r="BC3753" i="118"/>
  <c r="BD3753" i="118"/>
  <c r="BC3754" i="118"/>
  <c r="BD3754" i="118"/>
  <c r="BC3755" i="118"/>
  <c r="BD3755" i="118"/>
  <c r="BC3756" i="118"/>
  <c r="BD3756" i="118"/>
  <c r="BC3757" i="118"/>
  <c r="BD3757" i="118"/>
  <c r="BC3758" i="118"/>
  <c r="BD3758" i="118"/>
  <c r="BC3759" i="118"/>
  <c r="BD3759" i="118"/>
  <c r="BC3760" i="118"/>
  <c r="BD3760" i="118"/>
  <c r="BC3761" i="118"/>
  <c r="BD3761" i="118"/>
  <c r="BC3762" i="118"/>
  <c r="BD3762" i="118"/>
  <c r="BC3763" i="118"/>
  <c r="BD3763" i="118"/>
  <c r="BC3764" i="118"/>
  <c r="BD3764" i="118"/>
  <c r="BC3765" i="118"/>
  <c r="BD3765" i="118"/>
  <c r="BC3766" i="118"/>
  <c r="BD3766" i="118"/>
  <c r="BC3767" i="118"/>
  <c r="BD3767" i="118"/>
  <c r="BC3768" i="118"/>
  <c r="BD3768" i="118"/>
  <c r="BC3769" i="118"/>
  <c r="BD3769" i="118"/>
  <c r="BC3770" i="118"/>
  <c r="BD3770" i="118"/>
  <c r="BC3771" i="118"/>
  <c r="BD3771" i="118"/>
  <c r="BC3772" i="118"/>
  <c r="BD3772" i="118"/>
  <c r="BC3773" i="118"/>
  <c r="BD3773" i="118"/>
  <c r="BC3774" i="118"/>
  <c r="BD3774" i="118"/>
  <c r="BC3776" i="118"/>
  <c r="BD3776" i="118"/>
  <c r="BC3775" i="118"/>
  <c r="BD3775" i="118"/>
  <c r="BC3777" i="118"/>
  <c r="BD3777" i="118"/>
  <c r="BC3778" i="118"/>
  <c r="BD3778" i="118"/>
  <c r="BC3779" i="118"/>
  <c r="BD3779" i="118"/>
  <c r="BC3780" i="118"/>
  <c r="BC3781" i="118"/>
  <c r="BD3781" i="118"/>
  <c r="BC3782" i="118"/>
  <c r="BD3782" i="118"/>
  <c r="BC3783" i="118"/>
  <c r="BD3783" i="118"/>
  <c r="BC3784" i="118"/>
  <c r="BD3784" i="118"/>
  <c r="BC3785" i="118"/>
  <c r="BD3785" i="118"/>
  <c r="BC3786" i="118"/>
  <c r="BD3786" i="118"/>
  <c r="BC3787" i="118"/>
  <c r="BD3787" i="118"/>
  <c r="BC3788" i="118"/>
  <c r="BD3788" i="118"/>
  <c r="BC3789" i="118"/>
  <c r="BC3790" i="118"/>
  <c r="BC3791" i="118"/>
  <c r="BD3791" i="118"/>
  <c r="BC3792" i="118"/>
  <c r="BD3792" i="118"/>
  <c r="BC3793" i="118"/>
  <c r="BC3794" i="118"/>
  <c r="BD3794" i="118"/>
  <c r="BC3795" i="118"/>
  <c r="BD3795" i="118"/>
  <c r="BC3797" i="118"/>
  <c r="BD3797" i="118"/>
  <c r="BC3799" i="118"/>
  <c r="BD3799" i="118"/>
  <c r="BC3801" i="118"/>
  <c r="BD3801" i="118"/>
  <c r="AB16" i="118"/>
  <c r="AC16" i="118"/>
  <c r="BG16" i="118" s="1"/>
  <c r="AB17" i="118"/>
  <c r="AC17" i="118"/>
  <c r="BG17" i="118" s="1"/>
  <c r="AB18" i="118"/>
  <c r="AC18" i="118"/>
  <c r="BG18" i="118" s="1"/>
  <c r="AB19" i="118"/>
  <c r="AC19" i="118"/>
  <c r="BG19" i="118" s="1"/>
  <c r="AB21" i="118"/>
  <c r="AC21" i="118"/>
  <c r="BG21" i="118" s="1"/>
  <c r="AB22" i="118"/>
  <c r="AC22" i="118"/>
  <c r="BG22" i="118" s="1"/>
  <c r="AB23" i="118"/>
  <c r="AC23" i="118"/>
  <c r="BG23" i="118" s="1"/>
  <c r="AB24" i="118"/>
  <c r="AC24" i="118"/>
  <c r="BG24" i="118" s="1"/>
  <c r="AB25" i="118"/>
  <c r="AC25" i="118"/>
  <c r="BG25" i="118" s="1"/>
  <c r="AB26" i="118"/>
  <c r="AC26" i="118"/>
  <c r="BG26" i="118" s="1"/>
  <c r="AB27" i="118"/>
  <c r="AC27" i="118"/>
  <c r="BG27" i="118" s="1"/>
  <c r="AB28" i="118"/>
  <c r="AC28" i="118"/>
  <c r="BG28" i="118" s="1"/>
  <c r="AB30" i="118"/>
  <c r="AC30" i="118"/>
  <c r="BG30" i="118" s="1"/>
  <c r="AB31" i="118"/>
  <c r="AC31" i="118"/>
  <c r="BG31" i="118" s="1"/>
  <c r="AB33" i="118"/>
  <c r="AC33" i="118"/>
  <c r="BG33" i="118" s="1"/>
  <c r="AB35" i="118"/>
  <c r="AC35" i="118"/>
  <c r="BG35" i="118" s="1"/>
  <c r="BI35" i="118" s="1"/>
  <c r="AB36" i="118"/>
  <c r="AC36" i="118"/>
  <c r="BG36" i="118" s="1"/>
  <c r="AB37" i="118"/>
  <c r="AC37" i="118"/>
  <c r="BG37" i="118" s="1"/>
  <c r="AB38" i="118"/>
  <c r="AC38" i="118"/>
  <c r="BG38" i="118" s="1"/>
  <c r="AB39" i="118"/>
  <c r="AC39" i="118"/>
  <c r="BG39" i="118" s="1"/>
  <c r="AB40" i="118"/>
  <c r="AC40" i="118"/>
  <c r="BG40" i="118" s="1"/>
  <c r="AB41" i="118"/>
  <c r="AC41" i="118"/>
  <c r="BG41" i="118" s="1"/>
  <c r="AB42" i="118"/>
  <c r="AC42" i="118"/>
  <c r="BG42" i="118" s="1"/>
  <c r="AB44" i="118"/>
  <c r="AC44" i="118"/>
  <c r="BG44" i="118" s="1"/>
  <c r="AB45" i="118"/>
  <c r="AC45" i="118"/>
  <c r="BG45" i="118" s="1"/>
  <c r="AB46" i="118"/>
  <c r="AC46" i="118"/>
  <c r="BG46" i="118" s="1"/>
  <c r="AB47" i="118"/>
  <c r="AC47" i="118"/>
  <c r="BG47" i="118" s="1"/>
  <c r="AB48" i="118"/>
  <c r="AC48" i="118"/>
  <c r="BG48" i="118" s="1"/>
  <c r="AB49" i="118"/>
  <c r="AC49" i="118"/>
  <c r="BG49" i="118" s="1"/>
  <c r="AB51" i="118"/>
  <c r="AC51" i="118"/>
  <c r="BG51" i="118" s="1"/>
  <c r="AB52" i="118"/>
  <c r="AC52" i="118"/>
  <c r="BG52" i="118" s="1"/>
  <c r="AB54" i="118"/>
  <c r="AC54" i="118"/>
  <c r="BG54" i="118" s="1"/>
  <c r="AB56" i="118"/>
  <c r="AC56" i="118"/>
  <c r="AB57" i="118"/>
  <c r="AC57" i="118"/>
  <c r="BG57" i="118" s="1"/>
  <c r="AB58" i="118"/>
  <c r="AC58" i="118"/>
  <c r="BG58" i="118" s="1"/>
  <c r="AB59" i="118"/>
  <c r="AC59" i="118"/>
  <c r="AB60" i="118"/>
  <c r="AC60" i="118"/>
  <c r="AB61" i="118"/>
  <c r="AC61" i="118"/>
  <c r="BG61" i="118" s="1"/>
  <c r="AB62" i="118"/>
  <c r="AC62" i="118"/>
  <c r="BG62" i="118" s="1"/>
  <c r="AB63" i="118"/>
  <c r="AC63" i="118"/>
  <c r="BG63" i="118" s="1"/>
  <c r="AB64" i="118"/>
  <c r="AC64" i="118"/>
  <c r="BG64" i="118" s="1"/>
  <c r="AB65" i="118"/>
  <c r="AC65" i="118"/>
  <c r="BG65" i="118" s="1"/>
  <c r="AB66" i="118"/>
  <c r="AC66" i="118"/>
  <c r="BG66" i="118" s="1"/>
  <c r="AB67" i="118"/>
  <c r="AC67" i="118"/>
  <c r="BG67" i="118" s="1"/>
  <c r="AB68" i="118"/>
  <c r="AC68" i="118"/>
  <c r="BG68" i="118" s="1"/>
  <c r="AB69" i="118"/>
  <c r="AC69" i="118"/>
  <c r="BG69" i="118" s="1"/>
  <c r="AB70" i="118"/>
  <c r="AC70" i="118"/>
  <c r="BG70" i="118" s="1"/>
  <c r="AB71" i="118"/>
  <c r="AC71" i="118"/>
  <c r="BG71" i="118" s="1"/>
  <c r="AB72" i="118"/>
  <c r="AC72" i="118"/>
  <c r="BG72" i="118" s="1"/>
  <c r="AB73" i="118"/>
  <c r="AC73" i="118"/>
  <c r="BG73" i="118" s="1"/>
  <c r="AB74" i="118"/>
  <c r="AC74" i="118"/>
  <c r="BG74" i="118" s="1"/>
  <c r="AB75" i="118"/>
  <c r="AC75" i="118"/>
  <c r="AB76" i="118"/>
  <c r="AC76" i="118"/>
  <c r="BG76" i="118" s="1"/>
  <c r="AB77" i="118"/>
  <c r="AC77" i="118"/>
  <c r="BG77" i="118" s="1"/>
  <c r="AB79" i="118"/>
  <c r="AC79" i="118"/>
  <c r="BG79" i="118" s="1"/>
  <c r="AB81" i="118"/>
  <c r="AC81" i="118"/>
  <c r="BG81" i="118" s="1"/>
  <c r="AB83" i="118"/>
  <c r="AC83" i="118"/>
  <c r="BG83" i="118" s="1"/>
  <c r="AB84" i="118"/>
  <c r="AC84" i="118"/>
  <c r="BG84" i="118" s="1"/>
  <c r="AB85" i="118"/>
  <c r="AC85" i="118"/>
  <c r="BG85" i="118" s="1"/>
  <c r="AB86" i="118"/>
  <c r="AC86" i="118"/>
  <c r="BG86" i="118" s="1"/>
  <c r="AB87" i="118"/>
  <c r="AC87" i="118"/>
  <c r="BG87" i="118" s="1"/>
  <c r="AB88" i="118"/>
  <c r="AC88" i="118"/>
  <c r="BG88" i="118" s="1"/>
  <c r="AB89" i="118"/>
  <c r="AC89" i="118"/>
  <c r="BG89" i="118" s="1"/>
  <c r="AB90" i="118"/>
  <c r="AC90" i="118"/>
  <c r="BG90" i="118" s="1"/>
  <c r="AB92" i="118"/>
  <c r="AC92" i="118"/>
  <c r="AB93" i="118"/>
  <c r="AC93" i="118"/>
  <c r="BG93" i="118" s="1"/>
  <c r="AB94" i="118"/>
  <c r="AC94" i="118"/>
  <c r="BG94" i="118" s="1"/>
  <c r="AB95" i="118"/>
  <c r="AC95" i="118"/>
  <c r="BG95" i="118" s="1"/>
  <c r="AB96" i="118"/>
  <c r="AC96" i="118"/>
  <c r="BG96" i="118" s="1"/>
  <c r="AB97" i="118"/>
  <c r="AC97" i="118"/>
  <c r="BG97" i="118" s="1"/>
  <c r="AB98" i="118"/>
  <c r="AC98" i="118"/>
  <c r="BG98" i="118" s="1"/>
  <c r="AB99" i="118"/>
  <c r="AC99" i="118"/>
  <c r="BG99" i="118" s="1"/>
  <c r="AB100" i="118"/>
  <c r="AC100" i="118"/>
  <c r="BG100" i="118" s="1"/>
  <c r="AB101" i="118"/>
  <c r="AC101" i="118"/>
  <c r="BG101" i="118" s="1"/>
  <c r="AB102" i="118"/>
  <c r="AC102" i="118"/>
  <c r="BG102" i="118" s="1"/>
  <c r="AB103" i="118"/>
  <c r="AC103" i="118"/>
  <c r="BG103" i="118" s="1"/>
  <c r="AB104" i="118"/>
  <c r="AC104" i="118"/>
  <c r="BG104" i="118" s="1"/>
  <c r="AB105" i="118"/>
  <c r="AC105" i="118"/>
  <c r="BG105" i="118" s="1"/>
  <c r="AB106" i="118"/>
  <c r="AC106" i="118"/>
  <c r="BG106" i="118" s="1"/>
  <c r="AB107" i="118"/>
  <c r="AC107" i="118"/>
  <c r="BG107" i="118" s="1"/>
  <c r="AB108" i="118"/>
  <c r="AC108" i="118"/>
  <c r="BG108" i="118" s="1"/>
  <c r="AB109" i="118"/>
  <c r="BF109" i="118" s="1"/>
  <c r="AC109" i="118"/>
  <c r="AB110" i="118"/>
  <c r="AC110" i="118"/>
  <c r="AB111" i="118"/>
  <c r="AC111" i="118"/>
  <c r="AB112" i="118"/>
  <c r="AC112" i="118"/>
  <c r="AB113" i="118"/>
  <c r="AC113" i="118"/>
  <c r="AB115" i="118"/>
  <c r="AC115" i="118"/>
  <c r="AB116" i="118"/>
  <c r="AC116" i="118"/>
  <c r="AB117" i="118"/>
  <c r="AC117" i="118"/>
  <c r="AB118" i="118"/>
  <c r="AC118" i="118"/>
  <c r="AB119" i="118"/>
  <c r="AC119" i="118"/>
  <c r="AB120" i="118"/>
  <c r="AC120" i="118"/>
  <c r="AB121" i="118"/>
  <c r="AC121" i="118"/>
  <c r="AB123" i="118"/>
  <c r="AC123" i="118"/>
  <c r="AB124" i="118"/>
  <c r="AC124" i="118"/>
  <c r="AB125" i="118"/>
  <c r="AC125" i="118"/>
  <c r="AB126" i="118"/>
  <c r="AC126" i="118"/>
  <c r="AB127" i="118"/>
  <c r="AC127" i="118"/>
  <c r="AB128" i="118"/>
  <c r="AC128" i="118"/>
  <c r="AB129" i="118"/>
  <c r="AC129" i="118"/>
  <c r="AB130" i="118"/>
  <c r="AC130" i="118"/>
  <c r="AB131" i="118"/>
  <c r="AC131" i="118"/>
  <c r="AB133" i="118"/>
  <c r="AC133" i="118"/>
  <c r="AB134" i="118"/>
  <c r="AC134" i="118"/>
  <c r="AB135" i="118"/>
  <c r="AC135" i="118"/>
  <c r="AB136" i="118"/>
  <c r="AC136" i="118"/>
  <c r="AB137" i="118"/>
  <c r="AC137" i="118"/>
  <c r="AB138" i="118"/>
  <c r="AC138" i="118"/>
  <c r="AB139" i="118"/>
  <c r="AC139" i="118"/>
  <c r="AB140" i="118"/>
  <c r="AC140" i="118"/>
  <c r="AB141" i="118"/>
  <c r="AC141" i="118"/>
  <c r="AB142" i="118"/>
  <c r="AC142" i="118"/>
  <c r="AB143" i="118"/>
  <c r="AC143" i="118"/>
  <c r="AB144" i="118"/>
  <c r="AC144" i="118"/>
  <c r="AB146" i="118"/>
  <c r="AC146" i="118"/>
  <c r="AB148" i="118"/>
  <c r="AC148" i="118"/>
  <c r="AB151" i="118"/>
  <c r="AC151" i="118"/>
  <c r="AB152" i="118"/>
  <c r="AC152" i="118"/>
  <c r="AB153" i="118"/>
  <c r="AC153" i="118"/>
  <c r="AB154" i="118"/>
  <c r="AC154" i="118"/>
  <c r="AB155" i="118"/>
  <c r="AC155" i="118"/>
  <c r="AB156" i="118"/>
  <c r="AC156" i="118"/>
  <c r="AB157" i="118"/>
  <c r="AC157" i="118"/>
  <c r="AB158" i="118"/>
  <c r="AC158" i="118"/>
  <c r="AB159" i="118"/>
  <c r="AC159" i="118"/>
  <c r="AB160" i="118"/>
  <c r="AC160" i="118"/>
  <c r="AB161" i="118"/>
  <c r="AC161" i="118"/>
  <c r="AB162" i="118"/>
  <c r="AC162" i="118"/>
  <c r="AB163" i="118"/>
  <c r="AC163" i="118"/>
  <c r="AB164" i="118"/>
  <c r="AC164" i="118"/>
  <c r="AB165" i="118"/>
  <c r="AC165" i="118"/>
  <c r="AB166" i="118"/>
  <c r="AC166" i="118"/>
  <c r="AB167" i="118"/>
  <c r="AC167" i="118"/>
  <c r="AB168" i="118"/>
  <c r="AC168" i="118"/>
  <c r="AB169" i="118"/>
  <c r="AC169" i="118"/>
  <c r="AB170" i="118"/>
  <c r="AC170" i="118"/>
  <c r="AB171" i="118"/>
  <c r="AC171" i="118"/>
  <c r="AB172" i="118"/>
  <c r="AC172" i="118"/>
  <c r="AB173" i="118"/>
  <c r="AC173" i="118"/>
  <c r="AB174" i="118"/>
  <c r="AC174" i="118"/>
  <c r="AB175" i="118"/>
  <c r="AC175" i="118"/>
  <c r="AB176" i="118"/>
  <c r="AC176" i="118"/>
  <c r="AB177" i="118"/>
  <c r="AC177" i="118"/>
  <c r="AB178" i="118"/>
  <c r="AC178" i="118"/>
  <c r="AB179" i="118"/>
  <c r="AC179" i="118"/>
  <c r="AB180" i="118"/>
  <c r="AC180" i="118"/>
  <c r="AB182" i="118"/>
  <c r="AC182" i="118"/>
  <c r="AB183" i="118"/>
  <c r="AC183" i="118"/>
  <c r="AB184" i="118"/>
  <c r="AC184" i="118"/>
  <c r="AB185" i="118"/>
  <c r="AC185" i="118"/>
  <c r="AB186" i="118"/>
  <c r="AC186" i="118"/>
  <c r="AB187" i="118"/>
  <c r="AC187" i="118"/>
  <c r="AB188" i="118"/>
  <c r="AC188" i="118"/>
  <c r="AB189" i="118"/>
  <c r="AC189" i="118"/>
  <c r="AB190" i="118"/>
  <c r="AC190" i="118"/>
  <c r="AB191" i="118"/>
  <c r="AC191" i="118"/>
  <c r="AB192" i="118"/>
  <c r="AC192" i="118"/>
  <c r="AB193" i="118"/>
  <c r="AC193" i="118"/>
  <c r="AB194" i="118"/>
  <c r="AC194" i="118"/>
  <c r="AB195" i="118"/>
  <c r="AC195" i="118"/>
  <c r="AB196" i="118"/>
  <c r="AC196" i="118"/>
  <c r="AB198" i="118"/>
  <c r="AC198" i="118"/>
  <c r="AB199" i="118"/>
  <c r="AC199" i="118"/>
  <c r="AB200" i="118"/>
  <c r="AC200" i="118"/>
  <c r="AB201" i="118"/>
  <c r="AC201" i="118"/>
  <c r="AB202" i="118"/>
  <c r="AC202" i="118"/>
  <c r="AB203" i="118"/>
  <c r="AC203" i="118"/>
  <c r="AB205" i="118"/>
  <c r="AC205" i="118"/>
  <c r="AB206" i="118"/>
  <c r="AC206" i="118"/>
  <c r="AB207" i="118"/>
  <c r="AC207" i="118"/>
  <c r="AB208" i="118"/>
  <c r="AC208" i="118"/>
  <c r="AB209" i="118"/>
  <c r="AC209" i="118"/>
  <c r="AB210" i="118"/>
  <c r="AC210" i="118"/>
  <c r="AB211" i="118"/>
  <c r="AC211" i="118"/>
  <c r="AB212" i="118"/>
  <c r="AC212" i="118"/>
  <c r="AB213" i="118"/>
  <c r="AC213" i="118"/>
  <c r="AB215" i="118"/>
  <c r="AC215" i="118"/>
  <c r="AB216" i="118"/>
  <c r="AC216" i="118"/>
  <c r="AB217" i="118"/>
  <c r="AC217" i="118"/>
  <c r="AB218" i="118"/>
  <c r="AC218" i="118"/>
  <c r="AB219" i="118"/>
  <c r="AC219" i="118"/>
  <c r="AB220" i="118"/>
  <c r="AC220" i="118"/>
  <c r="AB221" i="118"/>
  <c r="AC221" i="118"/>
  <c r="AB222" i="118"/>
  <c r="AC222" i="118"/>
  <c r="AB223" i="118"/>
  <c r="AC223" i="118"/>
  <c r="AB224" i="118"/>
  <c r="AC224" i="118"/>
  <c r="AB225" i="118"/>
  <c r="AC225" i="118"/>
  <c r="AB226" i="118"/>
  <c r="AC226" i="118"/>
  <c r="AB227" i="118"/>
  <c r="AC227" i="118"/>
  <c r="AB228" i="118"/>
  <c r="AC228" i="118"/>
  <c r="AB229" i="118"/>
  <c r="AC229" i="118"/>
  <c r="AB290" i="118"/>
  <c r="AC290" i="118"/>
  <c r="AB291" i="118"/>
  <c r="AC291" i="118"/>
  <c r="AB293" i="118"/>
  <c r="AC293" i="118"/>
  <c r="AB294" i="118"/>
  <c r="AC294" i="118"/>
  <c r="AB296" i="118"/>
  <c r="AC296" i="118"/>
  <c r="AB297" i="118"/>
  <c r="AC297" i="118"/>
  <c r="AB298" i="118"/>
  <c r="AC298" i="118"/>
  <c r="AB299" i="118"/>
  <c r="AC299" i="118"/>
  <c r="AB300" i="118"/>
  <c r="AC300" i="118"/>
  <c r="AB301" i="118"/>
  <c r="AC301" i="118"/>
  <c r="AB302" i="118"/>
  <c r="AC302" i="118"/>
  <c r="AB303" i="118"/>
  <c r="AC303" i="118"/>
  <c r="AB304" i="118"/>
  <c r="AC304" i="118"/>
  <c r="AB306" i="118"/>
  <c r="AC306" i="118"/>
  <c r="AB307" i="118"/>
  <c r="AC307" i="118"/>
  <c r="AB308" i="118"/>
  <c r="AC308" i="118"/>
  <c r="AB309" i="118"/>
  <c r="AC309" i="118"/>
  <c r="AB310" i="118"/>
  <c r="AC310" i="118"/>
  <c r="AB311" i="118"/>
  <c r="AC311" i="118"/>
  <c r="AB312" i="118"/>
  <c r="AC312" i="118"/>
  <c r="AB316" i="118"/>
  <c r="AC316" i="118"/>
  <c r="AB317" i="118"/>
  <c r="AC317" i="118"/>
  <c r="AB318" i="118"/>
  <c r="AC318" i="118"/>
  <c r="AB320" i="118"/>
  <c r="AC320" i="118"/>
  <c r="AB321" i="118"/>
  <c r="AC321" i="118"/>
  <c r="AB322" i="118"/>
  <c r="AC322" i="118"/>
  <c r="AB324" i="118"/>
  <c r="AC324" i="118"/>
  <c r="AB325" i="118"/>
  <c r="AC325" i="118"/>
  <c r="AB326" i="118"/>
  <c r="AC326" i="118"/>
  <c r="AB327" i="118"/>
  <c r="AC327" i="118"/>
  <c r="AB328" i="118"/>
  <c r="AC328" i="118"/>
  <c r="AB330" i="118"/>
  <c r="AC330" i="118"/>
  <c r="AB331" i="118"/>
  <c r="AC331" i="118"/>
  <c r="AB332" i="118"/>
  <c r="AC332" i="118"/>
  <c r="AB333" i="118"/>
  <c r="AC333" i="118"/>
  <c r="AB334" i="118"/>
  <c r="AC334" i="118"/>
  <c r="AB335" i="118"/>
  <c r="AC335" i="118"/>
  <c r="AB336" i="118"/>
  <c r="AC336" i="118"/>
  <c r="AB337" i="118"/>
  <c r="AC337" i="118"/>
  <c r="AB338" i="118"/>
  <c r="AC338" i="118"/>
  <c r="AB339" i="118"/>
  <c r="AC339" i="118"/>
  <c r="AB342" i="118"/>
  <c r="AC342" i="118"/>
  <c r="AB343" i="118"/>
  <c r="AC343" i="118"/>
  <c r="AB344" i="118"/>
  <c r="AC344" i="118"/>
  <c r="AB345" i="118"/>
  <c r="AC345" i="118"/>
  <c r="AB346" i="118"/>
  <c r="AC346" i="118"/>
  <c r="AB348" i="118"/>
  <c r="AC348" i="118"/>
  <c r="AB351" i="118"/>
  <c r="AC351" i="118"/>
  <c r="AB352" i="118"/>
  <c r="AC352" i="118"/>
  <c r="AB353" i="118"/>
  <c r="AC353" i="118"/>
  <c r="AB354" i="118"/>
  <c r="AC354" i="118"/>
  <c r="AB355" i="118"/>
  <c r="AC355" i="118"/>
  <c r="AB356" i="118"/>
  <c r="AC356" i="118"/>
  <c r="AB357" i="118"/>
  <c r="AC357" i="118"/>
  <c r="AB358" i="118"/>
  <c r="AC358" i="118"/>
  <c r="AB359" i="118"/>
  <c r="AC359" i="118"/>
  <c r="AB361" i="118"/>
  <c r="AC361" i="118"/>
  <c r="AB365" i="118"/>
  <c r="BF365" i="118" s="1"/>
  <c r="AC365" i="118"/>
  <c r="BG365" i="118" s="1"/>
  <c r="AB369" i="118"/>
  <c r="AC369" i="118"/>
  <c r="AB370" i="118"/>
  <c r="AC370" i="118"/>
  <c r="AB371" i="118"/>
  <c r="AC371" i="118"/>
  <c r="AB375" i="118"/>
  <c r="AC375" i="118"/>
  <c r="AB377" i="118"/>
  <c r="AC377" i="118"/>
  <c r="AB379" i="118"/>
  <c r="AC379" i="118"/>
  <c r="AB381" i="118"/>
  <c r="AC381" i="118"/>
  <c r="AB382" i="118"/>
  <c r="AC382" i="118"/>
  <c r="AB384" i="118"/>
  <c r="AC384" i="118"/>
  <c r="AB385" i="118"/>
  <c r="AC385" i="118"/>
  <c r="AB387" i="118"/>
  <c r="AC387" i="118"/>
  <c r="AB388" i="118"/>
  <c r="AC388" i="118"/>
  <c r="AB389" i="118"/>
  <c r="AC389" i="118"/>
  <c r="AB390" i="118"/>
  <c r="AC390" i="118"/>
  <c r="AB391" i="118"/>
  <c r="AC391" i="118"/>
  <c r="AB392" i="118"/>
  <c r="AC392" i="118"/>
  <c r="AB393" i="118"/>
  <c r="AC393" i="118"/>
  <c r="AB394" i="118"/>
  <c r="AC394" i="118"/>
  <c r="AB395" i="118"/>
  <c r="AC395" i="118"/>
  <c r="AB396" i="118"/>
  <c r="AC396" i="118"/>
  <c r="AB397" i="118"/>
  <c r="AC397" i="118"/>
  <c r="AB398" i="118"/>
  <c r="AC398" i="118"/>
  <c r="AB399" i="118"/>
  <c r="AC399" i="118"/>
  <c r="AB400" i="118"/>
  <c r="AC400" i="118"/>
  <c r="AB401" i="118"/>
  <c r="AC401" i="118"/>
  <c r="AB402" i="118"/>
  <c r="AC402" i="118"/>
  <c r="AB405" i="118"/>
  <c r="BF405" i="118" s="1"/>
  <c r="AC405" i="118"/>
  <c r="BG405" i="118" s="1"/>
  <c r="AB406" i="118"/>
  <c r="AC406" i="118"/>
  <c r="AB407" i="118"/>
  <c r="AC407" i="118"/>
  <c r="AB408" i="118"/>
  <c r="AC408" i="118"/>
  <c r="AB409" i="118"/>
  <c r="AC409" i="118"/>
  <c r="AB410" i="118"/>
  <c r="AC410" i="118"/>
  <c r="AB412" i="118"/>
  <c r="AC412" i="118"/>
  <c r="AB413" i="118"/>
  <c r="AC413" i="118"/>
  <c r="AB417" i="118"/>
  <c r="AC417" i="118"/>
  <c r="AB418" i="118"/>
  <c r="AC418" i="118"/>
  <c r="AB419" i="118"/>
  <c r="AC419" i="118"/>
  <c r="AB420" i="118"/>
  <c r="AC420" i="118"/>
  <c r="AB421" i="118"/>
  <c r="AC421" i="118"/>
  <c r="AB422" i="118"/>
  <c r="AC422" i="118"/>
  <c r="AB423" i="118"/>
  <c r="AC423" i="118"/>
  <c r="AB424" i="118"/>
  <c r="AC424" i="118"/>
  <c r="AB425" i="118"/>
  <c r="AC425" i="118"/>
  <c r="AB426" i="118"/>
  <c r="AC426" i="118"/>
  <c r="AB427" i="118"/>
  <c r="AC427" i="118"/>
  <c r="AB429" i="118"/>
  <c r="AC429" i="118"/>
  <c r="AB431" i="118"/>
  <c r="AC431" i="118"/>
  <c r="AB432" i="118"/>
  <c r="AC432" i="118"/>
  <c r="AB433" i="118"/>
  <c r="AC433" i="118"/>
  <c r="AB434" i="118"/>
  <c r="AC434" i="118"/>
  <c r="AB435" i="118"/>
  <c r="AC435" i="118"/>
  <c r="AB438" i="118"/>
  <c r="AC438" i="118"/>
  <c r="AB439" i="118"/>
  <c r="AC439" i="118"/>
  <c r="AB440" i="118"/>
  <c r="AC440" i="118"/>
  <c r="AB441" i="118"/>
  <c r="AC441" i="118"/>
  <c r="AB442" i="118"/>
  <c r="AC442" i="118"/>
  <c r="AB443" i="118"/>
  <c r="AC443" i="118"/>
  <c r="AB445" i="118"/>
  <c r="AC445" i="118"/>
  <c r="AB447" i="118"/>
  <c r="AC447" i="118"/>
  <c r="AB448" i="118"/>
  <c r="AC448" i="118"/>
  <c r="AB449" i="118"/>
  <c r="AC449" i="118"/>
  <c r="AB450" i="118"/>
  <c r="AC450" i="118"/>
  <c r="AB452" i="118"/>
  <c r="AC452" i="118"/>
  <c r="AB453" i="118"/>
  <c r="AC453" i="118"/>
  <c r="AB454" i="118"/>
  <c r="AC454" i="118"/>
  <c r="AB455" i="118"/>
  <c r="AC455" i="118"/>
  <c r="AB456" i="118"/>
  <c r="AC456" i="118"/>
  <c r="AB457" i="118"/>
  <c r="AC457" i="118"/>
  <c r="AB458" i="118"/>
  <c r="AC458" i="118"/>
  <c r="AB459" i="118"/>
  <c r="AC459" i="118"/>
  <c r="AB460" i="118"/>
  <c r="AC460" i="118"/>
  <c r="AB464" i="118"/>
  <c r="AC464" i="118"/>
  <c r="AB465" i="118"/>
  <c r="AC465" i="118"/>
  <c r="AB466" i="118"/>
  <c r="AC466" i="118"/>
  <c r="AB467" i="118"/>
  <c r="AC467" i="118"/>
  <c r="AB468" i="118"/>
  <c r="AC468" i="118"/>
  <c r="AB469" i="118"/>
  <c r="AC469" i="118"/>
  <c r="AB470" i="118"/>
  <c r="AC470" i="118"/>
  <c r="AB471" i="118"/>
  <c r="AC471" i="118"/>
  <c r="AB472" i="118"/>
  <c r="AC472" i="118"/>
  <c r="AB473" i="118"/>
  <c r="AC473" i="118"/>
  <c r="AB474" i="118"/>
  <c r="AC474" i="118"/>
  <c r="AB475" i="118"/>
  <c r="AC475" i="118"/>
  <c r="AB476" i="118"/>
  <c r="AC476" i="118"/>
  <c r="AB478" i="118"/>
  <c r="AC478" i="118"/>
  <c r="AB479" i="118"/>
  <c r="AC479" i="118"/>
  <c r="AB480" i="118"/>
  <c r="AC480" i="118"/>
  <c r="AB481" i="118"/>
  <c r="AC481" i="118"/>
  <c r="AB482" i="118"/>
  <c r="AC482" i="118"/>
  <c r="AB483" i="118"/>
  <c r="AC483" i="118"/>
  <c r="AB484" i="118"/>
  <c r="AC484" i="118"/>
  <c r="AB487" i="118"/>
  <c r="BF487" i="118" s="1"/>
  <c r="AC487" i="118"/>
  <c r="BG487" i="118" s="1"/>
  <c r="AB488" i="118"/>
  <c r="AC488" i="118"/>
  <c r="AB490" i="118"/>
  <c r="AC490" i="118"/>
  <c r="AB491" i="118"/>
  <c r="AC491" i="118"/>
  <c r="AB492" i="118"/>
  <c r="AC492" i="118"/>
  <c r="AB493" i="118"/>
  <c r="AC493" i="118"/>
  <c r="AB494" i="118"/>
  <c r="AC494" i="118"/>
  <c r="AB495" i="118"/>
  <c r="AC495" i="118"/>
  <c r="AB496" i="118"/>
  <c r="AC496" i="118"/>
  <c r="AB497" i="118"/>
  <c r="AC497" i="118"/>
  <c r="AB498" i="118"/>
  <c r="AC498" i="118"/>
  <c r="AB499" i="118"/>
  <c r="AC499" i="118"/>
  <c r="AB500" i="118"/>
  <c r="AC500" i="118"/>
  <c r="AB501" i="118"/>
  <c r="AC501" i="118"/>
  <c r="AB505" i="118"/>
  <c r="AC505" i="118"/>
  <c r="AB507" i="118"/>
  <c r="AC507" i="118"/>
  <c r="AB508" i="118"/>
  <c r="AC508" i="118"/>
  <c r="AB510" i="118"/>
  <c r="AC510" i="118"/>
  <c r="AB511" i="118"/>
  <c r="AC511" i="118"/>
  <c r="AB512" i="118"/>
  <c r="AC512" i="118"/>
  <c r="AB513" i="118"/>
  <c r="AC513" i="118"/>
  <c r="AB514" i="118"/>
  <c r="AC514" i="118"/>
  <c r="AB515" i="118"/>
  <c r="AC515" i="118"/>
  <c r="AB517" i="118"/>
  <c r="AC517" i="118"/>
  <c r="AB518" i="118"/>
  <c r="AC518" i="118"/>
  <c r="AB520" i="118"/>
  <c r="AC520" i="118"/>
  <c r="AB521" i="118"/>
  <c r="AC521" i="118"/>
  <c r="AB522" i="118"/>
  <c r="AC522" i="118"/>
  <c r="AB523" i="118"/>
  <c r="AC523" i="118"/>
  <c r="AB524" i="118"/>
  <c r="AC524" i="118"/>
  <c r="AB525" i="118"/>
  <c r="AC525" i="118"/>
  <c r="AB526" i="118"/>
  <c r="AC526" i="118"/>
  <c r="AB527" i="118"/>
  <c r="AC527" i="118"/>
  <c r="AB528" i="118"/>
  <c r="AC528" i="118"/>
  <c r="AB529" i="118"/>
  <c r="AC529" i="118"/>
  <c r="AB530" i="118"/>
  <c r="AC530" i="118"/>
  <c r="AB531" i="118"/>
  <c r="AC531" i="118"/>
  <c r="AB532" i="118"/>
  <c r="AC532" i="118"/>
  <c r="AB533" i="118"/>
  <c r="AC533" i="118"/>
  <c r="AB534" i="118"/>
  <c r="AC534" i="118"/>
  <c r="AB535" i="118"/>
  <c r="AC535" i="118"/>
  <c r="AB536" i="118"/>
  <c r="AC536" i="118"/>
  <c r="AB537" i="118"/>
  <c r="AC537" i="118"/>
  <c r="AB539" i="118"/>
  <c r="AC539" i="118"/>
  <c r="AB540" i="118"/>
  <c r="AC540" i="118"/>
  <c r="AB541" i="118"/>
  <c r="AC541" i="118"/>
  <c r="AB542" i="118"/>
  <c r="AC542" i="118"/>
  <c r="AB543" i="118"/>
  <c r="AC543" i="118"/>
  <c r="AB544" i="118"/>
  <c r="AC544" i="118"/>
  <c r="AB545" i="118"/>
  <c r="AC545" i="118"/>
  <c r="AB546" i="118"/>
  <c r="AC546" i="118"/>
  <c r="AB547" i="118"/>
  <c r="AC547" i="118"/>
  <c r="AB549" i="118"/>
  <c r="AC549" i="118"/>
  <c r="AB550" i="118"/>
  <c r="AC550" i="118"/>
  <c r="AB551" i="118"/>
  <c r="AC551" i="118"/>
  <c r="AB552" i="118"/>
  <c r="AC552" i="118"/>
  <c r="AB553" i="118"/>
  <c r="AC553" i="118"/>
  <c r="AB555" i="118"/>
  <c r="AC555" i="118"/>
  <c r="AB556" i="118"/>
  <c r="AC556" i="118"/>
  <c r="AB559" i="118"/>
  <c r="AC559" i="118"/>
  <c r="AB560" i="118"/>
  <c r="AC560" i="118"/>
  <c r="AB563" i="118"/>
  <c r="AC563" i="118"/>
  <c r="AB564" i="118"/>
  <c r="AC564" i="118"/>
  <c r="AB565" i="118"/>
  <c r="AC565" i="118"/>
  <c r="AB566" i="118"/>
  <c r="AC566" i="118"/>
  <c r="AB568" i="118"/>
  <c r="AC568" i="118"/>
  <c r="AB569" i="118"/>
  <c r="AC569" i="118"/>
  <c r="AB570" i="118"/>
  <c r="AC570" i="118"/>
  <c r="AB571" i="118"/>
  <c r="AC571" i="118"/>
  <c r="AB572" i="118"/>
  <c r="AC572" i="118"/>
  <c r="AB573" i="118"/>
  <c r="AC573" i="118"/>
  <c r="AB576" i="118"/>
  <c r="AC576" i="118"/>
  <c r="AB577" i="118"/>
  <c r="AC577" i="118"/>
  <c r="AB578" i="118"/>
  <c r="AC578" i="118"/>
  <c r="AB579" i="118"/>
  <c r="AC579" i="118"/>
  <c r="AB580" i="118"/>
  <c r="AC580" i="118"/>
  <c r="AB581" i="118"/>
  <c r="AC581" i="118"/>
  <c r="AB582" i="118"/>
  <c r="AC582" i="118"/>
  <c r="AB584" i="118"/>
  <c r="AC584" i="118"/>
  <c r="AB585" i="118"/>
  <c r="AC585" i="118"/>
  <c r="AB586" i="118"/>
  <c r="AC586" i="118"/>
  <c r="AB588" i="118"/>
  <c r="AC588" i="118"/>
  <c r="AB589" i="118"/>
  <c r="AC589" i="118"/>
  <c r="AB591" i="118"/>
  <c r="AC591" i="118"/>
  <c r="AB592" i="118"/>
  <c r="AC592" i="118"/>
  <c r="AB593" i="118"/>
  <c r="AC593" i="118"/>
  <c r="AB594" i="118"/>
  <c r="AC594" i="118"/>
  <c r="AB595" i="118"/>
  <c r="AC595" i="118"/>
  <c r="AB596" i="118"/>
  <c r="AC596" i="118"/>
  <c r="AB598" i="118"/>
  <c r="AC598" i="118"/>
  <c r="AB599" i="118"/>
  <c r="AC599" i="118"/>
  <c r="AB601" i="118"/>
  <c r="AC601" i="118"/>
  <c r="AB602" i="118"/>
  <c r="AC602" i="118"/>
  <c r="AB603" i="118"/>
  <c r="AC603" i="118"/>
  <c r="AB604" i="118"/>
  <c r="AC604" i="118"/>
  <c r="AB606" i="118"/>
  <c r="AC606" i="118"/>
  <c r="AB607" i="118"/>
  <c r="AC607" i="118"/>
  <c r="AB608" i="118"/>
  <c r="AC608" i="118"/>
  <c r="AB609" i="118"/>
  <c r="AC609" i="118"/>
  <c r="AB611" i="118"/>
  <c r="AC611" i="118"/>
  <c r="AB612" i="118"/>
  <c r="AC612" i="118"/>
  <c r="AB614" i="118"/>
  <c r="AC614" i="118"/>
  <c r="AB616" i="118"/>
  <c r="AC616" i="118"/>
  <c r="AB618" i="118"/>
  <c r="AC618" i="118"/>
  <c r="AB620" i="118"/>
  <c r="AC620" i="118"/>
  <c r="AB621" i="118"/>
  <c r="AC621" i="118"/>
  <c r="AB622" i="118"/>
  <c r="AC622" i="118"/>
  <c r="AB623" i="118"/>
  <c r="AC623" i="118"/>
  <c r="AB624" i="118"/>
  <c r="AC624" i="118"/>
  <c r="AB625" i="118"/>
  <c r="AC625" i="118"/>
  <c r="AB626" i="118"/>
  <c r="AC626" i="118"/>
  <c r="AB628" i="118"/>
  <c r="AC628" i="118"/>
  <c r="AB629" i="118"/>
  <c r="AC629" i="118"/>
  <c r="AB630" i="118"/>
  <c r="AC630" i="118"/>
  <c r="BF631" i="118"/>
  <c r="AC631" i="118"/>
  <c r="BG631" i="118" s="1"/>
  <c r="AB632" i="118"/>
  <c r="AC632" i="118"/>
  <c r="BG632" i="118" s="1"/>
  <c r="AB635" i="118"/>
  <c r="AC635" i="118"/>
  <c r="BG635" i="118" s="1"/>
  <c r="AB636" i="118"/>
  <c r="AC636" i="118"/>
  <c r="BG636" i="118" s="1"/>
  <c r="AB637" i="118"/>
  <c r="AC637" i="118"/>
  <c r="BG637" i="118" s="1"/>
  <c r="AB638" i="118"/>
  <c r="AC638" i="118"/>
  <c r="BG638" i="118" s="1"/>
  <c r="AB639" i="118"/>
  <c r="AC639" i="118"/>
  <c r="BG639" i="118" s="1"/>
  <c r="AB640" i="118"/>
  <c r="AC640" i="118"/>
  <c r="BG640" i="118" s="1"/>
  <c r="AB644" i="118"/>
  <c r="AC644" i="118"/>
  <c r="BG644" i="118" s="1"/>
  <c r="AB645" i="118"/>
  <c r="AC645" i="118"/>
  <c r="BG645" i="118" s="1"/>
  <c r="AB649" i="118"/>
  <c r="AC649" i="118"/>
  <c r="BG649" i="118" s="1"/>
  <c r="AB651" i="118"/>
  <c r="AC651" i="118"/>
  <c r="BG651" i="118" s="1"/>
  <c r="AB652" i="118"/>
  <c r="AC652" i="118"/>
  <c r="BG652" i="118" s="1"/>
  <c r="AB653" i="118"/>
  <c r="AC653" i="118"/>
  <c r="BG653" i="118" s="1"/>
  <c r="AB654" i="118"/>
  <c r="AC654" i="118"/>
  <c r="BG654" i="118" s="1"/>
  <c r="AB656" i="118"/>
  <c r="AC656" i="118"/>
  <c r="BG656" i="118" s="1"/>
  <c r="BI656" i="118" s="1"/>
  <c r="AB657" i="118"/>
  <c r="AC657" i="118"/>
  <c r="BG657" i="118" s="1"/>
  <c r="AB659" i="118"/>
  <c r="AC659" i="118"/>
  <c r="BG659" i="118" s="1"/>
  <c r="AB662" i="118"/>
  <c r="AC662" i="118"/>
  <c r="BG662" i="118" s="1"/>
  <c r="AB663" i="118"/>
  <c r="AC663" i="118"/>
  <c r="BG663" i="118" s="1"/>
  <c r="AB666" i="118"/>
  <c r="AC666" i="118"/>
  <c r="BG666" i="118" s="1"/>
  <c r="AB667" i="118"/>
  <c r="AC667" i="118"/>
  <c r="BG667" i="118" s="1"/>
  <c r="AB668" i="118"/>
  <c r="AC668" i="118"/>
  <c r="BG668" i="118" s="1"/>
  <c r="AB671" i="118"/>
  <c r="AC671" i="118"/>
  <c r="BG671" i="118" s="1"/>
  <c r="AB673" i="118"/>
  <c r="AC673" i="118"/>
  <c r="BG673" i="118" s="1"/>
  <c r="AB674" i="118"/>
  <c r="AC674" i="118"/>
  <c r="BG674" i="118" s="1"/>
  <c r="AB675" i="118"/>
  <c r="AC675" i="118"/>
  <c r="BG675" i="118" s="1"/>
  <c r="AB676" i="118"/>
  <c r="AC676" i="118"/>
  <c r="BG676" i="118" s="1"/>
  <c r="AB677" i="118"/>
  <c r="AC677" i="118"/>
  <c r="BG677" i="118" s="1"/>
  <c r="AB679" i="118"/>
  <c r="AC679" i="118"/>
  <c r="BG679" i="118" s="1"/>
  <c r="AB680" i="118"/>
  <c r="AC680" i="118"/>
  <c r="BG680" i="118" s="1"/>
  <c r="AB681" i="118"/>
  <c r="AC681" i="118"/>
  <c r="BG681" i="118" s="1"/>
  <c r="AB682" i="118"/>
  <c r="AC682" i="118"/>
  <c r="BG682" i="118" s="1"/>
  <c r="AB683" i="118"/>
  <c r="AC683" i="118"/>
  <c r="BG683" i="118" s="1"/>
  <c r="AB685" i="118"/>
  <c r="AC685" i="118"/>
  <c r="BG685" i="118" s="1"/>
  <c r="AB686" i="118"/>
  <c r="AC686" i="118"/>
  <c r="BG686" i="118" s="1"/>
  <c r="AB687" i="118"/>
  <c r="AC687" i="118"/>
  <c r="BG687" i="118" s="1"/>
  <c r="AB689" i="118"/>
  <c r="AC689" i="118"/>
  <c r="BG689" i="118" s="1"/>
  <c r="AB690" i="118"/>
  <c r="AC690" i="118"/>
  <c r="BG690" i="118" s="1"/>
  <c r="AB691" i="118"/>
  <c r="AC691" i="118"/>
  <c r="BG691" i="118" s="1"/>
  <c r="AB692" i="118"/>
  <c r="AC692" i="118"/>
  <c r="BG692" i="118" s="1"/>
  <c r="AB694" i="118"/>
  <c r="AC694" i="118"/>
  <c r="BG694" i="118" s="1"/>
  <c r="AB697" i="118"/>
  <c r="AC697" i="118"/>
  <c r="BG697" i="118" s="1"/>
  <c r="AB698" i="118"/>
  <c r="AC698" i="118"/>
  <c r="BG698" i="118" s="1"/>
  <c r="AB699" i="118"/>
  <c r="AC699" i="118"/>
  <c r="BG699" i="118" s="1"/>
  <c r="AB701" i="118"/>
  <c r="AC701" i="118"/>
  <c r="BG701" i="118" s="1"/>
  <c r="AB704" i="118"/>
  <c r="AC704" i="118"/>
  <c r="BG704" i="118" s="1"/>
  <c r="AB705" i="118"/>
  <c r="AC705" i="118"/>
  <c r="BG705" i="118" s="1"/>
  <c r="AB707" i="118"/>
  <c r="AC707" i="118"/>
  <c r="BG707" i="118" s="1"/>
  <c r="AB708" i="118"/>
  <c r="AC708" i="118"/>
  <c r="BG708" i="118" s="1"/>
  <c r="AB709" i="118"/>
  <c r="AC709" i="118"/>
  <c r="BG709" i="118" s="1"/>
  <c r="AB710" i="118"/>
  <c r="AC710" i="118"/>
  <c r="BG710" i="118" s="1"/>
  <c r="AB711" i="118"/>
  <c r="AC711" i="118"/>
  <c r="BG711" i="118" s="1"/>
  <c r="AB712" i="118"/>
  <c r="AC712" i="118"/>
  <c r="BG712" i="118" s="1"/>
  <c r="AB713" i="118"/>
  <c r="AC713" i="118"/>
  <c r="BG713" i="118" s="1"/>
  <c r="AB714" i="118"/>
  <c r="AC714" i="118"/>
  <c r="BG714" i="118" s="1"/>
  <c r="AB715" i="118"/>
  <c r="AC715" i="118"/>
  <c r="BG715" i="118" s="1"/>
  <c r="AB719" i="118"/>
  <c r="AC719" i="118"/>
  <c r="BG719" i="118" s="1"/>
  <c r="AB720" i="118"/>
  <c r="AC720" i="118"/>
  <c r="BG720" i="118" s="1"/>
  <c r="AB722" i="118"/>
  <c r="AC722" i="118"/>
  <c r="BG722" i="118" s="1"/>
  <c r="AB724" i="118"/>
  <c r="AC724" i="118"/>
  <c r="BG724" i="118" s="1"/>
  <c r="AB725" i="118"/>
  <c r="AC725" i="118"/>
  <c r="BG725" i="118" s="1"/>
  <c r="AB726" i="118"/>
  <c r="AC726" i="118"/>
  <c r="BG726" i="118" s="1"/>
  <c r="AB727" i="118"/>
  <c r="AC727" i="118"/>
  <c r="BG727" i="118" s="1"/>
  <c r="AB729" i="118"/>
  <c r="AC729" i="118"/>
  <c r="BG729" i="118" s="1"/>
  <c r="BI729" i="118" s="1"/>
  <c r="AB730" i="118"/>
  <c r="AC730" i="118"/>
  <c r="BG730" i="118" s="1"/>
  <c r="AB735" i="118"/>
  <c r="AC735" i="118"/>
  <c r="BG735" i="118" s="1"/>
  <c r="AB736" i="118"/>
  <c r="AC736" i="118"/>
  <c r="BG736" i="118" s="1"/>
  <c r="AB737" i="118"/>
  <c r="AC737" i="118"/>
  <c r="BG737" i="118" s="1"/>
  <c r="AB739" i="118"/>
  <c r="AC739" i="118"/>
  <c r="BG739" i="118" s="1"/>
  <c r="AB740" i="118"/>
  <c r="AC740" i="118"/>
  <c r="BG740" i="118" s="1"/>
  <c r="AB741" i="118"/>
  <c r="AC741" i="118"/>
  <c r="BG741" i="118" s="1"/>
  <c r="AB742" i="118"/>
  <c r="AC742" i="118"/>
  <c r="BG742" i="118" s="1"/>
  <c r="AB743" i="118"/>
  <c r="AC743" i="118"/>
  <c r="BG743" i="118" s="1"/>
  <c r="AB744" i="118"/>
  <c r="AC744" i="118"/>
  <c r="BG744" i="118" s="1"/>
  <c r="AB745" i="118"/>
  <c r="AC745" i="118"/>
  <c r="BG745" i="118" s="1"/>
  <c r="AB746" i="118"/>
  <c r="AC746" i="118"/>
  <c r="BG746" i="118" s="1"/>
  <c r="AB748" i="118"/>
  <c r="AC748" i="118"/>
  <c r="BG748" i="118" s="1"/>
  <c r="AB749" i="118"/>
  <c r="AC749" i="118"/>
  <c r="BG749" i="118" s="1"/>
  <c r="AB751" i="118"/>
  <c r="AC751" i="118"/>
  <c r="BG751" i="118" s="1"/>
  <c r="AB752" i="118"/>
  <c r="AC752" i="118"/>
  <c r="BG752" i="118" s="1"/>
  <c r="AB754" i="118"/>
  <c r="AC754" i="118"/>
  <c r="BG754" i="118" s="1"/>
  <c r="AB755" i="118"/>
  <c r="AC755" i="118"/>
  <c r="BG755" i="118" s="1"/>
  <c r="AB759" i="118"/>
  <c r="AC759" i="118"/>
  <c r="BG759" i="118" s="1"/>
  <c r="BI759" i="118" s="1"/>
  <c r="AB760" i="118"/>
  <c r="AC760" i="118"/>
  <c r="AB761" i="118"/>
  <c r="AC761" i="118"/>
  <c r="BG761" i="118" s="1"/>
  <c r="AB762" i="118"/>
  <c r="AC762" i="118"/>
  <c r="BG762" i="118" s="1"/>
  <c r="AB763" i="118"/>
  <c r="AC763" i="118"/>
  <c r="BG763" i="118" s="1"/>
  <c r="AB764" i="118"/>
  <c r="AC764" i="118"/>
  <c r="BG764" i="118" s="1"/>
  <c r="AB766" i="118"/>
  <c r="AC766" i="118"/>
  <c r="BG766" i="118" s="1"/>
  <c r="AB767" i="118"/>
  <c r="AC767" i="118"/>
  <c r="BG767" i="118" s="1"/>
  <c r="AB768" i="118"/>
  <c r="AC768" i="118"/>
  <c r="BG768" i="118" s="1"/>
  <c r="AB769" i="118"/>
  <c r="AC769" i="118"/>
  <c r="BG769" i="118" s="1"/>
  <c r="AB770" i="118"/>
  <c r="AC770" i="118"/>
  <c r="BG770" i="118" s="1"/>
  <c r="AB772" i="118"/>
  <c r="AC772" i="118"/>
  <c r="BG772" i="118" s="1"/>
  <c r="AB773" i="118"/>
  <c r="AC773" i="118"/>
  <c r="BG773" i="118" s="1"/>
  <c r="AB774" i="118"/>
  <c r="AC774" i="118"/>
  <c r="BG774" i="118" s="1"/>
  <c r="AB775" i="118"/>
  <c r="AC775" i="118"/>
  <c r="BG775" i="118" s="1"/>
  <c r="AB776" i="118"/>
  <c r="AC776" i="118"/>
  <c r="BG776" i="118" s="1"/>
  <c r="AB777" i="118"/>
  <c r="AC777" i="118"/>
  <c r="BG777" i="118" s="1"/>
  <c r="AB778" i="118"/>
  <c r="AC778" i="118"/>
  <c r="BG778" i="118" s="1"/>
  <c r="AB779" i="118"/>
  <c r="AC779" i="118"/>
  <c r="BG779" i="118" s="1"/>
  <c r="AB780" i="118"/>
  <c r="AC780" i="118"/>
  <c r="BG780" i="118" s="1"/>
  <c r="AB781" i="118"/>
  <c r="AC781" i="118"/>
  <c r="BG781" i="118" s="1"/>
  <c r="AB782" i="118"/>
  <c r="AC782" i="118"/>
  <c r="BG782" i="118" s="1"/>
  <c r="AB784" i="118"/>
  <c r="AC784" i="118"/>
  <c r="BG784" i="118" s="1"/>
  <c r="AB785" i="118"/>
  <c r="AC785" i="118"/>
  <c r="BG785" i="118" s="1"/>
  <c r="AB786" i="118"/>
  <c r="AC786" i="118"/>
  <c r="BG786" i="118" s="1"/>
  <c r="AB788" i="118"/>
  <c r="AC788" i="118"/>
  <c r="BG788" i="118" s="1"/>
  <c r="AB789" i="118"/>
  <c r="AC789" i="118"/>
  <c r="BG789" i="118" s="1"/>
  <c r="AB791" i="118"/>
  <c r="AC791" i="118"/>
  <c r="AB793" i="118"/>
  <c r="AC793" i="118"/>
  <c r="BG793" i="118" s="1"/>
  <c r="AB794" i="118"/>
  <c r="AC794" i="118"/>
  <c r="BG794" i="118" s="1"/>
  <c r="AB795" i="118"/>
  <c r="AC795" i="118"/>
  <c r="BG795" i="118" s="1"/>
  <c r="AB796" i="118"/>
  <c r="AC796" i="118"/>
  <c r="BG796" i="118" s="1"/>
  <c r="AB797" i="118"/>
  <c r="AC797" i="118"/>
  <c r="BG797" i="118" s="1"/>
  <c r="AB798" i="118"/>
  <c r="AC798" i="118"/>
  <c r="BG798" i="118" s="1"/>
  <c r="AB799" i="118"/>
  <c r="AC799" i="118"/>
  <c r="BG799" i="118" s="1"/>
  <c r="AB800" i="118"/>
  <c r="AC800" i="118"/>
  <c r="BG800" i="118" s="1"/>
  <c r="AB801" i="118"/>
  <c r="AC801" i="118"/>
  <c r="BG801" i="118" s="1"/>
  <c r="AB802" i="118"/>
  <c r="AC802" i="118"/>
  <c r="BG802" i="118" s="1"/>
  <c r="AB803" i="118"/>
  <c r="AC803" i="118"/>
  <c r="BG803" i="118" s="1"/>
  <c r="AB804" i="118"/>
  <c r="AC804" i="118"/>
  <c r="BG804" i="118" s="1"/>
  <c r="AB805" i="118"/>
  <c r="AC805" i="118"/>
  <c r="BG805" i="118" s="1"/>
  <c r="AB806" i="118"/>
  <c r="AC806" i="118"/>
  <c r="BG806" i="118" s="1"/>
  <c r="AB807" i="118"/>
  <c r="AC807" i="118"/>
  <c r="BG807" i="118" s="1"/>
  <c r="AB808" i="118"/>
  <c r="AC808" i="118"/>
  <c r="BG808" i="118" s="1"/>
  <c r="AB809" i="118"/>
  <c r="AC809" i="118"/>
  <c r="BG809" i="118" s="1"/>
  <c r="AB811" i="118"/>
  <c r="AC811" i="118"/>
  <c r="BG811" i="118" s="1"/>
  <c r="AB812" i="118"/>
  <c r="AC812" i="118"/>
  <c r="BG812" i="118" s="1"/>
  <c r="AB813" i="118"/>
  <c r="AC813" i="118"/>
  <c r="BG813" i="118" s="1"/>
  <c r="AB814" i="118"/>
  <c r="AC814" i="118"/>
  <c r="BG814" i="118" s="1"/>
  <c r="AB816" i="118"/>
  <c r="AC816" i="118"/>
  <c r="BG816" i="118" s="1"/>
  <c r="AB817" i="118"/>
  <c r="AC817" i="118"/>
  <c r="BG817" i="118" s="1"/>
  <c r="AB818" i="118"/>
  <c r="AC818" i="118"/>
  <c r="BG818" i="118" s="1"/>
  <c r="AB819" i="118"/>
  <c r="AC819" i="118"/>
  <c r="BG819" i="118" s="1"/>
  <c r="AB820" i="118"/>
  <c r="AC820" i="118"/>
  <c r="BG820" i="118" s="1"/>
  <c r="AB821" i="118"/>
  <c r="AC821" i="118"/>
  <c r="BG821" i="118" s="1"/>
  <c r="AB822" i="118"/>
  <c r="AC822" i="118"/>
  <c r="BG822" i="118" s="1"/>
  <c r="AB823" i="118"/>
  <c r="AC823" i="118"/>
  <c r="AB824" i="118"/>
  <c r="AC824" i="118"/>
  <c r="BG824" i="118" s="1"/>
  <c r="AB825" i="118"/>
  <c r="AC825" i="118"/>
  <c r="BG825" i="118" s="1"/>
  <c r="AB826" i="118"/>
  <c r="AC826" i="118"/>
  <c r="BG826" i="118" s="1"/>
  <c r="AB827" i="118"/>
  <c r="AC827" i="118"/>
  <c r="BG827" i="118" s="1"/>
  <c r="AB828" i="118"/>
  <c r="AC828" i="118"/>
  <c r="BG828" i="118" s="1"/>
  <c r="AB829" i="118"/>
  <c r="AC829" i="118"/>
  <c r="BG829" i="118" s="1"/>
  <c r="AB830" i="118"/>
  <c r="AC830" i="118"/>
  <c r="BG830" i="118" s="1"/>
  <c r="AB831" i="118"/>
  <c r="AC831" i="118"/>
  <c r="BG831" i="118" s="1"/>
  <c r="AB832" i="118"/>
  <c r="AC832" i="118"/>
  <c r="BG832" i="118" s="1"/>
  <c r="AB833" i="118"/>
  <c r="AC833" i="118"/>
  <c r="BG833" i="118" s="1"/>
  <c r="AB834" i="118"/>
  <c r="AC834" i="118"/>
  <c r="BG834" i="118" s="1"/>
  <c r="AB836" i="118"/>
  <c r="AC836" i="118"/>
  <c r="BG836" i="118" s="1"/>
  <c r="AB837" i="118"/>
  <c r="AC837" i="118"/>
  <c r="BG837" i="118" s="1"/>
  <c r="AB838" i="118"/>
  <c r="AC838" i="118"/>
  <c r="AB839" i="118"/>
  <c r="AC839" i="118"/>
  <c r="BG839" i="118" s="1"/>
  <c r="AB841" i="118"/>
  <c r="AC841" i="118"/>
  <c r="BG841" i="118" s="1"/>
  <c r="AB843" i="118"/>
  <c r="AC843" i="118"/>
  <c r="BG843" i="118" s="1"/>
  <c r="AB844" i="118"/>
  <c r="AC844" i="118"/>
  <c r="BG844" i="118" s="1"/>
  <c r="AB845" i="118"/>
  <c r="AC845" i="118"/>
  <c r="BG845" i="118" s="1"/>
  <c r="AB846" i="118"/>
  <c r="AC846" i="118"/>
  <c r="BG846" i="118" s="1"/>
  <c r="AB847" i="118"/>
  <c r="AC847" i="118"/>
  <c r="BG847" i="118" s="1"/>
  <c r="AB848" i="118"/>
  <c r="AC848" i="118"/>
  <c r="BG848" i="118" s="1"/>
  <c r="AB849" i="118"/>
  <c r="AC849" i="118"/>
  <c r="BG849" i="118" s="1"/>
  <c r="AB850" i="118"/>
  <c r="AC850" i="118"/>
  <c r="BG850" i="118" s="1"/>
  <c r="AB851" i="118"/>
  <c r="AC851" i="118"/>
  <c r="BG851" i="118" s="1"/>
  <c r="AB852" i="118"/>
  <c r="AC852" i="118"/>
  <c r="BG852" i="118" s="1"/>
  <c r="AB854" i="118"/>
  <c r="AC854" i="118"/>
  <c r="BG854" i="118" s="1"/>
  <c r="AB855" i="118"/>
  <c r="AC855" i="118"/>
  <c r="BG855" i="118" s="1"/>
  <c r="AB856" i="118"/>
  <c r="AC856" i="118"/>
  <c r="BG856" i="118" s="1"/>
  <c r="AB858" i="118"/>
  <c r="AC858" i="118"/>
  <c r="BG858" i="118" s="1"/>
  <c r="AB859" i="118"/>
  <c r="AC859" i="118"/>
  <c r="BG859" i="118" s="1"/>
  <c r="AB860" i="118"/>
  <c r="AC860" i="118"/>
  <c r="BG860" i="118" s="1"/>
  <c r="AB861" i="118"/>
  <c r="AC861" i="118"/>
  <c r="BG861" i="118" s="1"/>
  <c r="AB862" i="118"/>
  <c r="AC862" i="118"/>
  <c r="BG862" i="118" s="1"/>
  <c r="AB863" i="118"/>
  <c r="AC863" i="118"/>
  <c r="BG863" i="118" s="1"/>
  <c r="AB864" i="118"/>
  <c r="AC864" i="118"/>
  <c r="BG864" i="118" s="1"/>
  <c r="AB865" i="118"/>
  <c r="AC865" i="118"/>
  <c r="BG865" i="118" s="1"/>
  <c r="AB866" i="118"/>
  <c r="AC866" i="118"/>
  <c r="BG866" i="118" s="1"/>
  <c r="AB867" i="118"/>
  <c r="AC867" i="118"/>
  <c r="BG867" i="118" s="1"/>
  <c r="AB868" i="118"/>
  <c r="AC868" i="118"/>
  <c r="BG868" i="118" s="1"/>
  <c r="AB869" i="118"/>
  <c r="AC869" i="118"/>
  <c r="BG869" i="118" s="1"/>
  <c r="AB870" i="118"/>
  <c r="AC870" i="118"/>
  <c r="BG870" i="118" s="1"/>
  <c r="AB871" i="118"/>
  <c r="AC871" i="118"/>
  <c r="BG871" i="118" s="1"/>
  <c r="AB872" i="118"/>
  <c r="AC872" i="118"/>
  <c r="BG872" i="118" s="1"/>
  <c r="AB873" i="118"/>
  <c r="AC873" i="118"/>
  <c r="BG873" i="118" s="1"/>
  <c r="AB875" i="118"/>
  <c r="AC875" i="118"/>
  <c r="BG875" i="118" s="1"/>
  <c r="AB876" i="118"/>
  <c r="AC876" i="118"/>
  <c r="BG876" i="118" s="1"/>
  <c r="AB877" i="118"/>
  <c r="AC877" i="118"/>
  <c r="AB878" i="118"/>
  <c r="AC878" i="118"/>
  <c r="BG878" i="118" s="1"/>
  <c r="AB879" i="118"/>
  <c r="AC879" i="118"/>
  <c r="BG879" i="118" s="1"/>
  <c r="AB880" i="118"/>
  <c r="AC880" i="118"/>
  <c r="BG880" i="118" s="1"/>
  <c r="AB881" i="118"/>
  <c r="AC881" i="118"/>
  <c r="BG881" i="118" s="1"/>
  <c r="AB882" i="118"/>
  <c r="AC882" i="118"/>
  <c r="BG882" i="118" s="1"/>
  <c r="AB883" i="118"/>
  <c r="AC883" i="118"/>
  <c r="BG883" i="118" s="1"/>
  <c r="AB884" i="118"/>
  <c r="AC884" i="118"/>
  <c r="BG884" i="118" s="1"/>
  <c r="AB886" i="118"/>
  <c r="AC886" i="118"/>
  <c r="BG886" i="118" s="1"/>
  <c r="AB887" i="118"/>
  <c r="AC887" i="118"/>
  <c r="BG887" i="118" s="1"/>
  <c r="AB888" i="118"/>
  <c r="AC888" i="118"/>
  <c r="BG888" i="118" s="1"/>
  <c r="AB889" i="118"/>
  <c r="AC889" i="118"/>
  <c r="BG889" i="118" s="1"/>
  <c r="AB890" i="118"/>
  <c r="AC890" i="118"/>
  <c r="BG890" i="118" s="1"/>
  <c r="AB891" i="118"/>
  <c r="AC891" i="118"/>
  <c r="BG891" i="118" s="1"/>
  <c r="AB893" i="118"/>
  <c r="AC893" i="118"/>
  <c r="BG893" i="118" s="1"/>
  <c r="AB894" i="118"/>
  <c r="AC894" i="118"/>
  <c r="BG894" i="118" s="1"/>
  <c r="AB895" i="118"/>
  <c r="AC895" i="118"/>
  <c r="BG895" i="118" s="1"/>
  <c r="AB896" i="118"/>
  <c r="AC896" i="118"/>
  <c r="BG896" i="118" s="1"/>
  <c r="AB897" i="118"/>
  <c r="AC897" i="118"/>
  <c r="BG897" i="118" s="1"/>
  <c r="AB899" i="118"/>
  <c r="AC899" i="118"/>
  <c r="BG899" i="118" s="1"/>
  <c r="AB900" i="118"/>
  <c r="AC900" i="118"/>
  <c r="BG900" i="118" s="1"/>
  <c r="AB901" i="118"/>
  <c r="AC901" i="118"/>
  <c r="BG901" i="118" s="1"/>
  <c r="AB902" i="118"/>
  <c r="AC902" i="118"/>
  <c r="BG902" i="118" s="1"/>
  <c r="AB904" i="118"/>
  <c r="AC904" i="118"/>
  <c r="BG904" i="118" s="1"/>
  <c r="AB905" i="118"/>
  <c r="AC905" i="118"/>
  <c r="BG905" i="118" s="1"/>
  <c r="AB906" i="118"/>
  <c r="AC906" i="118"/>
  <c r="BG906" i="118" s="1"/>
  <c r="AB907" i="118"/>
  <c r="AC907" i="118"/>
  <c r="BG907" i="118" s="1"/>
  <c r="AB908" i="118"/>
  <c r="AC908" i="118"/>
  <c r="BG908" i="118" s="1"/>
  <c r="AB910" i="118"/>
  <c r="AC910" i="118"/>
  <c r="BG910" i="118" s="1"/>
  <c r="AB911" i="118"/>
  <c r="AC911" i="118"/>
  <c r="BG911" i="118" s="1"/>
  <c r="AB913" i="118"/>
  <c r="AC913" i="118"/>
  <c r="BG913" i="118" s="1"/>
  <c r="AB916" i="118"/>
  <c r="AC916" i="118"/>
  <c r="BG916" i="118" s="1"/>
  <c r="AB917" i="118"/>
  <c r="AC917" i="118"/>
  <c r="BG917" i="118" s="1"/>
  <c r="AB918" i="118"/>
  <c r="AC918" i="118"/>
  <c r="BG918" i="118" s="1"/>
  <c r="AB920" i="118"/>
  <c r="AC920" i="118"/>
  <c r="BG920" i="118" s="1"/>
  <c r="AB921" i="118"/>
  <c r="AC921" i="118"/>
  <c r="BG921" i="118" s="1"/>
  <c r="AB922" i="118"/>
  <c r="AC922" i="118"/>
  <c r="BG922" i="118" s="1"/>
  <c r="AB923" i="118"/>
  <c r="AC923" i="118"/>
  <c r="BG923" i="118" s="1"/>
  <c r="AB926" i="118"/>
  <c r="AC926" i="118"/>
  <c r="BG926" i="118" s="1"/>
  <c r="AB927" i="118"/>
  <c r="AC927" i="118"/>
  <c r="BG927" i="118" s="1"/>
  <c r="AB928" i="118"/>
  <c r="AC928" i="118"/>
  <c r="BG928" i="118" s="1"/>
  <c r="AB929" i="118"/>
  <c r="AC929" i="118"/>
  <c r="BG929" i="118" s="1"/>
  <c r="AB930" i="118"/>
  <c r="AC930" i="118"/>
  <c r="BG930" i="118" s="1"/>
  <c r="AB931" i="118"/>
  <c r="AC931" i="118"/>
  <c r="BG931" i="118" s="1"/>
  <c r="AB932" i="118"/>
  <c r="AC932" i="118"/>
  <c r="BG932" i="118" s="1"/>
  <c r="AB936" i="118"/>
  <c r="AC936" i="118"/>
  <c r="BG936" i="118" s="1"/>
  <c r="AB937" i="118"/>
  <c r="AC937" i="118"/>
  <c r="BG937" i="118" s="1"/>
  <c r="AB938" i="118"/>
  <c r="AC938" i="118"/>
  <c r="BG938" i="118" s="1"/>
  <c r="AB939" i="118"/>
  <c r="AC939" i="118"/>
  <c r="BG939" i="118" s="1"/>
  <c r="AB940" i="118"/>
  <c r="AC940" i="118"/>
  <c r="BG940" i="118" s="1"/>
  <c r="AB941" i="118"/>
  <c r="AC941" i="118"/>
  <c r="BG941" i="118" s="1"/>
  <c r="AB942" i="118"/>
  <c r="AC942" i="118"/>
  <c r="BG942" i="118" s="1"/>
  <c r="AB943" i="118"/>
  <c r="AC943" i="118"/>
  <c r="BG943" i="118" s="1"/>
  <c r="AB944" i="118"/>
  <c r="AC944" i="118"/>
  <c r="BG944" i="118" s="1"/>
  <c r="AB945" i="118"/>
  <c r="AC945" i="118"/>
  <c r="BG945" i="118" s="1"/>
  <c r="AB946" i="118"/>
  <c r="AC946" i="118"/>
  <c r="BG946" i="118" s="1"/>
  <c r="AB948" i="118"/>
  <c r="AC948" i="118"/>
  <c r="BG948" i="118" s="1"/>
  <c r="AB950" i="118"/>
  <c r="AC950" i="118"/>
  <c r="BG950" i="118" s="1"/>
  <c r="AB951" i="118"/>
  <c r="AC951" i="118"/>
  <c r="BG951" i="118" s="1"/>
  <c r="AB952" i="118"/>
  <c r="AC952" i="118"/>
  <c r="BG952" i="118" s="1"/>
  <c r="AB953" i="118"/>
  <c r="AC953" i="118"/>
  <c r="BG953" i="118" s="1"/>
  <c r="AB955" i="118"/>
  <c r="AC955" i="118"/>
  <c r="BG955" i="118" s="1"/>
  <c r="AB956" i="118"/>
  <c r="AC956" i="118"/>
  <c r="BG956" i="118" s="1"/>
  <c r="AB957" i="118"/>
  <c r="AC957" i="118"/>
  <c r="BG957" i="118" s="1"/>
  <c r="AB958" i="118"/>
  <c r="AC958" i="118"/>
  <c r="BG958" i="118" s="1"/>
  <c r="AB960" i="118"/>
  <c r="AC960" i="118"/>
  <c r="BG960" i="118" s="1"/>
  <c r="AB959" i="118"/>
  <c r="AC959" i="118"/>
  <c r="BG959" i="118" s="1"/>
  <c r="AB965" i="118"/>
  <c r="AC965" i="118"/>
  <c r="BG965" i="118" s="1"/>
  <c r="AB966" i="118"/>
  <c r="AC966" i="118"/>
  <c r="BG966" i="118" s="1"/>
  <c r="AB967" i="118"/>
  <c r="AC967" i="118"/>
  <c r="BG967" i="118" s="1"/>
  <c r="AB968" i="118"/>
  <c r="AC968" i="118"/>
  <c r="BG968" i="118" s="1"/>
  <c r="AB970" i="118"/>
  <c r="AC970" i="118"/>
  <c r="BG970" i="118" s="1"/>
  <c r="AB972" i="118"/>
  <c r="AC972" i="118"/>
  <c r="BG972" i="118" s="1"/>
  <c r="AB973" i="118"/>
  <c r="AC973" i="118"/>
  <c r="BG973" i="118" s="1"/>
  <c r="AB974" i="118"/>
  <c r="AC974" i="118"/>
  <c r="BG974" i="118" s="1"/>
  <c r="AB977" i="118"/>
  <c r="AC977" i="118"/>
  <c r="BG977" i="118" s="1"/>
  <c r="AB980" i="118"/>
  <c r="AC980" i="118"/>
  <c r="BG980" i="118" s="1"/>
  <c r="AB981" i="118"/>
  <c r="AC981" i="118"/>
  <c r="BG981" i="118" s="1"/>
  <c r="AB984" i="118"/>
  <c r="AC984" i="118"/>
  <c r="BG984" i="118" s="1"/>
  <c r="AB985" i="118"/>
  <c r="AC985" i="118"/>
  <c r="BG985" i="118" s="1"/>
  <c r="AB986" i="118"/>
  <c r="AC986" i="118"/>
  <c r="BG986" i="118" s="1"/>
  <c r="AB988" i="118"/>
  <c r="AC988" i="118"/>
  <c r="BG988" i="118" s="1"/>
  <c r="AB989" i="118"/>
  <c r="AC989" i="118"/>
  <c r="BG989" i="118" s="1"/>
  <c r="AB990" i="118"/>
  <c r="AC990" i="118"/>
  <c r="BG990" i="118" s="1"/>
  <c r="AB992" i="118"/>
  <c r="AC992" i="118"/>
  <c r="BG992" i="118" s="1"/>
  <c r="AB993" i="118"/>
  <c r="AC993" i="118"/>
  <c r="BG993" i="118" s="1"/>
  <c r="AB994" i="118"/>
  <c r="AC994" i="118"/>
  <c r="BG994" i="118" s="1"/>
  <c r="AB996" i="118"/>
  <c r="AC996" i="118"/>
  <c r="BG996" i="118" s="1"/>
  <c r="AB998" i="118"/>
  <c r="AC998" i="118"/>
  <c r="BG998" i="118" s="1"/>
  <c r="AB999" i="118"/>
  <c r="AC999" i="118"/>
  <c r="BG999" i="118" s="1"/>
  <c r="AB1000" i="118"/>
  <c r="AC1000" i="118"/>
  <c r="BG1000" i="118" s="1"/>
  <c r="AB1001" i="118"/>
  <c r="AC1001" i="118"/>
  <c r="BG1001" i="118" s="1"/>
  <c r="AB1002" i="118"/>
  <c r="AC1002" i="118"/>
  <c r="BG1002" i="118" s="1"/>
  <c r="AB1003" i="118"/>
  <c r="AC1003" i="118"/>
  <c r="BG1003" i="118" s="1"/>
  <c r="AB1004" i="118"/>
  <c r="AC1004" i="118"/>
  <c r="BG1004" i="118" s="1"/>
  <c r="AB1005" i="118"/>
  <c r="AC1005" i="118"/>
  <c r="BG1005" i="118" s="1"/>
  <c r="AB1006" i="118"/>
  <c r="AC1006" i="118"/>
  <c r="BG1006" i="118" s="1"/>
  <c r="AB1007" i="118"/>
  <c r="AC1007" i="118"/>
  <c r="BG1007" i="118" s="1"/>
  <c r="AB1008" i="118"/>
  <c r="AC1008" i="118"/>
  <c r="BG1008" i="118" s="1"/>
  <c r="AB1010" i="118"/>
  <c r="AC1010" i="118"/>
  <c r="BG1010" i="118" s="1"/>
  <c r="AB1012" i="118"/>
  <c r="AB1013" i="118"/>
  <c r="AC1013" i="118"/>
  <c r="AB1014" i="118"/>
  <c r="AC1014" i="118"/>
  <c r="AB1015" i="118"/>
  <c r="AC1015" i="118"/>
  <c r="AB1016" i="118"/>
  <c r="AC1016" i="118"/>
  <c r="AB1017" i="118"/>
  <c r="AB1018" i="118"/>
  <c r="AB1019" i="118"/>
  <c r="AC1019" i="118"/>
  <c r="AB1020" i="118"/>
  <c r="AC1020" i="118"/>
  <c r="AB1021" i="118"/>
  <c r="AC1021" i="118"/>
  <c r="AB1022" i="118"/>
  <c r="AC1022" i="118"/>
  <c r="AB1024" i="118"/>
  <c r="AC1024" i="118"/>
  <c r="AB1025" i="118"/>
  <c r="AC1025" i="118"/>
  <c r="AB1026" i="118"/>
  <c r="AC1026" i="118"/>
  <c r="AB1027" i="118"/>
  <c r="AC1027" i="118"/>
  <c r="AB1028" i="118"/>
  <c r="AB1029" i="118"/>
  <c r="AC1029" i="118"/>
  <c r="AB1030" i="118"/>
  <c r="AB1031" i="118"/>
  <c r="AC1031" i="118"/>
  <c r="AB1032" i="118"/>
  <c r="AC1032" i="118"/>
  <c r="AB1033" i="118"/>
  <c r="AC1033" i="118"/>
  <c r="AB1034" i="118"/>
  <c r="AC1034" i="118"/>
  <c r="AB1035" i="118"/>
  <c r="AC1035" i="118"/>
  <c r="AB1036" i="118"/>
  <c r="AC1036" i="118"/>
  <c r="AB1037" i="118"/>
  <c r="AC1037" i="118"/>
  <c r="AB1038" i="118"/>
  <c r="AC1038" i="118"/>
  <c r="AB1039" i="118"/>
  <c r="AC1039" i="118"/>
  <c r="AB1040" i="118"/>
  <c r="AC1040" i="118"/>
  <c r="AB1041" i="118"/>
  <c r="AC1041" i="118"/>
  <c r="AB1042" i="118"/>
  <c r="AC1042" i="118"/>
  <c r="AB1043" i="118"/>
  <c r="AB1044" i="118"/>
  <c r="AC1044" i="118"/>
  <c r="AB1045" i="118"/>
  <c r="AC1045" i="118"/>
  <c r="AB1046" i="118"/>
  <c r="AC1046" i="118"/>
  <c r="AB1047" i="118"/>
  <c r="AC1047" i="118"/>
  <c r="AB1048" i="118"/>
  <c r="AC1048" i="118"/>
  <c r="AB1049" i="118"/>
  <c r="AC1049" i="118"/>
  <c r="AB1050" i="118"/>
  <c r="AC1050" i="118"/>
  <c r="AB1051" i="118"/>
  <c r="AC1051" i="118"/>
  <c r="AB1052" i="118"/>
  <c r="AC1052" i="118"/>
  <c r="AB1053" i="118"/>
  <c r="AC1053" i="118"/>
  <c r="AB1054" i="118"/>
  <c r="AC1054" i="118"/>
  <c r="AB1055" i="118"/>
  <c r="AC1055" i="118"/>
  <c r="AB1056" i="118"/>
  <c r="AC1056" i="118"/>
  <c r="AB1058" i="118"/>
  <c r="AC1058" i="118"/>
  <c r="AB1059" i="118"/>
  <c r="AC1059" i="118"/>
  <c r="AB1060" i="118"/>
  <c r="AC1060" i="118"/>
  <c r="AB1061" i="118"/>
  <c r="AC1061" i="118"/>
  <c r="AB1062" i="118"/>
  <c r="AC1062" i="118"/>
  <c r="AB1063" i="118"/>
  <c r="AC1063" i="118"/>
  <c r="AB1064" i="118"/>
  <c r="AC1064" i="118"/>
  <c r="AB1065" i="118"/>
  <c r="AC1065" i="118"/>
  <c r="AB1066" i="118"/>
  <c r="AC1066" i="118"/>
  <c r="AB1067" i="118"/>
  <c r="AC1067" i="118"/>
  <c r="AB1068" i="118"/>
  <c r="AC1068" i="118"/>
  <c r="AB1069" i="118"/>
  <c r="AC1069" i="118"/>
  <c r="AB1070" i="118"/>
  <c r="AC1070" i="118"/>
  <c r="AB1071" i="118"/>
  <c r="AC1071" i="118"/>
  <c r="AB1072" i="118"/>
  <c r="AC1072" i="118"/>
  <c r="AB1073" i="118"/>
  <c r="AC1073" i="118"/>
  <c r="AB1074" i="118"/>
  <c r="AC1074" i="118"/>
  <c r="AB1075" i="118"/>
  <c r="AC1075" i="118"/>
  <c r="AB1076" i="118"/>
  <c r="AC1076" i="118"/>
  <c r="AB1077" i="118"/>
  <c r="AC1077" i="118"/>
  <c r="AB1078" i="118"/>
  <c r="AC1078" i="118"/>
  <c r="AB1079" i="118"/>
  <c r="AC1079" i="118"/>
  <c r="AB1080" i="118"/>
  <c r="AC1080" i="118"/>
  <c r="AB1081" i="118"/>
  <c r="AC1081" i="118"/>
  <c r="AB1082" i="118"/>
  <c r="AC1082" i="118"/>
  <c r="AB1083" i="118"/>
  <c r="AC1083" i="118"/>
  <c r="AB1084" i="118"/>
  <c r="AC1084" i="118"/>
  <c r="AB1085" i="118"/>
  <c r="AC1085" i="118"/>
  <c r="AB1086" i="118"/>
  <c r="AC1086" i="118"/>
  <c r="AB1087" i="118"/>
  <c r="AC1087" i="118"/>
  <c r="AB1088" i="118"/>
  <c r="AC1088" i="118"/>
  <c r="AB1089" i="118"/>
  <c r="AC1089" i="118"/>
  <c r="AB1090" i="118"/>
  <c r="AC1090" i="118"/>
  <c r="AB1092" i="118"/>
  <c r="AC1092" i="118"/>
  <c r="AB1093" i="118"/>
  <c r="AC1093" i="118"/>
  <c r="AB1094" i="118"/>
  <c r="AC1094" i="118"/>
  <c r="AB1095" i="118"/>
  <c r="AC1095" i="118"/>
  <c r="AB1096" i="118"/>
  <c r="AC1096" i="118"/>
  <c r="AB1097" i="118"/>
  <c r="AC1097" i="118"/>
  <c r="AB1098" i="118"/>
  <c r="AC1098" i="118"/>
  <c r="AB1100" i="118"/>
  <c r="AB1101" i="118"/>
  <c r="AC1101" i="118"/>
  <c r="AB1102" i="118"/>
  <c r="AC1102" i="118"/>
  <c r="AB1103" i="118"/>
  <c r="AC1103" i="118"/>
  <c r="AB1104" i="118"/>
  <c r="AC1104" i="118"/>
  <c r="AB1105" i="118"/>
  <c r="AC1105" i="118"/>
  <c r="AB1106" i="118"/>
  <c r="AC1106" i="118"/>
  <c r="AB1107" i="118"/>
  <c r="AC1107" i="118"/>
  <c r="AB1108" i="118"/>
  <c r="AC1108" i="118"/>
  <c r="AB1109" i="118"/>
  <c r="AC1109" i="118"/>
  <c r="AB1110" i="118"/>
  <c r="AC1110" i="118"/>
  <c r="AB1111" i="118"/>
  <c r="AC1111" i="118"/>
  <c r="AB1112" i="118"/>
  <c r="AC1112" i="118"/>
  <c r="AB1113" i="118"/>
  <c r="AC1113" i="118"/>
  <c r="AB1114" i="118"/>
  <c r="AC1114" i="118"/>
  <c r="AB1115" i="118"/>
  <c r="AC1115" i="118"/>
  <c r="AB1116" i="118"/>
  <c r="AC1116" i="118"/>
  <c r="AB1117" i="118"/>
  <c r="AC1117" i="118"/>
  <c r="AB1118" i="118"/>
  <c r="AC1118" i="118"/>
  <c r="AB1119" i="118"/>
  <c r="AC1119" i="118"/>
  <c r="AB1120" i="118"/>
  <c r="AC1120" i="118"/>
  <c r="AB1121" i="118"/>
  <c r="AC1121" i="118"/>
  <c r="AB1122" i="118"/>
  <c r="AC1122" i="118"/>
  <c r="AB1123" i="118"/>
  <c r="AC1123" i="118"/>
  <c r="AB1124" i="118"/>
  <c r="AC1124" i="118"/>
  <c r="AB1126" i="118"/>
  <c r="AC1126" i="118"/>
  <c r="AB1127" i="118"/>
  <c r="AC1127" i="118"/>
  <c r="AB1128" i="118"/>
  <c r="AC1128" i="118"/>
  <c r="AB1129" i="118"/>
  <c r="AC1129" i="118"/>
  <c r="AB1130" i="118"/>
  <c r="AC1130" i="118"/>
  <c r="AB1131" i="118"/>
  <c r="AC1131" i="118"/>
  <c r="AB1132" i="118"/>
  <c r="AC1132" i="118"/>
  <c r="AB1133" i="118"/>
  <c r="AC1133" i="118"/>
  <c r="AB1135" i="118"/>
  <c r="AC1135" i="118"/>
  <c r="AB1136" i="118"/>
  <c r="AC1136" i="118"/>
  <c r="AB1137" i="118"/>
  <c r="AC1137" i="118"/>
  <c r="AB1138" i="118"/>
  <c r="AC1138" i="118"/>
  <c r="AB1139" i="118"/>
  <c r="AC1139" i="118"/>
  <c r="AB1140" i="118"/>
  <c r="AC1140" i="118"/>
  <c r="AB1141" i="118"/>
  <c r="AC1141" i="118"/>
  <c r="AB1143" i="118"/>
  <c r="AC1143" i="118"/>
  <c r="AB1144" i="118"/>
  <c r="AC1144" i="118"/>
  <c r="AB1145" i="118"/>
  <c r="AC1145" i="118"/>
  <c r="AB1147" i="118"/>
  <c r="AC1147" i="118"/>
  <c r="AB1148" i="118"/>
  <c r="AC1148" i="118"/>
  <c r="AB1149" i="118"/>
  <c r="AC1149" i="118"/>
  <c r="AB1150" i="118"/>
  <c r="AC1150" i="118"/>
  <c r="AB1151" i="118"/>
  <c r="AC1151" i="118"/>
  <c r="AB1152" i="118"/>
  <c r="AC1152" i="118"/>
  <c r="AB1153" i="118"/>
  <c r="AC1153" i="118"/>
  <c r="AB1154" i="118"/>
  <c r="AC1154" i="118"/>
  <c r="AB1155" i="118"/>
  <c r="AC1155" i="118"/>
  <c r="AB1156" i="118"/>
  <c r="AB1157" i="118"/>
  <c r="AB1158" i="118"/>
  <c r="AC1158" i="118"/>
  <c r="AB1159" i="118"/>
  <c r="AC1159" i="118"/>
  <c r="AB1160" i="118"/>
  <c r="AC1160" i="118"/>
  <c r="AB1161" i="118"/>
  <c r="AC1161" i="118"/>
  <c r="AB1163" i="118"/>
  <c r="AC1163" i="118"/>
  <c r="AB1164" i="118"/>
  <c r="AC1164" i="118"/>
  <c r="AB1165" i="118"/>
  <c r="AC1165" i="118"/>
  <c r="AB1166" i="118"/>
  <c r="AC1166" i="118"/>
  <c r="AB1167" i="118"/>
  <c r="AC1167" i="118"/>
  <c r="AB1168" i="118"/>
  <c r="AC1168" i="118"/>
  <c r="AB1169" i="118"/>
  <c r="AC1169" i="118"/>
  <c r="AB1170" i="118"/>
  <c r="AC1170" i="118"/>
  <c r="AB1171" i="118"/>
  <c r="AC1171" i="118"/>
  <c r="AB1172" i="118"/>
  <c r="AC1172" i="118"/>
  <c r="AB1173" i="118"/>
  <c r="AC1173" i="118"/>
  <c r="AB1174" i="118"/>
  <c r="AC1174" i="118"/>
  <c r="AB1175" i="118"/>
  <c r="AC1175" i="118"/>
  <c r="AB1176" i="118"/>
  <c r="AC1176" i="118"/>
  <c r="AB1177" i="118"/>
  <c r="AC1177" i="118"/>
  <c r="AB1178" i="118"/>
  <c r="AC1178" i="118"/>
  <c r="AB1179" i="118"/>
  <c r="AC1179" i="118"/>
  <c r="AB1180" i="118"/>
  <c r="AC1180" i="118"/>
  <c r="AB1181" i="118"/>
  <c r="AC1181" i="118"/>
  <c r="AB1182" i="118"/>
  <c r="AC1182" i="118"/>
  <c r="AB1184" i="118"/>
  <c r="AC1184" i="118"/>
  <c r="AB1185" i="118"/>
  <c r="AC1185" i="118"/>
  <c r="AB1186" i="118"/>
  <c r="AC1186" i="118"/>
  <c r="AB1187" i="118"/>
  <c r="AC1187" i="118"/>
  <c r="AB1188" i="118"/>
  <c r="AB1190" i="118"/>
  <c r="AB1191" i="118"/>
  <c r="AC1191" i="118"/>
  <c r="AB1192" i="118"/>
  <c r="AC1192" i="118"/>
  <c r="AB1193" i="118"/>
  <c r="AC1193" i="118"/>
  <c r="AB1194" i="118"/>
  <c r="AC1194" i="118"/>
  <c r="AB1195" i="118"/>
  <c r="AB1196" i="118"/>
  <c r="AC1196" i="118"/>
  <c r="AB1197" i="118"/>
  <c r="AC1197" i="118"/>
  <c r="AB1198" i="118"/>
  <c r="AC1198" i="118"/>
  <c r="AB1199" i="118"/>
  <c r="AC1199" i="118"/>
  <c r="AB1200" i="118"/>
  <c r="AC1200" i="118"/>
  <c r="AB1201" i="118"/>
  <c r="AC1201" i="118"/>
  <c r="AB1203" i="118"/>
  <c r="AC1203" i="118"/>
  <c r="AB1204" i="118"/>
  <c r="AC1204" i="118"/>
  <c r="AB1205" i="118"/>
  <c r="AC1205" i="118"/>
  <c r="AB1206" i="118"/>
  <c r="AC1206" i="118"/>
  <c r="AB1207" i="118"/>
  <c r="AC1207" i="118"/>
  <c r="AB1208" i="118"/>
  <c r="AC1208" i="118"/>
  <c r="AB1209" i="118"/>
  <c r="AC1209" i="118"/>
  <c r="AB1210" i="118"/>
  <c r="AC1210" i="118"/>
  <c r="AB1211" i="118"/>
  <c r="AC1211" i="118"/>
  <c r="AB1212" i="118"/>
  <c r="AC1212" i="118"/>
  <c r="AB1213" i="118"/>
  <c r="AC1213" i="118"/>
  <c r="AB1214" i="118"/>
  <c r="AC1214" i="118"/>
  <c r="AB1215" i="118"/>
  <c r="AC1215" i="118"/>
  <c r="AB1216" i="118"/>
  <c r="AC1216" i="118"/>
  <c r="AB1217" i="118"/>
  <c r="AC1217" i="118"/>
  <c r="AB1218" i="118"/>
  <c r="AC1218" i="118"/>
  <c r="AB1219" i="118"/>
  <c r="AC1219" i="118"/>
  <c r="AB1220" i="118"/>
  <c r="AC1220" i="118"/>
  <c r="AB1221" i="118"/>
  <c r="AC1221" i="118"/>
  <c r="AB1222" i="118"/>
  <c r="AC1222" i="118"/>
  <c r="AB1223" i="118"/>
  <c r="AC1223" i="118"/>
  <c r="AB1224" i="118"/>
  <c r="AC1224" i="118"/>
  <c r="AB1225" i="118"/>
  <c r="AC1225" i="118"/>
  <c r="AB1226" i="118"/>
  <c r="AC1226" i="118"/>
  <c r="AB1227" i="118"/>
  <c r="AC1227" i="118"/>
  <c r="AB1228" i="118"/>
  <c r="AC1228" i="118"/>
  <c r="AB1229" i="118"/>
  <c r="AC1229" i="118"/>
  <c r="AB1230" i="118"/>
  <c r="AC1230" i="118"/>
  <c r="AB1231" i="118"/>
  <c r="AC1231" i="118"/>
  <c r="AB1232" i="118"/>
  <c r="AC1232" i="118"/>
  <c r="AB1233" i="118"/>
  <c r="AC1233" i="118"/>
  <c r="AB1234" i="118"/>
  <c r="AC1234" i="118"/>
  <c r="AB1235" i="118"/>
  <c r="AC1235" i="118"/>
  <c r="AB1236" i="118"/>
  <c r="AC1236" i="118"/>
  <c r="AB1237" i="118"/>
  <c r="AC1237" i="118"/>
  <c r="AB1238" i="118"/>
  <c r="AC1238" i="118"/>
  <c r="AB1239" i="118"/>
  <c r="AC1239" i="118"/>
  <c r="AB1240" i="118"/>
  <c r="AC1240" i="118"/>
  <c r="AB1241" i="118"/>
  <c r="AC1241" i="118"/>
  <c r="AB1242" i="118"/>
  <c r="AC1242" i="118"/>
  <c r="AB1243" i="118"/>
  <c r="AC1243" i="118"/>
  <c r="AB1244" i="118"/>
  <c r="AC1244" i="118"/>
  <c r="AB1245" i="118"/>
  <c r="AC1245" i="118"/>
  <c r="AB1246" i="118"/>
  <c r="AC1246" i="118"/>
  <c r="AB1247" i="118"/>
  <c r="AC1247" i="118"/>
  <c r="AB1248" i="118"/>
  <c r="AC1248" i="118"/>
  <c r="AB1249" i="118"/>
  <c r="AC1249" i="118"/>
  <c r="AB1250" i="118"/>
  <c r="AC1250" i="118"/>
  <c r="AB1251" i="118"/>
  <c r="AC1251" i="118"/>
  <c r="AB1252" i="118"/>
  <c r="AC1252" i="118"/>
  <c r="AB1253" i="118"/>
  <c r="AC1253" i="118"/>
  <c r="AB1254" i="118"/>
  <c r="AC1254" i="118"/>
  <c r="AB1255" i="118"/>
  <c r="AC1255" i="118"/>
  <c r="AB1256" i="118"/>
  <c r="AC1256" i="118"/>
  <c r="AB1257" i="118"/>
  <c r="AC1257" i="118"/>
  <c r="AB1258" i="118"/>
  <c r="AC1258" i="118"/>
  <c r="AB1259" i="118"/>
  <c r="AC1259" i="118"/>
  <c r="AB1260" i="118"/>
  <c r="AC1260" i="118"/>
  <c r="AB1261" i="118"/>
  <c r="AC1261" i="118"/>
  <c r="AB1262" i="118"/>
  <c r="AC1262" i="118"/>
  <c r="AB1263" i="118"/>
  <c r="AC1263" i="118"/>
  <c r="AB1264" i="118"/>
  <c r="AC1264" i="118"/>
  <c r="AB1265" i="118"/>
  <c r="AC1265" i="118"/>
  <c r="AB1266" i="118"/>
  <c r="AC1266" i="118"/>
  <c r="AB1267" i="118"/>
  <c r="AC1267" i="118"/>
  <c r="AB1268" i="118"/>
  <c r="AC1268" i="118"/>
  <c r="AB1269" i="118"/>
  <c r="AC1269" i="118"/>
  <c r="AB1270" i="118"/>
  <c r="AC1270" i="118"/>
  <c r="AB1272" i="118"/>
  <c r="AC1272" i="118"/>
  <c r="AB1273" i="118"/>
  <c r="AC1273" i="118"/>
  <c r="AB1274" i="118"/>
  <c r="AC1274" i="118"/>
  <c r="AB1275" i="118"/>
  <c r="AC1275" i="118"/>
  <c r="AB1276" i="118"/>
  <c r="AC1276" i="118"/>
  <c r="AB1277" i="118"/>
  <c r="AC1277" i="118"/>
  <c r="AB1278" i="118"/>
  <c r="AC1278" i="118"/>
  <c r="AB1279" i="118"/>
  <c r="AC1279" i="118"/>
  <c r="AB1280" i="118"/>
  <c r="AC1280" i="118"/>
  <c r="AB1281" i="118"/>
  <c r="AC1281" i="118"/>
  <c r="AB1282" i="118"/>
  <c r="AC1282" i="118"/>
  <c r="AB1283" i="118"/>
  <c r="AC1283" i="118"/>
  <c r="AB1284" i="118"/>
  <c r="AC1284" i="118"/>
  <c r="AB1285" i="118"/>
  <c r="AC1285" i="118"/>
  <c r="AB1286" i="118"/>
  <c r="AC1286" i="118"/>
  <c r="AB1287" i="118"/>
  <c r="AC1287" i="118"/>
  <c r="AB1288" i="118"/>
  <c r="AC1288" i="118"/>
  <c r="AB1289" i="118"/>
  <c r="AC1289" i="118"/>
  <c r="AB1290" i="118"/>
  <c r="AC1290" i="118"/>
  <c r="AB1291" i="118"/>
  <c r="AC1291" i="118"/>
  <c r="AB1292" i="118"/>
  <c r="AC1292" i="118"/>
  <c r="AB1293" i="118"/>
  <c r="AC1293" i="118"/>
  <c r="AB1294" i="118"/>
  <c r="AC1294" i="118"/>
  <c r="AB1296" i="118"/>
  <c r="AC1296" i="118"/>
  <c r="AB1297" i="118"/>
  <c r="AC1297" i="118"/>
  <c r="AB1298" i="118"/>
  <c r="AB1300" i="118"/>
  <c r="AC1300" i="118"/>
  <c r="AB1301" i="118"/>
  <c r="AC1301" i="118"/>
  <c r="AB1302" i="118"/>
  <c r="AC1302" i="118"/>
  <c r="AB1303" i="118"/>
  <c r="AC1303" i="118"/>
  <c r="AB1304" i="118"/>
  <c r="AC1304" i="118"/>
  <c r="AB1305" i="118"/>
  <c r="AC1305" i="118"/>
  <c r="AB1306" i="118"/>
  <c r="AC1306" i="118"/>
  <c r="AB1307" i="118"/>
  <c r="AC1307" i="118"/>
  <c r="AB1308" i="118"/>
  <c r="AC1308" i="118"/>
  <c r="AB1309" i="118"/>
  <c r="AC1309" i="118"/>
  <c r="AB1310" i="118"/>
  <c r="AC1310" i="118"/>
  <c r="AB1311" i="118"/>
  <c r="AC1311" i="118"/>
  <c r="AB1312" i="118"/>
  <c r="AC1312" i="118"/>
  <c r="AB1313" i="118"/>
  <c r="AC1313" i="118"/>
  <c r="AB1314" i="118"/>
  <c r="AC1314" i="118"/>
  <c r="AB1315" i="118"/>
  <c r="AC1315" i="118"/>
  <c r="AB1316" i="118"/>
  <c r="AC1316" i="118"/>
  <c r="AB1317" i="118"/>
  <c r="AC1317" i="118"/>
  <c r="AB1318" i="118"/>
  <c r="AC1318" i="118"/>
  <c r="AB1319" i="118"/>
  <c r="AC1319" i="118"/>
  <c r="AB1320" i="118"/>
  <c r="AC1320" i="118"/>
  <c r="AB1321" i="118"/>
  <c r="AC1321" i="118"/>
  <c r="AB1322" i="118"/>
  <c r="AC1322" i="118"/>
  <c r="AB1323" i="118"/>
  <c r="AC1323" i="118"/>
  <c r="AB1324" i="118"/>
  <c r="AC1324" i="118"/>
  <c r="AB1325" i="118"/>
  <c r="AC1325" i="118"/>
  <c r="AB1326" i="118"/>
  <c r="AC1326" i="118"/>
  <c r="AB1327" i="118"/>
  <c r="AC1327" i="118"/>
  <c r="AB1328" i="118"/>
  <c r="AC1328" i="118"/>
  <c r="AB1329" i="118"/>
  <c r="AC1329" i="118"/>
  <c r="AB1331" i="118"/>
  <c r="AC1331" i="118"/>
  <c r="AB1332" i="118"/>
  <c r="AC1332" i="118"/>
  <c r="AB1333" i="118"/>
  <c r="AC1333" i="118"/>
  <c r="AB1334" i="118"/>
  <c r="AC1334" i="118"/>
  <c r="AB1335" i="118"/>
  <c r="AC1335" i="118"/>
  <c r="AB1336" i="118"/>
  <c r="AC1336" i="118"/>
  <c r="AB1337" i="118"/>
  <c r="AC1337" i="118"/>
  <c r="AB1338" i="118"/>
  <c r="AC1338" i="118"/>
  <c r="AB1339" i="118"/>
  <c r="AC1339" i="118"/>
  <c r="AB1340" i="118"/>
  <c r="AC1340" i="118"/>
  <c r="AB1341" i="118"/>
  <c r="AC1341" i="118"/>
  <c r="AB1342" i="118"/>
  <c r="AC1342" i="118"/>
  <c r="AB1343" i="118"/>
  <c r="AC1343" i="118"/>
  <c r="AB1344" i="118"/>
  <c r="AC1344" i="118"/>
  <c r="AB1345" i="118"/>
  <c r="AC1345" i="118"/>
  <c r="AB1346" i="118"/>
  <c r="AC1346" i="118"/>
  <c r="AB1348" i="118"/>
  <c r="AC1348" i="118"/>
  <c r="AB1349" i="118"/>
  <c r="AC1349" i="118"/>
  <c r="AB1350" i="118"/>
  <c r="AC1350" i="118"/>
  <c r="AB1351" i="118"/>
  <c r="AC1351" i="118"/>
  <c r="AB1352" i="118"/>
  <c r="AC1352" i="118"/>
  <c r="AB1353" i="118"/>
  <c r="AC1353" i="118"/>
  <c r="AB1354" i="118"/>
  <c r="AC1354" i="118"/>
  <c r="AB1355" i="118"/>
  <c r="AC1355" i="118"/>
  <c r="AB1356" i="118"/>
  <c r="AC1356" i="118"/>
  <c r="AB1357" i="118"/>
  <c r="AC1357" i="118"/>
  <c r="AB1358" i="118"/>
  <c r="AC1358" i="118"/>
  <c r="AB1359" i="118"/>
  <c r="AC1359" i="118"/>
  <c r="AB1360" i="118"/>
  <c r="AC1360" i="118"/>
  <c r="AB1361" i="118"/>
  <c r="AC1361" i="118"/>
  <c r="AB1362" i="118"/>
  <c r="AC1362" i="118"/>
  <c r="AB1363" i="118"/>
  <c r="AC1363" i="118"/>
  <c r="AB1364" i="118"/>
  <c r="AC1364" i="118"/>
  <c r="AB1365" i="118"/>
  <c r="AC1365" i="118"/>
  <c r="AB1366" i="118"/>
  <c r="AC1366" i="118"/>
  <c r="AB1367" i="118"/>
  <c r="AC1367" i="118"/>
  <c r="AB1368" i="118"/>
  <c r="AC1368" i="118"/>
  <c r="AB1369" i="118"/>
  <c r="AC1369" i="118"/>
  <c r="AB1370" i="118"/>
  <c r="AC1370" i="118"/>
  <c r="AB1371" i="118"/>
  <c r="AC1371" i="118"/>
  <c r="AB1372" i="118"/>
  <c r="AC1372" i="118"/>
  <c r="AB1373" i="118"/>
  <c r="AC1373" i="118"/>
  <c r="AB1374" i="118"/>
  <c r="AC1374" i="118"/>
  <c r="AB1375" i="118"/>
  <c r="AC1375" i="118"/>
  <c r="AB1376" i="118"/>
  <c r="AC1376" i="118"/>
  <c r="AB1377" i="118"/>
  <c r="AC1377" i="118"/>
  <c r="AB1378" i="118"/>
  <c r="AC1378" i="118"/>
  <c r="AB1379" i="118"/>
  <c r="AC1379" i="118"/>
  <c r="AB1380" i="118"/>
  <c r="AC1380" i="118"/>
  <c r="AB1381" i="118"/>
  <c r="AC1381" i="118"/>
  <c r="AB1382" i="118"/>
  <c r="AC1382" i="118"/>
  <c r="AB1383" i="118"/>
  <c r="AC1383" i="118"/>
  <c r="AB1384" i="118"/>
  <c r="AC1384" i="118"/>
  <c r="AB1385" i="118"/>
  <c r="AC1385" i="118"/>
  <c r="AB1386" i="118"/>
  <c r="AC1386" i="118"/>
  <c r="AB1387" i="118"/>
  <c r="AC1387" i="118"/>
  <c r="AB1388" i="118"/>
  <c r="AC1388" i="118"/>
  <c r="AB1390" i="118"/>
  <c r="AC1390" i="118"/>
  <c r="AB1391" i="118"/>
  <c r="AC1391" i="118"/>
  <c r="AB1392" i="118"/>
  <c r="AC1392" i="118"/>
  <c r="AB1393" i="118"/>
  <c r="AC1393" i="118"/>
  <c r="AB1394" i="118"/>
  <c r="AC1394" i="118"/>
  <c r="AB1396" i="118"/>
  <c r="AC1396" i="118"/>
  <c r="AB1397" i="118"/>
  <c r="AC1397" i="118"/>
  <c r="AB1398" i="118"/>
  <c r="AC1398" i="118"/>
  <c r="AB1399" i="118"/>
  <c r="AC1399" i="118"/>
  <c r="AB1400" i="118"/>
  <c r="AC1400" i="118"/>
  <c r="AB1401" i="118"/>
  <c r="AC1401" i="118"/>
  <c r="AB1402" i="118"/>
  <c r="AC1402" i="118"/>
  <c r="AB1403" i="118"/>
  <c r="AC1403" i="118"/>
  <c r="AB1404" i="118"/>
  <c r="AC1404" i="118"/>
  <c r="AB1405" i="118"/>
  <c r="AC1405" i="118"/>
  <c r="AB1406" i="118"/>
  <c r="AC1406" i="118"/>
  <c r="AB1407" i="118"/>
  <c r="AC1407" i="118"/>
  <c r="AB1410" i="118"/>
  <c r="AC1410" i="118"/>
  <c r="AB1411" i="118"/>
  <c r="AC1411" i="118"/>
  <c r="AB1408" i="118"/>
  <c r="AC1408" i="118"/>
  <c r="AB1409" i="118"/>
  <c r="AC1409" i="118"/>
  <c r="AB1412" i="118"/>
  <c r="AC1412" i="118"/>
  <c r="AB1413" i="118"/>
  <c r="AC1413" i="118"/>
  <c r="AB1414" i="118"/>
  <c r="AC1414" i="118"/>
  <c r="AB1415" i="118"/>
  <c r="AC1415" i="118"/>
  <c r="AB1416" i="118"/>
  <c r="AC1416" i="118"/>
  <c r="AB1417" i="118"/>
  <c r="AC1417" i="118"/>
  <c r="AB1418" i="118"/>
  <c r="AC1418" i="118"/>
  <c r="AB1419" i="118"/>
  <c r="AC1419" i="118"/>
  <c r="AB1420" i="118"/>
  <c r="AC1420" i="118"/>
  <c r="AB1421" i="118"/>
  <c r="AC1421" i="118"/>
  <c r="AB1422" i="118"/>
  <c r="AC1422" i="118"/>
  <c r="AB1423" i="118"/>
  <c r="AC1423" i="118"/>
  <c r="AB1424" i="118"/>
  <c r="AC1424" i="118"/>
  <c r="AB1425" i="118"/>
  <c r="AC1425" i="118"/>
  <c r="AB1426" i="118"/>
  <c r="AC1426" i="118"/>
  <c r="AB1427" i="118"/>
  <c r="AC1427" i="118"/>
  <c r="AB1428" i="118"/>
  <c r="AC1428" i="118"/>
  <c r="AB1429" i="118"/>
  <c r="AC1429" i="118"/>
  <c r="AB1430" i="118"/>
  <c r="AC1430" i="118"/>
  <c r="AB1431" i="118"/>
  <c r="AC1431" i="118"/>
  <c r="AB1432" i="118"/>
  <c r="AC1432" i="118"/>
  <c r="AB1434" i="118"/>
  <c r="AB1436" i="118"/>
  <c r="AC1436" i="118"/>
  <c r="AB1437" i="118"/>
  <c r="AC1437" i="118"/>
  <c r="AB1438" i="118"/>
  <c r="AC1438" i="118"/>
  <c r="AB1439" i="118"/>
  <c r="AC1439" i="118"/>
  <c r="AB1440" i="118"/>
  <c r="AC1440" i="118"/>
  <c r="AB1441" i="118"/>
  <c r="AC1441" i="118"/>
  <c r="AB1442" i="118"/>
  <c r="AC1442" i="118"/>
  <c r="AB1443" i="118"/>
  <c r="AC1443" i="118"/>
  <c r="AB1444" i="118"/>
  <c r="AC1444" i="118"/>
  <c r="AB1445" i="118"/>
  <c r="AC1445" i="118"/>
  <c r="AB1446" i="118"/>
  <c r="AC1446" i="118"/>
  <c r="AB1447" i="118"/>
  <c r="AC1447" i="118"/>
  <c r="AB1448" i="118"/>
  <c r="AC1448" i="118"/>
  <c r="AB1449" i="118"/>
  <c r="AC1449" i="118"/>
  <c r="AB1450" i="118"/>
  <c r="AC1450" i="118"/>
  <c r="AB1451" i="118"/>
  <c r="AC1451" i="118"/>
  <c r="AB1452" i="118"/>
  <c r="AC1452" i="118"/>
  <c r="AB1453" i="118"/>
  <c r="AC1453" i="118"/>
  <c r="AB1454" i="118"/>
  <c r="AC1454" i="118"/>
  <c r="AB1455" i="118"/>
  <c r="AC1455" i="118"/>
  <c r="AB1456" i="118"/>
  <c r="AC1456" i="118"/>
  <c r="AB1457" i="118"/>
  <c r="AC1457" i="118"/>
  <c r="AB1458" i="118"/>
  <c r="AC1458" i="118"/>
  <c r="AB1459" i="118"/>
  <c r="AC1459" i="118"/>
  <c r="AB1460" i="118"/>
  <c r="AC1460" i="118"/>
  <c r="AB1461" i="118"/>
  <c r="AC1461" i="118"/>
  <c r="AB1462" i="118"/>
  <c r="AC1462" i="118"/>
  <c r="AB1463" i="118"/>
  <c r="AC1463" i="118"/>
  <c r="AB1464" i="118"/>
  <c r="AC1464" i="118"/>
  <c r="AB1465" i="118"/>
  <c r="AC1465" i="118"/>
  <c r="AB1466" i="118"/>
  <c r="AC1466" i="118"/>
  <c r="AB1467" i="118"/>
  <c r="AC1467" i="118"/>
  <c r="AB1468" i="118"/>
  <c r="AC1468" i="118"/>
  <c r="AB1469" i="118"/>
  <c r="AC1469" i="118"/>
  <c r="AB1470" i="118"/>
  <c r="AC1470" i="118"/>
  <c r="AB1471" i="118"/>
  <c r="AC1471" i="118"/>
  <c r="AB1472" i="118"/>
  <c r="AC1472" i="118"/>
  <c r="AB1473" i="118"/>
  <c r="AC1473" i="118"/>
  <c r="AB1474" i="118"/>
  <c r="AC1474" i="118"/>
  <c r="AB1475" i="118"/>
  <c r="AC1475" i="118"/>
  <c r="AB1476" i="118"/>
  <c r="AC1476" i="118"/>
  <c r="AB1477" i="118"/>
  <c r="AC1477" i="118"/>
  <c r="AB1478" i="118"/>
  <c r="AC1478" i="118"/>
  <c r="AB1479" i="118"/>
  <c r="AC1479" i="118"/>
  <c r="AB1481" i="118"/>
  <c r="AC1481" i="118"/>
  <c r="AB1482" i="118"/>
  <c r="AC1482" i="118"/>
  <c r="AB1483" i="118"/>
  <c r="AC1483" i="118"/>
  <c r="AB1484" i="118"/>
  <c r="AC1484" i="118"/>
  <c r="AB1485" i="118"/>
  <c r="AC1485" i="118"/>
  <c r="AB1486" i="118"/>
  <c r="AC1486" i="118"/>
  <c r="AB1487" i="118"/>
  <c r="AC1487" i="118"/>
  <c r="AB1489" i="118"/>
  <c r="AC1489" i="118"/>
  <c r="AB1490" i="118"/>
  <c r="AB1491" i="118"/>
  <c r="AB1493" i="118"/>
  <c r="AC1493" i="118"/>
  <c r="AB1494" i="118"/>
  <c r="AC1494" i="118"/>
  <c r="AB1495" i="118"/>
  <c r="AC1495" i="118"/>
  <c r="AB1496" i="118"/>
  <c r="AC1496" i="118"/>
  <c r="AB1497" i="118"/>
  <c r="AC1497" i="118"/>
  <c r="AB1498" i="118"/>
  <c r="AC1498" i="118"/>
  <c r="AB1499" i="118"/>
  <c r="AC1499" i="118"/>
  <c r="AB1500" i="118"/>
  <c r="AC1500" i="118"/>
  <c r="AB1501" i="118"/>
  <c r="AC1501" i="118"/>
  <c r="AB1502" i="118"/>
  <c r="AC1502" i="118"/>
  <c r="AB1503" i="118"/>
  <c r="AC1503" i="118"/>
  <c r="AB1504" i="118"/>
  <c r="AC1504" i="118"/>
  <c r="AB1505" i="118"/>
  <c r="AC1505" i="118"/>
  <c r="AB1506" i="118"/>
  <c r="AC1506" i="118"/>
  <c r="AB1507" i="118"/>
  <c r="AC1507" i="118"/>
  <c r="AB1509" i="118"/>
  <c r="AC1509" i="118"/>
  <c r="AB1510" i="118"/>
  <c r="AC1510" i="118"/>
  <c r="AB1511" i="118"/>
  <c r="AC1511" i="118"/>
  <c r="AB1512" i="118"/>
  <c r="AC1512" i="118"/>
  <c r="AB1513" i="118"/>
  <c r="AC1513" i="118"/>
  <c r="AB1514" i="118"/>
  <c r="AC1514" i="118"/>
  <c r="AB1515" i="118"/>
  <c r="AC1515" i="118"/>
  <c r="AB1516" i="118"/>
  <c r="AC1516" i="118"/>
  <c r="AB1517" i="118"/>
  <c r="AC1517" i="118"/>
  <c r="AB1518" i="118"/>
  <c r="AC1518" i="118"/>
  <c r="AB1519" i="118"/>
  <c r="AC1519" i="118"/>
  <c r="AB1520" i="118"/>
  <c r="AC1520" i="118"/>
  <c r="AB1521" i="118"/>
  <c r="AC1521" i="118"/>
  <c r="AB1523" i="118"/>
  <c r="AC1523" i="118"/>
  <c r="AB1524" i="118"/>
  <c r="AC1524" i="118"/>
  <c r="AB1525" i="118"/>
  <c r="AC1525" i="118"/>
  <c r="AB1527" i="118"/>
  <c r="AC1527" i="118"/>
  <c r="AB1528" i="118"/>
  <c r="AC1528" i="118"/>
  <c r="AB1529" i="118"/>
  <c r="AC1529" i="118"/>
  <c r="AB1530" i="118"/>
  <c r="AC1530" i="118"/>
  <c r="AB1531" i="118"/>
  <c r="AC1531" i="118"/>
  <c r="AB1532" i="118"/>
  <c r="AC1532" i="118"/>
  <c r="AB1533" i="118"/>
  <c r="AC1533" i="118"/>
  <c r="AB1534" i="118"/>
  <c r="AC1534" i="118"/>
  <c r="AB1535" i="118"/>
  <c r="AC1535" i="118"/>
  <c r="AB1536" i="118"/>
  <c r="AC1536" i="118"/>
  <c r="AB1537" i="118"/>
  <c r="AC1537" i="118"/>
  <c r="AB1538" i="118"/>
  <c r="AC1538" i="118"/>
  <c r="AB1539" i="118"/>
  <c r="AC1539" i="118"/>
  <c r="AB1540" i="118"/>
  <c r="AC1540" i="118"/>
  <c r="AB1541" i="118"/>
  <c r="AC1541" i="118"/>
  <c r="AB1542" i="118"/>
  <c r="AC1542" i="118"/>
  <c r="AB1543" i="118"/>
  <c r="AC1543" i="118"/>
  <c r="AB1544" i="118"/>
  <c r="AC1544" i="118"/>
  <c r="AB1545" i="118"/>
  <c r="AC1545" i="118"/>
  <c r="AB1546" i="118"/>
  <c r="AC1546" i="118"/>
  <c r="AB1547" i="118"/>
  <c r="AC1547" i="118"/>
  <c r="AB1549" i="118"/>
  <c r="AC1549" i="118"/>
  <c r="AB1550" i="118"/>
  <c r="AC1550" i="118"/>
  <c r="AB1551" i="118"/>
  <c r="AC1551" i="118"/>
  <c r="AB1552" i="118"/>
  <c r="AC1552" i="118"/>
  <c r="AB1553" i="118"/>
  <c r="AC1553" i="118"/>
  <c r="AB1554" i="118"/>
  <c r="AC1554" i="118"/>
  <c r="AB1555" i="118"/>
  <c r="AC1555" i="118"/>
  <c r="AB1556" i="118"/>
  <c r="AC1556" i="118"/>
  <c r="AB1557" i="118"/>
  <c r="AC1557" i="118"/>
  <c r="AB1558" i="118"/>
  <c r="AC1558" i="118"/>
  <c r="AB1559" i="118"/>
  <c r="AC1559" i="118"/>
  <c r="AB1560" i="118"/>
  <c r="AC1560" i="118"/>
  <c r="AB1561" i="118"/>
  <c r="AC1561" i="118"/>
  <c r="AB1562" i="118"/>
  <c r="AC1562" i="118"/>
  <c r="AB1563" i="118"/>
  <c r="AC1563" i="118"/>
  <c r="AB1564" i="118"/>
  <c r="AC1564" i="118"/>
  <c r="AB1566" i="118"/>
  <c r="AC1566" i="118"/>
  <c r="AB1567" i="118"/>
  <c r="AC1567" i="118"/>
  <c r="AB1568" i="118"/>
  <c r="AB1569" i="118"/>
  <c r="AC1569" i="118"/>
  <c r="AB1570" i="118"/>
  <c r="AC1570" i="118"/>
  <c r="AB1571" i="118"/>
  <c r="AC1571" i="118"/>
  <c r="AB1573" i="118"/>
  <c r="AC1573" i="118"/>
  <c r="AB1574" i="118"/>
  <c r="AB1576" i="118"/>
  <c r="AC1576" i="118"/>
  <c r="AB1577" i="118"/>
  <c r="AC1577" i="118"/>
  <c r="AB1578" i="118"/>
  <c r="AC1578" i="118"/>
  <c r="AB1579" i="118"/>
  <c r="AC1579" i="118"/>
  <c r="AB1580" i="118"/>
  <c r="AC1580" i="118"/>
  <c r="AB1581" i="118"/>
  <c r="AC1581" i="118"/>
  <c r="AB1582" i="118"/>
  <c r="AC1582" i="118"/>
  <c r="AB1583" i="118"/>
  <c r="AC1583" i="118"/>
  <c r="AB1584" i="118"/>
  <c r="AB1585" i="118"/>
  <c r="AC1585" i="118"/>
  <c r="AB1586" i="118"/>
  <c r="AC1586" i="118"/>
  <c r="AB1587" i="118"/>
  <c r="AC1587" i="118"/>
  <c r="AB1588" i="118"/>
  <c r="AC1588" i="118"/>
  <c r="AB1589" i="118"/>
  <c r="AC1589" i="118"/>
  <c r="AB1590" i="118"/>
  <c r="AC1590" i="118"/>
  <c r="AB1591" i="118"/>
  <c r="AC1591" i="118"/>
  <c r="AB1592" i="118"/>
  <c r="AC1592" i="118"/>
  <c r="AB1593" i="118"/>
  <c r="AB1594" i="118"/>
  <c r="AC1594" i="118"/>
  <c r="AB1595" i="118"/>
  <c r="AC1595" i="118"/>
  <c r="AB1596" i="118"/>
  <c r="AC1596" i="118"/>
  <c r="AB1597" i="118"/>
  <c r="AC1597" i="118"/>
  <c r="AB1598" i="118"/>
  <c r="AC1598" i="118"/>
  <c r="AB1599" i="118"/>
  <c r="AC1599" i="118"/>
  <c r="AB1600" i="118"/>
  <c r="AC1600" i="118"/>
  <c r="AB1601" i="118"/>
  <c r="AC1601" i="118"/>
  <c r="AB1602" i="118"/>
  <c r="AC1602" i="118"/>
  <c r="AB1603" i="118"/>
  <c r="AC1603" i="118"/>
  <c r="AB1604" i="118"/>
  <c r="AC1604" i="118"/>
  <c r="AB1605" i="118"/>
  <c r="AC1605" i="118"/>
  <c r="AB1606" i="118"/>
  <c r="AC1606" i="118"/>
  <c r="AB1607" i="118"/>
  <c r="AC1607" i="118"/>
  <c r="AB1608" i="118"/>
  <c r="AC1608" i="118"/>
  <c r="AB1609" i="118"/>
  <c r="AC1609" i="118"/>
  <c r="AB1610" i="118"/>
  <c r="AC1610" i="118"/>
  <c r="AB1611" i="118"/>
  <c r="AC1611" i="118"/>
  <c r="AB1612" i="118"/>
  <c r="AC1612" i="118"/>
  <c r="AB1613" i="118"/>
  <c r="AC1613" i="118"/>
  <c r="AB1614" i="118"/>
  <c r="AC1614" i="118"/>
  <c r="AB1615" i="118"/>
  <c r="AC1615" i="118"/>
  <c r="AB1616" i="118"/>
  <c r="AC1616" i="118"/>
  <c r="AB1617" i="118"/>
  <c r="AC1617" i="118"/>
  <c r="AB1618" i="118"/>
  <c r="AC1618" i="118"/>
  <c r="AB1619" i="118"/>
  <c r="AC1619" i="118"/>
  <c r="AB1620" i="118"/>
  <c r="AC1620" i="118"/>
  <c r="AB1621" i="118"/>
  <c r="AC1621" i="118"/>
  <c r="AB1622" i="118"/>
  <c r="AC1622" i="118"/>
  <c r="AB1623" i="118"/>
  <c r="AC1623" i="118"/>
  <c r="AB1624" i="118"/>
  <c r="AC1624" i="118"/>
  <c r="AB1625" i="118"/>
  <c r="AC1625" i="118"/>
  <c r="AB1626" i="118"/>
  <c r="AC1626" i="118"/>
  <c r="AB1627" i="118"/>
  <c r="AC1627" i="118"/>
  <c r="AB1628" i="118"/>
  <c r="AC1628" i="118"/>
  <c r="AB1629" i="118"/>
  <c r="AC1629" i="118"/>
  <c r="AB1631" i="118"/>
  <c r="AC1631" i="118"/>
  <c r="AB1632" i="118"/>
  <c r="AC1632" i="118"/>
  <c r="AB1633" i="118"/>
  <c r="AC1633" i="118"/>
  <c r="AB1634" i="118"/>
  <c r="AC1634" i="118"/>
  <c r="AB1635" i="118"/>
  <c r="AC1635" i="118"/>
  <c r="AB1636" i="118"/>
  <c r="AC1636" i="118"/>
  <c r="AB1637" i="118"/>
  <c r="AC1637" i="118"/>
  <c r="AB1638" i="118"/>
  <c r="AC1638" i="118"/>
  <c r="AB1639" i="118"/>
  <c r="AC1639" i="118"/>
  <c r="AB1640" i="118"/>
  <c r="AB1641" i="118"/>
  <c r="AC1641" i="118"/>
  <c r="AB1642" i="118"/>
  <c r="AC1642" i="118"/>
  <c r="AB1643" i="118"/>
  <c r="AC1643" i="118"/>
  <c r="AB1645" i="118"/>
  <c r="AB1646" i="118"/>
  <c r="AC1646" i="118"/>
  <c r="AB1647" i="118"/>
  <c r="AC1647" i="118"/>
  <c r="AB1648" i="118"/>
  <c r="AC1648" i="118"/>
  <c r="AB1649" i="118"/>
  <c r="AC1649" i="118"/>
  <c r="AB1650" i="118"/>
  <c r="AC1650" i="118"/>
  <c r="AB1651" i="118"/>
  <c r="AC1651" i="118"/>
  <c r="AB1652" i="118"/>
  <c r="AC1652" i="118"/>
  <c r="AB1653" i="118"/>
  <c r="AC1653" i="118"/>
  <c r="AB1654" i="118"/>
  <c r="AC1654" i="118"/>
  <c r="AB1655" i="118"/>
  <c r="AC1655" i="118"/>
  <c r="AB1657" i="118"/>
  <c r="AC1657" i="118"/>
  <c r="AB1658" i="118"/>
  <c r="AC1658" i="118"/>
  <c r="AB1659" i="118"/>
  <c r="AC1659" i="118"/>
  <c r="AB1660" i="118"/>
  <c r="AC1660" i="118"/>
  <c r="AB1661" i="118"/>
  <c r="AC1661" i="118"/>
  <c r="AB1662" i="118"/>
  <c r="AC1662" i="118"/>
  <c r="AB1663" i="118"/>
  <c r="AC1663" i="118"/>
  <c r="AB1664" i="118"/>
  <c r="AC1664" i="118"/>
  <c r="AB1665" i="118"/>
  <c r="AC1665" i="118"/>
  <c r="AB1666" i="118"/>
  <c r="AC1666" i="118"/>
  <c r="AB1667" i="118"/>
  <c r="AC1667" i="118"/>
  <c r="AB1668" i="118"/>
  <c r="AC1668" i="118"/>
  <c r="AB1669" i="118"/>
  <c r="AC1669" i="118"/>
  <c r="AB1670" i="118"/>
  <c r="AC1670" i="118"/>
  <c r="AB1671" i="118"/>
  <c r="AC1671" i="118"/>
  <c r="AB1672" i="118"/>
  <c r="AC1672" i="118"/>
  <c r="AB1673" i="118"/>
  <c r="AC1673" i="118"/>
  <c r="AB1674" i="118"/>
  <c r="AC1674" i="118"/>
  <c r="AB1675" i="118"/>
  <c r="AC1675" i="118"/>
  <c r="AB1677" i="118"/>
  <c r="AC1677" i="118"/>
  <c r="AB1678" i="118"/>
  <c r="AC1678" i="118"/>
  <c r="AB1679" i="118"/>
  <c r="AC1679" i="118"/>
  <c r="AB1680" i="118"/>
  <c r="AC1680" i="118"/>
  <c r="AB1681" i="118"/>
  <c r="AC1681" i="118"/>
  <c r="AB1682" i="118"/>
  <c r="AC1682" i="118"/>
  <c r="AB1683" i="118"/>
  <c r="AC1683" i="118"/>
  <c r="AB1684" i="118"/>
  <c r="AC1684" i="118"/>
  <c r="AB1685" i="118"/>
  <c r="AC1685" i="118"/>
  <c r="AB1686" i="118"/>
  <c r="AC1686" i="118"/>
  <c r="AB1687" i="118"/>
  <c r="AC1687" i="118"/>
  <c r="AB1688" i="118"/>
  <c r="AC1688" i="118"/>
  <c r="AB1689" i="118"/>
  <c r="AC1689" i="118"/>
  <c r="AB1690" i="118"/>
  <c r="AC1690" i="118"/>
  <c r="AB1691" i="118"/>
  <c r="AC1691" i="118"/>
  <c r="AB1692" i="118"/>
  <c r="AC1692" i="118"/>
  <c r="AB1693" i="118"/>
  <c r="AC1693" i="118"/>
  <c r="AB1694" i="118"/>
  <c r="AC1694" i="118"/>
  <c r="AB1695" i="118"/>
  <c r="AC1695" i="118"/>
  <c r="AB1696" i="118"/>
  <c r="AC1696" i="118"/>
  <c r="AB1697" i="118"/>
  <c r="AC1697" i="118"/>
  <c r="AB1698" i="118"/>
  <c r="AC1698" i="118"/>
  <c r="AB1699" i="118"/>
  <c r="AC1699" i="118"/>
  <c r="AB1700" i="118"/>
  <c r="AC1700" i="118"/>
  <c r="AB1701" i="118"/>
  <c r="AC1701" i="118"/>
  <c r="AB1702" i="118"/>
  <c r="AC1702" i="118"/>
  <c r="AB1703" i="118"/>
  <c r="AC1703" i="118"/>
  <c r="AB1704" i="118"/>
  <c r="AC1704" i="118"/>
  <c r="AB1705" i="118"/>
  <c r="AC1705" i="118"/>
  <c r="AB1706" i="118"/>
  <c r="AC1706" i="118"/>
  <c r="AB1707" i="118"/>
  <c r="AC1707" i="118"/>
  <c r="AB1708" i="118"/>
  <c r="AC1708" i="118"/>
  <c r="AB1709" i="118"/>
  <c r="AC1709" i="118"/>
  <c r="AB1710" i="118"/>
  <c r="AC1710" i="118"/>
  <c r="AB1711" i="118"/>
  <c r="AC1711" i="118"/>
  <c r="AB1712" i="118"/>
  <c r="AC1712" i="118"/>
  <c r="AB1713" i="118"/>
  <c r="AC1713" i="118"/>
  <c r="AB1714" i="118"/>
  <c r="AC1714" i="118"/>
  <c r="AB1715" i="118"/>
  <c r="AC1715" i="118"/>
  <c r="AB1716" i="118"/>
  <c r="AC1716" i="118"/>
  <c r="AB1717" i="118"/>
  <c r="AC1717" i="118"/>
  <c r="AB1718" i="118"/>
  <c r="AC1718" i="118"/>
  <c r="AB1719" i="118"/>
  <c r="AC1719" i="118"/>
  <c r="AB1720" i="118"/>
  <c r="AC1720" i="118"/>
  <c r="AB1721" i="118"/>
  <c r="AC1721" i="118"/>
  <c r="AB1722" i="118"/>
  <c r="AC1722" i="118"/>
  <c r="AB1723" i="118"/>
  <c r="AC1723" i="118"/>
  <c r="AB1724" i="118"/>
  <c r="AC1724" i="118"/>
  <c r="AB1725" i="118"/>
  <c r="AC1725" i="118"/>
  <c r="AB1726" i="118"/>
  <c r="AC1726" i="118"/>
  <c r="AB1727" i="118"/>
  <c r="AC1727" i="118"/>
  <c r="AB1728" i="118"/>
  <c r="AC1728" i="118"/>
  <c r="AB1729" i="118"/>
  <c r="AC1729" i="118"/>
  <c r="AB1730" i="118"/>
  <c r="AC1730" i="118"/>
  <c r="AB1731" i="118"/>
  <c r="AC1731" i="118"/>
  <c r="AB1733" i="118"/>
  <c r="AC1733" i="118"/>
  <c r="AB1734" i="118"/>
  <c r="AC1734" i="118"/>
  <c r="AB1735" i="118"/>
  <c r="AC1735" i="118"/>
  <c r="AB1736" i="118"/>
  <c r="AC1736" i="118"/>
  <c r="AB1737" i="118"/>
  <c r="AC1737" i="118"/>
  <c r="AB1739" i="118"/>
  <c r="AC1739" i="118"/>
  <c r="AB1741" i="118"/>
  <c r="AC1741" i="118"/>
  <c r="AB1742" i="118"/>
  <c r="AB1743" i="118"/>
  <c r="AB1744" i="118"/>
  <c r="AC1744" i="118"/>
  <c r="AB1745" i="118"/>
  <c r="AC1745" i="118"/>
  <c r="AB1746" i="118"/>
  <c r="AC1746" i="118"/>
  <c r="AB1747" i="118"/>
  <c r="AC1747" i="118"/>
  <c r="AB1748" i="118"/>
  <c r="AC1748" i="118"/>
  <c r="AB1749" i="118"/>
  <c r="AC1749" i="118"/>
  <c r="AB1750" i="118"/>
  <c r="AC1750" i="118"/>
  <c r="AB1751" i="118"/>
  <c r="AC1751" i="118"/>
  <c r="AB1752" i="118"/>
  <c r="AC1752" i="118"/>
  <c r="AB1753" i="118"/>
  <c r="AC1753" i="118"/>
  <c r="AB1754" i="118"/>
  <c r="AC1754" i="118"/>
  <c r="AB1755" i="118"/>
  <c r="AC1755" i="118"/>
  <c r="AB1756" i="118"/>
  <c r="AC1756" i="118"/>
  <c r="AB1757" i="118"/>
  <c r="AC1757" i="118"/>
  <c r="AB1758" i="118"/>
  <c r="AC1758" i="118"/>
  <c r="AB1759" i="118"/>
  <c r="AC1759" i="118"/>
  <c r="AB1760" i="118"/>
  <c r="AC1760" i="118"/>
  <c r="AB1761" i="118"/>
  <c r="AC1761" i="118"/>
  <c r="AB1762" i="118"/>
  <c r="AC1762" i="118"/>
  <c r="AB1763" i="118"/>
  <c r="AC1763" i="118"/>
  <c r="AB1764" i="118"/>
  <c r="AC1764" i="118"/>
  <c r="AB1765" i="118"/>
  <c r="AC1765" i="118"/>
  <c r="AB1767" i="118"/>
  <c r="AC1767" i="118"/>
  <c r="AB1768" i="118"/>
  <c r="AC1768" i="118"/>
  <c r="AB1769" i="118"/>
  <c r="AC1769" i="118"/>
  <c r="AB1770" i="118"/>
  <c r="AC1770" i="118"/>
  <c r="AB1771" i="118"/>
  <c r="AC1771" i="118"/>
  <c r="AB1772" i="118"/>
  <c r="AC1772" i="118"/>
  <c r="AB1773" i="118"/>
  <c r="AC1773" i="118"/>
  <c r="AB1777" i="118"/>
  <c r="AC1777" i="118"/>
  <c r="AB1778" i="118"/>
  <c r="AC1778" i="118"/>
  <c r="AB1779" i="118"/>
  <c r="AC1779" i="118"/>
  <c r="AB1780" i="118"/>
  <c r="AC1780" i="118"/>
  <c r="AB1781" i="118"/>
  <c r="AC1781" i="118"/>
  <c r="AB1782" i="118"/>
  <c r="AC1782" i="118"/>
  <c r="AB1785" i="118"/>
  <c r="AB1786" i="118"/>
  <c r="AC1786" i="118"/>
  <c r="AB1787" i="118"/>
  <c r="AC1787" i="118"/>
  <c r="AB1788" i="118"/>
  <c r="AC1788" i="118"/>
  <c r="AB1789" i="118"/>
  <c r="AC1789" i="118"/>
  <c r="AB1790" i="118"/>
  <c r="AC1790" i="118"/>
  <c r="AB1791" i="118"/>
  <c r="AC1791" i="118"/>
  <c r="AB1792" i="118"/>
  <c r="AC1792" i="118"/>
  <c r="AB1793" i="118"/>
  <c r="AC1793" i="118"/>
  <c r="AB1794" i="118"/>
  <c r="AC1794" i="118"/>
  <c r="AB1795" i="118"/>
  <c r="AB1796" i="118"/>
  <c r="AC1796" i="118"/>
  <c r="AB1797" i="118"/>
  <c r="AC1797" i="118"/>
  <c r="AB1798" i="118"/>
  <c r="AC1798" i="118"/>
  <c r="AB1799" i="118"/>
  <c r="AC1799" i="118"/>
  <c r="AB1800" i="118"/>
  <c r="AC1800" i="118"/>
  <c r="AB1801" i="118"/>
  <c r="AC1801" i="118"/>
  <c r="AB1803" i="118"/>
  <c r="AC1803" i="118"/>
  <c r="AB1804" i="118"/>
  <c r="AC1804" i="118"/>
  <c r="AB1805" i="118"/>
  <c r="AC1805" i="118"/>
  <c r="AB1806" i="118"/>
  <c r="AC1806" i="118"/>
  <c r="AB1807" i="118"/>
  <c r="AC1807" i="118"/>
  <c r="AB1808" i="118"/>
  <c r="AC1808" i="118"/>
  <c r="AB1809" i="118"/>
  <c r="AC1809" i="118"/>
  <c r="AB1810" i="118"/>
  <c r="AC1810" i="118"/>
  <c r="AB1811" i="118"/>
  <c r="AC1811" i="118"/>
  <c r="AB1812" i="118"/>
  <c r="AC1812" i="118"/>
  <c r="AB1813" i="118"/>
  <c r="AC1813" i="118"/>
  <c r="AB1814" i="118"/>
  <c r="AC1814" i="118"/>
  <c r="AB1815" i="118"/>
  <c r="AC1815" i="118"/>
  <c r="AB1816" i="118"/>
  <c r="AC1816" i="118"/>
  <c r="AB1817" i="118"/>
  <c r="AC1817" i="118"/>
  <c r="AB1819" i="118"/>
  <c r="AB1820" i="118"/>
  <c r="AC1820" i="118"/>
  <c r="AB1821" i="118"/>
  <c r="AC1821" i="118"/>
  <c r="AB1822" i="118"/>
  <c r="AC1822" i="118"/>
  <c r="AB1823" i="118"/>
  <c r="AC1823" i="118"/>
  <c r="AB1825" i="118"/>
  <c r="AC1825" i="118"/>
  <c r="AB1828" i="118"/>
  <c r="AC1828" i="118"/>
  <c r="AB1829" i="118"/>
  <c r="AC1829" i="118"/>
  <c r="AB1830" i="118"/>
  <c r="AC1830" i="118"/>
  <c r="AB1831" i="118"/>
  <c r="AC1831" i="118"/>
  <c r="AB1832" i="118"/>
  <c r="AB1833" i="118"/>
  <c r="AC1833" i="118"/>
  <c r="AB1834" i="118"/>
  <c r="AC1834" i="118"/>
  <c r="AB1835" i="118"/>
  <c r="AB1836" i="118"/>
  <c r="AC1836" i="118"/>
  <c r="AB1837" i="118"/>
  <c r="AC1837" i="118"/>
  <c r="AB1838" i="118"/>
  <c r="AC1838" i="118"/>
  <c r="AB1839" i="118"/>
  <c r="AC1839" i="118"/>
  <c r="AB1840" i="118"/>
  <c r="AC1840" i="118"/>
  <c r="AB1841" i="118"/>
  <c r="AC1841" i="118"/>
  <c r="AB1842" i="118"/>
  <c r="AC1842" i="118"/>
  <c r="AB1843" i="118"/>
  <c r="AC1843" i="118"/>
  <c r="AB1844" i="118"/>
  <c r="AC1844" i="118"/>
  <c r="AB1845" i="118"/>
  <c r="AC1845" i="118"/>
  <c r="AB1846" i="118"/>
  <c r="AC1846" i="118"/>
  <c r="AB1847" i="118"/>
  <c r="AC1847" i="118"/>
  <c r="AB1848" i="118"/>
  <c r="AC1848" i="118"/>
  <c r="AB1849" i="118"/>
  <c r="AC1849" i="118"/>
  <c r="AB1850" i="118"/>
  <c r="AC1850" i="118"/>
  <c r="AB1851" i="118"/>
  <c r="AC1851" i="118"/>
  <c r="AB1852" i="118"/>
  <c r="AC1852" i="118"/>
  <c r="AB1853" i="118"/>
  <c r="AC1853" i="118"/>
  <c r="AB1854" i="118"/>
  <c r="AC1854" i="118"/>
  <c r="AB1855" i="118"/>
  <c r="AC1855" i="118"/>
  <c r="AB1856" i="118"/>
  <c r="AB1857" i="118"/>
  <c r="AC1857" i="118"/>
  <c r="AB1858" i="118"/>
  <c r="AC1858" i="118"/>
  <c r="AB1859" i="118"/>
  <c r="AC1859" i="118"/>
  <c r="AB1860" i="118"/>
  <c r="AB1861" i="118"/>
  <c r="AC1861" i="118"/>
  <c r="AB1862" i="118"/>
  <c r="AC1862" i="118"/>
  <c r="AB1863" i="118"/>
  <c r="AC1863" i="118"/>
  <c r="AB1864" i="118"/>
  <c r="AC1864" i="118"/>
  <c r="AB1866" i="118"/>
  <c r="AC1866" i="118"/>
  <c r="AB1867" i="118"/>
  <c r="AC1867" i="118"/>
  <c r="AB1868" i="118"/>
  <c r="AC1868" i="118"/>
  <c r="AB1869" i="118"/>
  <c r="AC1869" i="118"/>
  <c r="AB1870" i="118"/>
  <c r="AC1870" i="118"/>
  <c r="AB1871" i="118"/>
  <c r="AC1871" i="118"/>
  <c r="AB1872" i="118"/>
  <c r="AC1872" i="118"/>
  <c r="AB1873" i="118"/>
  <c r="AC1873" i="118"/>
  <c r="AB1874" i="118"/>
  <c r="AC1874" i="118"/>
  <c r="AB1875" i="118"/>
  <c r="AB1876" i="118"/>
  <c r="AC1876" i="118"/>
  <c r="AB1877" i="118"/>
  <c r="AC1877" i="118"/>
  <c r="AB1878" i="118"/>
  <c r="AB1879" i="118"/>
  <c r="AC1879" i="118"/>
  <c r="AB1880" i="118"/>
  <c r="AC1880" i="118"/>
  <c r="AB1881" i="118"/>
  <c r="AC1881" i="118"/>
  <c r="AB1882" i="118"/>
  <c r="AC1882" i="118"/>
  <c r="AB1883" i="118"/>
  <c r="AC1883" i="118"/>
  <c r="AB1884" i="118"/>
  <c r="AC1884" i="118"/>
  <c r="AB1885" i="118"/>
  <c r="AC1885" i="118"/>
  <c r="AB1886" i="118"/>
  <c r="AC1886" i="118"/>
  <c r="AB1887" i="118"/>
  <c r="AC1887" i="118"/>
  <c r="AB1888" i="118"/>
  <c r="AC1888" i="118"/>
  <c r="AB1889" i="118"/>
  <c r="AC1889" i="118"/>
  <c r="AB1890" i="118"/>
  <c r="AC1890" i="118"/>
  <c r="AB1891" i="118"/>
  <c r="AC1891" i="118"/>
  <c r="AB1892" i="118"/>
  <c r="AC1892" i="118"/>
  <c r="AB1894" i="118"/>
  <c r="AC1894" i="118"/>
  <c r="AB1895" i="118"/>
  <c r="AC1895" i="118"/>
  <c r="AB1896" i="118"/>
  <c r="AC1896" i="118"/>
  <c r="AB1897" i="118"/>
  <c r="AC1897" i="118"/>
  <c r="AB1898" i="118"/>
  <c r="AC1898" i="118"/>
  <c r="AB1899" i="118"/>
  <c r="AC1899" i="118"/>
  <c r="AB1900" i="118"/>
  <c r="AC1900" i="118"/>
  <c r="AB1901" i="118"/>
  <c r="AC1901" i="118"/>
  <c r="AB1902" i="118"/>
  <c r="AC1902" i="118"/>
  <c r="AB1903" i="118"/>
  <c r="AC1903" i="118"/>
  <c r="AB1904" i="118"/>
  <c r="AC1904" i="118"/>
  <c r="AB1906" i="118"/>
  <c r="AC1906" i="118"/>
  <c r="AB1907" i="118"/>
  <c r="AC1907" i="118"/>
  <c r="AB1908" i="118"/>
  <c r="AC1908" i="118"/>
  <c r="AB1909" i="118"/>
  <c r="AC1909" i="118"/>
  <c r="AB1910" i="118"/>
  <c r="AC1910" i="118"/>
  <c r="AB1911" i="118"/>
  <c r="AB1912" i="118"/>
  <c r="AC1912" i="118"/>
  <c r="AB1913" i="118"/>
  <c r="AC1913" i="118"/>
  <c r="AB1914" i="118"/>
  <c r="AC1914" i="118"/>
  <c r="AB1915" i="118"/>
  <c r="AC1915" i="118"/>
  <c r="AB1916" i="118"/>
  <c r="AC1916" i="118"/>
  <c r="AB1917" i="118"/>
  <c r="AC1917" i="118"/>
  <c r="AB1918" i="118"/>
  <c r="AC1918" i="118"/>
  <c r="AB1919" i="118"/>
  <c r="AC1919" i="118"/>
  <c r="AB1920" i="118"/>
  <c r="AB1921" i="118"/>
  <c r="AC1921" i="118"/>
  <c r="AB1922" i="118"/>
  <c r="AC1922" i="118"/>
  <c r="AB1923" i="118"/>
  <c r="AC1923" i="118"/>
  <c r="AB1924" i="118"/>
  <c r="AC1924" i="118"/>
  <c r="AB1925" i="118"/>
  <c r="AC1925" i="118"/>
  <c r="AB1926" i="118"/>
  <c r="AC1926" i="118"/>
  <c r="AB1927" i="118"/>
  <c r="AC1927" i="118"/>
  <c r="AB1928" i="118"/>
  <c r="AC1928" i="118"/>
  <c r="AB1929" i="118"/>
  <c r="AC1929" i="118"/>
  <c r="AB1930" i="118"/>
  <c r="AC1930" i="118"/>
  <c r="AB1931" i="118"/>
  <c r="AC1931" i="118"/>
  <c r="AB1932" i="118"/>
  <c r="AC1932" i="118"/>
  <c r="AB1933" i="118"/>
  <c r="AC1933" i="118"/>
  <c r="AB1934" i="118"/>
  <c r="AC1934" i="118"/>
  <c r="AB1935" i="118"/>
  <c r="AC1935" i="118"/>
  <c r="AB1936" i="118"/>
  <c r="AC1936" i="118"/>
  <c r="AB1937" i="118"/>
  <c r="AC1937" i="118"/>
  <c r="AB1938" i="118"/>
  <c r="AC1938" i="118"/>
  <c r="AB1939" i="118"/>
  <c r="AC1939" i="118"/>
  <c r="AB1940" i="118"/>
  <c r="AC1940" i="118"/>
  <c r="AB1941" i="118"/>
  <c r="AC1941" i="118"/>
  <c r="AB1942" i="118"/>
  <c r="AC1942" i="118"/>
  <c r="AB1943" i="118"/>
  <c r="AC1943" i="118"/>
  <c r="AB1944" i="118"/>
  <c r="AC1944" i="118"/>
  <c r="AB1945" i="118"/>
  <c r="AC1945" i="118"/>
  <c r="AB1946" i="118"/>
  <c r="AC1946" i="118"/>
  <c r="AB1947" i="118"/>
  <c r="AC1947" i="118"/>
  <c r="AB1948" i="118"/>
  <c r="AC1948" i="118"/>
  <c r="AB1949" i="118"/>
  <c r="AC1949" i="118"/>
  <c r="AB1950" i="118"/>
  <c r="AC1950" i="118"/>
  <c r="AB1951" i="118"/>
  <c r="AC1951" i="118"/>
  <c r="AB1952" i="118"/>
  <c r="AC1952" i="118"/>
  <c r="AB1953" i="118"/>
  <c r="AC1953" i="118"/>
  <c r="AB1954" i="118"/>
  <c r="AB1955" i="118"/>
  <c r="AC1955" i="118"/>
  <c r="AB1956" i="118"/>
  <c r="AC1956" i="118"/>
  <c r="AB1957" i="118"/>
  <c r="AC1957" i="118"/>
  <c r="AB1958" i="118"/>
  <c r="AC1958" i="118"/>
  <c r="AB1959" i="118"/>
  <c r="AB1960" i="118"/>
  <c r="AC1960" i="118"/>
  <c r="AB1961" i="118"/>
  <c r="AC1961" i="118"/>
  <c r="AB1962" i="118"/>
  <c r="AC1962" i="118"/>
  <c r="AB1964" i="118"/>
  <c r="AC1964" i="118"/>
  <c r="AB1965" i="118"/>
  <c r="AC1965" i="118"/>
  <c r="AB1967" i="118"/>
  <c r="AC1967" i="118"/>
  <c r="AB1969" i="118"/>
  <c r="AC1969" i="118"/>
  <c r="AB1970" i="118"/>
  <c r="AC1970" i="118"/>
  <c r="AB1971" i="118"/>
  <c r="AC1971" i="118"/>
  <c r="AB1972" i="118"/>
  <c r="AC1972" i="118"/>
  <c r="AB1973" i="118"/>
  <c r="AC1973" i="118"/>
  <c r="AB1974" i="118"/>
  <c r="AB1975" i="118"/>
  <c r="AB1976" i="118"/>
  <c r="AC1976" i="118"/>
  <c r="AB1977" i="118"/>
  <c r="AC1977" i="118"/>
  <c r="AB1978" i="118"/>
  <c r="AC1978" i="118"/>
  <c r="AB1979" i="118"/>
  <c r="AC1979" i="118"/>
  <c r="AB1980" i="118"/>
  <c r="AC1980" i="118"/>
  <c r="AB1981" i="118"/>
  <c r="AC1981" i="118"/>
  <c r="AB1982" i="118"/>
  <c r="AC1982" i="118"/>
  <c r="AB1983" i="118"/>
  <c r="AC1983" i="118"/>
  <c r="AB1984" i="118"/>
  <c r="AC1984" i="118"/>
  <c r="AB1985" i="118"/>
  <c r="AC1985" i="118"/>
  <c r="AB1986" i="118"/>
  <c r="AC1986" i="118"/>
  <c r="AB1987" i="118"/>
  <c r="AC1987" i="118"/>
  <c r="BG1987" i="118" s="1"/>
  <c r="AB1988" i="118"/>
  <c r="AC1988" i="118"/>
  <c r="BG1988" i="118" s="1"/>
  <c r="AB1989" i="118"/>
  <c r="AC1989" i="118"/>
  <c r="BG1989" i="118" s="1"/>
  <c r="AB1990" i="118"/>
  <c r="AC1990" i="118"/>
  <c r="BG1990" i="118" s="1"/>
  <c r="AB1991" i="118"/>
  <c r="AC1991" i="118"/>
  <c r="AB1992" i="118"/>
  <c r="AC1992" i="118"/>
  <c r="AB1993" i="118"/>
  <c r="AC1993" i="118"/>
  <c r="AB1994" i="118"/>
  <c r="AC1994" i="118"/>
  <c r="AB1995" i="118"/>
  <c r="AC1995" i="118"/>
  <c r="AB1996" i="118"/>
  <c r="AC1996" i="118"/>
  <c r="AB1997" i="118"/>
  <c r="AC1997" i="118"/>
  <c r="AB1998" i="118"/>
  <c r="AC1998" i="118"/>
  <c r="AB1999" i="118"/>
  <c r="AC1999" i="118"/>
  <c r="AB2000" i="118"/>
  <c r="AC2000" i="118"/>
  <c r="BG2000" i="118" s="1"/>
  <c r="AB2001" i="118"/>
  <c r="AC2001" i="118"/>
  <c r="BG2001" i="118" s="1"/>
  <c r="AB2002" i="118"/>
  <c r="AC2002" i="118"/>
  <c r="BG2002" i="118" s="1"/>
  <c r="AB2003" i="118"/>
  <c r="AC2003" i="118"/>
  <c r="BG2003" i="118" s="1"/>
  <c r="AB2004" i="118"/>
  <c r="AC2004" i="118"/>
  <c r="AB2005" i="118"/>
  <c r="AC2005" i="118"/>
  <c r="AB2006" i="118"/>
  <c r="AC2006" i="118"/>
  <c r="AB2007" i="118"/>
  <c r="AC2007" i="118"/>
  <c r="BG2007" i="118" s="1"/>
  <c r="AB2008" i="118"/>
  <c r="AC2008" i="118"/>
  <c r="AB2009" i="118"/>
  <c r="AC2009" i="118"/>
  <c r="AB2010" i="118"/>
  <c r="AC2010" i="118"/>
  <c r="AB2011" i="118"/>
  <c r="AC2011" i="118"/>
  <c r="AB2012" i="118"/>
  <c r="AC2012" i="118"/>
  <c r="BG2012" i="118" s="1"/>
  <c r="AB2013" i="118"/>
  <c r="AC2013" i="118"/>
  <c r="BG2013" i="118" s="1"/>
  <c r="AB2014" i="118"/>
  <c r="AC2014" i="118"/>
  <c r="BG2014" i="118" s="1"/>
  <c r="AB2015" i="118"/>
  <c r="AC2015" i="118"/>
  <c r="BG2015" i="118" s="1"/>
  <c r="AB2016" i="118"/>
  <c r="AC2016" i="118"/>
  <c r="BG2016" i="118" s="1"/>
  <c r="AB2017" i="118"/>
  <c r="BF2017" i="118" s="1"/>
  <c r="AC2017" i="118"/>
  <c r="BG2017" i="118" s="1"/>
  <c r="AB2018" i="118"/>
  <c r="BF2018" i="118" s="1"/>
  <c r="AC2018" i="118"/>
  <c r="BG2018" i="118" s="1"/>
  <c r="AB2019" i="118"/>
  <c r="BF2019" i="118" s="1"/>
  <c r="AC2019" i="118"/>
  <c r="BG2019" i="118" s="1"/>
  <c r="AB2020" i="118"/>
  <c r="BF2020" i="118" s="1"/>
  <c r="AC2020" i="118"/>
  <c r="BG2020" i="118" s="1"/>
  <c r="AB2021" i="118"/>
  <c r="BF2021" i="118" s="1"/>
  <c r="AC2021" i="118"/>
  <c r="BG2021" i="118" s="1"/>
  <c r="AB2022" i="118"/>
  <c r="BF2022" i="118" s="1"/>
  <c r="AC2022" i="118"/>
  <c r="BG2022" i="118" s="1"/>
  <c r="AB2023" i="118"/>
  <c r="BF2023" i="118" s="1"/>
  <c r="AC2023" i="118"/>
  <c r="BG2023" i="118" s="1"/>
  <c r="AB2024" i="118"/>
  <c r="BF2024" i="118" s="1"/>
  <c r="AC2024" i="118"/>
  <c r="BG2024" i="118" s="1"/>
  <c r="AB2025" i="118"/>
  <c r="BF2025" i="118" s="1"/>
  <c r="AC2025" i="118"/>
  <c r="BG2025" i="118" s="1"/>
  <c r="AB2026" i="118"/>
  <c r="BF2026" i="118" s="1"/>
  <c r="AC2026" i="118"/>
  <c r="BG2026" i="118" s="1"/>
  <c r="AB2027" i="118"/>
  <c r="BF2027" i="118" s="1"/>
  <c r="AC2027" i="118"/>
  <c r="BG2027" i="118" s="1"/>
  <c r="AB2028" i="118"/>
  <c r="BF2028" i="118" s="1"/>
  <c r="AC2028" i="118"/>
  <c r="BG2028" i="118" s="1"/>
  <c r="AB2030" i="118"/>
  <c r="AC2030" i="118"/>
  <c r="AB2031" i="118"/>
  <c r="AC2031" i="118"/>
  <c r="AB2032" i="118"/>
  <c r="AC2032" i="118"/>
  <c r="AB2033" i="118"/>
  <c r="AC2033" i="118"/>
  <c r="AB2034" i="118"/>
  <c r="AC2034" i="118"/>
  <c r="AB2035" i="118"/>
  <c r="AC2035" i="118"/>
  <c r="AB2036" i="118"/>
  <c r="AC2036" i="118"/>
  <c r="AB2037" i="118"/>
  <c r="AC2037" i="118"/>
  <c r="AB2038" i="118"/>
  <c r="AC2038" i="118"/>
  <c r="AB2039" i="118"/>
  <c r="AC2039" i="118"/>
  <c r="AB2040" i="118"/>
  <c r="AC2040" i="118"/>
  <c r="AB2041" i="118"/>
  <c r="AC2041" i="118"/>
  <c r="AB2042" i="118"/>
  <c r="AC2042" i="118"/>
  <c r="AB2043" i="118"/>
  <c r="AC2043" i="118"/>
  <c r="AB2044" i="118"/>
  <c r="AC2044" i="118"/>
  <c r="AB2045" i="118"/>
  <c r="AC2045" i="118"/>
  <c r="AB2046" i="118"/>
  <c r="AC2046" i="118"/>
  <c r="AB2047" i="118"/>
  <c r="AC2047" i="118"/>
  <c r="AB2048" i="118"/>
  <c r="AC2048" i="118"/>
  <c r="AB2049" i="118"/>
  <c r="AC2049" i="118"/>
  <c r="AB2050" i="118"/>
  <c r="AC2050" i="118"/>
  <c r="AB2051" i="118"/>
  <c r="AC2051" i="118"/>
  <c r="AB2052" i="118"/>
  <c r="AC2052" i="118"/>
  <c r="AB2053" i="118"/>
  <c r="AC2053" i="118"/>
  <c r="AB2054" i="118"/>
  <c r="AC2054" i="118"/>
  <c r="AB2055" i="118"/>
  <c r="AC2055" i="118"/>
  <c r="AB2056" i="118"/>
  <c r="AC2056" i="118"/>
  <c r="AB2057" i="118"/>
  <c r="AC2057" i="118"/>
  <c r="AB2058" i="118"/>
  <c r="AC2058" i="118"/>
  <c r="AB2059" i="118"/>
  <c r="AC2059" i="118"/>
  <c r="AB2060" i="118"/>
  <c r="AC2060" i="118"/>
  <c r="AB2061" i="118"/>
  <c r="AC2061" i="118"/>
  <c r="AB2062" i="118"/>
  <c r="AC2062" i="118"/>
  <c r="AB2063" i="118"/>
  <c r="AC2063" i="118"/>
  <c r="AB2064" i="118"/>
  <c r="AC2064" i="118"/>
  <c r="AB2065" i="118"/>
  <c r="AC2065" i="118"/>
  <c r="AB2066" i="118"/>
  <c r="AC2066" i="118"/>
  <c r="AB2067" i="118"/>
  <c r="AC2067" i="118"/>
  <c r="AB2068" i="118"/>
  <c r="AC2068" i="118"/>
  <c r="AB2069" i="118"/>
  <c r="AC2069" i="118"/>
  <c r="AB2070" i="118"/>
  <c r="AC2070" i="118"/>
  <c r="AB2071" i="118"/>
  <c r="AC2071" i="118"/>
  <c r="AB2072" i="118"/>
  <c r="AC2072" i="118"/>
  <c r="AB2073" i="118"/>
  <c r="AC2073" i="118"/>
  <c r="AB2074" i="118"/>
  <c r="AC2074" i="118"/>
  <c r="AB2075" i="118"/>
  <c r="AC2075" i="118"/>
  <c r="AB2076" i="118"/>
  <c r="AC2076" i="118"/>
  <c r="AB2077" i="118"/>
  <c r="AC2077" i="118"/>
  <c r="AB2078" i="118"/>
  <c r="AC2078" i="118"/>
  <c r="AB2079" i="118"/>
  <c r="AC2079" i="118"/>
  <c r="AB2080" i="118"/>
  <c r="AC2080" i="118"/>
  <c r="AB2081" i="118"/>
  <c r="AC2081" i="118"/>
  <c r="AB2082" i="118"/>
  <c r="AC2082" i="118"/>
  <c r="AB2084" i="118"/>
  <c r="AC2084" i="118"/>
  <c r="AB2085" i="118"/>
  <c r="AC2085" i="118"/>
  <c r="AB2086" i="118"/>
  <c r="AC2086" i="118"/>
  <c r="AB2087" i="118"/>
  <c r="AC2087" i="118"/>
  <c r="AB2088" i="118"/>
  <c r="AC2088" i="118"/>
  <c r="AB2089" i="118"/>
  <c r="AC2089" i="118"/>
  <c r="AB2091" i="118"/>
  <c r="AB2092" i="118"/>
  <c r="AC2092" i="118"/>
  <c r="AB2093" i="118"/>
  <c r="AC2093" i="118"/>
  <c r="AB2094" i="118"/>
  <c r="AC2094" i="118"/>
  <c r="AB2095" i="118"/>
  <c r="AC2095" i="118"/>
  <c r="AB2096" i="118"/>
  <c r="AC2096" i="118"/>
  <c r="AB2097" i="118"/>
  <c r="AC2097" i="118"/>
  <c r="AB2098" i="118"/>
  <c r="AC2098" i="118"/>
  <c r="AB2099" i="118"/>
  <c r="AC2099" i="118"/>
  <c r="AB2100" i="118"/>
  <c r="AC2100" i="118"/>
  <c r="AB2101" i="118"/>
  <c r="AC2101" i="118"/>
  <c r="AB2102" i="118"/>
  <c r="AC2102" i="118"/>
  <c r="AB2103" i="118"/>
  <c r="AC2103" i="118"/>
  <c r="AB2104" i="118"/>
  <c r="AC2104" i="118"/>
  <c r="AB2105" i="118"/>
  <c r="AC2105" i="118"/>
  <c r="AB2106" i="118"/>
  <c r="AC2106" i="118"/>
  <c r="AB2107" i="118"/>
  <c r="AC2107" i="118"/>
  <c r="AB2108" i="118"/>
  <c r="AC2108" i="118"/>
  <c r="AB2109" i="118"/>
  <c r="AC2109" i="118"/>
  <c r="AB2110" i="118"/>
  <c r="AC2110" i="118"/>
  <c r="AB2111" i="118"/>
  <c r="AC2111" i="118"/>
  <c r="AB2112" i="118"/>
  <c r="AC2112" i="118"/>
  <c r="AB2113" i="118"/>
  <c r="AC2113" i="118"/>
  <c r="AB2114" i="118"/>
  <c r="AC2114" i="118"/>
  <c r="AB2115" i="118"/>
  <c r="AC2115" i="118"/>
  <c r="AB2116" i="118"/>
  <c r="AC2116" i="118"/>
  <c r="AB2117" i="118"/>
  <c r="AC2117" i="118"/>
  <c r="AB2118" i="118"/>
  <c r="AC2118" i="118"/>
  <c r="AB2119" i="118"/>
  <c r="AC2119" i="118"/>
  <c r="AB2120" i="118"/>
  <c r="AC2120" i="118"/>
  <c r="AB2121" i="118"/>
  <c r="AC2121" i="118"/>
  <c r="AB2122" i="118"/>
  <c r="AC2122" i="118"/>
  <c r="AB2123" i="118"/>
  <c r="AC2123" i="118"/>
  <c r="AB2124" i="118"/>
  <c r="AC2124" i="118"/>
  <c r="AB2125" i="118"/>
  <c r="AC2125" i="118"/>
  <c r="AB2126" i="118"/>
  <c r="AC2126" i="118"/>
  <c r="AB2128" i="118"/>
  <c r="AB2129" i="118"/>
  <c r="AB2130" i="118"/>
  <c r="AC2130" i="118"/>
  <c r="AB2131" i="118"/>
  <c r="AB2132" i="118"/>
  <c r="AC2132" i="118"/>
  <c r="AB2133" i="118"/>
  <c r="AC2133" i="118"/>
  <c r="AB2134" i="118"/>
  <c r="AC2134" i="118"/>
  <c r="AB2135" i="118"/>
  <c r="AB2136" i="118"/>
  <c r="AC2136" i="118"/>
  <c r="AB2137" i="118"/>
  <c r="AC2137" i="118"/>
  <c r="AB2138" i="118"/>
  <c r="AC2138" i="118"/>
  <c r="AB2139" i="118"/>
  <c r="AC2139" i="118"/>
  <c r="AB2140" i="118"/>
  <c r="AC2140" i="118"/>
  <c r="AB2142" i="118"/>
  <c r="AC2142" i="118"/>
  <c r="AB2144" i="118"/>
  <c r="AC2144" i="118"/>
  <c r="AB2145" i="118"/>
  <c r="AC2145" i="118"/>
  <c r="AB2146" i="118"/>
  <c r="AC2146" i="118"/>
  <c r="AB2147" i="118"/>
  <c r="AC2147" i="118"/>
  <c r="AB2148" i="118"/>
  <c r="AC2148" i="118"/>
  <c r="AB2149" i="118"/>
  <c r="AC2149" i="118"/>
  <c r="AB2150" i="118"/>
  <c r="AC2150" i="118"/>
  <c r="AB2151" i="118"/>
  <c r="AC2151" i="118"/>
  <c r="AB2152" i="118"/>
  <c r="AC2152" i="118"/>
  <c r="AB2153" i="118"/>
  <c r="AC2153" i="118"/>
  <c r="AB2154" i="118"/>
  <c r="AC2154" i="118"/>
  <c r="AB2155" i="118"/>
  <c r="AC2155" i="118"/>
  <c r="AB2156" i="118"/>
  <c r="AC2156" i="118"/>
  <c r="AB2157" i="118"/>
  <c r="AC2157" i="118"/>
  <c r="AB2158" i="118"/>
  <c r="AC2158" i="118"/>
  <c r="AB2159" i="118"/>
  <c r="AC2159" i="118"/>
  <c r="AB2160" i="118"/>
  <c r="AB2164" i="118"/>
  <c r="AC2164" i="118"/>
  <c r="AB2162" i="118"/>
  <c r="AC2162" i="118"/>
  <c r="AB2163" i="118"/>
  <c r="AC2163" i="118"/>
  <c r="AB2165" i="118"/>
  <c r="AC2165" i="118"/>
  <c r="AB2166" i="118"/>
  <c r="AC2166" i="118"/>
  <c r="AB2167" i="118"/>
  <c r="AC2167" i="118"/>
  <c r="AB2168" i="118"/>
  <c r="AB2169" i="118"/>
  <c r="AC2169" i="118"/>
  <c r="AB2170" i="118"/>
  <c r="AC2170" i="118"/>
  <c r="AB2171" i="118"/>
  <c r="AC2171" i="118"/>
  <c r="AB2172" i="118"/>
  <c r="AC2172" i="118"/>
  <c r="AB2173" i="118"/>
  <c r="AC2173" i="118"/>
  <c r="AB2174" i="118"/>
  <c r="AC2174" i="118"/>
  <c r="AB2175" i="118"/>
  <c r="AC2175" i="118"/>
  <c r="AB2176" i="118"/>
  <c r="AC2176" i="118"/>
  <c r="AB2177" i="118"/>
  <c r="AC2177" i="118"/>
  <c r="AB2178" i="118"/>
  <c r="AC2178" i="118"/>
  <c r="AB2179" i="118"/>
  <c r="AC2179" i="118"/>
  <c r="AB2180" i="118"/>
  <c r="AC2180" i="118"/>
  <c r="AB2181" i="118"/>
  <c r="AC2181" i="118"/>
  <c r="AB2182" i="118"/>
  <c r="AC2182" i="118"/>
  <c r="AB2183" i="118"/>
  <c r="AC2183" i="118"/>
  <c r="AB2184" i="118"/>
  <c r="AC2184" i="118"/>
  <c r="AB2185" i="118"/>
  <c r="AC2185" i="118"/>
  <c r="AB2186" i="118"/>
  <c r="AC2186" i="118"/>
  <c r="AB2187" i="118"/>
  <c r="AC2187" i="118"/>
  <c r="AB2188" i="118"/>
  <c r="AC2188" i="118"/>
  <c r="AB2189" i="118"/>
  <c r="AC2189" i="118"/>
  <c r="AB2190" i="118"/>
  <c r="AC2190" i="118"/>
  <c r="AB2191" i="118"/>
  <c r="AC2191" i="118"/>
  <c r="AB2192" i="118"/>
  <c r="AC2192" i="118"/>
  <c r="AB2193" i="118"/>
  <c r="AC2193" i="118"/>
  <c r="AB2194" i="118"/>
  <c r="AC2194" i="118"/>
  <c r="AB2195" i="118"/>
  <c r="AC2195" i="118"/>
  <c r="AB2196" i="118"/>
  <c r="AC2196" i="118"/>
  <c r="AB2197" i="118"/>
  <c r="AC2197" i="118"/>
  <c r="AB2198" i="118"/>
  <c r="AC2198" i="118"/>
  <c r="AB2199" i="118"/>
  <c r="AC2199" i="118"/>
  <c r="AB2200" i="118"/>
  <c r="AC2200" i="118"/>
  <c r="AB2201" i="118"/>
  <c r="AC2201" i="118"/>
  <c r="AB2202" i="118"/>
  <c r="AC2202" i="118"/>
  <c r="AB2203" i="118"/>
  <c r="AC2203" i="118"/>
  <c r="AB2205" i="118"/>
  <c r="AC2205" i="118"/>
  <c r="AB2206" i="118"/>
  <c r="AC2206" i="118"/>
  <c r="AB2207" i="118"/>
  <c r="AC2207" i="118"/>
  <c r="AB2208" i="118"/>
  <c r="AC2208" i="118"/>
  <c r="AB2209" i="118"/>
  <c r="AC2209" i="118"/>
  <c r="AB2211" i="118"/>
  <c r="AC2211" i="118"/>
  <c r="AB2212" i="118"/>
  <c r="AC2212" i="118"/>
  <c r="AB2213" i="118"/>
  <c r="AC2213" i="118"/>
  <c r="AB2214" i="118"/>
  <c r="AC2214" i="118"/>
  <c r="AB2215" i="118"/>
  <c r="AC2215" i="118"/>
  <c r="AB2216" i="118"/>
  <c r="AC2216" i="118"/>
  <c r="AB2218" i="118"/>
  <c r="AC2218" i="118"/>
  <c r="AB2221" i="118"/>
  <c r="AC2221" i="118"/>
  <c r="AB2222" i="118"/>
  <c r="AC2222" i="118"/>
  <c r="AB2224" i="118"/>
  <c r="AC2224" i="118"/>
  <c r="AB2225" i="118"/>
  <c r="AC2225" i="118"/>
  <c r="AB2229" i="118"/>
  <c r="AC2229" i="118"/>
  <c r="AB2230" i="118"/>
  <c r="AC2230" i="118"/>
  <c r="AB2231" i="118"/>
  <c r="AC2231" i="118"/>
  <c r="AB2232" i="118"/>
  <c r="AC2232" i="118"/>
  <c r="AB2234" i="118"/>
  <c r="AC2234" i="118"/>
  <c r="AB2236" i="118"/>
  <c r="AC2236" i="118"/>
  <c r="AB2237" i="118"/>
  <c r="AC2237" i="118"/>
  <c r="AB2238" i="118"/>
  <c r="AC2238" i="118"/>
  <c r="AB2239" i="118"/>
  <c r="AC2239" i="118"/>
  <c r="AB2240" i="118"/>
  <c r="AC2240" i="118"/>
  <c r="AB2241" i="118"/>
  <c r="AC2241" i="118"/>
  <c r="AB2242" i="118"/>
  <c r="AC2242" i="118"/>
  <c r="AB2243" i="118"/>
  <c r="AC2243" i="118"/>
  <c r="AB2244" i="118"/>
  <c r="AC2244" i="118"/>
  <c r="AB2246" i="118"/>
  <c r="AC2246" i="118"/>
  <c r="AB2247" i="118"/>
  <c r="AC2247" i="118"/>
  <c r="AB2248" i="118"/>
  <c r="AC2248" i="118"/>
  <c r="AB2249" i="118"/>
  <c r="AC2249" i="118"/>
  <c r="AB2250" i="118"/>
  <c r="AC2250" i="118"/>
  <c r="AB2251" i="118"/>
  <c r="AC2251" i="118"/>
  <c r="AB2252" i="118"/>
  <c r="AC2252" i="118"/>
  <c r="AB2253" i="118"/>
  <c r="AC2253" i="118"/>
  <c r="AB2254" i="118"/>
  <c r="AC2254" i="118"/>
  <c r="AB2255" i="118"/>
  <c r="AC2255" i="118"/>
  <c r="AB2256" i="118"/>
  <c r="AC2256" i="118"/>
  <c r="AB2257" i="118"/>
  <c r="AC2257" i="118"/>
  <c r="AB2258" i="118"/>
  <c r="AC2258" i="118"/>
  <c r="AB2259" i="118"/>
  <c r="AC2259" i="118"/>
  <c r="AB2260" i="118"/>
  <c r="AC2260" i="118"/>
  <c r="AB2261" i="118"/>
  <c r="AC2261" i="118"/>
  <c r="AB2262" i="118"/>
  <c r="AC2262" i="118"/>
  <c r="AB2263" i="118"/>
  <c r="AC2263" i="118"/>
  <c r="AB2264" i="118"/>
  <c r="AC2264" i="118"/>
  <c r="AB2265" i="118"/>
  <c r="AC2265" i="118"/>
  <c r="AB2266" i="118"/>
  <c r="AC2266" i="118"/>
  <c r="AB2267" i="118"/>
  <c r="AC2267" i="118"/>
  <c r="AB2268" i="118"/>
  <c r="AC2268" i="118"/>
  <c r="AB2269" i="118"/>
  <c r="AC2269" i="118"/>
  <c r="AB2270" i="118"/>
  <c r="AC2270" i="118"/>
  <c r="AB2271" i="118"/>
  <c r="AC2271" i="118"/>
  <c r="AB2272" i="118"/>
  <c r="AC2272" i="118"/>
  <c r="AB2273" i="118"/>
  <c r="AC2273" i="118"/>
  <c r="AB2274" i="118"/>
  <c r="AC2274" i="118"/>
  <c r="AB2275" i="118"/>
  <c r="AC2275" i="118"/>
  <c r="AB2276" i="118"/>
  <c r="AC2276" i="118"/>
  <c r="AB2277" i="118"/>
  <c r="AC2277" i="118"/>
  <c r="AB2278" i="118"/>
  <c r="AC2278" i="118"/>
  <c r="AB2279" i="118"/>
  <c r="AC2279" i="118"/>
  <c r="AB2280" i="118"/>
  <c r="AC2280" i="118"/>
  <c r="AB2281" i="118"/>
  <c r="AC2281" i="118"/>
  <c r="AB2282" i="118"/>
  <c r="AC2282" i="118"/>
  <c r="AB2283" i="118"/>
  <c r="AC2283" i="118"/>
  <c r="AB2284" i="118"/>
  <c r="AC2284" i="118"/>
  <c r="AB2285" i="118"/>
  <c r="AC2285" i="118"/>
  <c r="AB2286" i="118"/>
  <c r="AC2286" i="118"/>
  <c r="AB2287" i="118"/>
  <c r="AC2287" i="118"/>
  <c r="AB2288" i="118"/>
  <c r="AC2288" i="118"/>
  <c r="AB2289" i="118"/>
  <c r="AC2289" i="118"/>
  <c r="AB2290" i="118"/>
  <c r="AC2290" i="118"/>
  <c r="AB2291" i="118"/>
  <c r="AC2291" i="118"/>
  <c r="AB2292" i="118"/>
  <c r="AC2292" i="118"/>
  <c r="AB2293" i="118"/>
  <c r="AC2293" i="118"/>
  <c r="AB2294" i="118"/>
  <c r="AC2294" i="118"/>
  <c r="AB2295" i="118"/>
  <c r="AC2295" i="118"/>
  <c r="AB2296" i="118"/>
  <c r="AC2296" i="118"/>
  <c r="AB2297" i="118"/>
  <c r="AC2297" i="118"/>
  <c r="AB2298" i="118"/>
  <c r="AC2298" i="118"/>
  <c r="AB2299" i="118"/>
  <c r="AC2299" i="118"/>
  <c r="AB2300" i="118"/>
  <c r="AC2300" i="118"/>
  <c r="AB2301" i="118"/>
  <c r="AC2301" i="118"/>
  <c r="AB2302" i="118"/>
  <c r="AC2302" i="118"/>
  <c r="AB2303" i="118"/>
  <c r="AC2303" i="118"/>
  <c r="AB2304" i="118"/>
  <c r="AC2304" i="118"/>
  <c r="AB2305" i="118"/>
  <c r="AC2305" i="118"/>
  <c r="AB2306" i="118"/>
  <c r="AC2306" i="118"/>
  <c r="AB2307" i="118"/>
  <c r="AC2307" i="118"/>
  <c r="AB2308" i="118"/>
  <c r="AC2308" i="118"/>
  <c r="AB2309" i="118"/>
  <c r="AC2309" i="118"/>
  <c r="AB2310" i="118"/>
  <c r="AC2310" i="118"/>
  <c r="AB2311" i="118"/>
  <c r="AC2311" i="118"/>
  <c r="AB2312" i="118"/>
  <c r="AC2312" i="118"/>
  <c r="AB2313" i="118"/>
  <c r="AC2313" i="118"/>
  <c r="AB2314" i="118"/>
  <c r="AC2314" i="118"/>
  <c r="AB2315" i="118"/>
  <c r="AC2315" i="118"/>
  <c r="AB2316" i="118"/>
  <c r="AC2316" i="118"/>
  <c r="AB2317" i="118"/>
  <c r="AC2317" i="118"/>
  <c r="AB2318" i="118"/>
  <c r="AC2318" i="118"/>
  <c r="AB2319" i="118"/>
  <c r="AC2319" i="118"/>
  <c r="AB2321" i="118"/>
  <c r="AC2321" i="118"/>
  <c r="AB2322" i="118"/>
  <c r="AC2322" i="118"/>
  <c r="AB2323" i="118"/>
  <c r="AC2323" i="118"/>
  <c r="AB2324" i="118"/>
  <c r="AC2324" i="118"/>
  <c r="AB2325" i="118"/>
  <c r="AC2325" i="118"/>
  <c r="AB2326" i="118"/>
  <c r="AC2326" i="118"/>
  <c r="AB2328" i="118"/>
  <c r="AC2328" i="118"/>
  <c r="AB2329" i="118"/>
  <c r="AC2329" i="118"/>
  <c r="AB2330" i="118"/>
  <c r="AC2330" i="118"/>
  <c r="AB2332" i="118"/>
  <c r="AB2333" i="118"/>
  <c r="AC2333" i="118"/>
  <c r="AB2334" i="118"/>
  <c r="AC2334" i="118"/>
  <c r="BG2334" i="118" s="1"/>
  <c r="AB2335" i="118"/>
  <c r="AC2335" i="118"/>
  <c r="BG2335" i="118" s="1"/>
  <c r="AB2336" i="118"/>
  <c r="AC2336" i="118"/>
  <c r="BG2336" i="118" s="1"/>
  <c r="AB2337" i="118"/>
  <c r="AC2337" i="118"/>
  <c r="BG2337" i="118" s="1"/>
  <c r="AB2338" i="118"/>
  <c r="AC2338" i="118"/>
  <c r="BG2338" i="118" s="1"/>
  <c r="AB2339" i="118"/>
  <c r="AC2339" i="118"/>
  <c r="AB2340" i="118"/>
  <c r="AC2340" i="118"/>
  <c r="AB2341" i="118"/>
  <c r="AC2341" i="118"/>
  <c r="BG2341" i="118" s="1"/>
  <c r="AB2342" i="118"/>
  <c r="AC2342" i="118"/>
  <c r="AB2343" i="118"/>
  <c r="AC2343" i="118"/>
  <c r="AB2344" i="118"/>
  <c r="AC2344" i="118"/>
  <c r="AB2345" i="118"/>
  <c r="AC2345" i="118"/>
  <c r="AB2346" i="118"/>
  <c r="AC2346" i="118"/>
  <c r="AB2347" i="118"/>
  <c r="AC2347" i="118"/>
  <c r="AB2348" i="118"/>
  <c r="AC2348" i="118"/>
  <c r="BG2348" i="118" s="1"/>
  <c r="AB2349" i="118"/>
  <c r="AC2349" i="118"/>
  <c r="BG2349" i="118" s="1"/>
  <c r="AB2350" i="118"/>
  <c r="AC2350" i="118"/>
  <c r="BG2350" i="118" s="1"/>
  <c r="AB2351" i="118"/>
  <c r="AC2351" i="118"/>
  <c r="BG2351" i="118" s="1"/>
  <c r="AB2352" i="118"/>
  <c r="AC2352" i="118"/>
  <c r="AB2353" i="118"/>
  <c r="AC2353" i="118"/>
  <c r="AB2354" i="118"/>
  <c r="AC2354" i="118"/>
  <c r="AB2355" i="118"/>
  <c r="AC2355" i="118"/>
  <c r="AB2356" i="118"/>
  <c r="AC2356" i="118"/>
  <c r="AB2357" i="118"/>
  <c r="AC2357" i="118"/>
  <c r="AB2358" i="118"/>
  <c r="AC2358" i="118"/>
  <c r="BG2358" i="118" s="1"/>
  <c r="AB2359" i="118"/>
  <c r="AC2359" i="118"/>
  <c r="BG2359" i="118" s="1"/>
  <c r="AB2360" i="118"/>
  <c r="AC2360" i="118"/>
  <c r="BG2360" i="118" s="1"/>
  <c r="AB2363" i="118"/>
  <c r="AC2363" i="118"/>
  <c r="BG2363" i="118" s="1"/>
  <c r="AB2364" i="118"/>
  <c r="AC2364" i="118"/>
  <c r="BG2364" i="118" s="1"/>
  <c r="AB2365" i="118"/>
  <c r="AC2365" i="118"/>
  <c r="BG2365" i="118" s="1"/>
  <c r="AB2366" i="118"/>
  <c r="AB2367" i="118"/>
  <c r="AC2367" i="118"/>
  <c r="AB2368" i="118"/>
  <c r="AC2368" i="118"/>
  <c r="AB2369" i="118"/>
  <c r="BF2369" i="118" s="1"/>
  <c r="AB2371" i="118"/>
  <c r="AB2372" i="118"/>
  <c r="BF2372" i="118" s="1"/>
  <c r="AB2373" i="118"/>
  <c r="AB2374" i="118"/>
  <c r="BF2374" i="118" s="1"/>
  <c r="AC2374" i="118"/>
  <c r="AB2375" i="118"/>
  <c r="BF2375" i="118" s="1"/>
  <c r="AC2375" i="118"/>
  <c r="AB2376" i="118"/>
  <c r="AC2376" i="118"/>
  <c r="AB2377" i="118"/>
  <c r="AC2377" i="118"/>
  <c r="AB2378" i="118"/>
  <c r="AC2378" i="118"/>
  <c r="AB2379" i="118"/>
  <c r="AC2379" i="118"/>
  <c r="AB2380" i="118"/>
  <c r="BF2380" i="118" s="1"/>
  <c r="AC2380" i="118"/>
  <c r="AB2381" i="118"/>
  <c r="AC2381" i="118"/>
  <c r="AB2382" i="118"/>
  <c r="BF2382" i="118" s="1"/>
  <c r="AC2382" i="118"/>
  <c r="AB2383" i="118"/>
  <c r="AC2383" i="118"/>
  <c r="AB2384" i="118"/>
  <c r="BF2384" i="118" s="1"/>
  <c r="AC2384" i="118"/>
  <c r="AB2385" i="118"/>
  <c r="AC2385" i="118"/>
  <c r="AB2386" i="118"/>
  <c r="AB2387" i="118"/>
  <c r="AB2388" i="118"/>
  <c r="AC2388" i="118"/>
  <c r="AB2389" i="118"/>
  <c r="AC2389" i="118"/>
  <c r="AB2392" i="118"/>
  <c r="AC2392" i="118"/>
  <c r="AB2391" i="118"/>
  <c r="AB2393" i="118"/>
  <c r="AC2393" i="118"/>
  <c r="BG2393" i="118" s="1"/>
  <c r="AB2394" i="118"/>
  <c r="AC2394" i="118"/>
  <c r="BG2394" i="118" s="1"/>
  <c r="AB2395" i="118"/>
  <c r="AC2395" i="118"/>
  <c r="BG2395" i="118" s="1"/>
  <c r="AB2396" i="118"/>
  <c r="AB2397" i="118"/>
  <c r="AC2397" i="118"/>
  <c r="AB2398" i="118"/>
  <c r="AC2398" i="118"/>
  <c r="AB2399" i="118"/>
  <c r="AC2399" i="118"/>
  <c r="AB2400" i="118"/>
  <c r="AC2400" i="118"/>
  <c r="AB2401" i="118"/>
  <c r="AC2401" i="118"/>
  <c r="AB2402" i="118"/>
  <c r="AC2402" i="118"/>
  <c r="AB2403" i="118"/>
  <c r="AC2403" i="118"/>
  <c r="AB2404" i="118"/>
  <c r="AC2404" i="118"/>
  <c r="AB2405" i="118"/>
  <c r="AC2405" i="118"/>
  <c r="AB2406" i="118"/>
  <c r="BF2406" i="118" s="1"/>
  <c r="AC2406" i="118"/>
  <c r="AB2407" i="118"/>
  <c r="BF2407" i="118" s="1"/>
  <c r="AC2407" i="118"/>
  <c r="AB2408" i="118"/>
  <c r="BF2408" i="118" s="1"/>
  <c r="AC2408" i="118"/>
  <c r="AB2409" i="118"/>
  <c r="BF2409" i="118" s="1"/>
  <c r="AC2409" i="118"/>
  <c r="AB2410" i="118"/>
  <c r="AC2410" i="118"/>
  <c r="AB2411" i="118"/>
  <c r="AC2411" i="118"/>
  <c r="AB2412" i="118"/>
  <c r="AC2412" i="118"/>
  <c r="AB2413" i="118"/>
  <c r="BF2413" i="118" s="1"/>
  <c r="AC2413" i="118"/>
  <c r="AB2414" i="118"/>
  <c r="BF2414" i="118" s="1"/>
  <c r="AC2414" i="118"/>
  <c r="AB2415" i="118"/>
  <c r="BF2415" i="118" s="1"/>
  <c r="AC2415" i="118"/>
  <c r="AB2416" i="118"/>
  <c r="BF2416" i="118" s="1"/>
  <c r="AC2416" i="118"/>
  <c r="AB2417" i="118"/>
  <c r="AC2417" i="118"/>
  <c r="AB2418" i="118"/>
  <c r="AC2418" i="118"/>
  <c r="AB2419" i="118"/>
  <c r="AC2419" i="118"/>
  <c r="AB2420" i="118"/>
  <c r="AC2420" i="118"/>
  <c r="AB2421" i="118"/>
  <c r="BF2421" i="118" s="1"/>
  <c r="AB2422" i="118"/>
  <c r="AC2422" i="118"/>
  <c r="AB2423" i="118"/>
  <c r="AC2423" i="118"/>
  <c r="AB2424" i="118"/>
  <c r="AC2424" i="118"/>
  <c r="BG2424" i="118" s="1"/>
  <c r="AB2425" i="118"/>
  <c r="AC2425" i="118"/>
  <c r="BG2425" i="118" s="1"/>
  <c r="AB2426" i="118"/>
  <c r="AC2426" i="118"/>
  <c r="AB2427" i="118"/>
  <c r="AC2427" i="118"/>
  <c r="AB2428" i="118"/>
  <c r="AC2428" i="118"/>
  <c r="AB2429" i="118"/>
  <c r="AC2429" i="118"/>
  <c r="AB2430" i="118"/>
  <c r="AC2430" i="118"/>
  <c r="AB2431" i="118"/>
  <c r="AC2431" i="118"/>
  <c r="AB2432" i="118"/>
  <c r="AC2432" i="118"/>
  <c r="AB2433" i="118"/>
  <c r="AC2433" i="118"/>
  <c r="BG2433" i="118" s="1"/>
  <c r="AB2434" i="118"/>
  <c r="AC2434" i="118"/>
  <c r="AB2435" i="118"/>
  <c r="AC2435" i="118"/>
  <c r="AB2436" i="118"/>
  <c r="AC2436" i="118"/>
  <c r="AB2437" i="118"/>
  <c r="AC2437" i="118"/>
  <c r="AB2439" i="118"/>
  <c r="AC2439" i="118"/>
  <c r="BG2439" i="118" s="1"/>
  <c r="AB2440" i="118"/>
  <c r="AC2440" i="118"/>
  <c r="BG2440" i="118" s="1"/>
  <c r="AB2442" i="118"/>
  <c r="AC2442" i="118"/>
  <c r="BG2442" i="118" s="1"/>
  <c r="AB2443" i="118"/>
  <c r="AC2443" i="118"/>
  <c r="AB2444" i="118"/>
  <c r="AC2444" i="118"/>
  <c r="AB2445" i="118"/>
  <c r="AC2445" i="118"/>
  <c r="AB2446" i="118"/>
  <c r="AC2446" i="118"/>
  <c r="AB2447" i="118"/>
  <c r="AC2447" i="118"/>
  <c r="AB2449" i="118"/>
  <c r="AC2449" i="118"/>
  <c r="AB2451" i="118"/>
  <c r="AC2451" i="118"/>
  <c r="AB2452" i="118"/>
  <c r="AC2452" i="118"/>
  <c r="AB2453" i="118"/>
  <c r="AC2453" i="118"/>
  <c r="AB2454" i="118"/>
  <c r="AC2454" i="118"/>
  <c r="AB2455" i="118"/>
  <c r="AC2455" i="118"/>
  <c r="AB2456" i="118"/>
  <c r="AC2456" i="118"/>
  <c r="AB2457" i="118"/>
  <c r="AC2457" i="118"/>
  <c r="AB2458" i="118"/>
  <c r="AC2458" i="118"/>
  <c r="AB2459" i="118"/>
  <c r="AC2459" i="118"/>
  <c r="AB2460" i="118"/>
  <c r="AC2460" i="118"/>
  <c r="AB2461" i="118"/>
  <c r="AC2461" i="118"/>
  <c r="AB2462" i="118"/>
  <c r="AC2462" i="118"/>
  <c r="AB2463" i="118"/>
  <c r="AC2463" i="118"/>
  <c r="AB2464" i="118"/>
  <c r="AC2464" i="118"/>
  <c r="AB2465" i="118"/>
  <c r="AC2465" i="118"/>
  <c r="AB2466" i="118"/>
  <c r="AC2466" i="118"/>
  <c r="AB2467" i="118"/>
  <c r="AC2467" i="118"/>
  <c r="AB2468" i="118"/>
  <c r="AC2468" i="118"/>
  <c r="AB2469" i="118"/>
  <c r="AC2469" i="118"/>
  <c r="AB2470" i="118"/>
  <c r="AC2470" i="118"/>
  <c r="AB2471" i="118"/>
  <c r="AC2471" i="118"/>
  <c r="AB2472" i="118"/>
  <c r="AC2472" i="118"/>
  <c r="AB2473" i="118"/>
  <c r="AC2473" i="118"/>
  <c r="AB2474" i="118"/>
  <c r="AC2474" i="118"/>
  <c r="AB2475" i="118"/>
  <c r="AC2475" i="118"/>
  <c r="AB2476" i="118"/>
  <c r="AC2476" i="118"/>
  <c r="AB2477" i="118"/>
  <c r="AC2477" i="118"/>
  <c r="AB2478" i="118"/>
  <c r="AC2478" i="118"/>
  <c r="AB2479" i="118"/>
  <c r="AC2479" i="118"/>
  <c r="AB2480" i="118"/>
  <c r="AC2480" i="118"/>
  <c r="AB2481" i="118"/>
  <c r="AC2481" i="118"/>
  <c r="AB2482" i="118"/>
  <c r="AC2482" i="118"/>
  <c r="AB2483" i="118"/>
  <c r="AC2483" i="118"/>
  <c r="AB2484" i="118"/>
  <c r="AC2484" i="118"/>
  <c r="AB2485" i="118"/>
  <c r="AC2485" i="118"/>
  <c r="AB2486" i="118"/>
  <c r="AC2486" i="118"/>
  <c r="AB2487" i="118"/>
  <c r="AC2487" i="118"/>
  <c r="AB2488" i="118"/>
  <c r="AC2488" i="118"/>
  <c r="AB2489" i="118"/>
  <c r="AC2489" i="118"/>
  <c r="AB2490" i="118"/>
  <c r="AC2490" i="118"/>
  <c r="AB2491" i="118"/>
  <c r="AC2491" i="118"/>
  <c r="AB2492" i="118"/>
  <c r="AC2492" i="118"/>
  <c r="AB2493" i="118"/>
  <c r="AC2493" i="118"/>
  <c r="AB2494" i="118"/>
  <c r="AC2494" i="118"/>
  <c r="AB2495" i="118"/>
  <c r="AC2495" i="118"/>
  <c r="AB2496" i="118"/>
  <c r="AC2496" i="118"/>
  <c r="AB2497" i="118"/>
  <c r="AC2497" i="118"/>
  <c r="AB2498" i="118"/>
  <c r="AC2498" i="118"/>
  <c r="AB2499" i="118"/>
  <c r="AC2499" i="118"/>
  <c r="AB2500" i="118"/>
  <c r="AC2500" i="118"/>
  <c r="AB2501" i="118"/>
  <c r="AC2501" i="118"/>
  <c r="AB2502" i="118"/>
  <c r="AC2502" i="118"/>
  <c r="AB2503" i="118"/>
  <c r="AC2503" i="118"/>
  <c r="AB2504" i="118"/>
  <c r="AC2504" i="118"/>
  <c r="AB2505" i="118"/>
  <c r="AC2505" i="118"/>
  <c r="AB2506" i="118"/>
  <c r="AC2506" i="118"/>
  <c r="AB2507" i="118"/>
  <c r="AC2507" i="118"/>
  <c r="AB2508" i="118"/>
  <c r="AC2508" i="118"/>
  <c r="AB2509" i="118"/>
  <c r="AC2509" i="118"/>
  <c r="AB2510" i="118"/>
  <c r="AC2510" i="118"/>
  <c r="AB2511" i="118"/>
  <c r="AC2511" i="118"/>
  <c r="AB2512" i="118"/>
  <c r="AC2512" i="118"/>
  <c r="AB2513" i="118"/>
  <c r="AC2513" i="118"/>
  <c r="AB2514" i="118"/>
  <c r="AC2514" i="118"/>
  <c r="AB2516" i="118"/>
  <c r="AC2516" i="118"/>
  <c r="AB2517" i="118"/>
  <c r="AC2517" i="118"/>
  <c r="AB2518" i="118"/>
  <c r="AC2518" i="118"/>
  <c r="AB2519" i="118"/>
  <c r="AC2519" i="118"/>
  <c r="AB2520" i="118"/>
  <c r="AC2520" i="118"/>
  <c r="AB2521" i="118"/>
  <c r="AC2521" i="118"/>
  <c r="AB2523" i="118"/>
  <c r="AC2523" i="118"/>
  <c r="AB2524" i="118"/>
  <c r="AC2524" i="118"/>
  <c r="AB2525" i="118"/>
  <c r="AC2525" i="118"/>
  <c r="AB2526" i="118"/>
  <c r="AB2527" i="118"/>
  <c r="AB2528" i="118"/>
  <c r="AC2528" i="118"/>
  <c r="AB2529" i="118"/>
  <c r="AC2529" i="118"/>
  <c r="AB2530" i="118"/>
  <c r="AC2530" i="118"/>
  <c r="AB2531" i="118"/>
  <c r="AC2531" i="118"/>
  <c r="AB2532" i="118"/>
  <c r="AC2532" i="118"/>
  <c r="AB2533" i="118"/>
  <c r="AC2533" i="118"/>
  <c r="AB2534" i="118"/>
  <c r="AC2534" i="118"/>
  <c r="AB2535" i="118"/>
  <c r="AC2535" i="118"/>
  <c r="AB2536" i="118"/>
  <c r="AC2536" i="118"/>
  <c r="AB2537" i="118"/>
  <c r="AC2537" i="118"/>
  <c r="AB2538" i="118"/>
  <c r="AC2538" i="118"/>
  <c r="AB2539" i="118"/>
  <c r="AC2539" i="118"/>
  <c r="AB2540" i="118"/>
  <c r="AC2540" i="118"/>
  <c r="AB2541" i="118"/>
  <c r="AC2541" i="118"/>
  <c r="AB2542" i="118"/>
  <c r="AC2542" i="118"/>
  <c r="AB2543" i="118"/>
  <c r="AC2543" i="118"/>
  <c r="AB2544" i="118"/>
  <c r="AC2544" i="118"/>
  <c r="AB2546" i="118"/>
  <c r="AC2546" i="118"/>
  <c r="AB2547" i="118"/>
  <c r="AC2547" i="118"/>
  <c r="AB2548" i="118"/>
  <c r="AC2548" i="118"/>
  <c r="AB2549" i="118"/>
  <c r="AC2549" i="118"/>
  <c r="AB2550" i="118"/>
  <c r="AC2550" i="118"/>
  <c r="AB2551" i="118"/>
  <c r="AC2551" i="118"/>
  <c r="AB2552" i="118"/>
  <c r="AC2552" i="118"/>
  <c r="AB2553" i="118"/>
  <c r="AC2553" i="118"/>
  <c r="AB2554" i="118"/>
  <c r="AC2554" i="118"/>
  <c r="AB2555" i="118"/>
  <c r="AC2555" i="118"/>
  <c r="AB2556" i="118"/>
  <c r="AC2556" i="118"/>
  <c r="AB2558" i="118"/>
  <c r="AC2558" i="118"/>
  <c r="AB2559" i="118"/>
  <c r="AC2559" i="118"/>
  <c r="AB2560" i="118"/>
  <c r="AC2560" i="118"/>
  <c r="AB2561" i="118"/>
  <c r="AC2561" i="118"/>
  <c r="AB2562" i="118"/>
  <c r="AC2562" i="118"/>
  <c r="AB2563" i="118"/>
  <c r="AC2563" i="118"/>
  <c r="AB2564" i="118"/>
  <c r="AC2564" i="118"/>
  <c r="AB2565" i="118"/>
  <c r="AC2565" i="118"/>
  <c r="AB2566" i="118"/>
  <c r="AC2566" i="118"/>
  <c r="AB2567" i="118"/>
  <c r="AC2567" i="118"/>
  <c r="AB2568" i="118"/>
  <c r="AC2568" i="118"/>
  <c r="AB2569" i="118"/>
  <c r="AC2569" i="118"/>
  <c r="AB2570" i="118"/>
  <c r="AC2570" i="118"/>
  <c r="AB2571" i="118"/>
  <c r="AC2571" i="118"/>
  <c r="AB2572" i="118"/>
  <c r="AC2572" i="118"/>
  <c r="AB2573" i="118"/>
  <c r="AC2573" i="118"/>
  <c r="AB2574" i="118"/>
  <c r="AC2574" i="118"/>
  <c r="AB2575" i="118"/>
  <c r="AC2575" i="118"/>
  <c r="AB2576" i="118"/>
  <c r="AC2576" i="118"/>
  <c r="AB2577" i="118"/>
  <c r="AC2577" i="118"/>
  <c r="AB2578" i="118"/>
  <c r="AC2578" i="118"/>
  <c r="AB2579" i="118"/>
  <c r="AC2579" i="118"/>
  <c r="AB2580" i="118"/>
  <c r="AC2580" i="118"/>
  <c r="AB2581" i="118"/>
  <c r="AC2581" i="118"/>
  <c r="AB2582" i="118"/>
  <c r="AC2582" i="118"/>
  <c r="AB2583" i="118"/>
  <c r="AC2583" i="118"/>
  <c r="AB2584" i="118"/>
  <c r="AC2584" i="118"/>
  <c r="AB2585" i="118"/>
  <c r="AC2585" i="118"/>
  <c r="AB2586" i="118"/>
  <c r="AC2586" i="118"/>
  <c r="AB2587" i="118"/>
  <c r="AC2587" i="118"/>
  <c r="AB2588" i="118"/>
  <c r="AC2588" i="118"/>
  <c r="AB2589" i="118"/>
  <c r="AC2589" i="118"/>
  <c r="AB2590" i="118"/>
  <c r="AC2590" i="118"/>
  <c r="AB2591" i="118"/>
  <c r="AC2591" i="118"/>
  <c r="AB2592" i="118"/>
  <c r="AC2592" i="118"/>
  <c r="AB2593" i="118"/>
  <c r="AC2593" i="118"/>
  <c r="AB2594" i="118"/>
  <c r="AC2594" i="118"/>
  <c r="AB2595" i="118"/>
  <c r="AC2595" i="118"/>
  <c r="AB2596" i="118"/>
  <c r="AC2596" i="118"/>
  <c r="AB2597" i="118"/>
  <c r="AC2597" i="118"/>
  <c r="AB2598" i="118"/>
  <c r="AC2598" i="118"/>
  <c r="AB2599" i="118"/>
  <c r="AC2599" i="118"/>
  <c r="AB2600" i="118"/>
  <c r="AC2600" i="118"/>
  <c r="AB2601" i="118"/>
  <c r="AC2601" i="118"/>
  <c r="AB2602" i="118"/>
  <c r="AC2602" i="118"/>
  <c r="AB2603" i="118"/>
  <c r="AC2603" i="118"/>
  <c r="AB2604" i="118"/>
  <c r="AC2604" i="118"/>
  <c r="AB2605" i="118"/>
  <c r="AC2605" i="118"/>
  <c r="AB2606" i="118"/>
  <c r="AC2606" i="118"/>
  <c r="AB2607" i="118"/>
  <c r="AC2607" i="118"/>
  <c r="AB2608" i="118"/>
  <c r="AC2608" i="118"/>
  <c r="AB2609" i="118"/>
  <c r="AC2609" i="118"/>
  <c r="AB2610" i="118"/>
  <c r="AC2610" i="118"/>
  <c r="AB2611" i="118"/>
  <c r="AC2611" i="118"/>
  <c r="AB2612" i="118"/>
  <c r="AC2612" i="118"/>
  <c r="AB2613" i="118"/>
  <c r="AC2613" i="118"/>
  <c r="AB2614" i="118"/>
  <c r="AC2614" i="118"/>
  <c r="AB2615" i="118"/>
  <c r="AC2615" i="118"/>
  <c r="AB2616" i="118"/>
  <c r="AC2616" i="118"/>
  <c r="AB2617" i="118"/>
  <c r="AC2617" i="118"/>
  <c r="AB2618" i="118"/>
  <c r="AC2618" i="118"/>
  <c r="AB2619" i="118"/>
  <c r="AC2619" i="118"/>
  <c r="AB2620" i="118"/>
  <c r="AC2620" i="118"/>
  <c r="AB2621" i="118"/>
  <c r="AC2621" i="118"/>
  <c r="AB2622" i="118"/>
  <c r="AC2622" i="118"/>
  <c r="AB2623" i="118"/>
  <c r="AC2623" i="118"/>
  <c r="AB2624" i="118"/>
  <c r="AC2624" i="118"/>
  <c r="AB2625" i="118"/>
  <c r="AC2625" i="118"/>
  <c r="AB2626" i="118"/>
  <c r="AC2626" i="118"/>
  <c r="AB2627" i="118"/>
  <c r="AC2627" i="118"/>
  <c r="AB2628" i="118"/>
  <c r="AC2628" i="118"/>
  <c r="AB2629" i="118"/>
  <c r="AC2629" i="118"/>
  <c r="AB2630" i="118"/>
  <c r="AC2630" i="118"/>
  <c r="AB2631" i="118"/>
  <c r="AC2631" i="118"/>
  <c r="AB2633" i="118"/>
  <c r="AC2633" i="118"/>
  <c r="AB2634" i="118"/>
  <c r="AC2634" i="118"/>
  <c r="AB2635" i="118"/>
  <c r="AC2635" i="118"/>
  <c r="AB2636" i="118"/>
  <c r="AC2636" i="118"/>
  <c r="AB2637" i="118"/>
  <c r="AB2639" i="118"/>
  <c r="AC2639" i="118"/>
  <c r="AB2640" i="118"/>
  <c r="AC2640" i="118"/>
  <c r="AB2641" i="118"/>
  <c r="AC2641" i="118"/>
  <c r="AB2642" i="118"/>
  <c r="AC2642" i="118"/>
  <c r="AB2643" i="118"/>
  <c r="AC2643" i="118"/>
  <c r="AB2644" i="118"/>
  <c r="AC2644" i="118"/>
  <c r="AB2645" i="118"/>
  <c r="AC2645" i="118"/>
  <c r="AB2646" i="118"/>
  <c r="AC2646" i="118"/>
  <c r="AB2647" i="118"/>
  <c r="AC2647" i="118"/>
  <c r="AB2648" i="118"/>
  <c r="AC2648" i="118"/>
  <c r="AB2649" i="118"/>
  <c r="AC2649" i="118"/>
  <c r="AB2650" i="118"/>
  <c r="AC2650" i="118"/>
  <c r="AB2651" i="118"/>
  <c r="AC2651" i="118"/>
  <c r="AB2652" i="118"/>
  <c r="AC2652" i="118"/>
  <c r="AB2653" i="118"/>
  <c r="AC2653" i="118"/>
  <c r="AB2654" i="118"/>
  <c r="AC2654" i="118"/>
  <c r="AB2655" i="118"/>
  <c r="AC2655" i="118"/>
  <c r="AB2656" i="118"/>
  <c r="AC2656" i="118"/>
  <c r="AB2657" i="118"/>
  <c r="AC2657" i="118"/>
  <c r="AB2658" i="118"/>
  <c r="AC2658" i="118"/>
  <c r="AB2660" i="118"/>
  <c r="AC2660" i="118"/>
  <c r="AB2664" i="118"/>
  <c r="AC2664" i="118"/>
  <c r="AB2665" i="118"/>
  <c r="AC2665" i="118"/>
  <c r="AB2666" i="118"/>
  <c r="AC2666" i="118"/>
  <c r="AB2668" i="118"/>
  <c r="AC2668" i="118"/>
  <c r="AB2669" i="118"/>
  <c r="AC2669" i="118"/>
  <c r="AB2670" i="118"/>
  <c r="AC2670" i="118"/>
  <c r="AB2671" i="118"/>
  <c r="AC2671" i="118"/>
  <c r="AB2672" i="118"/>
  <c r="AC2672" i="118"/>
  <c r="AB2674" i="118"/>
  <c r="AC2674" i="118"/>
  <c r="AB2675" i="118"/>
  <c r="AC2675" i="118"/>
  <c r="AB2676" i="118"/>
  <c r="AC2676" i="118"/>
  <c r="AB2677" i="118"/>
  <c r="AC2677" i="118"/>
  <c r="AB2678" i="118"/>
  <c r="AC2678" i="118"/>
  <c r="AB2680" i="118"/>
  <c r="AC2680" i="118"/>
  <c r="AB2681" i="118"/>
  <c r="AC2681" i="118"/>
  <c r="AB2682" i="118"/>
  <c r="AC2682" i="118"/>
  <c r="AB2683" i="118"/>
  <c r="AC2683" i="118"/>
  <c r="AB2685" i="118"/>
  <c r="AC2685" i="118"/>
  <c r="AB2686" i="118"/>
  <c r="AC2686" i="118"/>
  <c r="AB2687" i="118"/>
  <c r="AC2687" i="118"/>
  <c r="AB2688" i="118"/>
  <c r="AC2688" i="118"/>
  <c r="AB2689" i="118"/>
  <c r="AC2689" i="118"/>
  <c r="AB2690" i="118"/>
  <c r="AC2690" i="118"/>
  <c r="AB2691" i="118"/>
  <c r="AC2691" i="118"/>
  <c r="AB2693" i="118"/>
  <c r="AC2693" i="118"/>
  <c r="AB2694" i="118"/>
  <c r="AC2694" i="118"/>
  <c r="AB2696" i="118"/>
  <c r="AC2696" i="118"/>
  <c r="AB2697" i="118"/>
  <c r="AC2697" i="118"/>
  <c r="AB2698" i="118"/>
  <c r="AC2698" i="118"/>
  <c r="AB2699" i="118"/>
  <c r="AC2699" i="118"/>
  <c r="AB2700" i="118"/>
  <c r="AC2700" i="118"/>
  <c r="AB2703" i="118"/>
  <c r="AC2703" i="118"/>
  <c r="AB2704" i="118"/>
  <c r="AC2704" i="118"/>
  <c r="AB2705" i="118"/>
  <c r="AC2705" i="118"/>
  <c r="AB2706" i="118"/>
  <c r="AC2706" i="118"/>
  <c r="AB2707" i="118"/>
  <c r="AC2707" i="118"/>
  <c r="AB2708" i="118"/>
  <c r="AC2708" i="118"/>
  <c r="AB2709" i="118"/>
  <c r="AC2709" i="118"/>
  <c r="AB2710" i="118"/>
  <c r="AC2710" i="118"/>
  <c r="AB2711" i="118"/>
  <c r="AC2711" i="118"/>
  <c r="AB2712" i="118"/>
  <c r="AC2712" i="118"/>
  <c r="AB2713" i="118"/>
  <c r="AC2713" i="118"/>
  <c r="AB2714" i="118"/>
  <c r="AC2714" i="118"/>
  <c r="AB2715" i="118"/>
  <c r="AC2715" i="118"/>
  <c r="AB2716" i="118"/>
  <c r="AC2716" i="118"/>
  <c r="AB2717" i="118"/>
  <c r="AC2717" i="118"/>
  <c r="AB2718" i="118"/>
  <c r="AC2718" i="118"/>
  <c r="AB2719" i="118"/>
  <c r="AC2719" i="118"/>
  <c r="AB2720" i="118"/>
  <c r="AC2720" i="118"/>
  <c r="AB2721" i="118"/>
  <c r="AC2721" i="118"/>
  <c r="AB2722" i="118"/>
  <c r="AC2722" i="118"/>
  <c r="AB2723" i="118"/>
  <c r="AC2723" i="118"/>
  <c r="AB2724" i="118"/>
  <c r="AC2724" i="118"/>
  <c r="AB2725" i="118"/>
  <c r="AC2725" i="118"/>
  <c r="AB2726" i="118"/>
  <c r="AC2726" i="118"/>
  <c r="AB2727" i="118"/>
  <c r="AC2727" i="118"/>
  <c r="AB2728" i="118"/>
  <c r="AC2728" i="118"/>
  <c r="AB2729" i="118"/>
  <c r="AC2729" i="118"/>
  <c r="AB2730" i="118"/>
  <c r="AC2730" i="118"/>
  <c r="AB2731" i="118"/>
  <c r="AC2731" i="118"/>
  <c r="AB2732" i="118"/>
  <c r="AC2732" i="118"/>
  <c r="AB2733" i="118"/>
  <c r="AC2733" i="118"/>
  <c r="AB2734" i="118"/>
  <c r="AC2734" i="118"/>
  <c r="AB2735" i="118"/>
  <c r="AC2735" i="118"/>
  <c r="AB2736" i="118"/>
  <c r="AC2736" i="118"/>
  <c r="AB2737" i="118"/>
  <c r="AC2737" i="118"/>
  <c r="AB2738" i="118"/>
  <c r="AC2738" i="118"/>
  <c r="AB2739" i="118"/>
  <c r="AC2739" i="118"/>
  <c r="AB2740" i="118"/>
  <c r="AC2740" i="118"/>
  <c r="AB2741" i="118"/>
  <c r="AC2741" i="118"/>
  <c r="AB2742" i="118"/>
  <c r="AC2742" i="118"/>
  <c r="AB2743" i="118"/>
  <c r="AC2743" i="118"/>
  <c r="AB2744" i="118"/>
  <c r="AC2744" i="118"/>
  <c r="AB2745" i="118"/>
  <c r="AC2745" i="118"/>
  <c r="AB2746" i="118"/>
  <c r="AC2746" i="118"/>
  <c r="AB2747" i="118"/>
  <c r="AC2747" i="118"/>
  <c r="AB2748" i="118"/>
  <c r="AC2748" i="118"/>
  <c r="AB2749" i="118"/>
  <c r="AC2749" i="118"/>
  <c r="AB2750" i="118"/>
  <c r="AC2750" i="118"/>
  <c r="AB2751" i="118"/>
  <c r="AC2751" i="118"/>
  <c r="AB2752" i="118"/>
  <c r="AC2752" i="118"/>
  <c r="AB2753" i="118"/>
  <c r="AC2753" i="118"/>
  <c r="AB2754" i="118"/>
  <c r="AC2754" i="118"/>
  <c r="AB2755" i="118"/>
  <c r="AC2755" i="118"/>
  <c r="AB2756" i="118"/>
  <c r="AC2756" i="118"/>
  <c r="AB2757" i="118"/>
  <c r="AC2757" i="118"/>
  <c r="AB2758" i="118"/>
  <c r="AC2758" i="118"/>
  <c r="AB2759" i="118"/>
  <c r="AC2759" i="118"/>
  <c r="AB2760" i="118"/>
  <c r="AC2760" i="118"/>
  <c r="AB2761" i="118"/>
  <c r="AC2761" i="118"/>
  <c r="AB2762" i="118"/>
  <c r="AC2762" i="118"/>
  <c r="AB2763" i="118"/>
  <c r="AC2763" i="118"/>
  <c r="AB2764" i="118"/>
  <c r="AC2764" i="118"/>
  <c r="AB2765" i="118"/>
  <c r="AC2765" i="118"/>
  <c r="AB2766" i="118"/>
  <c r="AC2766" i="118"/>
  <c r="AB2767" i="118"/>
  <c r="AC2767" i="118"/>
  <c r="AB2768" i="118"/>
  <c r="AC2768" i="118"/>
  <c r="AB2769" i="118"/>
  <c r="AC2769" i="118"/>
  <c r="AB2770" i="118"/>
  <c r="AC2770" i="118"/>
  <c r="AB2771" i="118"/>
  <c r="AC2771" i="118"/>
  <c r="AB2772" i="118"/>
  <c r="AC2772" i="118"/>
  <c r="AB2773" i="118"/>
  <c r="AC2773" i="118"/>
  <c r="AB2774" i="118"/>
  <c r="AC2774" i="118"/>
  <c r="AB2775" i="118"/>
  <c r="AC2775" i="118"/>
  <c r="AB2776" i="118"/>
  <c r="AC2776" i="118"/>
  <c r="AB2777" i="118"/>
  <c r="AC2777" i="118"/>
  <c r="AB2778" i="118"/>
  <c r="AC2778" i="118"/>
  <c r="AB2779" i="118"/>
  <c r="AC2779" i="118"/>
  <c r="AB2780" i="118"/>
  <c r="AC2780" i="118"/>
  <c r="AB2781" i="118"/>
  <c r="AC2781" i="118"/>
  <c r="AB2782" i="118"/>
  <c r="AC2782" i="118"/>
  <c r="AB2783" i="118"/>
  <c r="AC2783" i="118"/>
  <c r="AB2784" i="118"/>
  <c r="AC2784" i="118"/>
  <c r="AB2785" i="118"/>
  <c r="AC2785" i="118"/>
  <c r="AB2787" i="118"/>
  <c r="AC2787" i="118"/>
  <c r="AB2788" i="118"/>
  <c r="AC2788" i="118"/>
  <c r="AB2789" i="118"/>
  <c r="AC2789" i="118"/>
  <c r="AB2790" i="118"/>
  <c r="AB2791" i="118"/>
  <c r="AC2791" i="118"/>
  <c r="AB2792" i="118"/>
  <c r="AC2792" i="118"/>
  <c r="AB2793" i="118"/>
  <c r="AC2793" i="118"/>
  <c r="AB2794" i="118"/>
  <c r="AC2794" i="118"/>
  <c r="AB2795" i="118"/>
  <c r="AC2795" i="118"/>
  <c r="AB2796" i="118"/>
  <c r="AC2796" i="118"/>
  <c r="AB2797" i="118"/>
  <c r="AC2797" i="118"/>
  <c r="AB2798" i="118"/>
  <c r="AC2798" i="118"/>
  <c r="AB2799" i="118"/>
  <c r="AC2799" i="118"/>
  <c r="AB2800" i="118"/>
  <c r="AC2800" i="118"/>
  <c r="AB2801" i="118"/>
  <c r="AC2801" i="118"/>
  <c r="AB2803" i="118"/>
  <c r="AC2803" i="118"/>
  <c r="AB2804" i="118"/>
  <c r="AC2804" i="118"/>
  <c r="AB2805" i="118"/>
  <c r="AC2805" i="118"/>
  <c r="AB2806" i="118"/>
  <c r="AC2806" i="118"/>
  <c r="AB2807" i="118"/>
  <c r="AC2807" i="118"/>
  <c r="AB2808" i="118"/>
  <c r="AC2808" i="118"/>
  <c r="AB2809" i="118"/>
  <c r="AC2809" i="118"/>
  <c r="AB2810" i="118"/>
  <c r="AC2810" i="118"/>
  <c r="AB2811" i="118"/>
  <c r="AC2811" i="118"/>
  <c r="AB2812" i="118"/>
  <c r="AC2812" i="118"/>
  <c r="AB2813" i="118"/>
  <c r="AC2813" i="118"/>
  <c r="AB2814" i="118"/>
  <c r="AC2814" i="118"/>
  <c r="AB2815" i="118"/>
  <c r="AC2815" i="118"/>
  <c r="AB2816" i="118"/>
  <c r="AC2816" i="118"/>
  <c r="AB2817" i="118"/>
  <c r="AC2817" i="118"/>
  <c r="AB2818" i="118"/>
  <c r="AC2818" i="118"/>
  <c r="AB2819" i="118"/>
  <c r="AC2819" i="118"/>
  <c r="AB2820" i="118"/>
  <c r="AC2820" i="118"/>
  <c r="AB2821" i="118"/>
  <c r="AC2821" i="118"/>
  <c r="AB2822" i="118"/>
  <c r="AC2822" i="118"/>
  <c r="AB2823" i="118"/>
  <c r="AC2823" i="118"/>
  <c r="AB2824" i="118"/>
  <c r="AC2824" i="118"/>
  <c r="AB2825" i="118"/>
  <c r="AC2825" i="118"/>
  <c r="AB2826" i="118"/>
  <c r="AC2826" i="118"/>
  <c r="AB2827" i="118"/>
  <c r="AC2827" i="118"/>
  <c r="AB2828" i="118"/>
  <c r="AC2828" i="118"/>
  <c r="AB2831" i="118"/>
  <c r="AC2831" i="118"/>
  <c r="AB2832" i="118"/>
  <c r="AC2832" i="118"/>
  <c r="AB2833" i="118"/>
  <c r="AC2833" i="118"/>
  <c r="AB2834" i="118"/>
  <c r="AC2834" i="118"/>
  <c r="AB2835" i="118"/>
  <c r="AC2835" i="118"/>
  <c r="AB2836" i="118"/>
  <c r="AC2836" i="118"/>
  <c r="AB2837" i="118"/>
  <c r="AC2837" i="118"/>
  <c r="AB2838" i="118"/>
  <c r="AC2838" i="118"/>
  <c r="AB2839" i="118"/>
  <c r="AC2839" i="118"/>
  <c r="AB2840" i="118"/>
  <c r="AC2840" i="118"/>
  <c r="AB2841" i="118"/>
  <c r="AC2841" i="118"/>
  <c r="AB2842" i="118"/>
  <c r="AC2842" i="118"/>
  <c r="AB2843" i="118"/>
  <c r="AC2843" i="118"/>
  <c r="AB2844" i="118"/>
  <c r="AC2844" i="118"/>
  <c r="AB2846" i="118"/>
  <c r="AC2846" i="118"/>
  <c r="AB2848" i="118"/>
  <c r="AC2848" i="118"/>
  <c r="AB2849" i="118"/>
  <c r="AC2849" i="118"/>
  <c r="AB2850" i="118"/>
  <c r="AC2850" i="118"/>
  <c r="AB2851" i="118"/>
  <c r="AC2851" i="118"/>
  <c r="AB2852" i="118"/>
  <c r="AB2853" i="118"/>
  <c r="AC2853" i="118"/>
  <c r="AB2854" i="118"/>
  <c r="AC2854" i="118"/>
  <c r="AB2855" i="118"/>
  <c r="AC2855" i="118"/>
  <c r="AB2856" i="118"/>
  <c r="AC2856" i="118"/>
  <c r="AB2857" i="118"/>
  <c r="AB2858" i="118"/>
  <c r="AB2859" i="118"/>
  <c r="AB2860" i="118"/>
  <c r="AC2860" i="118"/>
  <c r="AB2861" i="118"/>
  <c r="AC2861" i="118"/>
  <c r="AB2862" i="118"/>
  <c r="AC2862" i="118"/>
  <c r="AB2863" i="118"/>
  <c r="AC2863" i="118"/>
  <c r="AB2864" i="118"/>
  <c r="AC2864" i="118"/>
  <c r="AB2865" i="118"/>
  <c r="AC2865" i="118"/>
  <c r="AB2866" i="118"/>
  <c r="AC2866" i="118"/>
  <c r="AB2867" i="118"/>
  <c r="AC2867" i="118"/>
  <c r="AB2868" i="118"/>
  <c r="AC2868" i="118"/>
  <c r="AB2869" i="118"/>
  <c r="AC2869" i="118"/>
  <c r="AB2870" i="118"/>
  <c r="AC2870" i="118"/>
  <c r="AB2871" i="118"/>
  <c r="AC2871" i="118"/>
  <c r="AB2872" i="118"/>
  <c r="AC2872" i="118"/>
  <c r="AB2873" i="118"/>
  <c r="AC2873" i="118"/>
  <c r="AB2874" i="118"/>
  <c r="AC2874" i="118"/>
  <c r="AB2875" i="118"/>
  <c r="AB2876" i="118"/>
  <c r="AC2876" i="118"/>
  <c r="AB2877" i="118"/>
  <c r="AC2877" i="118"/>
  <c r="AB2878" i="118"/>
  <c r="AC2878" i="118"/>
  <c r="AB2879" i="118"/>
  <c r="AC2879" i="118"/>
  <c r="AB2881" i="118"/>
  <c r="AB2882" i="118"/>
  <c r="AC2882" i="118"/>
  <c r="AB2883" i="118"/>
  <c r="AC2883" i="118"/>
  <c r="AB2884" i="118"/>
  <c r="AC2884" i="118"/>
  <c r="AB2885" i="118"/>
  <c r="AB2886" i="118"/>
  <c r="AC2886" i="118"/>
  <c r="AB2887" i="118"/>
  <c r="AC2887" i="118"/>
  <c r="AB2888" i="118"/>
  <c r="AC2888" i="118"/>
  <c r="AB2889" i="118"/>
  <c r="AC2889" i="118"/>
  <c r="AB2890" i="118"/>
  <c r="AC2890" i="118"/>
  <c r="AB2891" i="118"/>
  <c r="AC2891" i="118"/>
  <c r="AB2892" i="118"/>
  <c r="AC2892" i="118"/>
  <c r="AB2893" i="118"/>
  <c r="AC2893" i="118"/>
  <c r="AB2894" i="118"/>
  <c r="AC2894" i="118"/>
  <c r="AB2895" i="118"/>
  <c r="AC2895" i="118"/>
  <c r="AB2897" i="118"/>
  <c r="AC2897" i="118"/>
  <c r="AB2898" i="118"/>
  <c r="AC2898" i="118"/>
  <c r="AB2899" i="118"/>
  <c r="AB2900" i="118"/>
  <c r="AC2900" i="118"/>
  <c r="AB2901" i="118"/>
  <c r="AC2901" i="118"/>
  <c r="AB2902" i="118"/>
  <c r="AC2902" i="118"/>
  <c r="AB2903" i="118"/>
  <c r="AC2903" i="118"/>
  <c r="AB2904" i="118"/>
  <c r="AC2904" i="118"/>
  <c r="AB2905" i="118"/>
  <c r="AC2905" i="118"/>
  <c r="AB2906" i="118"/>
  <c r="AC2906" i="118"/>
  <c r="AB2907" i="118"/>
  <c r="AC2907" i="118"/>
  <c r="AB2908" i="118"/>
  <c r="AC2908" i="118"/>
  <c r="AB2909" i="118"/>
  <c r="AC2909" i="118"/>
  <c r="AB2910" i="118"/>
  <c r="AC2910" i="118"/>
  <c r="AB2911" i="118"/>
  <c r="AC2911" i="118"/>
  <c r="AB2912" i="118"/>
  <c r="AC2912" i="118"/>
  <c r="AB2913" i="118"/>
  <c r="AC2913" i="118"/>
  <c r="AB2914" i="118"/>
  <c r="AC2914" i="118"/>
  <c r="AB2915" i="118"/>
  <c r="AC2915" i="118"/>
  <c r="AB2916" i="118"/>
  <c r="AC2916" i="118"/>
  <c r="AB2917" i="118"/>
  <c r="AC2917" i="118"/>
  <c r="AB2918" i="118"/>
  <c r="AC2918" i="118"/>
  <c r="AB2919" i="118"/>
  <c r="AC2919" i="118"/>
  <c r="AB2920" i="118"/>
  <c r="AC2920" i="118"/>
  <c r="AB2921" i="118"/>
  <c r="AC2921" i="118"/>
  <c r="AB2922" i="118"/>
  <c r="AB2923" i="118"/>
  <c r="AC2923" i="118"/>
  <c r="AB2924" i="118"/>
  <c r="AC2924" i="118"/>
  <c r="AB2925" i="118"/>
  <c r="AC2925" i="118"/>
  <c r="AB2927" i="118"/>
  <c r="AC2927" i="118"/>
  <c r="AB2929" i="118"/>
  <c r="AC2929" i="118"/>
  <c r="AB2930" i="118"/>
  <c r="AC2930" i="118"/>
  <c r="AB2931" i="118"/>
  <c r="AC2931" i="118"/>
  <c r="AB2932" i="118"/>
  <c r="AC2932" i="118"/>
  <c r="AB2933" i="118"/>
  <c r="AC2933" i="118"/>
  <c r="AB2934" i="118"/>
  <c r="AC2934" i="118"/>
  <c r="AB2935" i="118"/>
  <c r="AC2935" i="118"/>
  <c r="AB2936" i="118"/>
  <c r="AC2936" i="118"/>
  <c r="AB2937" i="118"/>
  <c r="AC2937" i="118"/>
  <c r="AB2938" i="118"/>
  <c r="AC2938" i="118"/>
  <c r="AB2939" i="118"/>
  <c r="AC2939" i="118"/>
  <c r="AB2940" i="118"/>
  <c r="AC2940" i="118"/>
  <c r="AB2941" i="118"/>
  <c r="AC2941" i="118"/>
  <c r="AB2942" i="118"/>
  <c r="AC2942" i="118"/>
  <c r="AB2943" i="118"/>
  <c r="AC2943" i="118"/>
  <c r="AB2944" i="118"/>
  <c r="AC2944" i="118"/>
  <c r="AB2945" i="118"/>
  <c r="AC2945" i="118"/>
  <c r="AB2946" i="118"/>
  <c r="AC2946" i="118"/>
  <c r="AB2947" i="118"/>
  <c r="AC2947" i="118"/>
  <c r="AB2948" i="118"/>
  <c r="AB2949" i="118"/>
  <c r="AB2950" i="118"/>
  <c r="AC2950" i="118"/>
  <c r="AB2951" i="118"/>
  <c r="AC2951" i="118"/>
  <c r="AB2952" i="118"/>
  <c r="AC2952" i="118"/>
  <c r="AB2953" i="118"/>
  <c r="AC2953" i="118"/>
  <c r="AB2954" i="118"/>
  <c r="AC2954" i="118"/>
  <c r="AB2955" i="118"/>
  <c r="AC2955" i="118"/>
  <c r="AB2956" i="118"/>
  <c r="AC2956" i="118"/>
  <c r="AB2957" i="118"/>
  <c r="AC2957" i="118"/>
  <c r="AB2958" i="118"/>
  <c r="AB2959" i="118"/>
  <c r="AC2959" i="118"/>
  <c r="AB2960" i="118"/>
  <c r="AC2960" i="118"/>
  <c r="AB2961" i="118"/>
  <c r="AC2961" i="118"/>
  <c r="AB2962" i="118"/>
  <c r="AC2962" i="118"/>
  <c r="AB2963" i="118"/>
  <c r="AC2963" i="118"/>
  <c r="AB2964" i="118"/>
  <c r="AC2964" i="118"/>
  <c r="AB2965" i="118"/>
  <c r="AC2965" i="118"/>
  <c r="AB2966" i="118"/>
  <c r="AC2966" i="118"/>
  <c r="AB2967" i="118"/>
  <c r="AC2967" i="118"/>
  <c r="AB2968" i="118"/>
  <c r="AC2968" i="118"/>
  <c r="AB2969" i="118"/>
  <c r="AC2969" i="118"/>
  <c r="AB2970" i="118"/>
  <c r="AC2970" i="118"/>
  <c r="AB2971" i="118"/>
  <c r="AC2971" i="118"/>
  <c r="AB2972" i="118"/>
  <c r="AC2972" i="118"/>
  <c r="AB2973" i="118"/>
  <c r="AC2973" i="118"/>
  <c r="AB2974" i="118"/>
  <c r="AC2974" i="118"/>
  <c r="AB2975" i="118"/>
  <c r="AC2975" i="118"/>
  <c r="AB2976" i="118"/>
  <c r="AC2976" i="118"/>
  <c r="AB2977" i="118"/>
  <c r="AC2977" i="118"/>
  <c r="AB2978" i="118"/>
  <c r="AC2978" i="118"/>
  <c r="AB2979" i="118"/>
  <c r="AC2979" i="118"/>
  <c r="AB2980" i="118"/>
  <c r="AC2980" i="118"/>
  <c r="AB2982" i="118"/>
  <c r="AC2982" i="118"/>
  <c r="AB2983" i="118"/>
  <c r="AC2983" i="118"/>
  <c r="AB2984" i="118"/>
  <c r="AC2984" i="118"/>
  <c r="AB2985" i="118"/>
  <c r="AB2986" i="118"/>
  <c r="AC2986" i="118"/>
  <c r="AB2987" i="118"/>
  <c r="AC2987" i="118"/>
  <c r="AB2988" i="118"/>
  <c r="AC2988" i="118"/>
  <c r="AB2989" i="118"/>
  <c r="AC2989" i="118"/>
  <c r="AB2990" i="118"/>
  <c r="AC2990" i="118"/>
  <c r="AB2991" i="118"/>
  <c r="AC2991" i="118"/>
  <c r="AB2992" i="118"/>
  <c r="AC2992" i="118"/>
  <c r="AB2993" i="118"/>
  <c r="AB3002" i="118"/>
  <c r="AC3002" i="118"/>
  <c r="AB3003" i="118"/>
  <c r="AC3003" i="118"/>
  <c r="AB3004" i="118"/>
  <c r="AC3004" i="118"/>
  <c r="AB3005" i="118"/>
  <c r="AC3005" i="118"/>
  <c r="AB3006" i="118"/>
  <c r="AC3006" i="118"/>
  <c r="AB2994" i="118"/>
  <c r="AC2994" i="118"/>
  <c r="AB2995" i="118"/>
  <c r="AC2995" i="118"/>
  <c r="AB2996" i="118"/>
  <c r="AC2996" i="118"/>
  <c r="AB2997" i="118"/>
  <c r="AC2997" i="118"/>
  <c r="AB2998" i="118"/>
  <c r="AC2998" i="118"/>
  <c r="AB2999" i="118"/>
  <c r="AC2999" i="118"/>
  <c r="AB3000" i="118"/>
  <c r="AC3000" i="118"/>
  <c r="AB3001" i="118"/>
  <c r="AC3001" i="118"/>
  <c r="AB3007" i="118"/>
  <c r="AC3007" i="118"/>
  <c r="AB3008" i="118"/>
  <c r="AC3008" i="118"/>
  <c r="AB3009" i="118"/>
  <c r="AC3009" i="118"/>
  <c r="AB3010" i="118"/>
  <c r="AB3012" i="118"/>
  <c r="AC3012" i="118"/>
  <c r="AB3013" i="118"/>
  <c r="AB3014" i="118"/>
  <c r="AC3014" i="118"/>
  <c r="AB3015" i="118"/>
  <c r="AC3015" i="118"/>
  <c r="AB3016" i="118"/>
  <c r="AC3016" i="118"/>
  <c r="AB3017" i="118"/>
  <c r="AC3017" i="118"/>
  <c r="AB3018" i="118"/>
  <c r="AC3018" i="118"/>
  <c r="AB3019" i="118"/>
  <c r="AC3019" i="118"/>
  <c r="AB3020" i="118"/>
  <c r="AC3020" i="118"/>
  <c r="AB3021" i="118"/>
  <c r="AB3022" i="118"/>
  <c r="AC3022" i="118"/>
  <c r="AB3023" i="118"/>
  <c r="AC3023" i="118"/>
  <c r="AB3024" i="118"/>
  <c r="AC3024" i="118"/>
  <c r="AB3025" i="118"/>
  <c r="AC3025" i="118"/>
  <c r="AB3026" i="118"/>
  <c r="AC3026" i="118"/>
  <c r="AB3027" i="118"/>
  <c r="AC3027" i="118"/>
  <c r="AB3028" i="118"/>
  <c r="AC3028" i="118"/>
  <c r="AB3029" i="118"/>
  <c r="AC3029" i="118"/>
  <c r="AB3030" i="118"/>
  <c r="AC3030" i="118"/>
  <c r="AB3031" i="118"/>
  <c r="AC3031" i="118"/>
  <c r="AB3032" i="118"/>
  <c r="AC3032" i="118"/>
  <c r="AB3033" i="118"/>
  <c r="AC3033" i="118"/>
  <c r="AB3034" i="118"/>
  <c r="AC3034" i="118"/>
  <c r="AB3035" i="118"/>
  <c r="AC3035" i="118"/>
  <c r="AB3036" i="118"/>
  <c r="AC3036" i="118"/>
  <c r="AB3037" i="118"/>
  <c r="AC3037" i="118"/>
  <c r="AB3038" i="118"/>
  <c r="AC3038" i="118"/>
  <c r="AB3039" i="118"/>
  <c r="AC3039" i="118"/>
  <c r="AB3040" i="118"/>
  <c r="AC3040" i="118"/>
  <c r="AB3041" i="118"/>
  <c r="AC3041" i="118"/>
  <c r="AB3042" i="118"/>
  <c r="AC3042" i="118"/>
  <c r="AB3043" i="118"/>
  <c r="AC3043" i="118"/>
  <c r="AB3044" i="118"/>
  <c r="AC3044" i="118"/>
  <c r="AB3045" i="118"/>
  <c r="AC3045" i="118"/>
  <c r="AB3046" i="118"/>
  <c r="AC3046" i="118"/>
  <c r="AB3047" i="118"/>
  <c r="AC3047" i="118"/>
  <c r="AB3048" i="118"/>
  <c r="AC3048" i="118"/>
  <c r="AB3049" i="118"/>
  <c r="AC3049" i="118"/>
  <c r="AB3050" i="118"/>
  <c r="AC3050" i="118"/>
  <c r="AB3051" i="118"/>
  <c r="AC3051" i="118"/>
  <c r="AB3052" i="118"/>
  <c r="AC3052" i="118"/>
  <c r="AB3053" i="118"/>
  <c r="AC3053" i="118"/>
  <c r="AB3054" i="118"/>
  <c r="AC3054" i="118"/>
  <c r="AB3055" i="118"/>
  <c r="AC3055" i="118"/>
  <c r="AB3056" i="118"/>
  <c r="AC3056" i="118"/>
  <c r="AB3057" i="118"/>
  <c r="AC3057" i="118"/>
  <c r="AB3058" i="118"/>
  <c r="AC3058" i="118"/>
  <c r="AB3059" i="118"/>
  <c r="AC3059" i="118"/>
  <c r="AB3060" i="118"/>
  <c r="AC3060" i="118"/>
  <c r="AB3061" i="118"/>
  <c r="AC3061" i="118"/>
  <c r="AB3062" i="118"/>
  <c r="AC3062" i="118"/>
  <c r="AB3063" i="118"/>
  <c r="AC3063" i="118"/>
  <c r="AB3064" i="118"/>
  <c r="AC3064" i="118"/>
  <c r="AB3065" i="118"/>
  <c r="AC3065" i="118"/>
  <c r="AB3066" i="118"/>
  <c r="AC3066" i="118"/>
  <c r="AB3067" i="118"/>
  <c r="AC3067" i="118"/>
  <c r="AB3068" i="118"/>
  <c r="AC3068" i="118"/>
  <c r="AB3069" i="118"/>
  <c r="AC3069" i="118"/>
  <c r="AB3070" i="118"/>
  <c r="AC3070" i="118"/>
  <c r="AB3071" i="118"/>
  <c r="AC3071" i="118"/>
  <c r="AB3072" i="118"/>
  <c r="AC3072" i="118"/>
  <c r="AB3073" i="118"/>
  <c r="AC3073" i="118"/>
  <c r="AB3074" i="118"/>
  <c r="AC3074" i="118"/>
  <c r="AB3075" i="118"/>
  <c r="AC3075" i="118"/>
  <c r="AB3076" i="118"/>
  <c r="AC3076" i="118"/>
  <c r="AB3077" i="118"/>
  <c r="AC3077" i="118"/>
  <c r="AB3078" i="118"/>
  <c r="AC3078" i="118"/>
  <c r="AB3079" i="118"/>
  <c r="AC3079" i="118"/>
  <c r="AB3080" i="118"/>
  <c r="AC3080" i="118"/>
  <c r="AB3081" i="118"/>
  <c r="AC3081" i="118"/>
  <c r="AB3082" i="118"/>
  <c r="AC3082" i="118"/>
  <c r="AB3083" i="118"/>
  <c r="AC3083" i="118"/>
  <c r="AB3084" i="118"/>
  <c r="AC3084" i="118"/>
  <c r="AB3085" i="118"/>
  <c r="AC3085" i="118"/>
  <c r="AB3086" i="118"/>
  <c r="AC3086" i="118"/>
  <c r="AB3087" i="118"/>
  <c r="AC3087" i="118"/>
  <c r="AB3088" i="118"/>
  <c r="AC3088" i="118"/>
  <c r="AB3089" i="118"/>
  <c r="AC3089" i="118"/>
  <c r="AB3090" i="118"/>
  <c r="AC3090" i="118"/>
  <c r="AB3091" i="118"/>
  <c r="AC3091" i="118"/>
  <c r="AB3092" i="118"/>
  <c r="AC3092" i="118"/>
  <c r="AB3093" i="118"/>
  <c r="AC3093" i="118"/>
  <c r="AB3094" i="118"/>
  <c r="AC3094" i="118"/>
  <c r="AB3095" i="118"/>
  <c r="AC3095" i="118"/>
  <c r="AB3096" i="118"/>
  <c r="AC3096" i="118"/>
  <c r="AB3097" i="118"/>
  <c r="AC3097" i="118"/>
  <c r="AB3098" i="118"/>
  <c r="AC3098" i="118"/>
  <c r="AB3099" i="118"/>
  <c r="AC3099" i="118"/>
  <c r="AB3100" i="118"/>
  <c r="AC3100" i="118"/>
  <c r="AB3101" i="118"/>
  <c r="AC3101" i="118"/>
  <c r="AB3102" i="118"/>
  <c r="AC3102" i="118"/>
  <c r="AB3103" i="118"/>
  <c r="AC3103" i="118"/>
  <c r="AB3104" i="118"/>
  <c r="AC3104" i="118"/>
  <c r="AB3105" i="118"/>
  <c r="AC3105" i="118"/>
  <c r="AB3107" i="118"/>
  <c r="AC3107" i="118"/>
  <c r="AB3109" i="118"/>
  <c r="AC3109" i="118"/>
  <c r="AB3110" i="118"/>
  <c r="AC3110" i="118"/>
  <c r="AB3111" i="118"/>
  <c r="AC3111" i="118"/>
  <c r="AB3112" i="118"/>
  <c r="AC3112" i="118"/>
  <c r="AB3113" i="118"/>
  <c r="AC3113" i="118"/>
  <c r="AB3114" i="118"/>
  <c r="AC3114" i="118"/>
  <c r="AB3116" i="118"/>
  <c r="AB3119" i="118"/>
  <c r="AB3120" i="118"/>
  <c r="AC3120" i="118"/>
  <c r="AB3121" i="118"/>
  <c r="AC3121" i="118"/>
  <c r="AB3123" i="118"/>
  <c r="AC3123" i="118"/>
  <c r="AB3124" i="118"/>
  <c r="AC3124" i="118"/>
  <c r="AB3125" i="118"/>
  <c r="AC3125" i="118"/>
  <c r="AB3126" i="118"/>
  <c r="AB3127" i="118"/>
  <c r="AC3127" i="118"/>
  <c r="AB3128" i="118"/>
  <c r="AC3128" i="118"/>
  <c r="AB3129" i="118"/>
  <c r="AB3130" i="118"/>
  <c r="AC3130" i="118"/>
  <c r="AB3131" i="118"/>
  <c r="AC3131" i="118"/>
  <c r="AB3132" i="118"/>
  <c r="AC3132" i="118"/>
  <c r="AB3137" i="118"/>
  <c r="AB3138" i="118"/>
  <c r="AC3138" i="118"/>
  <c r="AB3139" i="118"/>
  <c r="AC3139" i="118"/>
  <c r="AB3140" i="118"/>
  <c r="AC3140" i="118"/>
  <c r="AB3142" i="118"/>
  <c r="AC3142" i="118"/>
  <c r="AB3143" i="118"/>
  <c r="AC3143" i="118"/>
  <c r="AB3144" i="118"/>
  <c r="AB3145" i="118"/>
  <c r="AC3145" i="118"/>
  <c r="AB3146" i="118"/>
  <c r="AC3146" i="118"/>
  <c r="AB3147" i="118"/>
  <c r="AC3147" i="118"/>
  <c r="AB3148" i="118"/>
  <c r="AB3149" i="118"/>
  <c r="AC3149" i="118"/>
  <c r="AB3150" i="118"/>
  <c r="AC3150" i="118"/>
  <c r="AB3151" i="118"/>
  <c r="AC3151" i="118"/>
  <c r="AB3152" i="118"/>
  <c r="AC3152" i="118"/>
  <c r="AB3153" i="118"/>
  <c r="AB3154" i="118"/>
  <c r="AC3154" i="118"/>
  <c r="AB3155" i="118"/>
  <c r="AC3155" i="118"/>
  <c r="AB3156" i="118"/>
  <c r="AC3156" i="118"/>
  <c r="AB3157" i="118"/>
  <c r="AC3157" i="118"/>
  <c r="AB3158" i="118"/>
  <c r="AC3158" i="118"/>
  <c r="AB3159" i="118"/>
  <c r="AC3159" i="118"/>
  <c r="AB3160" i="118"/>
  <c r="AB3161" i="118"/>
  <c r="AC3161" i="118"/>
  <c r="AB3162" i="118"/>
  <c r="AC3162" i="118"/>
  <c r="AB3163" i="118"/>
  <c r="AC3163" i="118"/>
  <c r="AB3164" i="118"/>
  <c r="AC3164" i="118"/>
  <c r="AB3165" i="118"/>
  <c r="AC3165" i="118"/>
  <c r="AB3166" i="118"/>
  <c r="AC3166" i="118"/>
  <c r="AB3167" i="118"/>
  <c r="AC3167" i="118"/>
  <c r="AB3168" i="118"/>
  <c r="AC3168" i="118"/>
  <c r="AB3169" i="118"/>
  <c r="AC3169" i="118"/>
  <c r="AB3170" i="118"/>
  <c r="AC3170" i="118"/>
  <c r="AB3171" i="118"/>
  <c r="AB3172" i="118"/>
  <c r="AC3172" i="118"/>
  <c r="AB3173" i="118"/>
  <c r="AC3173" i="118"/>
  <c r="AB3174" i="118"/>
  <c r="AC3174" i="118"/>
  <c r="AB3175" i="118"/>
  <c r="AC3175" i="118"/>
  <c r="AB3176" i="118"/>
  <c r="AC3176" i="118"/>
  <c r="AB3177" i="118"/>
  <c r="AB3178" i="118"/>
  <c r="AB3179" i="118"/>
  <c r="AC3179" i="118"/>
  <c r="AB3180" i="118"/>
  <c r="AB3181" i="118"/>
  <c r="AC3181" i="118"/>
  <c r="AB3182" i="118"/>
  <c r="AC3182" i="118"/>
  <c r="AB3183" i="118"/>
  <c r="AC3183" i="118"/>
  <c r="AB3184" i="118"/>
  <c r="AC3184" i="118"/>
  <c r="AB3185" i="118"/>
  <c r="AC3185" i="118"/>
  <c r="AB3186" i="118"/>
  <c r="AC3186" i="118"/>
  <c r="AB3187" i="118"/>
  <c r="AB3188" i="118"/>
  <c r="AC3188" i="118"/>
  <c r="AB3190" i="118"/>
  <c r="AC3190" i="118"/>
  <c r="BG3190" i="118" s="1"/>
  <c r="AB3193" i="118"/>
  <c r="BF3193" i="118" s="1"/>
  <c r="AC3193" i="118"/>
  <c r="AB3194" i="118"/>
  <c r="BF3194" i="118" s="1"/>
  <c r="AC3194" i="118"/>
  <c r="AB3195" i="118"/>
  <c r="BF3195" i="118" s="1"/>
  <c r="AB3196" i="118"/>
  <c r="AC3196" i="118"/>
  <c r="AB3197" i="118"/>
  <c r="AC3197" i="118"/>
  <c r="AB3198" i="118"/>
  <c r="AC3198" i="118"/>
  <c r="AB3199" i="118"/>
  <c r="AC3199" i="118"/>
  <c r="AB3200" i="118"/>
  <c r="AB3201" i="118"/>
  <c r="BF3201" i="118" s="1"/>
  <c r="AB3202" i="118"/>
  <c r="AB3203" i="118"/>
  <c r="BF3203" i="118" s="1"/>
  <c r="AB3206" i="118"/>
  <c r="AC3206" i="118"/>
  <c r="AB3207" i="118"/>
  <c r="AC3207" i="118"/>
  <c r="AB3208" i="118"/>
  <c r="AC3208" i="118"/>
  <c r="AB3209" i="118"/>
  <c r="AC3209" i="118"/>
  <c r="AB3210" i="118"/>
  <c r="AC3210" i="118"/>
  <c r="AB3211" i="118"/>
  <c r="AC3211" i="118"/>
  <c r="AB3212" i="118"/>
  <c r="AC3212" i="118"/>
  <c r="AB3214" i="118"/>
  <c r="AC3214" i="118"/>
  <c r="AB3213" i="118"/>
  <c r="AC3213" i="118"/>
  <c r="AB3215" i="118"/>
  <c r="AC3215" i="118"/>
  <c r="AB3216" i="118"/>
  <c r="AB3217" i="118"/>
  <c r="BF3217" i="118" s="1"/>
  <c r="AC3217" i="118"/>
  <c r="AB3218" i="118"/>
  <c r="BF3218" i="118" s="1"/>
  <c r="AC3218" i="118"/>
  <c r="AB3219" i="118"/>
  <c r="BF3219" i="118" s="1"/>
  <c r="AC3219" i="118"/>
  <c r="AB3220" i="118"/>
  <c r="BF3220" i="118" s="1"/>
  <c r="AC3220" i="118"/>
  <c r="AB3221" i="118"/>
  <c r="BF3221" i="118" s="1"/>
  <c r="AC3221" i="118"/>
  <c r="AB3222" i="118"/>
  <c r="BF3222" i="118" s="1"/>
  <c r="AC3222" i="118"/>
  <c r="AB3223" i="118"/>
  <c r="BF3223" i="118" s="1"/>
  <c r="AB3224" i="118"/>
  <c r="AB3225" i="118"/>
  <c r="BF3225" i="118" s="1"/>
  <c r="AC3225" i="118"/>
  <c r="AB3226" i="118"/>
  <c r="BF3226" i="118" s="1"/>
  <c r="AC3226" i="118"/>
  <c r="AB3227" i="118"/>
  <c r="BF3227" i="118" s="1"/>
  <c r="AB3228" i="118"/>
  <c r="AC3228" i="118"/>
  <c r="AB3229" i="118"/>
  <c r="AB3231" i="118"/>
  <c r="BF3231" i="118" s="1"/>
  <c r="AC3231" i="118"/>
  <c r="AB3232" i="118"/>
  <c r="BF3232" i="118" s="1"/>
  <c r="AC3232" i="118"/>
  <c r="AB3233" i="118"/>
  <c r="BF3233" i="118" s="1"/>
  <c r="AB3234" i="118"/>
  <c r="AC3234" i="118"/>
  <c r="AB3235" i="118"/>
  <c r="AC3235" i="118"/>
  <c r="AB3236" i="118"/>
  <c r="AC3236" i="118"/>
  <c r="AB3237" i="118"/>
  <c r="AC3237" i="118"/>
  <c r="AB3238" i="118"/>
  <c r="AB3239" i="118"/>
  <c r="BF3239" i="118" s="1"/>
  <c r="AC3239" i="118"/>
  <c r="AB3240" i="118"/>
  <c r="BF3240" i="118" s="1"/>
  <c r="AC3240" i="118"/>
  <c r="AB3241" i="118"/>
  <c r="BF3241" i="118" s="1"/>
  <c r="AB3242" i="118"/>
  <c r="AC3242" i="118"/>
  <c r="AB3245" i="118"/>
  <c r="AC3245" i="118"/>
  <c r="AB3246" i="118"/>
  <c r="AC3246" i="118"/>
  <c r="AB3248" i="118"/>
  <c r="AC3248" i="118"/>
  <c r="AB3249" i="118"/>
  <c r="AB3250" i="118"/>
  <c r="AB3251" i="118"/>
  <c r="AC3251" i="118"/>
  <c r="AB3252" i="118"/>
  <c r="AC3252" i="118"/>
  <c r="AB3253" i="118"/>
  <c r="AC3253" i="118"/>
  <c r="AB3254" i="118"/>
  <c r="AB3256" i="118"/>
  <c r="AC3256" i="118"/>
  <c r="AB3257" i="118"/>
  <c r="AB3258" i="118"/>
  <c r="AC3258" i="118"/>
  <c r="AB3259" i="118"/>
  <c r="AC3259" i="118"/>
  <c r="AB3260" i="118"/>
  <c r="AC3260" i="118"/>
  <c r="AB3261" i="118"/>
  <c r="AB3262" i="118"/>
  <c r="AC3262" i="118"/>
  <c r="AB3263" i="118"/>
  <c r="AC3263" i="118"/>
  <c r="AB3264" i="118"/>
  <c r="AB3265" i="118"/>
  <c r="AC3265" i="118"/>
  <c r="AB3266" i="118"/>
  <c r="AC3266" i="118"/>
  <c r="AB3267" i="118"/>
  <c r="AC3267" i="118"/>
  <c r="AB3268" i="118"/>
  <c r="AC3268" i="118"/>
  <c r="AB3269" i="118"/>
  <c r="AC3269" i="118"/>
  <c r="AB3270" i="118"/>
  <c r="AC3270" i="118"/>
  <c r="AB3271" i="118"/>
  <c r="AC3271" i="118"/>
  <c r="AB3272" i="118"/>
  <c r="AC3272" i="118"/>
  <c r="AB3273" i="118"/>
  <c r="AC3273" i="118"/>
  <c r="AB3275" i="118"/>
  <c r="AC3275" i="118"/>
  <c r="AB3277" i="118"/>
  <c r="AC3277" i="118"/>
  <c r="AB3278" i="118"/>
  <c r="AC3278" i="118"/>
  <c r="AB3279" i="118"/>
  <c r="AC3279" i="118"/>
  <c r="AB3280" i="118"/>
  <c r="AC3280" i="118"/>
  <c r="AB3281" i="118"/>
  <c r="AC3281" i="118"/>
  <c r="AB3282" i="118"/>
  <c r="AB3283" i="118"/>
  <c r="AC3283" i="118"/>
  <c r="AB3285" i="118"/>
  <c r="AC3285" i="118"/>
  <c r="AB3286" i="118"/>
  <c r="AC3286" i="118"/>
  <c r="AB3287" i="118"/>
  <c r="AB3289" i="118"/>
  <c r="AC3289" i="118"/>
  <c r="AB3290" i="118"/>
  <c r="AC3290" i="118"/>
  <c r="AB3291" i="118"/>
  <c r="AC3291" i="118"/>
  <c r="AB3292" i="118"/>
  <c r="AC3292" i="118"/>
  <c r="AB3293" i="118"/>
  <c r="AB3294" i="118"/>
  <c r="AC3294" i="118"/>
  <c r="AB3295" i="118"/>
  <c r="AB3296" i="118"/>
  <c r="AB3297" i="118"/>
  <c r="AB3299" i="118"/>
  <c r="AC3299" i="118"/>
  <c r="AB3300" i="118"/>
  <c r="AC3300" i="118"/>
  <c r="AB3301" i="118"/>
  <c r="AC3301" i="118"/>
  <c r="AB3302" i="118"/>
  <c r="AC3302" i="118"/>
  <c r="AB3303" i="118"/>
  <c r="AC3303" i="118"/>
  <c r="AB3304" i="118"/>
  <c r="AB3305" i="118"/>
  <c r="AC3305" i="118"/>
  <c r="AB3306" i="118"/>
  <c r="AC3306" i="118"/>
  <c r="AB3307" i="118"/>
  <c r="AC3307" i="118"/>
  <c r="AB3308" i="118"/>
  <c r="AC3308" i="118"/>
  <c r="AB3309" i="118"/>
  <c r="AC3309" i="118"/>
  <c r="AB3310" i="118"/>
  <c r="AC3310" i="118"/>
  <c r="AB3311" i="118"/>
  <c r="AC3311" i="118"/>
  <c r="AB3312" i="118"/>
  <c r="AC3312" i="118"/>
  <c r="AB3313" i="118"/>
  <c r="AC3313" i="118"/>
  <c r="AB3315" i="118"/>
  <c r="AC3315" i="118"/>
  <c r="AB3316" i="118"/>
  <c r="AC3316" i="118"/>
  <c r="AB3317" i="118"/>
  <c r="AC3317" i="118"/>
  <c r="AB3318" i="118"/>
  <c r="AB3319" i="118"/>
  <c r="AC3319" i="118"/>
  <c r="AB3321" i="118"/>
  <c r="AC3321" i="118"/>
  <c r="AB3322" i="118"/>
  <c r="AC3322" i="118"/>
  <c r="AB3323" i="118"/>
  <c r="AC3323" i="118"/>
  <c r="AB3324" i="118"/>
  <c r="AC3324" i="118"/>
  <c r="AB3325" i="118"/>
  <c r="AC3325" i="118"/>
  <c r="AB3326" i="118"/>
  <c r="AC3326" i="118"/>
  <c r="AB3327" i="118"/>
  <c r="AC3327" i="118"/>
  <c r="AB3328" i="118"/>
  <c r="AC3328" i="118"/>
  <c r="AB3329" i="118"/>
  <c r="AB3330" i="118"/>
  <c r="AC3330" i="118"/>
  <c r="AB3331" i="118"/>
  <c r="AC3331" i="118"/>
  <c r="AB3332" i="118"/>
  <c r="AB3334" i="118"/>
  <c r="AC3334" i="118"/>
  <c r="AB3335" i="118"/>
  <c r="AC3335" i="118"/>
  <c r="AB3336" i="118"/>
  <c r="AC3336" i="118"/>
  <c r="AB3337" i="118"/>
  <c r="AC3337" i="118"/>
  <c r="AB3338" i="118"/>
  <c r="AC3338" i="118"/>
  <c r="AB3339" i="118"/>
  <c r="AC3339" i="118"/>
  <c r="AB3340" i="118"/>
  <c r="AC3340" i="118"/>
  <c r="AB3341" i="118"/>
  <c r="AC3341" i="118"/>
  <c r="AB3342" i="118"/>
  <c r="AC3342" i="118"/>
  <c r="AB3343" i="118"/>
  <c r="AC3343" i="118"/>
  <c r="AB3344" i="118"/>
  <c r="AC3344" i="118"/>
  <c r="AB3345" i="118"/>
  <c r="AC3345" i="118"/>
  <c r="AB3347" i="118"/>
  <c r="AC3347" i="118"/>
  <c r="AB3348" i="118"/>
  <c r="AC3348" i="118"/>
  <c r="AB3349" i="118"/>
  <c r="AC3349" i="118"/>
  <c r="AB3350" i="118"/>
  <c r="AC3350" i="118"/>
  <c r="AB3352" i="118"/>
  <c r="AB3353" i="118"/>
  <c r="AC3353" i="118"/>
  <c r="AB3354" i="118"/>
  <c r="AC3354" i="118"/>
  <c r="AB3355" i="118"/>
  <c r="AC3355" i="118"/>
  <c r="AB3356" i="118"/>
  <c r="AC3356" i="118"/>
  <c r="AB3357" i="118"/>
  <c r="AC3357" i="118"/>
  <c r="AB3358" i="118"/>
  <c r="AC3358" i="118"/>
  <c r="AB3359" i="118"/>
  <c r="AB3360" i="118"/>
  <c r="AC3360" i="118"/>
  <c r="AB3361" i="118"/>
  <c r="AC3361" i="118"/>
  <c r="AB3362" i="118"/>
  <c r="AC3362" i="118"/>
  <c r="AB3363" i="118"/>
  <c r="AC3363" i="118"/>
  <c r="AB3364" i="118"/>
  <c r="AC3364" i="118"/>
  <c r="AB3365" i="118"/>
  <c r="AB3366" i="118"/>
  <c r="AC3366" i="118"/>
  <c r="AB3367" i="118"/>
  <c r="AC3367" i="118"/>
  <c r="AB3368" i="118"/>
  <c r="AB3369" i="118"/>
  <c r="AC3369" i="118"/>
  <c r="AB3370" i="118"/>
  <c r="AC3370" i="118"/>
  <c r="AB3371" i="118"/>
  <c r="AC3371" i="118"/>
  <c r="AB3372" i="118"/>
  <c r="AC3372" i="118"/>
  <c r="AB3373" i="118"/>
  <c r="AC3373" i="118"/>
  <c r="AB3374" i="118"/>
  <c r="AC3374" i="118"/>
  <c r="AB3375" i="118"/>
  <c r="AC3375" i="118"/>
  <c r="AB3376" i="118"/>
  <c r="AC3376" i="118"/>
  <c r="AB3377" i="118"/>
  <c r="AB3378" i="118"/>
  <c r="AC3378" i="118"/>
  <c r="AB3379" i="118"/>
  <c r="AC3379" i="118"/>
  <c r="AB3380" i="118"/>
  <c r="AC3380" i="118"/>
  <c r="AB3381" i="118"/>
  <c r="AC3381" i="118"/>
  <c r="AB3382" i="118"/>
  <c r="AC3382" i="118"/>
  <c r="AB3383" i="118"/>
  <c r="AC3383" i="118"/>
  <c r="AB3384" i="118"/>
  <c r="AC3384" i="118"/>
  <c r="AB3385" i="118"/>
  <c r="AC3385" i="118"/>
  <c r="AB3386" i="118"/>
  <c r="AC3386" i="118"/>
  <c r="AB3387" i="118"/>
  <c r="AC3387" i="118"/>
  <c r="AB3388" i="118"/>
  <c r="AC3388" i="118"/>
  <c r="AB3389" i="118"/>
  <c r="AB3390" i="118"/>
  <c r="AC3390" i="118"/>
  <c r="AB3391" i="118"/>
  <c r="AC3391" i="118"/>
  <c r="AB3392" i="118"/>
  <c r="AC3392" i="118"/>
  <c r="AB3393" i="118"/>
  <c r="AC3393" i="118"/>
  <c r="AB3394" i="118"/>
  <c r="AC3394" i="118"/>
  <c r="AB3396" i="118"/>
  <c r="AC3396" i="118"/>
  <c r="AB3397" i="118"/>
  <c r="AC3397" i="118"/>
  <c r="AB3398" i="118"/>
  <c r="AC3398" i="118"/>
  <c r="AB3399" i="118"/>
  <c r="AC3399" i="118"/>
  <c r="AB3400" i="118"/>
  <c r="AC3400" i="118"/>
  <c r="AB3402" i="118"/>
  <c r="AC3402" i="118"/>
  <c r="AB3403" i="118"/>
  <c r="AC3403" i="118"/>
  <c r="AB3404" i="118"/>
  <c r="AC3404" i="118"/>
  <c r="AB3405" i="118"/>
  <c r="AC3405" i="118"/>
  <c r="AB3406" i="118"/>
  <c r="AC3406" i="118"/>
  <c r="AB3407" i="118"/>
  <c r="AC3407" i="118"/>
  <c r="AB3408" i="118"/>
  <c r="AC3408" i="118"/>
  <c r="AB3410" i="118"/>
  <c r="AC3410" i="118"/>
  <c r="AB3411" i="118"/>
  <c r="AC3411" i="118"/>
  <c r="AB3412" i="118"/>
  <c r="AC3412" i="118"/>
  <c r="AB3413" i="118"/>
  <c r="AC3413" i="118"/>
  <c r="AB3415" i="118"/>
  <c r="AB3416" i="118"/>
  <c r="AC3416" i="118"/>
  <c r="AB3417" i="118"/>
  <c r="AC3417" i="118"/>
  <c r="AB3418" i="118"/>
  <c r="AC3418" i="118"/>
  <c r="AB3419" i="118"/>
  <c r="AC3419" i="118"/>
  <c r="AB3420" i="118"/>
  <c r="AC3420" i="118"/>
  <c r="AB3421" i="118"/>
  <c r="AC3421" i="118"/>
  <c r="AB3423" i="118"/>
  <c r="AC3423" i="118"/>
  <c r="AB3424" i="118"/>
  <c r="AC3424" i="118"/>
  <c r="AB3425" i="118"/>
  <c r="AC3425" i="118"/>
  <c r="AB3426" i="118"/>
  <c r="AC3426" i="118"/>
  <c r="AB3431" i="118"/>
  <c r="AB3432" i="118"/>
  <c r="AC3432" i="118"/>
  <c r="AB3435" i="118"/>
  <c r="AC3435" i="118"/>
  <c r="AB3436" i="118"/>
  <c r="AC3436" i="118"/>
  <c r="AB3437" i="118"/>
  <c r="AC3437" i="118"/>
  <c r="AB3438" i="118"/>
  <c r="AC3438" i="118"/>
  <c r="AB3439" i="118"/>
  <c r="AB3440" i="118"/>
  <c r="AB3441" i="118"/>
  <c r="AB3442" i="118"/>
  <c r="AB3443" i="118"/>
  <c r="AB3444" i="118"/>
  <c r="AB3445" i="118"/>
  <c r="AC3445" i="118"/>
  <c r="AB3446" i="118"/>
  <c r="AB3447" i="118"/>
  <c r="AB3448" i="118"/>
  <c r="AB3449" i="118"/>
  <c r="AC3449" i="118"/>
  <c r="AB3450" i="118"/>
  <c r="AB3451" i="118"/>
  <c r="AB3452" i="118"/>
  <c r="AB3453" i="118"/>
  <c r="AB3454" i="118"/>
  <c r="AC3454" i="118"/>
  <c r="AB3455" i="118"/>
  <c r="AB3456" i="118"/>
  <c r="AB3457" i="118"/>
  <c r="AC3457" i="118"/>
  <c r="AB3459" i="118"/>
  <c r="AC3459" i="118"/>
  <c r="AB3460" i="118"/>
  <c r="AC3460" i="118"/>
  <c r="AB3462" i="118"/>
  <c r="AC3462" i="118"/>
  <c r="AB3463" i="118"/>
  <c r="AC3463" i="118"/>
  <c r="AB3464" i="118"/>
  <c r="AC3464" i="118"/>
  <c r="AB3465" i="118"/>
  <c r="AC3465" i="118"/>
  <c r="AB3466" i="118"/>
  <c r="AC3466" i="118"/>
  <c r="AB3467" i="118"/>
  <c r="AC3467" i="118"/>
  <c r="AB3468" i="118"/>
  <c r="AC3468" i="118"/>
  <c r="AB3469" i="118"/>
  <c r="AC3469" i="118"/>
  <c r="AB3470" i="118"/>
  <c r="AC3470" i="118"/>
  <c r="AB3471" i="118"/>
  <c r="AC3471" i="118"/>
  <c r="AB3472" i="118"/>
  <c r="AC3472" i="118"/>
  <c r="AB3473" i="118"/>
  <c r="AC3473" i="118"/>
  <c r="AB3475" i="118"/>
  <c r="AC3475" i="118"/>
  <c r="AB3476" i="118"/>
  <c r="AC3476" i="118"/>
  <c r="AB3479" i="118"/>
  <c r="AC3479" i="118"/>
  <c r="AB3480" i="118"/>
  <c r="AC3480" i="118"/>
  <c r="AB3481" i="118"/>
  <c r="AC3481" i="118"/>
  <c r="AB3482" i="118"/>
  <c r="AC3482" i="118"/>
  <c r="AB3483" i="118"/>
  <c r="AC3483" i="118"/>
  <c r="AB3484" i="118"/>
  <c r="AC3484" i="118"/>
  <c r="AB3485" i="118"/>
  <c r="AC3485" i="118"/>
  <c r="AB3486" i="118"/>
  <c r="AC3486" i="118"/>
  <c r="AB3487" i="118"/>
  <c r="AC3487" i="118"/>
  <c r="AB3488" i="118"/>
  <c r="AC3488" i="118"/>
  <c r="AB3489" i="118"/>
  <c r="AC3489" i="118"/>
  <c r="AB3490" i="118"/>
  <c r="AC3490" i="118"/>
  <c r="AB3491" i="118"/>
  <c r="AC3491" i="118"/>
  <c r="AB3492" i="118"/>
  <c r="AC3492" i="118"/>
  <c r="AB3493" i="118"/>
  <c r="AC3493" i="118"/>
  <c r="AB3494" i="118"/>
  <c r="AC3494" i="118"/>
  <c r="AB3495" i="118"/>
  <c r="AC3495" i="118"/>
  <c r="AB3497" i="118"/>
  <c r="AC3497" i="118"/>
  <c r="AB3498" i="118"/>
  <c r="AC3498" i="118"/>
  <c r="AB3499" i="118"/>
  <c r="AC3499" i="118"/>
  <c r="AB3500" i="118"/>
  <c r="AC3500" i="118"/>
  <c r="AB3501" i="118"/>
  <c r="AC3501" i="118"/>
  <c r="AB3502" i="118"/>
  <c r="AC3502" i="118"/>
  <c r="AB3503" i="118"/>
  <c r="AC3503" i="118"/>
  <c r="AB3504" i="118"/>
  <c r="AC3504" i="118"/>
  <c r="AB3505" i="118"/>
  <c r="AC3505" i="118"/>
  <c r="AB3506" i="118"/>
  <c r="AC3506" i="118"/>
  <c r="AB3507" i="118"/>
  <c r="AC3507" i="118"/>
  <c r="AB3508" i="118"/>
  <c r="AC3508" i="118"/>
  <c r="AB3509" i="118"/>
  <c r="AC3509" i="118"/>
  <c r="AB3510" i="118"/>
  <c r="AC3510" i="118"/>
  <c r="AB3511" i="118"/>
  <c r="AC3511" i="118"/>
  <c r="AB3513" i="118"/>
  <c r="AC3513" i="118"/>
  <c r="AB3514" i="118"/>
  <c r="AC3514" i="118"/>
  <c r="AB3515" i="118"/>
  <c r="AC3515" i="118"/>
  <c r="AB3516" i="118"/>
  <c r="AC3516" i="118"/>
  <c r="AB3517" i="118"/>
  <c r="AC3517" i="118"/>
  <c r="AB3518" i="118"/>
  <c r="AC3518" i="118"/>
  <c r="AB3519" i="118"/>
  <c r="AC3519" i="118"/>
  <c r="AB3520" i="118"/>
  <c r="AC3520" i="118"/>
  <c r="AB3521" i="118"/>
  <c r="AC3521" i="118"/>
  <c r="AB3522" i="118"/>
  <c r="AC3522" i="118"/>
  <c r="AB3523" i="118"/>
  <c r="AC3523" i="118"/>
  <c r="AB3524" i="118"/>
  <c r="AC3524" i="118"/>
  <c r="AB3526" i="118"/>
  <c r="AC3526" i="118"/>
  <c r="AB3527" i="118"/>
  <c r="AC3527" i="118"/>
  <c r="AB3528" i="118"/>
  <c r="AC3528" i="118"/>
  <c r="AB3529" i="118"/>
  <c r="AC3529" i="118"/>
  <c r="AB3530" i="118"/>
  <c r="AC3530" i="118"/>
  <c r="AB3531" i="118"/>
  <c r="AC3531" i="118"/>
  <c r="AB3532" i="118"/>
  <c r="AC3532" i="118"/>
  <c r="AB3533" i="118"/>
  <c r="AC3533" i="118"/>
  <c r="AB3534" i="118"/>
  <c r="AC3534" i="118"/>
  <c r="AB3535" i="118"/>
  <c r="AC3535" i="118"/>
  <c r="AB3536" i="118"/>
  <c r="AC3536" i="118"/>
  <c r="AB3537" i="118"/>
  <c r="AC3537" i="118"/>
  <c r="AB3538" i="118"/>
  <c r="AC3538" i="118"/>
  <c r="AB3540" i="118"/>
  <c r="AC3540" i="118"/>
  <c r="AB3541" i="118"/>
  <c r="AC3541" i="118"/>
  <c r="AB3542" i="118"/>
  <c r="AC3542" i="118"/>
  <c r="AB3543" i="118"/>
  <c r="AC3543" i="118"/>
  <c r="AB3544" i="118"/>
  <c r="AC3544" i="118"/>
  <c r="AB3545" i="118"/>
  <c r="AC3545" i="118"/>
  <c r="AB3546" i="118"/>
  <c r="AC3546" i="118"/>
  <c r="AB3547" i="118"/>
  <c r="AC3547" i="118"/>
  <c r="AB3548" i="118"/>
  <c r="AC3548" i="118"/>
  <c r="AB3549" i="118"/>
  <c r="AC3549" i="118"/>
  <c r="AB3550" i="118"/>
  <c r="AC3550" i="118"/>
  <c r="AB3552" i="118"/>
  <c r="AC3552" i="118"/>
  <c r="AB3553" i="118"/>
  <c r="AC3553" i="118"/>
  <c r="AB3554" i="118"/>
  <c r="AC3554" i="118"/>
  <c r="AB3555" i="118"/>
  <c r="AC3555" i="118"/>
  <c r="AB3556" i="118"/>
  <c r="AC3556" i="118"/>
  <c r="AB3557" i="118"/>
  <c r="AC3557" i="118"/>
  <c r="AB3558" i="118"/>
  <c r="AC3558" i="118"/>
  <c r="AB3559" i="118"/>
  <c r="AC3559" i="118"/>
  <c r="AB3560" i="118"/>
  <c r="AC3560" i="118"/>
  <c r="AB3561" i="118"/>
  <c r="AC3561" i="118"/>
  <c r="AB3562" i="118"/>
  <c r="AC3562" i="118"/>
  <c r="AB3563" i="118"/>
  <c r="AC3563" i="118"/>
  <c r="AB3564" i="118"/>
  <c r="AC3564" i="118"/>
  <c r="AB3565" i="118"/>
  <c r="AC3565" i="118"/>
  <c r="AB3566" i="118"/>
  <c r="AC3566" i="118"/>
  <c r="AB3570" i="118"/>
  <c r="AC3570" i="118"/>
  <c r="AB3571" i="118"/>
  <c r="AC3571" i="118"/>
  <c r="AB3572" i="118"/>
  <c r="AC3572" i="118"/>
  <c r="AB3573" i="118"/>
  <c r="AC3573" i="118"/>
  <c r="AB3574" i="118"/>
  <c r="AC3574" i="118"/>
  <c r="AB3575" i="118"/>
  <c r="AC3575" i="118"/>
  <c r="AB3576" i="118"/>
  <c r="AC3576" i="118"/>
  <c r="AB3577" i="118"/>
  <c r="AC3577" i="118"/>
  <c r="AB3578" i="118"/>
  <c r="AC3578" i="118"/>
  <c r="AB3579" i="118"/>
  <c r="AC3579" i="118"/>
  <c r="AB3580" i="118"/>
  <c r="AC3580" i="118"/>
  <c r="AB3581" i="118"/>
  <c r="AC3581" i="118"/>
  <c r="AB3582" i="118"/>
  <c r="AC3582" i="118"/>
  <c r="AB3583" i="118"/>
  <c r="AC3583" i="118"/>
  <c r="AB3584" i="118"/>
  <c r="AC3584" i="118"/>
  <c r="AB3585" i="118"/>
  <c r="AC3585" i="118"/>
  <c r="AB3586" i="118"/>
  <c r="AC3586" i="118"/>
  <c r="AB3587" i="118"/>
  <c r="AC3587" i="118"/>
  <c r="AB3589" i="118"/>
  <c r="AC3589" i="118"/>
  <c r="AB3590" i="118"/>
  <c r="AC3590" i="118"/>
  <c r="AB3591" i="118"/>
  <c r="AC3591" i="118"/>
  <c r="AB3592" i="118"/>
  <c r="AC3592" i="118"/>
  <c r="AB3593" i="118"/>
  <c r="AC3593" i="118"/>
  <c r="AB3594" i="118"/>
  <c r="AC3594" i="118"/>
  <c r="AB3595" i="118"/>
  <c r="AC3595" i="118"/>
  <c r="AB3596" i="118"/>
  <c r="AC3596" i="118"/>
  <c r="AB3597" i="118"/>
  <c r="AC3597" i="118"/>
  <c r="AB3598" i="118"/>
  <c r="AC3598" i="118"/>
  <c r="AB3599" i="118"/>
  <c r="AC3599" i="118"/>
  <c r="AB3600" i="118"/>
  <c r="AC3600" i="118"/>
  <c r="AB3601" i="118"/>
  <c r="AC3601" i="118"/>
  <c r="AB3602" i="118"/>
  <c r="AC3602" i="118"/>
  <c r="AB3604" i="118"/>
  <c r="AC3604" i="118"/>
  <c r="AB3605" i="118"/>
  <c r="AC3605" i="118"/>
  <c r="AB3607" i="118"/>
  <c r="AC3607" i="118"/>
  <c r="AB3608" i="118"/>
  <c r="AC3608" i="118"/>
  <c r="AB3609" i="118"/>
  <c r="AC3609" i="118"/>
  <c r="AB3610" i="118"/>
  <c r="AC3610" i="118"/>
  <c r="AB3611" i="118"/>
  <c r="AC3611" i="118"/>
  <c r="AB3612" i="118"/>
  <c r="AC3612" i="118"/>
  <c r="AB3613" i="118"/>
  <c r="AC3613" i="118"/>
  <c r="AB3614" i="118"/>
  <c r="AC3614" i="118"/>
  <c r="AB3615" i="118"/>
  <c r="AC3615" i="118"/>
  <c r="AB3616" i="118"/>
  <c r="AC3616" i="118"/>
  <c r="AB3617" i="118"/>
  <c r="AC3617" i="118"/>
  <c r="AB3619" i="118"/>
  <c r="AC3619" i="118"/>
  <c r="AB3620" i="118"/>
  <c r="AC3620" i="118"/>
  <c r="AB3621" i="118"/>
  <c r="AC3621" i="118"/>
  <c r="AB3622" i="118"/>
  <c r="AC3622" i="118"/>
  <c r="AB3623" i="118"/>
  <c r="AC3623" i="118"/>
  <c r="AB3624" i="118"/>
  <c r="AC3624" i="118"/>
  <c r="AB3625" i="118"/>
  <c r="AC3625" i="118"/>
  <c r="AB3627" i="118"/>
  <c r="AC3627" i="118"/>
  <c r="AB3629" i="118"/>
  <c r="AC3629" i="118"/>
  <c r="AB3630" i="118"/>
  <c r="AC3630" i="118"/>
  <c r="AB3632" i="118"/>
  <c r="AC3632" i="118"/>
  <c r="AB3633" i="118"/>
  <c r="AC3633" i="118"/>
  <c r="AB3634" i="118"/>
  <c r="AC3634" i="118"/>
  <c r="AB3635" i="118"/>
  <c r="AC3635" i="118"/>
  <c r="AB3636" i="118"/>
  <c r="AC3636" i="118"/>
  <c r="AB3637" i="118"/>
  <c r="AC3637" i="118"/>
  <c r="AB3638" i="118"/>
  <c r="AC3638" i="118"/>
  <c r="AB3639" i="118"/>
  <c r="AC3639" i="118"/>
  <c r="AB3640" i="118"/>
  <c r="AC3640" i="118"/>
  <c r="AB3641" i="118"/>
  <c r="AC3641" i="118"/>
  <c r="AB3642" i="118"/>
  <c r="AC3642" i="118"/>
  <c r="AB3643" i="118"/>
  <c r="AC3643" i="118"/>
  <c r="AB3644" i="118"/>
  <c r="AC3644" i="118"/>
  <c r="AB3645" i="118"/>
  <c r="AC3645" i="118"/>
  <c r="AB3646" i="118"/>
  <c r="AC3646" i="118"/>
  <c r="AB3647" i="118"/>
  <c r="AC3647" i="118"/>
  <c r="AB3648" i="118"/>
  <c r="AC3648" i="118"/>
  <c r="AB3649" i="118"/>
  <c r="AC3649" i="118"/>
  <c r="AB3650" i="118"/>
  <c r="AC3650" i="118"/>
  <c r="AB3651" i="118"/>
  <c r="AC3651" i="118"/>
  <c r="AB3653" i="118"/>
  <c r="AC3653" i="118"/>
  <c r="AB3655" i="118"/>
  <c r="AC3655" i="118"/>
  <c r="AB3656" i="118"/>
  <c r="AC3656" i="118"/>
  <c r="AB3657" i="118"/>
  <c r="AC3657" i="118"/>
  <c r="AB3658" i="118"/>
  <c r="AC3658" i="118"/>
  <c r="AB3659" i="118"/>
  <c r="AC3659" i="118"/>
  <c r="AB3660" i="118"/>
  <c r="AC3660" i="118"/>
  <c r="AB3661" i="118"/>
  <c r="AC3661" i="118"/>
  <c r="AB3662" i="118"/>
  <c r="AC3662" i="118"/>
  <c r="AB3663" i="118"/>
  <c r="AC3663" i="118"/>
  <c r="AB3664" i="118"/>
  <c r="AC3664" i="118"/>
  <c r="AB3665" i="118"/>
  <c r="AC3665" i="118"/>
  <c r="AB3666" i="118"/>
  <c r="AC3666" i="118"/>
  <c r="AB3668" i="118"/>
  <c r="AC3668" i="118"/>
  <c r="AB3669" i="118"/>
  <c r="AC3669" i="118"/>
  <c r="AB3670" i="118"/>
  <c r="AC3670" i="118"/>
  <c r="AB3671" i="118"/>
  <c r="AC3671" i="118"/>
  <c r="AB3672" i="118"/>
  <c r="AC3672" i="118"/>
  <c r="AB3673" i="118"/>
  <c r="AC3673" i="118"/>
  <c r="AB3674" i="118"/>
  <c r="AC3674" i="118"/>
  <c r="AB3675" i="118"/>
  <c r="AC3675" i="118"/>
  <c r="AB3676" i="118"/>
  <c r="AC3676" i="118"/>
  <c r="AB3677" i="118"/>
  <c r="AC3677" i="118"/>
  <c r="AB3678" i="118"/>
  <c r="AC3678" i="118"/>
  <c r="AB3679" i="118"/>
  <c r="AC3679" i="118"/>
  <c r="AB3680" i="118"/>
  <c r="AC3680" i="118"/>
  <c r="AB3681" i="118"/>
  <c r="AC3681" i="118"/>
  <c r="AB3682" i="118"/>
  <c r="AC3682" i="118"/>
  <c r="AB3683" i="118"/>
  <c r="AC3683" i="118"/>
  <c r="AB3684" i="118"/>
  <c r="AC3684" i="118"/>
  <c r="AB3686" i="118"/>
  <c r="AC3686" i="118"/>
  <c r="AB3687" i="118"/>
  <c r="AC3687" i="118"/>
  <c r="AB3688" i="118"/>
  <c r="AC3688" i="118"/>
  <c r="AB3689" i="118"/>
  <c r="AC3689" i="118"/>
  <c r="AB3691" i="118"/>
  <c r="AC3691" i="118"/>
  <c r="AB3692" i="118"/>
  <c r="AC3692" i="118"/>
  <c r="AB3693" i="118"/>
  <c r="AC3693" i="118"/>
  <c r="AB3694" i="118"/>
  <c r="AC3694" i="118"/>
  <c r="AB3695" i="118"/>
  <c r="AC3695" i="118"/>
  <c r="AB3696" i="118"/>
  <c r="AC3696" i="118"/>
  <c r="AB3697" i="118"/>
  <c r="AC3697" i="118"/>
  <c r="AB3698" i="118"/>
  <c r="AC3698" i="118"/>
  <c r="AB3699" i="118"/>
  <c r="AC3699" i="118"/>
  <c r="AB3700" i="118"/>
  <c r="AC3700" i="118"/>
  <c r="AB3701" i="118"/>
  <c r="AC3701" i="118"/>
  <c r="AB3702" i="118"/>
  <c r="AC3702" i="118"/>
  <c r="AB3703" i="118"/>
  <c r="AC3703" i="118"/>
  <c r="AB3704" i="118"/>
  <c r="AC3704" i="118"/>
  <c r="AB3705" i="118"/>
  <c r="AC3705" i="118"/>
  <c r="AB3706" i="118"/>
  <c r="AC3706" i="118"/>
  <c r="AB3707" i="118"/>
  <c r="AC3707" i="118"/>
  <c r="AB3708" i="118"/>
  <c r="AC3708" i="118"/>
  <c r="AB3709" i="118"/>
  <c r="AC3709" i="118"/>
  <c r="AB3710" i="118"/>
  <c r="AC3710" i="118"/>
  <c r="AB3711" i="118"/>
  <c r="AC3711" i="118"/>
  <c r="AB3713" i="118"/>
  <c r="AC3713" i="118"/>
  <c r="AB3714" i="118"/>
  <c r="AC3714" i="118"/>
  <c r="AB3715" i="118"/>
  <c r="AC3715" i="118"/>
  <c r="AB3716" i="118"/>
  <c r="AC3716" i="118"/>
  <c r="AB3717" i="118"/>
  <c r="AC3717" i="118"/>
  <c r="AB3718" i="118"/>
  <c r="AC3718" i="118"/>
  <c r="AB3719" i="118"/>
  <c r="AC3719" i="118"/>
  <c r="AB3720" i="118"/>
  <c r="AC3720" i="118"/>
  <c r="AB3721" i="118"/>
  <c r="AC3721" i="118"/>
  <c r="AB3722" i="118"/>
  <c r="AC3722" i="118"/>
  <c r="AB3723" i="118"/>
  <c r="AC3723" i="118"/>
  <c r="AB3725" i="118"/>
  <c r="AC3725" i="118"/>
  <c r="AB3727" i="118"/>
  <c r="AC3727" i="118"/>
  <c r="AB3728" i="118"/>
  <c r="AC3728" i="118"/>
  <c r="AB3729" i="118"/>
  <c r="AC3729" i="118"/>
  <c r="AB3730" i="118"/>
  <c r="AC3730" i="118"/>
  <c r="AB3731" i="118"/>
  <c r="AC3731" i="118"/>
  <c r="AB3732" i="118"/>
  <c r="AC3732" i="118"/>
  <c r="AB3734" i="118"/>
  <c r="AC3734" i="118"/>
  <c r="AB3735" i="118"/>
  <c r="AC3735" i="118"/>
  <c r="AB3736" i="118"/>
  <c r="AC3736" i="118"/>
  <c r="AB3737" i="118"/>
  <c r="AC3737" i="118"/>
  <c r="AB3738" i="118"/>
  <c r="AC3738" i="118"/>
  <c r="AB3739" i="118"/>
  <c r="AC3739" i="118"/>
  <c r="AB3740" i="118"/>
  <c r="AC3740" i="118"/>
  <c r="AB3741" i="118"/>
  <c r="AC3741" i="118"/>
  <c r="AB3742" i="118"/>
  <c r="AC3742" i="118"/>
  <c r="AB3743" i="118"/>
  <c r="AC3743" i="118"/>
  <c r="AB3744" i="118"/>
  <c r="AC3744" i="118"/>
  <c r="AB3746" i="118"/>
  <c r="AB3747" i="118"/>
  <c r="AC3747" i="118"/>
  <c r="AB3748" i="118"/>
  <c r="AB3749" i="118"/>
  <c r="AB3750" i="118"/>
  <c r="AC3750" i="118"/>
  <c r="AB3751" i="118"/>
  <c r="AC3751" i="118"/>
  <c r="AB3752" i="118"/>
  <c r="AB3753" i="118"/>
  <c r="AC3753" i="118"/>
  <c r="AB3754" i="118"/>
  <c r="AC3754" i="118"/>
  <c r="AB3755" i="118"/>
  <c r="AB3756" i="118"/>
  <c r="AC3756" i="118"/>
  <c r="AB3757" i="118"/>
  <c r="AC3757" i="118"/>
  <c r="AB3758" i="118"/>
  <c r="AC3758" i="118"/>
  <c r="AB3759" i="118"/>
  <c r="AB3760" i="118"/>
  <c r="AC3760" i="118"/>
  <c r="AB3761" i="118"/>
  <c r="AB3762" i="118"/>
  <c r="AB3763" i="118"/>
  <c r="AC3763" i="118"/>
  <c r="AB3764" i="118"/>
  <c r="AB3765" i="118"/>
  <c r="AC3765" i="118"/>
  <c r="AB3766" i="118"/>
  <c r="AC3766" i="118"/>
  <c r="AB3767" i="118"/>
  <c r="AB3768" i="118"/>
  <c r="AB3769" i="118"/>
  <c r="AC3769" i="118"/>
  <c r="AB3770" i="118"/>
  <c r="AC3770" i="118"/>
  <c r="AB3771" i="118"/>
  <c r="AB3772" i="118"/>
  <c r="AB3773" i="118"/>
  <c r="AB3774" i="118"/>
  <c r="AC3774" i="118"/>
  <c r="AB3776" i="118"/>
  <c r="AB3775" i="118"/>
  <c r="AC3775" i="118"/>
  <c r="AB3777" i="118"/>
  <c r="AB3778" i="118"/>
  <c r="AC3778" i="118"/>
  <c r="AB3779" i="118"/>
  <c r="AB3780" i="118"/>
  <c r="AB3781" i="118"/>
  <c r="AC3781" i="118"/>
  <c r="AB3782" i="118"/>
  <c r="AC3782" i="118"/>
  <c r="AB3783" i="118"/>
  <c r="AC3783" i="118"/>
  <c r="AB3784" i="118"/>
  <c r="AC3784" i="118"/>
  <c r="AB3785" i="118"/>
  <c r="AC3785" i="118"/>
  <c r="AB3786" i="118"/>
  <c r="AC3786" i="118"/>
  <c r="AB3787" i="118"/>
  <c r="AC3787" i="118"/>
  <c r="AB3788" i="118"/>
  <c r="AC3788" i="118"/>
  <c r="AB3789" i="118"/>
  <c r="AB3790" i="118"/>
  <c r="AB3791" i="118"/>
  <c r="AB3792" i="118"/>
  <c r="AB3793" i="118"/>
  <c r="AB3794" i="118"/>
  <c r="AB3795" i="118"/>
  <c r="AC3795" i="118"/>
  <c r="AB3797" i="118"/>
  <c r="AC3797" i="118"/>
  <c r="AB3799" i="118"/>
  <c r="AC3799" i="118"/>
  <c r="AB3801" i="118"/>
  <c r="AC3801" i="118"/>
  <c r="BH3318" i="118"/>
  <c r="BH972" i="118"/>
  <c r="BH3775" i="118"/>
  <c r="BG2325" i="118" l="1"/>
  <c r="BG2324" i="118"/>
  <c r="BG2323" i="118"/>
  <c r="BG2319" i="118"/>
  <c r="BG2318" i="118"/>
  <c r="BG2317" i="118"/>
  <c r="BG2316" i="118"/>
  <c r="BG2315" i="118"/>
  <c r="BG2314" i="118"/>
  <c r="BG2313" i="118"/>
  <c r="BG2312" i="118"/>
  <c r="BG2311" i="118"/>
  <c r="BG2310" i="118"/>
  <c r="BG2309" i="118"/>
  <c r="BG2307" i="118"/>
  <c r="BG2306" i="118"/>
  <c r="BG2305" i="118"/>
  <c r="BG2304" i="118"/>
  <c r="BG2303" i="118"/>
  <c r="BG2302" i="118"/>
  <c r="BG2301" i="118"/>
  <c r="BG2300" i="118"/>
  <c r="BG2299" i="118"/>
  <c r="BG2298" i="118"/>
  <c r="BG2297" i="118"/>
  <c r="BG2296" i="118"/>
  <c r="BG2295" i="118"/>
  <c r="BG2294" i="118"/>
  <c r="BG2293" i="118"/>
  <c r="BG2292" i="118"/>
  <c r="BG2291" i="118"/>
  <c r="BG2289" i="118"/>
  <c r="BG2288" i="118"/>
  <c r="BG2287" i="118"/>
  <c r="BG2286" i="118"/>
  <c r="BG2285" i="118"/>
  <c r="BG2284" i="118"/>
  <c r="BG2283" i="118"/>
  <c r="BG2282" i="118"/>
  <c r="BG2281" i="118"/>
  <c r="BG2280" i="118"/>
  <c r="BG2279" i="118"/>
  <c r="BG2278" i="118"/>
  <c r="BG2277" i="118"/>
  <c r="BG2276" i="118"/>
  <c r="BG2275" i="118"/>
  <c r="BG2274" i="118"/>
  <c r="BG2273" i="118"/>
  <c r="BG2272" i="118"/>
  <c r="BG2271" i="118"/>
  <c r="BG2270" i="118"/>
  <c r="BG2269" i="118"/>
  <c r="BG2260" i="118"/>
  <c r="BG2259" i="118"/>
  <c r="BG2254" i="118"/>
  <c r="BG2249" i="118"/>
  <c r="BG2246" i="118"/>
  <c r="BG2244" i="118"/>
  <c r="BG2243" i="118"/>
  <c r="BG2242" i="118"/>
  <c r="BG2241" i="118"/>
  <c r="BG2240" i="118"/>
  <c r="BG2239" i="118"/>
  <c r="BG2238" i="118"/>
  <c r="BG2237" i="118"/>
  <c r="BG2216" i="118"/>
  <c r="BG2215" i="118"/>
  <c r="BG2214" i="118"/>
  <c r="BG2213" i="118"/>
  <c r="BG2212" i="118"/>
  <c r="BG2211" i="118"/>
  <c r="BG2209" i="118"/>
  <c r="BG2208" i="118"/>
  <c r="BG2087" i="118"/>
  <c r="BG2086" i="118"/>
  <c r="BG2085" i="118"/>
  <c r="BG2084" i="118"/>
  <c r="BG2048" i="118"/>
  <c r="BG2044" i="118"/>
  <c r="BG2036" i="118"/>
  <c r="BG2035" i="118"/>
  <c r="BG2034" i="118"/>
  <c r="BG2033" i="118"/>
  <c r="BG1978" i="118"/>
  <c r="BG1977" i="118"/>
  <c r="BG1976" i="118"/>
  <c r="BG1973" i="118"/>
  <c r="BG1972" i="118"/>
  <c r="BG1971" i="118"/>
  <c r="BG1970" i="118"/>
  <c r="BG1969" i="118"/>
  <c r="BG1967" i="118"/>
  <c r="BF1959" i="118"/>
  <c r="BF1920" i="118"/>
  <c r="BF1919" i="118"/>
  <c r="BF1918" i="118"/>
  <c r="BF1917" i="118"/>
  <c r="BF1916" i="118"/>
  <c r="BF1915" i="118"/>
  <c r="BF1914" i="118"/>
  <c r="BF1913" i="118"/>
  <c r="BF1912" i="118"/>
  <c r="BG1910" i="118"/>
  <c r="BG1909" i="118"/>
  <c r="BG1908" i="118"/>
  <c r="BG1907" i="118"/>
  <c r="BG1906" i="118"/>
  <c r="BI1906" i="118" s="1"/>
  <c r="BG1904" i="118"/>
  <c r="BG1903" i="118"/>
  <c r="BG1902" i="118"/>
  <c r="BG1901" i="118"/>
  <c r="BG1900" i="118"/>
  <c r="BG1899" i="118"/>
  <c r="BG1898" i="118"/>
  <c r="BG1897" i="118"/>
  <c r="BG1896" i="118"/>
  <c r="BG1895" i="118"/>
  <c r="BG1894" i="118"/>
  <c r="BG1892" i="118"/>
  <c r="BG1891" i="118"/>
  <c r="BG1890" i="118"/>
  <c r="BF1877" i="118"/>
  <c r="BG1869" i="118"/>
  <c r="BG1868" i="118"/>
  <c r="BG1867" i="118"/>
  <c r="BG1866" i="118"/>
  <c r="BG1864" i="118"/>
  <c r="BG1863" i="118"/>
  <c r="BG1862" i="118"/>
  <c r="BG1861" i="118"/>
  <c r="BF1860" i="118"/>
  <c r="BF1859" i="118"/>
  <c r="BF1858" i="118"/>
  <c r="BF1857" i="118"/>
  <c r="BG1855" i="118"/>
  <c r="BG1854" i="118"/>
  <c r="BG1853" i="118"/>
  <c r="BG1852" i="118"/>
  <c r="BG1851" i="118"/>
  <c r="BG1850" i="118"/>
  <c r="BG1849" i="118"/>
  <c r="BG1848" i="118"/>
  <c r="BF1835" i="118"/>
  <c r="BF1834" i="118"/>
  <c r="BF1833" i="118"/>
  <c r="BG1822" i="118"/>
  <c r="BG1821" i="118"/>
  <c r="BF1815" i="118"/>
  <c r="BF1814" i="118"/>
  <c r="BF1813" i="118"/>
  <c r="BF1810" i="118"/>
  <c r="BF1809" i="118"/>
  <c r="BF1808" i="118"/>
  <c r="BF1807" i="118"/>
  <c r="BF1805" i="118"/>
  <c r="BF1803" i="118"/>
  <c r="BF1799" i="118"/>
  <c r="BG1786" i="118"/>
  <c r="BF1785" i="118"/>
  <c r="BF1782" i="118"/>
  <c r="BF1781" i="118"/>
  <c r="BF1780" i="118"/>
  <c r="BF1779" i="118"/>
  <c r="BF1778" i="118"/>
  <c r="BF1777" i="118"/>
  <c r="BF1773" i="118"/>
  <c r="BF1770" i="118"/>
  <c r="BF1767" i="118"/>
  <c r="BF1764" i="118"/>
  <c r="BF1763" i="118"/>
  <c r="BF1761" i="118"/>
  <c r="BF1760" i="118"/>
  <c r="BF1756" i="118"/>
  <c r="BF1755" i="118"/>
  <c r="BF1751" i="118"/>
  <c r="BF1749" i="118"/>
  <c r="BF1748" i="118"/>
  <c r="BF1747" i="118"/>
  <c r="BF1746" i="118"/>
  <c r="BF1745" i="118"/>
  <c r="BF1744" i="118"/>
  <c r="BF1742" i="118"/>
  <c r="BF1741" i="118"/>
  <c r="BF1739" i="118"/>
  <c r="BF1737" i="118"/>
  <c r="BF1736" i="118"/>
  <c r="BF1735" i="118"/>
  <c r="BF1734" i="118"/>
  <c r="BF1733" i="118"/>
  <c r="BF1726" i="118"/>
  <c r="BF1723" i="118"/>
  <c r="BF1722" i="118"/>
  <c r="BF1721" i="118"/>
  <c r="BF1720" i="118"/>
  <c r="BF1717" i="118"/>
  <c r="BF1716" i="118"/>
  <c r="BF1715" i="118"/>
  <c r="BF1712" i="118"/>
  <c r="BF1709" i="118"/>
  <c r="BF1707" i="118"/>
  <c r="BF1706" i="118"/>
  <c r="BF1705" i="118"/>
  <c r="BF1704" i="118"/>
  <c r="BF1703" i="118"/>
  <c r="BF1702" i="118"/>
  <c r="BF1701" i="118"/>
  <c r="BF1700" i="118"/>
  <c r="BF1688" i="118"/>
  <c r="BF1687" i="118"/>
  <c r="BF1684" i="118"/>
  <c r="BF1681" i="118"/>
  <c r="BF1679" i="118"/>
  <c r="BF1674" i="118"/>
  <c r="BF1673" i="118"/>
  <c r="BF1672" i="118"/>
  <c r="BF1668" i="118"/>
  <c r="BF1667" i="118"/>
  <c r="BF1666" i="118"/>
  <c r="BF1664" i="118"/>
  <c r="BF1653" i="118"/>
  <c r="BF1647" i="118"/>
  <c r="BI548" i="118"/>
  <c r="BF2016" i="118"/>
  <c r="BF2015" i="118"/>
  <c r="BF2014" i="118"/>
  <c r="BF2013" i="118"/>
  <c r="BF2012" i="118"/>
  <c r="BF2008" i="118"/>
  <c r="BF2007" i="118"/>
  <c r="BF2004" i="118"/>
  <c r="BF2003" i="118"/>
  <c r="BF2002" i="118"/>
  <c r="BF2001" i="118"/>
  <c r="BF2000" i="118"/>
  <c r="BF1991" i="118"/>
  <c r="BF1990" i="118"/>
  <c r="BF1989" i="118"/>
  <c r="BF1988" i="118"/>
  <c r="BF1987" i="118"/>
  <c r="BF1642" i="118"/>
  <c r="BF1641" i="118"/>
  <c r="BG1634" i="118"/>
  <c r="BG1631" i="118"/>
  <c r="BG1629" i="118"/>
  <c r="BG1628" i="118"/>
  <c r="BG1627" i="118"/>
  <c r="BG1614" i="118"/>
  <c r="BG1613" i="118"/>
  <c r="BG1612" i="118"/>
  <c r="BG1609" i="118"/>
  <c r="BG1608" i="118"/>
  <c r="BG1607" i="118"/>
  <c r="BG1596" i="118"/>
  <c r="BG1595" i="118"/>
  <c r="BG1594" i="118"/>
  <c r="BF1593" i="118"/>
  <c r="BF1592" i="118"/>
  <c r="BF1591" i="118"/>
  <c r="BF1590" i="118"/>
  <c r="BF1589" i="118"/>
  <c r="BG1578" i="118"/>
  <c r="BG1577" i="118"/>
  <c r="BF1574" i="118"/>
  <c r="BG1567" i="118"/>
  <c r="BG1566" i="118"/>
  <c r="BG1564" i="118"/>
  <c r="BG1563" i="118"/>
  <c r="BG1562" i="118"/>
  <c r="BG1561" i="118"/>
  <c r="BG1556" i="118"/>
  <c r="BG1545" i="118"/>
  <c r="BG1544" i="118"/>
  <c r="BG1543" i="118"/>
  <c r="BG1540" i="118"/>
  <c r="BG1539" i="118"/>
  <c r="BG1538" i="118"/>
  <c r="BG1537" i="118"/>
  <c r="BG1536" i="118"/>
  <c r="BG1535" i="118"/>
  <c r="BG1534" i="118"/>
  <c r="BG1533" i="118"/>
  <c r="BG1532" i="118"/>
  <c r="BG1531" i="118"/>
  <c r="BG1530" i="118"/>
  <c r="BG1529" i="118"/>
  <c r="BG1528" i="118"/>
  <c r="BG1527" i="118"/>
  <c r="BG1525" i="118"/>
  <c r="BG1524" i="118"/>
  <c r="BG1523" i="118"/>
  <c r="BG1521" i="118"/>
  <c r="BG1518" i="118"/>
  <c r="BG1517" i="118"/>
  <c r="BG1512" i="118"/>
  <c r="BG1511" i="118"/>
  <c r="BG1498" i="118"/>
  <c r="BG1497" i="118"/>
  <c r="BF1491" i="118"/>
  <c r="BG1478" i="118"/>
  <c r="BG1477" i="118"/>
  <c r="BG1476" i="118"/>
  <c r="BG1471" i="118"/>
  <c r="BG1470" i="118"/>
  <c r="BG1462" i="118"/>
  <c r="BG1461" i="118"/>
  <c r="BG1460" i="118"/>
  <c r="BG1457" i="118"/>
  <c r="BG1453" i="118"/>
  <c r="BG1452" i="118"/>
  <c r="BG1451" i="118"/>
  <c r="BG1450" i="118"/>
  <c r="BG1449" i="118"/>
  <c r="BG1448" i="118"/>
  <c r="BG1447" i="118"/>
  <c r="BG1446" i="118"/>
  <c r="BG1445" i="118"/>
  <c r="BG1444" i="118"/>
  <c r="BG1443" i="118"/>
  <c r="BG1442" i="118"/>
  <c r="BG1441" i="118"/>
  <c r="BG1440" i="118"/>
  <c r="BG1439" i="118"/>
  <c r="BG1438" i="118"/>
  <c r="BG1437" i="118"/>
  <c r="BG1436" i="118"/>
  <c r="BG1422" i="118"/>
  <c r="BG1417" i="118"/>
  <c r="BG1416" i="118"/>
  <c r="BG1413" i="118"/>
  <c r="BG1412" i="118"/>
  <c r="BG1409" i="118"/>
  <c r="BG1408" i="118"/>
  <c r="BG1405" i="118"/>
  <c r="BG1404" i="118"/>
  <c r="BG1403" i="118"/>
  <c r="BG1402" i="118"/>
  <c r="BG1401" i="118"/>
  <c r="BG1398" i="118"/>
  <c r="BG1384" i="118"/>
  <c r="BG1383" i="118"/>
  <c r="BG1382" i="118"/>
  <c r="BG1376" i="118"/>
  <c r="BG1375" i="118"/>
  <c r="BG1374" i="118"/>
  <c r="BG1373" i="118"/>
  <c r="BG1372" i="118"/>
  <c r="BG1364" i="118"/>
  <c r="BG1363" i="118"/>
  <c r="BG1362" i="118"/>
  <c r="BG1361" i="118"/>
  <c r="BG1360" i="118"/>
  <c r="BG1359" i="118"/>
  <c r="BG1358" i="118"/>
  <c r="BG1357" i="118"/>
  <c r="BG1356" i="118"/>
  <c r="BG1355" i="118"/>
  <c r="BG1354" i="118"/>
  <c r="BG1353" i="118"/>
  <c r="BG1352" i="118"/>
  <c r="BG1351" i="118"/>
  <c r="BG1350" i="118"/>
  <c r="BG1349" i="118"/>
  <c r="BG1348" i="118"/>
  <c r="BG1346" i="118"/>
  <c r="BG1345" i="118"/>
  <c r="BG1344" i="118"/>
  <c r="BG1335" i="118"/>
  <c r="BG1334" i="118"/>
  <c r="BG1333" i="118"/>
  <c r="BG1328" i="118"/>
  <c r="BG1325" i="118"/>
  <c r="BG1324" i="118"/>
  <c r="BG1323" i="118"/>
  <c r="BG1322" i="118"/>
  <c r="BG1321" i="118"/>
  <c r="BG1320" i="118"/>
  <c r="BG1319" i="118"/>
  <c r="BG1316" i="118"/>
  <c r="BG1315" i="118"/>
  <c r="BG1305" i="118"/>
  <c r="BG1304" i="118"/>
  <c r="BF1298" i="118"/>
  <c r="BF1297" i="118"/>
  <c r="BF1296" i="118"/>
  <c r="BF1294" i="118"/>
  <c r="BF1293" i="118"/>
  <c r="BF1292" i="118"/>
  <c r="BF1291" i="118"/>
  <c r="BF1290" i="118"/>
  <c r="BF1289" i="118"/>
  <c r="BF1288" i="118"/>
  <c r="BF1276" i="118"/>
  <c r="BF1272" i="118"/>
  <c r="BF1269" i="118"/>
  <c r="BF1268" i="118"/>
  <c r="BF1267" i="118"/>
  <c r="BF1265" i="118"/>
  <c r="BF1264" i="118"/>
  <c r="BF1263" i="118"/>
  <c r="BF1258" i="118"/>
  <c r="BF1257" i="118"/>
  <c r="BF1256" i="118"/>
  <c r="BF1255" i="118"/>
  <c r="BF1254" i="118"/>
  <c r="BF1253" i="118"/>
  <c r="BF1252" i="118"/>
  <c r="BF1251" i="118"/>
  <c r="BF1245" i="118"/>
  <c r="BF1241" i="118"/>
  <c r="BF1240" i="118"/>
  <c r="BF1239" i="118"/>
  <c r="BF1236" i="118"/>
  <c r="BF1233" i="118"/>
  <c r="BF1232" i="118"/>
  <c r="BF1229" i="118"/>
  <c r="BF1225" i="118"/>
  <c r="BF1218" i="118"/>
  <c r="BF1216" i="118"/>
  <c r="BF1215" i="118"/>
  <c r="BF1211" i="118"/>
  <c r="BF1210" i="118"/>
  <c r="BF1207" i="118"/>
  <c r="BF1206" i="118"/>
  <c r="BF1197" i="118"/>
  <c r="BF1196" i="118"/>
  <c r="BG1193" i="118"/>
  <c r="BG1192" i="118"/>
  <c r="BG1191" i="118"/>
  <c r="BF1190" i="118"/>
  <c r="BG1170" i="118"/>
  <c r="BG1167" i="118"/>
  <c r="BG1166" i="118"/>
  <c r="BG1165" i="118"/>
  <c r="BG1164" i="118"/>
  <c r="BG1163" i="118"/>
  <c r="BG1153" i="118"/>
  <c r="BG1150" i="118"/>
  <c r="BG1145" i="118"/>
  <c r="BG1144" i="118"/>
  <c r="BG1143" i="118"/>
  <c r="BG1141" i="118"/>
  <c r="BG1140" i="118"/>
  <c r="BG1139" i="118"/>
  <c r="BG1138" i="118"/>
  <c r="BG1137" i="118"/>
  <c r="BG1136" i="118"/>
  <c r="BG1135" i="118"/>
  <c r="BG1133" i="118"/>
  <c r="BG1118" i="118"/>
  <c r="BG1117" i="118"/>
  <c r="BG1116" i="118"/>
  <c r="BG1111" i="118"/>
  <c r="BG1110" i="118"/>
  <c r="BG1106" i="118"/>
  <c r="BF1100" i="118"/>
  <c r="BF1098" i="118"/>
  <c r="BF1097" i="118"/>
  <c r="BF1063" i="118"/>
  <c r="BF1062" i="118"/>
  <c r="BF1061" i="118"/>
  <c r="BF1060" i="118"/>
  <c r="BF1059" i="118"/>
  <c r="BF1058" i="118"/>
  <c r="BF1056" i="118"/>
  <c r="BF1055" i="118"/>
  <c r="BF1052" i="118"/>
  <c r="BF1051" i="118"/>
  <c r="BF1050" i="118"/>
  <c r="BF1049" i="118"/>
  <c r="BF1048" i="118"/>
  <c r="BF1047" i="118"/>
  <c r="BF1046" i="118"/>
  <c r="BG1036" i="118"/>
  <c r="BG1031" i="118"/>
  <c r="BF1030" i="118"/>
  <c r="BF1029" i="118"/>
  <c r="BG2047" i="118"/>
  <c r="BG2203" i="118"/>
  <c r="BF2168" i="118"/>
  <c r="BF2167" i="118"/>
  <c r="BF2166" i="118"/>
  <c r="BF2165" i="118"/>
  <c r="BF2163" i="118"/>
  <c r="BF2162" i="118"/>
  <c r="BF2164" i="118"/>
  <c r="BF2135" i="118"/>
  <c r="BF2134" i="118"/>
  <c r="BF2133" i="118"/>
  <c r="BF2132" i="118"/>
  <c r="BF2129" i="118"/>
  <c r="BF2082" i="118"/>
  <c r="BF2078" i="118"/>
  <c r="BF2049" i="118"/>
  <c r="BF2048" i="118"/>
  <c r="BF2047" i="118"/>
  <c r="BF2045" i="118"/>
  <c r="BF2044" i="118"/>
  <c r="BF2037" i="118"/>
  <c r="BF2036" i="118"/>
  <c r="BF2035" i="118"/>
  <c r="BF2034" i="118"/>
  <c r="BF2033" i="118"/>
  <c r="BG655" i="118"/>
  <c r="BI655" i="118" s="1"/>
  <c r="BG1667" i="118"/>
  <c r="BG1666" i="118"/>
  <c r="BF1018" i="118"/>
  <c r="BF1012" i="118"/>
  <c r="BF1010" i="118"/>
  <c r="BF1008" i="118"/>
  <c r="BF1007" i="118"/>
  <c r="BF1006" i="118"/>
  <c r="BF1005" i="118"/>
  <c r="BF1004" i="118"/>
  <c r="BF1003" i="118"/>
  <c r="BF1002" i="118"/>
  <c r="BF1001" i="118"/>
  <c r="BF1000" i="118"/>
  <c r="BF999" i="118"/>
  <c r="BF998" i="118"/>
  <c r="BF996" i="118"/>
  <c r="BF994" i="118"/>
  <c r="BF993" i="118"/>
  <c r="BF992" i="118"/>
  <c r="BF990" i="118"/>
  <c r="BF989" i="118"/>
  <c r="BF988" i="118"/>
  <c r="BF986" i="118"/>
  <c r="BF985" i="118"/>
  <c r="BF984" i="118"/>
  <c r="BF981" i="118"/>
  <c r="BF980" i="118"/>
  <c r="BF977" i="118"/>
  <c r="BF974" i="118"/>
  <c r="BF973" i="118"/>
  <c r="BF972" i="118"/>
  <c r="BF970" i="118"/>
  <c r="BF968" i="118"/>
  <c r="BF967" i="118"/>
  <c r="BF966" i="118"/>
  <c r="BF965" i="118"/>
  <c r="BF959" i="118"/>
  <c r="BF960" i="118"/>
  <c r="BF958" i="118"/>
  <c r="BF957" i="118"/>
  <c r="BF956" i="118"/>
  <c r="BF955" i="118"/>
  <c r="BF953" i="118"/>
  <c r="BF952" i="118"/>
  <c r="BF951" i="118"/>
  <c r="BF950" i="118"/>
  <c r="BF948" i="118"/>
  <c r="BF946" i="118"/>
  <c r="BF945" i="118"/>
  <c r="BF944" i="118"/>
  <c r="BF943" i="118"/>
  <c r="BF942" i="118"/>
  <c r="BF941" i="118"/>
  <c r="BF940" i="118"/>
  <c r="BF939" i="118"/>
  <c r="BF938" i="118"/>
  <c r="BF937" i="118"/>
  <c r="BF936" i="118"/>
  <c r="BF932" i="118"/>
  <c r="BF931" i="118"/>
  <c r="BF930" i="118"/>
  <c r="BF929" i="118"/>
  <c r="BF928" i="118"/>
  <c r="BF927" i="118"/>
  <c r="BF926" i="118"/>
  <c r="BF923" i="118"/>
  <c r="BF922" i="118"/>
  <c r="BF921" i="118"/>
  <c r="BF920" i="118"/>
  <c r="BF918" i="118"/>
  <c r="BF917" i="118"/>
  <c r="BF916" i="118"/>
  <c r="BF913" i="118"/>
  <c r="BF911" i="118"/>
  <c r="BF910" i="118"/>
  <c r="BF908" i="118"/>
  <c r="BF907" i="118"/>
  <c r="BF906" i="118"/>
  <c r="BF905" i="118"/>
  <c r="BF904" i="118"/>
  <c r="BF902" i="118"/>
  <c r="BF901" i="118"/>
  <c r="BF900" i="118"/>
  <c r="BF899" i="118"/>
  <c r="BF897" i="118"/>
  <c r="BF896" i="118"/>
  <c r="BF895" i="118"/>
  <c r="BF894" i="118"/>
  <c r="BF893" i="118"/>
  <c r="BF891" i="118"/>
  <c r="BF890" i="118"/>
  <c r="BF889" i="118"/>
  <c r="BF888" i="118"/>
  <c r="BF887" i="118"/>
  <c r="BF886" i="118"/>
  <c r="BF884" i="118"/>
  <c r="BF883" i="118"/>
  <c r="BF882" i="118"/>
  <c r="BF881" i="118"/>
  <c r="BF880" i="118"/>
  <c r="BF879" i="118"/>
  <c r="BF878" i="118"/>
  <c r="BF876" i="118"/>
  <c r="BF875" i="118"/>
  <c r="BF873" i="118"/>
  <c r="BF872" i="118"/>
  <c r="BF871" i="118"/>
  <c r="BF870" i="118"/>
  <c r="BF869" i="118"/>
  <c r="BF868" i="118"/>
  <c r="BF867" i="118"/>
  <c r="BF866" i="118"/>
  <c r="BF865" i="118"/>
  <c r="BF864" i="118"/>
  <c r="BF863" i="118"/>
  <c r="BF862" i="118"/>
  <c r="BF861" i="118"/>
  <c r="BF860" i="118"/>
  <c r="BF859" i="118"/>
  <c r="BF858" i="118"/>
  <c r="BF856" i="118"/>
  <c r="BF855" i="118"/>
  <c r="BF854" i="118"/>
  <c r="BF852" i="118"/>
  <c r="BF851" i="118"/>
  <c r="BF850" i="118"/>
  <c r="BF849" i="118"/>
  <c r="BF848" i="118"/>
  <c r="BF847" i="118"/>
  <c r="BF846" i="118"/>
  <c r="BF845" i="118"/>
  <c r="BF844" i="118"/>
  <c r="BF843" i="118"/>
  <c r="BF841" i="118"/>
  <c r="BF839" i="118"/>
  <c r="BF837" i="118"/>
  <c r="BF836" i="118"/>
  <c r="BF834" i="118"/>
  <c r="BF833" i="118"/>
  <c r="BF832" i="118"/>
  <c r="BF831" i="118"/>
  <c r="BF830" i="118"/>
  <c r="BF829" i="118"/>
  <c r="BF828" i="118"/>
  <c r="BF827" i="118"/>
  <c r="BF826" i="118"/>
  <c r="BF825" i="118"/>
  <c r="BF824" i="118"/>
  <c r="BF822" i="118"/>
  <c r="BF821" i="118"/>
  <c r="BF820" i="118"/>
  <c r="BF819" i="118"/>
  <c r="BF818" i="118"/>
  <c r="BF817" i="118"/>
  <c r="BF816" i="118"/>
  <c r="BF814" i="118"/>
  <c r="BF813" i="118"/>
  <c r="BF812" i="118"/>
  <c r="BF811" i="118"/>
  <c r="BF809" i="118"/>
  <c r="BF808" i="118"/>
  <c r="BF807" i="118"/>
  <c r="BF806" i="118"/>
  <c r="BF805" i="118"/>
  <c r="BF804" i="118"/>
  <c r="BF803" i="118"/>
  <c r="BF802" i="118"/>
  <c r="BF801" i="118"/>
  <c r="BF800" i="118"/>
  <c r="BF799" i="118"/>
  <c r="BF798" i="118"/>
  <c r="BF797" i="118"/>
  <c r="BF796" i="118"/>
  <c r="BF795" i="118"/>
  <c r="BF794" i="118"/>
  <c r="BF793" i="118"/>
  <c r="BF789" i="118"/>
  <c r="BF788" i="118"/>
  <c r="BF786" i="118"/>
  <c r="BF785" i="118"/>
  <c r="BF784" i="118"/>
  <c r="BF782" i="118"/>
  <c r="BF781" i="118"/>
  <c r="BF780" i="118"/>
  <c r="BF779" i="118"/>
  <c r="BF778" i="118"/>
  <c r="BF777" i="118"/>
  <c r="BF776" i="118"/>
  <c r="BF775" i="118"/>
  <c r="BF774" i="118"/>
  <c r="BF773" i="118"/>
  <c r="BF772" i="118"/>
  <c r="BF770" i="118"/>
  <c r="BF769" i="118"/>
  <c r="BF768" i="118"/>
  <c r="BF767" i="118"/>
  <c r="BF766" i="118"/>
  <c r="BF764" i="118"/>
  <c r="BF763" i="118"/>
  <c r="BF762" i="118"/>
  <c r="BF761" i="118"/>
  <c r="BF759" i="118"/>
  <c r="BF755" i="118"/>
  <c r="BF754" i="118"/>
  <c r="BF752" i="118"/>
  <c r="BF751" i="118"/>
  <c r="BF749" i="118"/>
  <c r="BF748" i="118"/>
  <c r="BF746" i="118"/>
  <c r="BF745" i="118"/>
  <c r="BF744" i="118"/>
  <c r="BF743" i="118"/>
  <c r="BF742" i="118"/>
  <c r="BF741" i="118"/>
  <c r="BF740" i="118"/>
  <c r="BF739" i="118"/>
  <c r="BF737" i="118"/>
  <c r="BF736" i="118"/>
  <c r="BF735" i="118"/>
  <c r="BF730" i="118"/>
  <c r="BF729" i="118"/>
  <c r="BF727" i="118"/>
  <c r="BF726" i="118"/>
  <c r="BF725" i="118"/>
  <c r="BF724" i="118"/>
  <c r="BF722" i="118"/>
  <c r="BF720" i="118"/>
  <c r="BF719" i="118"/>
  <c r="BF715" i="118"/>
  <c r="BF714" i="118"/>
  <c r="BF713" i="118"/>
  <c r="BF712" i="118"/>
  <c r="BF711" i="118"/>
  <c r="BF710" i="118"/>
  <c r="BF709" i="118"/>
  <c r="BF708" i="118"/>
  <c r="BF707" i="118"/>
  <c r="BF705" i="118"/>
  <c r="BF704" i="118"/>
  <c r="BF701" i="118"/>
  <c r="BF699" i="118"/>
  <c r="BF698" i="118"/>
  <c r="BF697" i="118"/>
  <c r="BF694" i="118"/>
  <c r="BF692" i="118"/>
  <c r="BF691" i="118"/>
  <c r="BF690" i="118"/>
  <c r="BF689" i="118"/>
  <c r="BF687" i="118"/>
  <c r="BF686" i="118"/>
  <c r="BF685" i="118"/>
  <c r="BF683" i="118"/>
  <c r="BF682" i="118"/>
  <c r="BF681" i="118"/>
  <c r="BF680" i="118"/>
  <c r="BF679" i="118"/>
  <c r="BF677" i="118"/>
  <c r="BF676" i="118"/>
  <c r="BF675" i="118"/>
  <c r="BF674" i="118"/>
  <c r="BF673" i="118"/>
  <c r="BF671" i="118"/>
  <c r="BF668" i="118"/>
  <c r="BF667" i="118"/>
  <c r="BF666" i="118"/>
  <c r="BF663" i="118"/>
  <c r="BF662" i="118"/>
  <c r="BF659" i="118"/>
  <c r="BF657" i="118"/>
  <c r="BF656" i="118"/>
  <c r="BF654" i="118"/>
  <c r="BF653" i="118"/>
  <c r="BF652" i="118"/>
  <c r="BF651" i="118"/>
  <c r="BF649" i="118"/>
  <c r="BF645" i="118"/>
  <c r="BF644" i="118"/>
  <c r="BF640" i="118"/>
  <c r="BF639" i="118"/>
  <c r="BF638" i="118"/>
  <c r="BF637" i="118"/>
  <c r="BF636" i="118"/>
  <c r="BF635" i="118"/>
  <c r="BF632" i="118"/>
  <c r="BF108" i="118"/>
  <c r="BF107" i="118"/>
  <c r="BF106" i="118"/>
  <c r="BF105" i="118"/>
  <c r="BF104" i="118"/>
  <c r="BF103" i="118"/>
  <c r="BF102" i="118"/>
  <c r="BF101" i="118"/>
  <c r="BF100" i="118"/>
  <c r="BF99" i="118"/>
  <c r="BF98" i="118"/>
  <c r="BF97" i="118"/>
  <c r="BF96" i="118"/>
  <c r="BF95" i="118"/>
  <c r="BF94" i="118"/>
  <c r="BF93" i="118"/>
  <c r="BF90" i="118"/>
  <c r="BF89" i="118"/>
  <c r="BF88" i="118"/>
  <c r="BF86" i="118"/>
  <c r="BF85" i="118"/>
  <c r="BF84" i="118"/>
  <c r="BF83" i="118"/>
  <c r="BF81" i="118"/>
  <c r="BF79" i="118"/>
  <c r="BF77" i="118"/>
  <c r="BF76" i="118"/>
  <c r="BF75" i="118"/>
  <c r="BF74" i="118"/>
  <c r="BF73" i="118"/>
  <c r="BF72" i="118"/>
  <c r="BF71" i="118"/>
  <c r="BF70" i="118"/>
  <c r="BF69" i="118"/>
  <c r="BF68" i="118"/>
  <c r="BF67" i="118"/>
  <c r="BF66" i="118"/>
  <c r="BF65" i="118"/>
  <c r="BF64" i="118"/>
  <c r="BF63" i="118"/>
  <c r="BF62" i="118"/>
  <c r="BF61" i="118"/>
  <c r="BF58" i="118"/>
  <c r="BF57" i="118"/>
  <c r="BF54" i="118"/>
  <c r="BF52" i="118"/>
  <c r="BF51" i="118"/>
  <c r="BF49" i="118"/>
  <c r="BF47" i="118"/>
  <c r="BF46" i="118"/>
  <c r="BF45" i="118"/>
  <c r="BF44" i="118"/>
  <c r="BF42" i="118"/>
  <c r="BF41" i="118"/>
  <c r="BF40" i="118"/>
  <c r="BF39" i="118"/>
  <c r="BF38" i="118"/>
  <c r="BF37" i="118"/>
  <c r="BF36" i="118"/>
  <c r="BF35" i="118"/>
  <c r="BF33" i="118"/>
  <c r="BF31" i="118"/>
  <c r="BF30" i="118"/>
  <c r="BF28" i="118"/>
  <c r="BF27" i="118"/>
  <c r="BF26" i="118"/>
  <c r="BF25" i="118"/>
  <c r="BF24" i="118"/>
  <c r="BF23" i="118"/>
  <c r="BF22" i="118"/>
  <c r="BF21" i="118"/>
  <c r="BF19" i="118"/>
  <c r="BF18" i="118"/>
  <c r="BF17" i="118"/>
  <c r="BF16" i="118"/>
  <c r="BF3793" i="118"/>
  <c r="BF3791" i="118"/>
  <c r="BF3789" i="118"/>
  <c r="BF3788" i="118"/>
  <c r="BF3787" i="118"/>
  <c r="BF3786" i="118"/>
  <c r="BF3785" i="118"/>
  <c r="BF3784" i="118"/>
  <c r="BF3783" i="118"/>
  <c r="BF3782" i="118"/>
  <c r="BF3781" i="118"/>
  <c r="BG3775" i="118"/>
  <c r="BG3770" i="118"/>
  <c r="BG3769" i="118"/>
  <c r="BG3766" i="118"/>
  <c r="BG3765" i="118"/>
  <c r="BG3758" i="118"/>
  <c r="BG3757" i="118"/>
  <c r="BG3756" i="118"/>
  <c r="BG3751" i="118"/>
  <c r="BG3750" i="118"/>
  <c r="BG3747" i="118"/>
  <c r="BF3465" i="118"/>
  <c r="BF3464" i="118"/>
  <c r="BF3463" i="118"/>
  <c r="BF3462" i="118"/>
  <c r="BF3460" i="118"/>
  <c r="BF3459" i="118"/>
  <c r="BF3457" i="118"/>
  <c r="BF3455" i="118"/>
  <c r="BF3454" i="118"/>
  <c r="BF3452" i="118"/>
  <c r="BF3450" i="118"/>
  <c r="BF3449" i="118"/>
  <c r="BF3447" i="118"/>
  <c r="BF3444" i="118"/>
  <c r="BF3442" i="118"/>
  <c r="BF3440" i="118"/>
  <c r="BF3431" i="118"/>
  <c r="BF3426" i="118"/>
  <c r="BF3425" i="118"/>
  <c r="BF3424" i="118"/>
  <c r="BF3423" i="118"/>
  <c r="BG3376" i="118"/>
  <c r="BG3375" i="118"/>
  <c r="BG3373" i="118"/>
  <c r="BG3372" i="118"/>
  <c r="BG3371" i="118"/>
  <c r="BG3370" i="118"/>
  <c r="BG3369" i="118"/>
  <c r="BG3350" i="118"/>
  <c r="BG3349" i="118"/>
  <c r="BG3348" i="118"/>
  <c r="BG3347" i="118"/>
  <c r="BG3345" i="118"/>
  <c r="BG3344" i="118"/>
  <c r="BG3343" i="118"/>
  <c r="BG3342" i="118"/>
  <c r="BG3341" i="118"/>
  <c r="BG3340" i="118"/>
  <c r="BG3339" i="118"/>
  <c r="BG3338" i="118"/>
  <c r="BG3337" i="118"/>
  <c r="BG3336" i="118"/>
  <c r="BG3335" i="118"/>
  <c r="BG3334" i="118"/>
  <c r="BG3273" i="118"/>
  <c r="BG3272" i="118"/>
  <c r="BG3271" i="118"/>
  <c r="BG3270" i="118"/>
  <c r="BG3269" i="118"/>
  <c r="BG3268" i="118"/>
  <c r="BG3267" i="118"/>
  <c r="BG3266" i="118"/>
  <c r="BG3265" i="118"/>
  <c r="BG3260" i="118"/>
  <c r="BG3259" i="118"/>
  <c r="BG3258" i="118"/>
  <c r="BF3190" i="118"/>
  <c r="BF3188" i="118"/>
  <c r="BF3180" i="118"/>
  <c r="BF3179" i="118"/>
  <c r="BF3177" i="118"/>
  <c r="BF3176" i="118"/>
  <c r="BF3175" i="118"/>
  <c r="BF3174" i="118"/>
  <c r="BF3173" i="118"/>
  <c r="BF3172" i="118"/>
  <c r="BF3160" i="118"/>
  <c r="BF3159" i="118"/>
  <c r="BF3158" i="118"/>
  <c r="BF3157" i="118"/>
  <c r="BF3156" i="118"/>
  <c r="BF3155" i="118"/>
  <c r="BF3154" i="118"/>
  <c r="BF3148" i="118"/>
  <c r="BF3147" i="118"/>
  <c r="BF3146" i="118"/>
  <c r="BF3145" i="118"/>
  <c r="BG3143" i="118"/>
  <c r="BG3142" i="118"/>
  <c r="BG3140" i="118"/>
  <c r="BG3139" i="118"/>
  <c r="BG3138" i="118"/>
  <c r="BI3138" i="118" s="1"/>
  <c r="BF3112" i="118"/>
  <c r="BF3111" i="118"/>
  <c r="BF3110" i="118"/>
  <c r="BF3107" i="118"/>
  <c r="BF3104" i="118"/>
  <c r="BF3103" i="118"/>
  <c r="BF3100" i="118"/>
  <c r="BF3098" i="118"/>
  <c r="BF3096" i="118"/>
  <c r="BF3093" i="118"/>
  <c r="BF3091" i="118"/>
  <c r="BF3090" i="118"/>
  <c r="BF3088" i="118"/>
  <c r="BF3087" i="118"/>
  <c r="BF3086" i="118"/>
  <c r="BF3085" i="118"/>
  <c r="BF3084" i="118"/>
  <c r="BF3083" i="118"/>
  <c r="BF3082" i="118"/>
  <c r="BF3081" i="118"/>
  <c r="BF3080" i="118"/>
  <c r="BF3065" i="118"/>
  <c r="BF3062" i="118"/>
  <c r="BF3061" i="118"/>
  <c r="BF3060" i="118"/>
  <c r="BF3059" i="118"/>
  <c r="BF3058" i="118"/>
  <c r="BF3053" i="118"/>
  <c r="BF3052" i="118"/>
  <c r="BF3044" i="118"/>
  <c r="BF3043" i="118"/>
  <c r="BF3042" i="118"/>
  <c r="BF3037" i="118"/>
  <c r="BF3036" i="118"/>
  <c r="BF3035" i="118"/>
  <c r="BF3033" i="118"/>
  <c r="BF3031" i="118"/>
  <c r="BF3030" i="118"/>
  <c r="BF3029" i="118"/>
  <c r="BG3020" i="118"/>
  <c r="BG3019" i="118"/>
  <c r="BG3018" i="118"/>
  <c r="BG3017" i="118"/>
  <c r="BG3016" i="118"/>
  <c r="BG3015" i="118"/>
  <c r="BG3014" i="118"/>
  <c r="BG3009" i="118"/>
  <c r="BG3008" i="118"/>
  <c r="BG3007" i="118"/>
  <c r="BG3001" i="118"/>
  <c r="BG3000" i="118"/>
  <c r="BG2999" i="118"/>
  <c r="BG2998" i="118"/>
  <c r="BG2997" i="118"/>
  <c r="BG2996" i="118"/>
  <c r="BG2995" i="118"/>
  <c r="BG2994" i="118"/>
  <c r="BG3006" i="118"/>
  <c r="BG3005" i="118"/>
  <c r="BG3004" i="118"/>
  <c r="BG3003" i="118"/>
  <c r="BG3002" i="118"/>
  <c r="BG2978" i="118"/>
  <c r="BG2977" i="118"/>
  <c r="BG2976" i="118"/>
  <c r="BG2975" i="118"/>
  <c r="BG2974" i="118"/>
  <c r="BG2973" i="118"/>
  <c r="BG2972" i="118"/>
  <c r="BG2971" i="118"/>
  <c r="BG2970" i="118"/>
  <c r="BG2969" i="118"/>
  <c r="BG2966" i="118"/>
  <c r="BF2951" i="118"/>
  <c r="BF2950" i="118"/>
  <c r="BF2948" i="118"/>
  <c r="BF2947" i="118"/>
  <c r="BF2946" i="118"/>
  <c r="BF2945" i="118"/>
  <c r="BF2944" i="118"/>
  <c r="BF2943" i="118"/>
  <c r="BF2942" i="118"/>
  <c r="BF2941" i="118"/>
  <c r="BF2940" i="118"/>
  <c r="BF2939" i="118"/>
  <c r="BF2938" i="118"/>
  <c r="BF2937" i="118"/>
  <c r="BF2936" i="118"/>
  <c r="BF2935" i="118"/>
  <c r="BF2934" i="118"/>
  <c r="BF2933" i="118"/>
  <c r="BF2932" i="118"/>
  <c r="BF2931" i="118"/>
  <c r="BF2930" i="118"/>
  <c r="BF2929" i="118"/>
  <c r="BF2927" i="118"/>
  <c r="BG2921" i="118"/>
  <c r="BG2920" i="118"/>
  <c r="BG2919" i="118"/>
  <c r="BG2915" i="118"/>
  <c r="BG2914" i="118"/>
  <c r="BG2911" i="118"/>
  <c r="BG2910" i="118"/>
  <c r="BG2909" i="118"/>
  <c r="BG2902" i="118"/>
  <c r="BG2901" i="118"/>
  <c r="BG2900" i="118"/>
  <c r="BF2899" i="118"/>
  <c r="BF2898" i="118"/>
  <c r="BF2897" i="118"/>
  <c r="BF2895" i="118"/>
  <c r="BF2894" i="118"/>
  <c r="BF2893" i="118"/>
  <c r="BF2891" i="118"/>
  <c r="BF2890" i="118"/>
  <c r="BF2889" i="118"/>
  <c r="BF2888" i="118"/>
  <c r="BF2887" i="118"/>
  <c r="BF2886" i="118"/>
  <c r="BG2884" i="118"/>
  <c r="BG2883" i="118"/>
  <c r="BF2881" i="118"/>
  <c r="BF2879" i="118"/>
  <c r="BG2864" i="118"/>
  <c r="BF2859" i="118"/>
  <c r="BG2851" i="118"/>
  <c r="BG2850" i="118"/>
  <c r="BG2849" i="118"/>
  <c r="BG2848" i="118"/>
  <c r="BG2846" i="118"/>
  <c r="BG2844" i="118"/>
  <c r="BG2843" i="118"/>
  <c r="BG2842" i="118"/>
  <c r="BG2841" i="118"/>
  <c r="BG2840" i="118"/>
  <c r="BG2839" i="118"/>
  <c r="BG2838" i="118"/>
  <c r="BG2837" i="118"/>
  <c r="BG2836" i="118"/>
  <c r="BG2825" i="118"/>
  <c r="BG2824" i="118"/>
  <c r="BG2823" i="118"/>
  <c r="BG2815" i="118"/>
  <c r="BG2814" i="118"/>
  <c r="BG2813" i="118"/>
  <c r="BG2812" i="118"/>
  <c r="BG2811" i="118"/>
  <c r="BG2810" i="118"/>
  <c r="BG2809" i="118"/>
  <c r="BG2808" i="118"/>
  <c r="BG2807" i="118"/>
  <c r="BG2806" i="118"/>
  <c r="BG2805" i="118"/>
  <c r="BG2804" i="118"/>
  <c r="BG2798" i="118"/>
  <c r="BG2797" i="118"/>
  <c r="BG2796" i="118"/>
  <c r="BG2795" i="118"/>
  <c r="BG2794" i="118"/>
  <c r="BG2793" i="118"/>
  <c r="BG2792" i="118"/>
  <c r="BG2791" i="118"/>
  <c r="BF2784" i="118"/>
  <c r="BF2783" i="118"/>
  <c r="BF2782" i="118"/>
  <c r="BF2781" i="118"/>
  <c r="BF2780" i="118"/>
  <c r="BF2779" i="118"/>
  <c r="BF2778" i="118"/>
  <c r="BF2776" i="118"/>
  <c r="BF2775" i="118"/>
  <c r="BF2773" i="118"/>
  <c r="BF2772" i="118"/>
  <c r="BF2771" i="118"/>
  <c r="BF2770" i="118"/>
  <c r="BF2769" i="118"/>
  <c r="BF2767" i="118"/>
  <c r="BF2766" i="118"/>
  <c r="BF2765" i="118"/>
  <c r="BF2764" i="118"/>
  <c r="BF2763" i="118"/>
  <c r="BF2762" i="118"/>
  <c r="BF2761" i="118"/>
  <c r="BF2760" i="118"/>
  <c r="BF2759" i="118"/>
  <c r="BF2758" i="118"/>
  <c r="BF2757" i="118"/>
  <c r="BF2756" i="118"/>
  <c r="BF2755" i="118"/>
  <c r="BF2754" i="118"/>
  <c r="BF2753" i="118"/>
  <c r="BF2752" i="118"/>
  <c r="BF2751" i="118"/>
  <c r="BF2750" i="118"/>
  <c r="BF2749" i="118"/>
  <c r="BF2748" i="118"/>
  <c r="BF2747" i="118"/>
  <c r="BF2746" i="118"/>
  <c r="BF2745" i="118"/>
  <c r="BF2744" i="118"/>
  <c r="BF2743" i="118"/>
  <c r="BF2742" i="118"/>
  <c r="BF2741" i="118"/>
  <c r="BF2740" i="118"/>
  <c r="BF2739" i="118"/>
  <c r="BF2738" i="118"/>
  <c r="BF2737" i="118"/>
  <c r="BF2736" i="118"/>
  <c r="BF2735" i="118"/>
  <c r="BF2734" i="118"/>
  <c r="BF2733" i="118"/>
  <c r="BF2732" i="118"/>
  <c r="BF2731" i="118"/>
  <c r="BF2730" i="118"/>
  <c r="BF2729" i="118"/>
  <c r="BF2728" i="118"/>
  <c r="BF2727" i="118"/>
  <c r="BF2726" i="118"/>
  <c r="BF2725" i="118"/>
  <c r="BF2724" i="118"/>
  <c r="BF2723" i="118"/>
  <c r="BF2722" i="118"/>
  <c r="BF2721" i="118"/>
  <c r="BF2720" i="118"/>
  <c r="BF2719" i="118"/>
  <c r="BF2718" i="118"/>
  <c r="BF2717" i="118"/>
  <c r="BF2716" i="118"/>
  <c r="BF2715" i="118"/>
  <c r="BF2708" i="118"/>
  <c r="BF2707" i="118"/>
  <c r="BF2706" i="118"/>
  <c r="BF2705" i="118"/>
  <c r="BF2704" i="118"/>
  <c r="BF2703" i="118"/>
  <c r="BF2700" i="118"/>
  <c r="BF2699" i="118"/>
  <c r="BF2698" i="118"/>
  <c r="BF2666" i="118"/>
  <c r="BF2665" i="118"/>
  <c r="BF2664" i="118"/>
  <c r="BF2651" i="118"/>
  <c r="BF2650" i="118"/>
  <c r="BF2649" i="118"/>
  <c r="BF2648" i="118"/>
  <c r="BF2645" i="118"/>
  <c r="BG2636" i="118"/>
  <c r="BG2635" i="118"/>
  <c r="BG2634" i="118"/>
  <c r="BG2633" i="118"/>
  <c r="BG2631" i="118"/>
  <c r="BG2630" i="118"/>
  <c r="BG2629" i="118"/>
  <c r="BG2628" i="118"/>
  <c r="BG2624" i="118"/>
  <c r="BG2621" i="118"/>
  <c r="BG2620" i="118"/>
  <c r="BG2610" i="118"/>
  <c r="BG2607" i="118"/>
  <c r="BG2606" i="118"/>
  <c r="BG2600" i="118"/>
  <c r="BG2599" i="118"/>
  <c r="BG2595" i="118"/>
  <c r="BG2594" i="118"/>
  <c r="BG2593" i="118"/>
  <c r="BG2592" i="118"/>
  <c r="BG2591" i="118"/>
  <c r="BG2590" i="118"/>
  <c r="BG2589" i="118"/>
  <c r="BG2588" i="118"/>
  <c r="BG2587" i="118"/>
  <c r="BG2586" i="118"/>
  <c r="BG2585" i="118"/>
  <c r="BG2584" i="118"/>
  <c r="BG2583" i="118"/>
  <c r="BG2582" i="118"/>
  <c r="BG2581" i="118"/>
  <c r="BG2580" i="118"/>
  <c r="BG2579" i="118"/>
  <c r="BG2578" i="118"/>
  <c r="BG2577" i="118"/>
  <c r="BG2573" i="118"/>
  <c r="BG2570" i="118"/>
  <c r="BG2560" i="118"/>
  <c r="BG2559" i="118"/>
  <c r="BG2558" i="118"/>
  <c r="BG2556" i="118"/>
  <c r="BG2555" i="118"/>
  <c r="BG2552" i="118"/>
  <c r="BG2551" i="118"/>
  <c r="BG2547" i="118"/>
  <c r="BG2538" i="118"/>
  <c r="BG2535" i="118"/>
  <c r="BG2532" i="118"/>
  <c r="BG2529" i="118"/>
  <c r="BG2528" i="118"/>
  <c r="BG2525" i="118"/>
  <c r="BG2524" i="118"/>
  <c r="BG2523" i="118"/>
  <c r="BG2521" i="118"/>
  <c r="BG2510" i="118"/>
  <c r="BG2501" i="118"/>
  <c r="BG2500" i="118"/>
  <c r="BG2499" i="118"/>
  <c r="BG2498" i="118"/>
  <c r="BG2495" i="118"/>
  <c r="BG2494" i="118"/>
  <c r="BG2493" i="118"/>
  <c r="BG2492" i="118"/>
  <c r="BG2491" i="118"/>
  <c r="BG2490" i="118"/>
  <c r="BG2489" i="118"/>
  <c r="BG2488" i="118"/>
  <c r="BG2487" i="118"/>
  <c r="BG2486" i="118"/>
  <c r="BG2485" i="118"/>
  <c r="BG2484" i="118"/>
  <c r="BG2483" i="118"/>
  <c r="BG2482" i="118"/>
  <c r="BG2481" i="118"/>
  <c r="BG2480" i="118"/>
  <c r="BG2479" i="118"/>
  <c r="BG2478" i="118"/>
  <c r="BG2477" i="118"/>
  <c r="BG2476" i="118"/>
  <c r="BG2475" i="118"/>
  <c r="BG2474" i="118"/>
  <c r="BG2473" i="118"/>
  <c r="BG2472" i="118"/>
  <c r="BG2471" i="118"/>
  <c r="BG2470" i="118"/>
  <c r="BG2469" i="118"/>
  <c r="BG2468" i="118"/>
  <c r="BG2467" i="118"/>
  <c r="BG2466" i="118"/>
  <c r="BG2465" i="118"/>
  <c r="BG2464" i="118"/>
  <c r="BG2463" i="118"/>
  <c r="BG2462" i="118"/>
  <c r="BG2461" i="118"/>
  <c r="BG2456" i="118"/>
  <c r="BG2452" i="118"/>
  <c r="BG2451" i="118"/>
  <c r="BG2230" i="118"/>
  <c r="BI2230" i="118" s="1"/>
  <c r="BG2229" i="118"/>
  <c r="BI2229" i="118" s="1"/>
  <c r="BF2088" i="118"/>
  <c r="BF2087" i="118"/>
  <c r="BF2086" i="118"/>
  <c r="BF2085" i="118"/>
  <c r="BF2084" i="118"/>
  <c r="BF1979" i="118"/>
  <c r="BF1978" i="118"/>
  <c r="BF1977" i="118"/>
  <c r="BF1976" i="118"/>
  <c r="BF1974" i="118"/>
  <c r="BF1973" i="118"/>
  <c r="BF1972" i="118"/>
  <c r="BF1971" i="118"/>
  <c r="BF1970" i="118"/>
  <c r="BF1969" i="118"/>
  <c r="BF1967" i="118"/>
  <c r="BF1960" i="118"/>
  <c r="BG1919" i="118"/>
  <c r="BG1918" i="118"/>
  <c r="BG1917" i="118"/>
  <c r="BG1916" i="118"/>
  <c r="BG1915" i="118"/>
  <c r="BG1914" i="118"/>
  <c r="BG1913" i="118"/>
  <c r="BG1912" i="118"/>
  <c r="BF1911" i="118"/>
  <c r="BF1910" i="118"/>
  <c r="BF1909" i="118"/>
  <c r="BF1908" i="118"/>
  <c r="BF1907" i="118"/>
  <c r="BF1906" i="118"/>
  <c r="BF1904" i="118"/>
  <c r="BF1903" i="118"/>
  <c r="BF1902" i="118"/>
  <c r="BF1901" i="118"/>
  <c r="BF1900" i="118"/>
  <c r="BF1899" i="118"/>
  <c r="BF1898" i="118"/>
  <c r="BF1897" i="118"/>
  <c r="BF1896" i="118"/>
  <c r="BF1895" i="118"/>
  <c r="BF1894" i="118"/>
  <c r="BF1892" i="118"/>
  <c r="BF1891" i="118"/>
  <c r="BF1890" i="118"/>
  <c r="BF1872" i="118"/>
  <c r="BF1870" i="118"/>
  <c r="BF1869" i="118"/>
  <c r="BF1868" i="118"/>
  <c r="BF1867" i="118"/>
  <c r="BF1866" i="118"/>
  <c r="BF1864" i="118"/>
  <c r="BF1863" i="118"/>
  <c r="BF1862" i="118"/>
  <c r="BF1861" i="118"/>
  <c r="BG1859" i="118"/>
  <c r="BG1858" i="118"/>
  <c r="BG1857" i="118"/>
  <c r="BF1856" i="118"/>
  <c r="BF1855" i="118"/>
  <c r="BF1854" i="118"/>
  <c r="BF1853" i="118"/>
  <c r="BF1852" i="118"/>
  <c r="BF1851" i="118"/>
  <c r="BF1850" i="118"/>
  <c r="BF1849" i="118"/>
  <c r="BF1848" i="118"/>
  <c r="BF1844" i="118"/>
  <c r="BG1834" i="118"/>
  <c r="BG1833" i="118"/>
  <c r="BF1823" i="118"/>
  <c r="BF1822" i="118"/>
  <c r="BF1821" i="118"/>
  <c r="BG1814" i="118"/>
  <c r="BG1813" i="118"/>
  <c r="BG1809" i="118"/>
  <c r="BG1808" i="118"/>
  <c r="BG1807" i="118"/>
  <c r="BF1787" i="118"/>
  <c r="BF1786" i="118"/>
  <c r="BG1782" i="118"/>
  <c r="BG1781" i="118"/>
  <c r="BG1780" i="118"/>
  <c r="BG1778" i="118"/>
  <c r="BG1777" i="118"/>
  <c r="BG1773" i="118"/>
  <c r="BG1763" i="118"/>
  <c r="BG1760" i="118"/>
  <c r="BG1755" i="118"/>
  <c r="BG1748" i="118"/>
  <c r="BG1747" i="118"/>
  <c r="BG1746" i="118"/>
  <c r="BG1745" i="118"/>
  <c r="BG1744" i="118"/>
  <c r="BG1739" i="118"/>
  <c r="BG1737" i="118"/>
  <c r="BG1736" i="118"/>
  <c r="BG1735" i="118"/>
  <c r="BG1734" i="118"/>
  <c r="BG1733" i="118"/>
  <c r="BG1722" i="118"/>
  <c r="BG1721" i="118"/>
  <c r="BG1720" i="118"/>
  <c r="BG1716" i="118"/>
  <c r="BG1715" i="118"/>
  <c r="BG1706" i="118"/>
  <c r="BG1705" i="118"/>
  <c r="BG1704" i="118"/>
  <c r="BG1703" i="118"/>
  <c r="BG1702" i="118"/>
  <c r="BG1701" i="118"/>
  <c r="BG1700" i="118"/>
  <c r="BG1687" i="118"/>
  <c r="BG1673" i="118"/>
  <c r="BG1672" i="118"/>
  <c r="BF3250" i="118"/>
  <c r="BF3126" i="118"/>
  <c r="BF3125" i="118"/>
  <c r="BG1741" i="118"/>
  <c r="BF1784" i="118"/>
  <c r="BG1641" i="118"/>
  <c r="BF1640" i="118"/>
  <c r="BF1635" i="118"/>
  <c r="BF1634" i="118"/>
  <c r="BF1632" i="118"/>
  <c r="BF1631" i="118"/>
  <c r="BF1629" i="118"/>
  <c r="BF1628" i="118"/>
  <c r="BF1627" i="118"/>
  <c r="BF1615" i="118"/>
  <c r="BF1614" i="118"/>
  <c r="BF1613" i="118"/>
  <c r="BF1612" i="118"/>
  <c r="BF1610" i="118"/>
  <c r="BF1609" i="118"/>
  <c r="BF1608" i="118"/>
  <c r="BF1607" i="118"/>
  <c r="BF1597" i="118"/>
  <c r="BF1596" i="118"/>
  <c r="BF1595" i="118"/>
  <c r="BF1594" i="118"/>
  <c r="BG1592" i="118"/>
  <c r="BG1591" i="118"/>
  <c r="BG1590" i="118"/>
  <c r="BG1589" i="118"/>
  <c r="BF1579" i="118"/>
  <c r="BF1578" i="118"/>
  <c r="BF1577" i="118"/>
  <c r="BF1568" i="118"/>
  <c r="BF1567" i="118"/>
  <c r="BF1566" i="118"/>
  <c r="BF1564" i="118"/>
  <c r="BF1563" i="118"/>
  <c r="BF1562" i="118"/>
  <c r="BF1561" i="118"/>
  <c r="BF1557" i="118"/>
  <c r="BF1556" i="118"/>
  <c r="BF1552" i="118"/>
  <c r="BF1549" i="118"/>
  <c r="BF1546" i="118"/>
  <c r="BF1545" i="118"/>
  <c r="BF1544" i="118"/>
  <c r="BF1543" i="118"/>
  <c r="BF1541" i="118"/>
  <c r="BF1540" i="118"/>
  <c r="BF1539" i="118"/>
  <c r="BF1538" i="118"/>
  <c r="BF1537" i="118"/>
  <c r="BF1536" i="118"/>
  <c r="BF1535" i="118"/>
  <c r="BF1534" i="118"/>
  <c r="BF1533" i="118"/>
  <c r="BF1532" i="118"/>
  <c r="BF1531" i="118"/>
  <c r="BF1530" i="118"/>
  <c r="BF1529" i="118"/>
  <c r="BF1528" i="118"/>
  <c r="BF1527" i="118"/>
  <c r="BF1525" i="118"/>
  <c r="BF1524" i="118"/>
  <c r="BF1523" i="118"/>
  <c r="BF1521" i="118"/>
  <c r="BF1519" i="118"/>
  <c r="BF1518" i="118"/>
  <c r="BF1517" i="118"/>
  <c r="BF1513" i="118"/>
  <c r="BF1512" i="118"/>
  <c r="BF1511" i="118"/>
  <c r="BF1507" i="118"/>
  <c r="BF1499" i="118"/>
  <c r="BF1498" i="118"/>
  <c r="BF1497" i="118"/>
  <c r="BF1494" i="118"/>
  <c r="BF1479" i="118"/>
  <c r="BF1478" i="118"/>
  <c r="BF1477" i="118"/>
  <c r="BF1476" i="118"/>
  <c r="BF1472" i="118"/>
  <c r="BF1471" i="118"/>
  <c r="BF1470" i="118"/>
  <c r="BF1465" i="118"/>
  <c r="BF1463" i="118"/>
  <c r="BF1462" i="118"/>
  <c r="BF1461" i="118"/>
  <c r="BF1460" i="118"/>
  <c r="BF1458" i="118"/>
  <c r="BF1457" i="118"/>
  <c r="BF1454" i="118"/>
  <c r="BF1453" i="118"/>
  <c r="BF1452" i="118"/>
  <c r="BF1451" i="118"/>
  <c r="BF1450" i="118"/>
  <c r="BF1449" i="118"/>
  <c r="BF1448" i="118"/>
  <c r="BF1447" i="118"/>
  <c r="BF1446" i="118"/>
  <c r="BF1445" i="118"/>
  <c r="BF1444" i="118"/>
  <c r="BF1443" i="118"/>
  <c r="BF1442" i="118"/>
  <c r="BF1441" i="118"/>
  <c r="BF1440" i="118"/>
  <c r="BF1439" i="118"/>
  <c r="BF1438" i="118"/>
  <c r="BF1437" i="118"/>
  <c r="BF1436" i="118"/>
  <c r="BF1434" i="118"/>
  <c r="BF1429" i="118"/>
  <c r="BF1423" i="118"/>
  <c r="BF1422" i="118"/>
  <c r="BF1418" i="118"/>
  <c r="BF1417" i="118"/>
  <c r="BF1416" i="118"/>
  <c r="BF1414" i="118"/>
  <c r="BF1413" i="118"/>
  <c r="BF1412" i="118"/>
  <c r="BF1409" i="118"/>
  <c r="BF1408" i="118"/>
  <c r="BF1406" i="118"/>
  <c r="BF1405" i="118"/>
  <c r="BF1404" i="118"/>
  <c r="BF1403" i="118"/>
  <c r="BF1402" i="118"/>
  <c r="BF1401" i="118"/>
  <c r="BF1399" i="118"/>
  <c r="BF1398" i="118"/>
  <c r="BF1385" i="118"/>
  <c r="BF1384" i="118"/>
  <c r="BF1383" i="118"/>
  <c r="BF1382" i="118"/>
  <c r="BF1377" i="118"/>
  <c r="BF1376" i="118"/>
  <c r="BF1375" i="118"/>
  <c r="BF1374" i="118"/>
  <c r="BF1373" i="118"/>
  <c r="BF1372" i="118"/>
  <c r="BF1365" i="118"/>
  <c r="BF1364" i="118"/>
  <c r="BF1363" i="118"/>
  <c r="BF1362" i="118"/>
  <c r="BF1361" i="118"/>
  <c r="BF1360" i="118"/>
  <c r="BF1359" i="118"/>
  <c r="BF1358" i="118"/>
  <c r="BF1357" i="118"/>
  <c r="BF1356" i="118"/>
  <c r="BF1355" i="118"/>
  <c r="BF1354" i="118"/>
  <c r="BF1353" i="118"/>
  <c r="BF1352" i="118"/>
  <c r="BF1351" i="118"/>
  <c r="BF1350" i="118"/>
  <c r="BF1349" i="118"/>
  <c r="BF1348" i="118"/>
  <c r="BF1346" i="118"/>
  <c r="BF1345" i="118"/>
  <c r="BF1344" i="118"/>
  <c r="BF1339" i="118"/>
  <c r="BF1336" i="118"/>
  <c r="BF1335" i="118"/>
  <c r="BF1334" i="118"/>
  <c r="BF1333" i="118"/>
  <c r="BF1329" i="118"/>
  <c r="BF1328" i="118"/>
  <c r="BF1326" i="118"/>
  <c r="BF1325" i="118"/>
  <c r="BF1324" i="118"/>
  <c r="BF1323" i="118"/>
  <c r="BF1322" i="118"/>
  <c r="BF1321" i="118"/>
  <c r="BF1320" i="118"/>
  <c r="BF1319" i="118"/>
  <c r="BF1317" i="118"/>
  <c r="BF1316" i="118"/>
  <c r="BF1315" i="118"/>
  <c r="BF1306" i="118"/>
  <c r="BF1305" i="118"/>
  <c r="BF1304" i="118"/>
  <c r="BF1301" i="118"/>
  <c r="BG1297" i="118"/>
  <c r="BG1296" i="118"/>
  <c r="BG1294" i="118"/>
  <c r="BG1293" i="118"/>
  <c r="BG1292" i="118"/>
  <c r="BG1291" i="118"/>
  <c r="BG1290" i="118"/>
  <c r="BG1289" i="118"/>
  <c r="BG1288" i="118"/>
  <c r="BG1268" i="118"/>
  <c r="BG1267" i="118"/>
  <c r="BG1264" i="118"/>
  <c r="BG1263" i="118"/>
  <c r="BG1257" i="118"/>
  <c r="BG1256" i="118"/>
  <c r="BG1255" i="118"/>
  <c r="BG1254" i="118"/>
  <c r="BG1253" i="118"/>
  <c r="BG1252" i="118"/>
  <c r="BG1251" i="118"/>
  <c r="BG1240" i="118"/>
  <c r="BG1239" i="118"/>
  <c r="BG1232" i="118"/>
  <c r="BG1215" i="118"/>
  <c r="BG1210" i="118"/>
  <c r="BG1206" i="118"/>
  <c r="BG1196" i="118"/>
  <c r="BF1194" i="118"/>
  <c r="BF1193" i="118"/>
  <c r="BF1192" i="118"/>
  <c r="BF1191" i="118"/>
  <c r="BF1176" i="118"/>
  <c r="BF1171" i="118"/>
  <c r="BF1170" i="118"/>
  <c r="BF1168" i="118"/>
  <c r="BF1167" i="118"/>
  <c r="BF1166" i="118"/>
  <c r="BF1165" i="118"/>
  <c r="BF1164" i="118"/>
  <c r="BF1163" i="118"/>
  <c r="BF1160" i="118"/>
  <c r="BF1154" i="118"/>
  <c r="BF1153" i="118"/>
  <c r="BF1151" i="118"/>
  <c r="BF1150" i="118"/>
  <c r="BF1147" i="118"/>
  <c r="BF1145" i="118"/>
  <c r="BF1144" i="118"/>
  <c r="BF1143" i="118"/>
  <c r="BF1141" i="118"/>
  <c r="BF1140" i="118"/>
  <c r="BF1139" i="118"/>
  <c r="BF1138" i="118"/>
  <c r="BF1137" i="118"/>
  <c r="BF1136" i="118"/>
  <c r="BF1135" i="118"/>
  <c r="BF1133" i="118"/>
  <c r="BF1119" i="118"/>
  <c r="BF1118" i="118"/>
  <c r="BF1117" i="118"/>
  <c r="BF1116" i="118"/>
  <c r="BF1112" i="118"/>
  <c r="BF1111" i="118"/>
  <c r="BF1110" i="118"/>
  <c r="BF1107" i="118"/>
  <c r="BF1106" i="118"/>
  <c r="BF1104" i="118"/>
  <c r="BF1101" i="118"/>
  <c r="BG1098" i="118"/>
  <c r="BG1097" i="118"/>
  <c r="BG1062" i="118"/>
  <c r="BG1061" i="118"/>
  <c r="BG1060" i="118"/>
  <c r="BG1059" i="118"/>
  <c r="BG1058" i="118"/>
  <c r="BG1056" i="118"/>
  <c r="BG1055" i="118"/>
  <c r="BG1051" i="118"/>
  <c r="BG1050" i="118"/>
  <c r="BG1049" i="118"/>
  <c r="BG1048" i="118"/>
  <c r="BG1047" i="118"/>
  <c r="BG1046" i="118"/>
  <c r="BF1037" i="118"/>
  <c r="BF1036" i="118"/>
  <c r="BF1034" i="118"/>
  <c r="BF1032" i="118"/>
  <c r="BF1031" i="118"/>
  <c r="BG1029" i="118"/>
  <c r="BF1027" i="118"/>
  <c r="BI926" i="118"/>
  <c r="BG113" i="118"/>
  <c r="BI113" i="118" s="1"/>
  <c r="BG2308" i="118"/>
  <c r="BG2290" i="118"/>
  <c r="BG2268" i="118"/>
  <c r="BG1779" i="118"/>
  <c r="BG3374" i="118"/>
  <c r="BG584" i="118"/>
  <c r="BI584" i="118" s="1"/>
  <c r="BG330" i="118"/>
  <c r="BI330" i="118" s="1"/>
  <c r="BG3801" i="118"/>
  <c r="BG3799" i="118"/>
  <c r="BG3797" i="118"/>
  <c r="BG3795" i="118"/>
  <c r="BF3792" i="118"/>
  <c r="BG3778" i="118"/>
  <c r="BG3774" i="118"/>
  <c r="BG3763" i="118"/>
  <c r="BG3760" i="118"/>
  <c r="BG3754" i="118"/>
  <c r="BG3753" i="118"/>
  <c r="BG3744" i="118"/>
  <c r="BG3743" i="118"/>
  <c r="BG3742" i="118"/>
  <c r="BG3741" i="118"/>
  <c r="BG3740" i="118"/>
  <c r="BG3739" i="118"/>
  <c r="BG3738" i="118"/>
  <c r="BG3737" i="118"/>
  <c r="BG3736" i="118"/>
  <c r="BG3735" i="118"/>
  <c r="BG3734" i="118"/>
  <c r="BG3732" i="118"/>
  <c r="BG3731" i="118"/>
  <c r="BG3730" i="118"/>
  <c r="BG3729" i="118"/>
  <c r="BG3728" i="118"/>
  <c r="BG3727" i="118"/>
  <c r="BG3725" i="118"/>
  <c r="BG3723" i="118"/>
  <c r="BG3722" i="118"/>
  <c r="BG3721" i="118"/>
  <c r="BG3720" i="118"/>
  <c r="BG3719" i="118"/>
  <c r="BG3718" i="118"/>
  <c r="BG3717" i="118"/>
  <c r="BG3716" i="118"/>
  <c r="BG3715" i="118"/>
  <c r="BG3714" i="118"/>
  <c r="BG3713" i="118"/>
  <c r="BG3711" i="118"/>
  <c r="BG3710" i="118"/>
  <c r="BG3709" i="118"/>
  <c r="BG3708" i="118"/>
  <c r="BG3707" i="118"/>
  <c r="BG3706" i="118"/>
  <c r="BG3705" i="118"/>
  <c r="BG3704" i="118"/>
  <c r="BG3703" i="118"/>
  <c r="BG3702" i="118"/>
  <c r="BG3701" i="118"/>
  <c r="BG3700" i="118"/>
  <c r="BG3699" i="118"/>
  <c r="BG3698" i="118"/>
  <c r="BG3697" i="118"/>
  <c r="BG3696" i="118"/>
  <c r="BG3695" i="118"/>
  <c r="BG3694" i="118"/>
  <c r="BG3693" i="118"/>
  <c r="BG3692" i="118"/>
  <c r="BG3691" i="118"/>
  <c r="BG3689" i="118"/>
  <c r="BG3688" i="118"/>
  <c r="BG3687" i="118"/>
  <c r="BG3686" i="118"/>
  <c r="BG3684" i="118"/>
  <c r="BG3683" i="118"/>
  <c r="BG3682" i="118"/>
  <c r="BG3681" i="118"/>
  <c r="BG3680" i="118"/>
  <c r="BG3679" i="118"/>
  <c r="BG3678" i="118"/>
  <c r="BG3677" i="118"/>
  <c r="BG3676" i="118"/>
  <c r="BG3675" i="118"/>
  <c r="BG3674" i="118"/>
  <c r="BG3673" i="118"/>
  <c r="BG3672" i="118"/>
  <c r="BG3671" i="118"/>
  <c r="BG3670" i="118"/>
  <c r="BG3669" i="118"/>
  <c r="BG3668" i="118"/>
  <c r="BG3666" i="118"/>
  <c r="BG3665" i="118"/>
  <c r="BG3664" i="118"/>
  <c r="BG3663" i="118"/>
  <c r="BG3662" i="118"/>
  <c r="BG3661" i="118"/>
  <c r="BG3660" i="118"/>
  <c r="BG3659" i="118"/>
  <c r="BG3658" i="118"/>
  <c r="BG3657" i="118"/>
  <c r="BG3656" i="118"/>
  <c r="BG3655" i="118"/>
  <c r="BG3653" i="118"/>
  <c r="BG3651" i="118"/>
  <c r="BG3650" i="118"/>
  <c r="BG3649" i="118"/>
  <c r="BG3648" i="118"/>
  <c r="BG3647" i="118"/>
  <c r="BG3646" i="118"/>
  <c r="BG3645" i="118"/>
  <c r="BG3644" i="118"/>
  <c r="BG3643" i="118"/>
  <c r="BG3642" i="118"/>
  <c r="BG3641" i="118"/>
  <c r="BG3640" i="118"/>
  <c r="BG3639" i="118"/>
  <c r="BG3638" i="118"/>
  <c r="BG3637" i="118"/>
  <c r="BG3636" i="118"/>
  <c r="BG3635" i="118"/>
  <c r="BG3634" i="118"/>
  <c r="BG3633" i="118"/>
  <c r="BG3632" i="118"/>
  <c r="BG3630" i="118"/>
  <c r="BG3629" i="118"/>
  <c r="BG3627" i="118"/>
  <c r="BG3625" i="118"/>
  <c r="BG3624" i="118"/>
  <c r="BG3623" i="118"/>
  <c r="BG3622" i="118"/>
  <c r="BG3621" i="118"/>
  <c r="BG3620" i="118"/>
  <c r="BG3619" i="118"/>
  <c r="BG3617" i="118"/>
  <c r="BG3616" i="118"/>
  <c r="BG3615" i="118"/>
  <c r="BG3614" i="118"/>
  <c r="BG3613" i="118"/>
  <c r="BG3612" i="118"/>
  <c r="BG3611" i="118"/>
  <c r="BG3610" i="118"/>
  <c r="BG3609" i="118"/>
  <c r="BG3608" i="118"/>
  <c r="BG3607" i="118"/>
  <c r="BG3605" i="118"/>
  <c r="BG3604" i="118"/>
  <c r="BG3602" i="118"/>
  <c r="BG3601" i="118"/>
  <c r="BG3600" i="118"/>
  <c r="BG3599" i="118"/>
  <c r="BG3598" i="118"/>
  <c r="BG3597" i="118"/>
  <c r="BG3596" i="118"/>
  <c r="BG3595" i="118"/>
  <c r="BG3594" i="118"/>
  <c r="BG3593" i="118"/>
  <c r="BG3592" i="118"/>
  <c r="BG3591" i="118"/>
  <c r="BG3590" i="118"/>
  <c r="BG3589" i="118"/>
  <c r="BG3587" i="118"/>
  <c r="BG3586" i="118"/>
  <c r="BG3585" i="118"/>
  <c r="BG3584" i="118"/>
  <c r="BG3583" i="118"/>
  <c r="BG3582" i="118"/>
  <c r="BG3581" i="118"/>
  <c r="BG3580" i="118"/>
  <c r="BG3579" i="118"/>
  <c r="BG3578" i="118"/>
  <c r="BG3577" i="118"/>
  <c r="BG3576" i="118"/>
  <c r="BG3575" i="118"/>
  <c r="BG3574" i="118"/>
  <c r="BG3573" i="118"/>
  <c r="BG3572" i="118"/>
  <c r="BG3571" i="118"/>
  <c r="BG3570" i="118"/>
  <c r="BG3566" i="118"/>
  <c r="BG3565" i="118"/>
  <c r="BG3564" i="118"/>
  <c r="BG3563" i="118"/>
  <c r="BG3562" i="118"/>
  <c r="BG3561" i="118"/>
  <c r="BG3560" i="118"/>
  <c r="BG3559" i="118"/>
  <c r="BG3558" i="118"/>
  <c r="BG3557" i="118"/>
  <c r="BG3556" i="118"/>
  <c r="BG3555" i="118"/>
  <c r="BG3554" i="118"/>
  <c r="BG3553" i="118"/>
  <c r="BG3552" i="118"/>
  <c r="BG3550" i="118"/>
  <c r="BG3549" i="118"/>
  <c r="BG3548" i="118"/>
  <c r="BG3547" i="118"/>
  <c r="BG3546" i="118"/>
  <c r="BG3545" i="118"/>
  <c r="BG3544" i="118"/>
  <c r="BG3543" i="118"/>
  <c r="BG3542" i="118"/>
  <c r="BG3541" i="118"/>
  <c r="BG3540" i="118"/>
  <c r="BG3538" i="118"/>
  <c r="BG3537" i="118"/>
  <c r="BG3536" i="118"/>
  <c r="BG3535" i="118"/>
  <c r="BG3534" i="118"/>
  <c r="BG3533" i="118"/>
  <c r="BG3532" i="118"/>
  <c r="BG3531" i="118"/>
  <c r="BG3530" i="118"/>
  <c r="BG3529" i="118"/>
  <c r="BG3528" i="118"/>
  <c r="BG3527" i="118"/>
  <c r="BG3526" i="118"/>
  <c r="BG3524" i="118"/>
  <c r="BG3523" i="118"/>
  <c r="BG3522" i="118"/>
  <c r="BG3521" i="118"/>
  <c r="BG3520" i="118"/>
  <c r="BG3519" i="118"/>
  <c r="BG3518" i="118"/>
  <c r="BG3517" i="118"/>
  <c r="BG3516" i="118"/>
  <c r="BG3515" i="118"/>
  <c r="BG3514" i="118"/>
  <c r="BG3513" i="118"/>
  <c r="BG3511" i="118"/>
  <c r="BG3510" i="118"/>
  <c r="BG3509" i="118"/>
  <c r="BG3508" i="118"/>
  <c r="BG3507" i="118"/>
  <c r="BG3506" i="118"/>
  <c r="BG3505" i="118"/>
  <c r="BG3504" i="118"/>
  <c r="BG3503" i="118"/>
  <c r="BG3502" i="118"/>
  <c r="BG3501" i="118"/>
  <c r="BG3500" i="118"/>
  <c r="BG3499" i="118"/>
  <c r="BG3498" i="118"/>
  <c r="BG3497" i="118"/>
  <c r="BG3495" i="118"/>
  <c r="BG3494" i="118"/>
  <c r="BG3493" i="118"/>
  <c r="BG3492" i="118"/>
  <c r="BG3491" i="118"/>
  <c r="BG3490" i="118"/>
  <c r="BG3489" i="118"/>
  <c r="BG3488" i="118"/>
  <c r="BG3487" i="118"/>
  <c r="BG3486" i="118"/>
  <c r="BG3485" i="118"/>
  <c r="BG3484" i="118"/>
  <c r="BG3483" i="118"/>
  <c r="BG3482" i="118"/>
  <c r="BG3481" i="118"/>
  <c r="BG3480" i="118"/>
  <c r="BG3479" i="118"/>
  <c r="BG3476" i="118"/>
  <c r="BG3475" i="118"/>
  <c r="BG3473" i="118"/>
  <c r="BG3472" i="118"/>
  <c r="BG3471" i="118"/>
  <c r="BG3470" i="118"/>
  <c r="BG3469" i="118"/>
  <c r="BG3468" i="118"/>
  <c r="BG3467" i="118"/>
  <c r="BG3466" i="118"/>
  <c r="BF3415" i="118"/>
  <c r="BF3413" i="118"/>
  <c r="BF3412" i="118"/>
  <c r="BF3411" i="118"/>
  <c r="BF3410" i="118"/>
  <c r="BF3408" i="118"/>
  <c r="BF3407" i="118"/>
  <c r="BF3406" i="118"/>
  <c r="BF3405" i="118"/>
  <c r="BF3404" i="118"/>
  <c r="BF3403" i="118"/>
  <c r="BF3402" i="118"/>
  <c r="BF3400" i="118"/>
  <c r="BF3399" i="118"/>
  <c r="BF3398" i="118"/>
  <c r="BF3397" i="118"/>
  <c r="BF3396" i="118"/>
  <c r="BG3331" i="118"/>
  <c r="BG3330" i="118"/>
  <c r="BG3263" i="118"/>
  <c r="BG3262" i="118"/>
  <c r="BG3256" i="118"/>
  <c r="BF3254" i="118"/>
  <c r="BF3253" i="118"/>
  <c r="BF3252" i="118"/>
  <c r="BF3251" i="118"/>
  <c r="BF3249" i="118"/>
  <c r="BF3248" i="118"/>
  <c r="BF3246" i="118"/>
  <c r="BF3245" i="118"/>
  <c r="BF3242" i="118"/>
  <c r="BF3238" i="118"/>
  <c r="BF3237" i="118"/>
  <c r="BF3236" i="118"/>
  <c r="BF3235" i="118"/>
  <c r="BF3234" i="118"/>
  <c r="BF3229" i="118"/>
  <c r="BF3228" i="118"/>
  <c r="BF3224" i="118"/>
  <c r="BF3216" i="118"/>
  <c r="BF3215" i="118"/>
  <c r="BF3213" i="118"/>
  <c r="BF3214" i="118"/>
  <c r="BF3212" i="118"/>
  <c r="BF3211" i="118"/>
  <c r="BF3210" i="118"/>
  <c r="BF3209" i="118"/>
  <c r="BF3208" i="118"/>
  <c r="BF3207" i="118"/>
  <c r="BF3206" i="118"/>
  <c r="BF3202" i="118"/>
  <c r="BF3200" i="118"/>
  <c r="BF3199" i="118"/>
  <c r="BF3198" i="118"/>
  <c r="BF3197" i="118"/>
  <c r="BF3196" i="118"/>
  <c r="BG3188" i="118"/>
  <c r="BG3179" i="118"/>
  <c r="BG3176" i="118"/>
  <c r="BG3175" i="118"/>
  <c r="BG3174" i="118"/>
  <c r="BG3173" i="118"/>
  <c r="BG3172" i="118"/>
  <c r="BG3159" i="118"/>
  <c r="BG3158" i="118"/>
  <c r="BG3157" i="118"/>
  <c r="BG3156" i="118"/>
  <c r="BG3155" i="118"/>
  <c r="BG3154" i="118"/>
  <c r="BG3147" i="118"/>
  <c r="BG3146" i="118"/>
  <c r="BG3145" i="118"/>
  <c r="BF3144" i="118"/>
  <c r="BF3143" i="118"/>
  <c r="BF3142" i="118"/>
  <c r="BF3140" i="118"/>
  <c r="BF3139" i="118"/>
  <c r="BF3138" i="118"/>
  <c r="BG3125" i="118"/>
  <c r="BF3119" i="118"/>
  <c r="BF3010" i="118"/>
  <c r="BF3009" i="118"/>
  <c r="BF3008" i="118"/>
  <c r="BF3007" i="118"/>
  <c r="BF3001" i="118"/>
  <c r="BF3000" i="118"/>
  <c r="BF2999" i="118"/>
  <c r="BF2998" i="118"/>
  <c r="BF2997" i="118"/>
  <c r="BF2996" i="118"/>
  <c r="BF2995" i="118"/>
  <c r="BF2994" i="118"/>
  <c r="BF3006" i="118"/>
  <c r="BF3005" i="118"/>
  <c r="BF3004" i="118"/>
  <c r="BF3003" i="118"/>
  <c r="BF3002" i="118"/>
  <c r="BF2979" i="118"/>
  <c r="BF2978" i="118"/>
  <c r="BF2977" i="118"/>
  <c r="BF2976" i="118"/>
  <c r="BF2975" i="118"/>
  <c r="BF2974" i="118"/>
  <c r="BF2973" i="118"/>
  <c r="BF2972" i="118"/>
  <c r="BF2971" i="118"/>
  <c r="BF2970" i="118"/>
  <c r="BF2969" i="118"/>
  <c r="BF2967" i="118"/>
  <c r="BF2966" i="118"/>
  <c r="BF2964" i="118"/>
  <c r="BG2950" i="118"/>
  <c r="BG2947" i="118"/>
  <c r="BG2946" i="118"/>
  <c r="BG2945" i="118"/>
  <c r="BG2944" i="118"/>
  <c r="BG2943" i="118"/>
  <c r="BG2942" i="118"/>
  <c r="BG2941" i="118"/>
  <c r="BG2940" i="118"/>
  <c r="BG2939" i="118"/>
  <c r="BG2938" i="118"/>
  <c r="BG2937" i="118"/>
  <c r="BG2936" i="118"/>
  <c r="BG2935" i="118"/>
  <c r="BG2934" i="118"/>
  <c r="BG2933" i="118"/>
  <c r="BG2932" i="118"/>
  <c r="BG2931" i="118"/>
  <c r="BG2930" i="118"/>
  <c r="BG2929" i="118"/>
  <c r="BG2927" i="118"/>
  <c r="BF2922" i="118"/>
  <c r="BF2921" i="118"/>
  <c r="BF2920" i="118"/>
  <c r="BF2919" i="118"/>
  <c r="BF2916" i="118"/>
  <c r="BF2915" i="118"/>
  <c r="BF2914" i="118"/>
  <c r="BF2912" i="118"/>
  <c r="BF2911" i="118"/>
  <c r="BF2910" i="118"/>
  <c r="BF2909" i="118"/>
  <c r="BF2903" i="118"/>
  <c r="BF2902" i="118"/>
  <c r="BF2901" i="118"/>
  <c r="BF2900" i="118"/>
  <c r="BG2898" i="118"/>
  <c r="BG2897" i="118"/>
  <c r="BG2895" i="118"/>
  <c r="BG2894" i="118"/>
  <c r="BG2893" i="118"/>
  <c r="BG2890" i="118"/>
  <c r="BG2889" i="118"/>
  <c r="BG2888" i="118"/>
  <c r="BG2887" i="118"/>
  <c r="BG2886" i="118"/>
  <c r="BF2885" i="118"/>
  <c r="BF2884" i="118"/>
  <c r="BF2883" i="118"/>
  <c r="BG2879" i="118"/>
  <c r="BF2865" i="118"/>
  <c r="BF2864" i="118"/>
  <c r="BF2852" i="118"/>
  <c r="BF2851" i="118"/>
  <c r="BF2850" i="118"/>
  <c r="BF2849" i="118"/>
  <c r="BF2848" i="118"/>
  <c r="BF2846" i="118"/>
  <c r="BF2826" i="118"/>
  <c r="BF2825" i="118"/>
  <c r="BF2824" i="118"/>
  <c r="BF2823" i="118"/>
  <c r="BF2816" i="118"/>
  <c r="BF2815" i="118"/>
  <c r="BF2814" i="118"/>
  <c r="BF2813" i="118"/>
  <c r="BF2812" i="118"/>
  <c r="BF2811" i="118"/>
  <c r="BF2810" i="118"/>
  <c r="BF2809" i="118"/>
  <c r="BF2808" i="118"/>
  <c r="BF2807" i="118"/>
  <c r="BF2806" i="118"/>
  <c r="BF2805" i="118"/>
  <c r="BF2804" i="118"/>
  <c r="BF2799" i="118"/>
  <c r="BF2798" i="118"/>
  <c r="BF2797" i="118"/>
  <c r="BF2796" i="118"/>
  <c r="BF2795" i="118"/>
  <c r="BF2794" i="118"/>
  <c r="BF2793" i="118"/>
  <c r="BF2792" i="118"/>
  <c r="BF2791" i="118"/>
  <c r="BG2783" i="118"/>
  <c r="BG2782" i="118"/>
  <c r="BG2781" i="118"/>
  <c r="BG2780" i="118"/>
  <c r="BG2779" i="118"/>
  <c r="BG2778" i="118"/>
  <c r="BG2775" i="118"/>
  <c r="BG2772" i="118"/>
  <c r="BG2771" i="118"/>
  <c r="BG2770" i="118"/>
  <c r="BG2769" i="118"/>
  <c r="BG2766" i="118"/>
  <c r="BG2765" i="118"/>
  <c r="BG2764" i="118"/>
  <c r="BG2763" i="118"/>
  <c r="BG2762" i="118"/>
  <c r="BG2761" i="118"/>
  <c r="BG2760" i="118"/>
  <c r="BG2759" i="118"/>
  <c r="BG2758" i="118"/>
  <c r="BG2757" i="118"/>
  <c r="BG2756" i="118"/>
  <c r="BG2755" i="118"/>
  <c r="BG2754" i="118"/>
  <c r="BG2753" i="118"/>
  <c r="BG2752" i="118"/>
  <c r="BG2751" i="118"/>
  <c r="BG2750" i="118"/>
  <c r="BG2749" i="118"/>
  <c r="BG2748" i="118"/>
  <c r="BG2747" i="118"/>
  <c r="BG2746" i="118"/>
  <c r="BG2745" i="118"/>
  <c r="BG2744" i="118"/>
  <c r="BG2743" i="118"/>
  <c r="BG2742" i="118"/>
  <c r="BG2741" i="118"/>
  <c r="BG2740" i="118"/>
  <c r="BG2739" i="118"/>
  <c r="BG2738" i="118"/>
  <c r="BG2737" i="118"/>
  <c r="BG2736" i="118"/>
  <c r="BG2735" i="118"/>
  <c r="BG2734" i="118"/>
  <c r="BG2733" i="118"/>
  <c r="BG2732" i="118"/>
  <c r="BG2731" i="118"/>
  <c r="BG2730" i="118"/>
  <c r="BG2729" i="118"/>
  <c r="BG2728" i="118"/>
  <c r="BG2727" i="118"/>
  <c r="BG2726" i="118"/>
  <c r="BG2725" i="118"/>
  <c r="BG2724" i="118"/>
  <c r="BG2723" i="118"/>
  <c r="BG2722" i="118"/>
  <c r="BG2721" i="118"/>
  <c r="BG2720" i="118"/>
  <c r="BG2719" i="118"/>
  <c r="BG2718" i="118"/>
  <c r="BG2717" i="118"/>
  <c r="BG2716" i="118"/>
  <c r="BG2715" i="118"/>
  <c r="BG2707" i="118"/>
  <c r="BG2706" i="118"/>
  <c r="BG2705" i="118"/>
  <c r="BG2704" i="118"/>
  <c r="BG2703" i="118"/>
  <c r="BG2700" i="118"/>
  <c r="BG2699" i="118"/>
  <c r="BG2665" i="118"/>
  <c r="BG2664" i="118"/>
  <c r="BG2650" i="118"/>
  <c r="BG2649" i="118"/>
  <c r="BG2648" i="118"/>
  <c r="BF2637" i="118"/>
  <c r="BF2636" i="118"/>
  <c r="BF2635" i="118"/>
  <c r="BF2634" i="118"/>
  <c r="BF2633" i="118"/>
  <c r="BF2631" i="118"/>
  <c r="BF2630" i="118"/>
  <c r="BF2629" i="118"/>
  <c r="BF2628" i="118"/>
  <c r="BF2625" i="118"/>
  <c r="BF2624" i="118"/>
  <c r="BF2622" i="118"/>
  <c r="BF2621" i="118"/>
  <c r="BF2620" i="118"/>
  <c r="BF2617" i="118"/>
  <c r="BF2614" i="118"/>
  <c r="BF2611" i="118"/>
  <c r="BF2610" i="118"/>
  <c r="BF2608" i="118"/>
  <c r="BF2607" i="118"/>
  <c r="BF2606" i="118"/>
  <c r="BF2601" i="118"/>
  <c r="BF2600" i="118"/>
  <c r="BF2599" i="118"/>
  <c r="BF2596" i="118"/>
  <c r="BF2595" i="118"/>
  <c r="BF2594" i="118"/>
  <c r="BF2593" i="118"/>
  <c r="BF2592" i="118"/>
  <c r="BF2591" i="118"/>
  <c r="BF2590" i="118"/>
  <c r="BF2589" i="118"/>
  <c r="BF2588" i="118"/>
  <c r="BF2587" i="118"/>
  <c r="BF2586" i="118"/>
  <c r="BF2585" i="118"/>
  <c r="BF2584" i="118"/>
  <c r="BF2583" i="118"/>
  <c r="BF2582" i="118"/>
  <c r="BF2581" i="118"/>
  <c r="BF2580" i="118"/>
  <c r="BF2579" i="118"/>
  <c r="BF2578" i="118"/>
  <c r="BF2577" i="118"/>
  <c r="BF2574" i="118"/>
  <c r="BF2573" i="118"/>
  <c r="BF2571" i="118"/>
  <c r="BF2570" i="118"/>
  <c r="BF2567" i="118"/>
  <c r="BF2565" i="118"/>
  <c r="BF2561" i="118"/>
  <c r="BF2560" i="118"/>
  <c r="BF2559" i="118"/>
  <c r="BF2558" i="118"/>
  <c r="BF2556" i="118"/>
  <c r="BF2555" i="118"/>
  <c r="BF2553" i="118"/>
  <c r="BF2552" i="118"/>
  <c r="BF2551" i="118"/>
  <c r="BF2548" i="118"/>
  <c r="BF2547" i="118"/>
  <c r="BF2542" i="118"/>
  <c r="BF2539" i="118"/>
  <c r="BF2538" i="118"/>
  <c r="BF2536" i="118"/>
  <c r="BF2535" i="118"/>
  <c r="BF2533" i="118"/>
  <c r="BF2532" i="118"/>
  <c r="BF2530" i="118"/>
  <c r="BF2529" i="118"/>
  <c r="BF2528" i="118"/>
  <c r="BF2526" i="118"/>
  <c r="BF2525" i="118"/>
  <c r="BF2524" i="118"/>
  <c r="BF2523" i="118"/>
  <c r="BF2521" i="118"/>
  <c r="BF2511" i="118"/>
  <c r="BF2510" i="118"/>
  <c r="BF2504" i="118"/>
  <c r="BF2502" i="118"/>
  <c r="BF2501" i="118"/>
  <c r="BF2500" i="118"/>
  <c r="BF2499" i="118"/>
  <c r="BF2498" i="118"/>
  <c r="BF2496" i="118"/>
  <c r="BF2495" i="118"/>
  <c r="BF2494" i="118"/>
  <c r="BF2493" i="118"/>
  <c r="BF2492" i="118"/>
  <c r="BF2491" i="118"/>
  <c r="BF2490" i="118"/>
  <c r="BF2489" i="118"/>
  <c r="BF2488" i="118"/>
  <c r="BF2487" i="118"/>
  <c r="BF2486" i="118"/>
  <c r="BF2485" i="118"/>
  <c r="BF2484" i="118"/>
  <c r="BF2483" i="118"/>
  <c r="BF2482" i="118"/>
  <c r="BF2481" i="118"/>
  <c r="BF2480" i="118"/>
  <c r="BF2479" i="118"/>
  <c r="BF2478" i="118"/>
  <c r="BF2477" i="118"/>
  <c r="BF2476" i="118"/>
  <c r="BF2475" i="118"/>
  <c r="BF2474" i="118"/>
  <c r="BF2473" i="118"/>
  <c r="BF2472" i="118"/>
  <c r="BF2471" i="118"/>
  <c r="BF2470" i="118"/>
  <c r="BF2469" i="118"/>
  <c r="BF2468" i="118"/>
  <c r="BF2467" i="118"/>
  <c r="BF2466" i="118"/>
  <c r="BF2465" i="118"/>
  <c r="BF2464" i="118"/>
  <c r="BF2463" i="118"/>
  <c r="BF2462" i="118"/>
  <c r="BF2461" i="118"/>
  <c r="BF2457" i="118"/>
  <c r="BF2456" i="118"/>
  <c r="BF2453" i="118"/>
  <c r="BF2452" i="118"/>
  <c r="BF2451" i="118"/>
  <c r="BF2443" i="118"/>
  <c r="BF2442" i="118"/>
  <c r="BF2440" i="118"/>
  <c r="BF2439" i="118"/>
  <c r="BF2434" i="118"/>
  <c r="BF2433" i="118"/>
  <c r="BF2426" i="118"/>
  <c r="BF2425" i="118"/>
  <c r="BF2424" i="118"/>
  <c r="BG2415" i="118"/>
  <c r="BG2414" i="118"/>
  <c r="BG2413" i="118"/>
  <c r="BG2408" i="118"/>
  <c r="BG2407" i="118"/>
  <c r="BG2406" i="118"/>
  <c r="BF2396" i="118"/>
  <c r="BF2395" i="118"/>
  <c r="BF2394" i="118"/>
  <c r="BF2393" i="118"/>
  <c r="BF2387" i="118"/>
  <c r="BG2374" i="118"/>
  <c r="BF2373" i="118"/>
  <c r="BF2371" i="118"/>
  <c r="BF2366" i="118"/>
  <c r="BF2365" i="118"/>
  <c r="BF2364" i="118"/>
  <c r="BF2363" i="118"/>
  <c r="BF2360" i="118"/>
  <c r="BF2359" i="118"/>
  <c r="BF2358" i="118"/>
  <c r="BF2352" i="118"/>
  <c r="BF2351" i="118"/>
  <c r="BF2350" i="118"/>
  <c r="BF2349" i="118"/>
  <c r="BF2348" i="118"/>
  <c r="BF2342" i="118"/>
  <c r="BF2341" i="118"/>
  <c r="BF2339" i="118"/>
  <c r="BF2338" i="118"/>
  <c r="BF2337" i="118"/>
  <c r="BF2336" i="118"/>
  <c r="BF2335" i="118"/>
  <c r="BF2334" i="118"/>
  <c r="BF2326" i="118"/>
  <c r="BF2325" i="118"/>
  <c r="BF2324" i="118"/>
  <c r="BF2323" i="118"/>
  <c r="BF2321" i="118"/>
  <c r="BF2319" i="118"/>
  <c r="BF2318" i="118"/>
  <c r="BF2317" i="118"/>
  <c r="BF2316" i="118"/>
  <c r="BF2315" i="118"/>
  <c r="BF2314" i="118"/>
  <c r="BF2313" i="118"/>
  <c r="BF2312" i="118"/>
  <c r="BF2311" i="118"/>
  <c r="BF2310" i="118"/>
  <c r="BF2309" i="118"/>
  <c r="BF2308" i="118"/>
  <c r="BF2307" i="118"/>
  <c r="BF2306" i="118"/>
  <c r="BF2305" i="118"/>
  <c r="BF2304" i="118"/>
  <c r="BF2303" i="118"/>
  <c r="BF2302" i="118"/>
  <c r="BF2301" i="118"/>
  <c r="BF2300" i="118"/>
  <c r="BF2299" i="118"/>
  <c r="BF2298" i="118"/>
  <c r="BF2297" i="118"/>
  <c r="BF2296" i="118"/>
  <c r="BF2295" i="118"/>
  <c r="BF2294" i="118"/>
  <c r="BF2293" i="118"/>
  <c r="BF2292" i="118"/>
  <c r="BF2291" i="118"/>
  <c r="BF2290" i="118"/>
  <c r="BF2289" i="118"/>
  <c r="BF2288" i="118"/>
  <c r="BF2287" i="118"/>
  <c r="BF2286" i="118"/>
  <c r="BF2285" i="118"/>
  <c r="BF2284" i="118"/>
  <c r="BF2283" i="118"/>
  <c r="BF2282" i="118"/>
  <c r="BF2281" i="118"/>
  <c r="BF2280" i="118"/>
  <c r="BF2279" i="118"/>
  <c r="BF2278" i="118"/>
  <c r="BF2277" i="118"/>
  <c r="BF2276" i="118"/>
  <c r="BF2275" i="118"/>
  <c r="BF2274" i="118"/>
  <c r="BF2273" i="118"/>
  <c r="BF2272" i="118"/>
  <c r="BF2271" i="118"/>
  <c r="BF2270" i="118"/>
  <c r="BF2269" i="118"/>
  <c r="BF2268" i="118"/>
  <c r="BF2265" i="118"/>
  <c r="BF2261" i="118"/>
  <c r="BF2260" i="118"/>
  <c r="BF2259" i="118"/>
  <c r="BF2255" i="118"/>
  <c r="BF2254" i="118"/>
  <c r="BF2250" i="118"/>
  <c r="BF2249" i="118"/>
  <c r="BF2247" i="118"/>
  <c r="BF2246" i="118"/>
  <c r="BF2244" i="118"/>
  <c r="BF2243" i="118"/>
  <c r="BF2242" i="118"/>
  <c r="BF2241" i="118"/>
  <c r="BF2240" i="118"/>
  <c r="BF2239" i="118"/>
  <c r="BF2238" i="118"/>
  <c r="BF2237" i="118"/>
  <c r="BF2224" i="118"/>
  <c r="BF2218" i="118"/>
  <c r="BF2216" i="118"/>
  <c r="BF2215" i="118"/>
  <c r="BF2214" i="118"/>
  <c r="BF2213" i="118"/>
  <c r="BF2212" i="118"/>
  <c r="BF2211" i="118"/>
  <c r="BF2209" i="118"/>
  <c r="BF2208" i="118"/>
  <c r="BF2205" i="118"/>
  <c r="BF2203" i="118"/>
  <c r="BF2196" i="118"/>
  <c r="BF2194" i="118"/>
  <c r="BF2190" i="118"/>
  <c r="BF2183" i="118"/>
  <c r="BG2167" i="118"/>
  <c r="BG2166" i="118"/>
  <c r="BG2165" i="118"/>
  <c r="BG2163" i="118"/>
  <c r="BG2162" i="118"/>
  <c r="BG2164" i="118"/>
  <c r="BG2134" i="118"/>
  <c r="BG2133" i="118"/>
  <c r="BG2132" i="118"/>
  <c r="BG1576" i="118"/>
  <c r="BF3456" i="118"/>
  <c r="BF3453" i="118"/>
  <c r="BF3451" i="118"/>
  <c r="BF3448" i="118"/>
  <c r="BF3446" i="118"/>
  <c r="BF3445" i="118"/>
  <c r="BF3443" i="118"/>
  <c r="BF3441" i="118"/>
  <c r="BF3439" i="118"/>
  <c r="BF3438" i="118"/>
  <c r="BF3437" i="118"/>
  <c r="BF3436" i="118"/>
  <c r="BF3435" i="118"/>
  <c r="BF3432" i="118"/>
  <c r="BF3394" i="118"/>
  <c r="BF3393" i="118"/>
  <c r="BF3392" i="118"/>
  <c r="BF3391" i="118"/>
  <c r="BF3390" i="118"/>
  <c r="BG3388" i="118"/>
  <c r="BG3387" i="118"/>
  <c r="BG3386" i="118"/>
  <c r="BG3385" i="118"/>
  <c r="BG3384" i="118"/>
  <c r="BG3383" i="118"/>
  <c r="BG3382" i="118"/>
  <c r="BG3381" i="118"/>
  <c r="BG3380" i="118"/>
  <c r="BG3379" i="118"/>
  <c r="BG3378" i="118"/>
  <c r="BG3367" i="118"/>
  <c r="BG3366" i="118"/>
  <c r="BF3365" i="118"/>
  <c r="BF3364" i="118"/>
  <c r="BF3363" i="118"/>
  <c r="BF3362" i="118"/>
  <c r="BF3361" i="118"/>
  <c r="BF3360" i="118"/>
  <c r="BG3358" i="118"/>
  <c r="BG3357" i="118"/>
  <c r="BG3356" i="118"/>
  <c r="BG3355" i="118"/>
  <c r="BG3354" i="118"/>
  <c r="BG3353" i="118"/>
  <c r="BG3111" i="118"/>
  <c r="BG3110" i="118"/>
  <c r="BG3103" i="118"/>
  <c r="BG3090" i="118"/>
  <c r="BG3087" i="118"/>
  <c r="BG3086" i="118"/>
  <c r="BG3085" i="118"/>
  <c r="BG3084" i="118"/>
  <c r="BG3083" i="118"/>
  <c r="BG3082" i="118"/>
  <c r="BG3081" i="118"/>
  <c r="BG3080" i="118"/>
  <c r="BG3061" i="118"/>
  <c r="BG3060" i="118"/>
  <c r="BG3059" i="118"/>
  <c r="BG3058" i="118"/>
  <c r="BG3052" i="118"/>
  <c r="BG3043" i="118"/>
  <c r="BG3042" i="118"/>
  <c r="BG3036" i="118"/>
  <c r="BG3035" i="118"/>
  <c r="BG3030" i="118"/>
  <c r="BG3029" i="118"/>
  <c r="BF3021" i="118"/>
  <c r="BF3020" i="118"/>
  <c r="BF3019" i="118"/>
  <c r="BF3018" i="118"/>
  <c r="BF3017" i="118"/>
  <c r="BF3016" i="118"/>
  <c r="BF3015" i="118"/>
  <c r="BF3014" i="118"/>
  <c r="BF2844" i="118"/>
  <c r="BF2843" i="118"/>
  <c r="BF2842" i="118"/>
  <c r="BF2841" i="118"/>
  <c r="BF2840" i="118"/>
  <c r="BF2839" i="118"/>
  <c r="BF2838" i="118"/>
  <c r="BF2837" i="118"/>
  <c r="BF2836" i="118"/>
  <c r="BG3318" i="118"/>
  <c r="BG1480" i="118"/>
  <c r="BI1480" i="118" s="1"/>
  <c r="BF3801" i="118"/>
  <c r="BF3799" i="118"/>
  <c r="BF3797" i="118"/>
  <c r="BF3795" i="118"/>
  <c r="BF3779" i="118"/>
  <c r="BF3778" i="118"/>
  <c r="BF3776" i="118"/>
  <c r="BF3774" i="118"/>
  <c r="BF3772" i="118"/>
  <c r="BF3768" i="118"/>
  <c r="BF3764" i="118"/>
  <c r="BF3763" i="118"/>
  <c r="BF3761" i="118"/>
  <c r="BF3760" i="118"/>
  <c r="BF3755" i="118"/>
  <c r="BF3754" i="118"/>
  <c r="BF3753" i="118"/>
  <c r="BF3749" i="118"/>
  <c r="BF3746" i="118"/>
  <c r="BF3744" i="118"/>
  <c r="BF3743" i="118"/>
  <c r="BF3742" i="118"/>
  <c r="BF3741" i="118"/>
  <c r="BF3740" i="118"/>
  <c r="BF3739" i="118"/>
  <c r="BF3738" i="118"/>
  <c r="BF3737" i="118"/>
  <c r="BF3736" i="118"/>
  <c r="BF3735" i="118"/>
  <c r="BF3734" i="118"/>
  <c r="BF3732" i="118"/>
  <c r="BF3731" i="118"/>
  <c r="BF3730" i="118"/>
  <c r="BF3729" i="118"/>
  <c r="BF3728" i="118"/>
  <c r="BF3727" i="118"/>
  <c r="BF3725" i="118"/>
  <c r="BF3723" i="118"/>
  <c r="BF3722" i="118"/>
  <c r="BF3721" i="118"/>
  <c r="BF3720" i="118"/>
  <c r="BF3719" i="118"/>
  <c r="BF3718" i="118"/>
  <c r="BF3717" i="118"/>
  <c r="BF3716" i="118"/>
  <c r="BF3715" i="118"/>
  <c r="BF3714" i="118"/>
  <c r="BF3713" i="118"/>
  <c r="BF3711" i="118"/>
  <c r="BF3710" i="118"/>
  <c r="BF3709" i="118"/>
  <c r="BF3708" i="118"/>
  <c r="BF3707" i="118"/>
  <c r="BF3706" i="118"/>
  <c r="BF3705" i="118"/>
  <c r="BF3704" i="118"/>
  <c r="BF3703" i="118"/>
  <c r="BF3702" i="118"/>
  <c r="BF3701" i="118"/>
  <c r="BF3700" i="118"/>
  <c r="BF3699" i="118"/>
  <c r="BF3698" i="118"/>
  <c r="BF3697" i="118"/>
  <c r="BF3696" i="118"/>
  <c r="BF3695" i="118"/>
  <c r="BF3694" i="118"/>
  <c r="BF3693" i="118"/>
  <c r="BF3692" i="118"/>
  <c r="BF3691" i="118"/>
  <c r="BF3689" i="118"/>
  <c r="BF3688" i="118"/>
  <c r="BF3687" i="118"/>
  <c r="BF3686" i="118"/>
  <c r="BF3684" i="118"/>
  <c r="BF3683" i="118"/>
  <c r="BF3682" i="118"/>
  <c r="BF3681" i="118"/>
  <c r="BF3680" i="118"/>
  <c r="BF3679" i="118"/>
  <c r="BF3678" i="118"/>
  <c r="BF3677" i="118"/>
  <c r="BF3676" i="118"/>
  <c r="BF3675" i="118"/>
  <c r="BF3674" i="118"/>
  <c r="BF3673" i="118"/>
  <c r="BF3672" i="118"/>
  <c r="BF3671" i="118"/>
  <c r="BF3670" i="118"/>
  <c r="BF3669" i="118"/>
  <c r="BF3668" i="118"/>
  <c r="BF3666" i="118"/>
  <c r="BF3665" i="118"/>
  <c r="BF3664" i="118"/>
  <c r="BF3663" i="118"/>
  <c r="BF3662" i="118"/>
  <c r="BF3661" i="118"/>
  <c r="BF3660" i="118"/>
  <c r="BF3659" i="118"/>
  <c r="BF3658" i="118"/>
  <c r="BF3657" i="118"/>
  <c r="BF3656" i="118"/>
  <c r="BF3655" i="118"/>
  <c r="BF3653" i="118"/>
  <c r="BF3651" i="118"/>
  <c r="BF3650" i="118"/>
  <c r="BF3649" i="118"/>
  <c r="BF3648" i="118"/>
  <c r="BF3647" i="118"/>
  <c r="BF3646" i="118"/>
  <c r="BF3645" i="118"/>
  <c r="BF3644" i="118"/>
  <c r="BF3643" i="118"/>
  <c r="BF3642" i="118"/>
  <c r="BF3641" i="118"/>
  <c r="BF3640" i="118"/>
  <c r="BF3639" i="118"/>
  <c r="BF3638" i="118"/>
  <c r="BF3637" i="118"/>
  <c r="BF3636" i="118"/>
  <c r="BF3635" i="118"/>
  <c r="BF3634" i="118"/>
  <c r="BF3633" i="118"/>
  <c r="BF3632" i="118"/>
  <c r="BF3630" i="118"/>
  <c r="BF3629" i="118"/>
  <c r="BF3627" i="118"/>
  <c r="BF3625" i="118"/>
  <c r="BF3624" i="118"/>
  <c r="BF3623" i="118"/>
  <c r="BF3622" i="118"/>
  <c r="BF3621" i="118"/>
  <c r="BF3620" i="118"/>
  <c r="BF3619" i="118"/>
  <c r="BF3617" i="118"/>
  <c r="BF3616" i="118"/>
  <c r="BF3615" i="118"/>
  <c r="BF3614" i="118"/>
  <c r="BF3613" i="118"/>
  <c r="BF3612" i="118"/>
  <c r="BF3611" i="118"/>
  <c r="BF3610" i="118"/>
  <c r="BF3609" i="118"/>
  <c r="BF3608" i="118"/>
  <c r="BF3607" i="118"/>
  <c r="BF3605" i="118"/>
  <c r="BF3604" i="118"/>
  <c r="BF3602" i="118"/>
  <c r="BF3601" i="118"/>
  <c r="BF3600" i="118"/>
  <c r="BF3599" i="118"/>
  <c r="BF3598" i="118"/>
  <c r="BF3597" i="118"/>
  <c r="BF3596" i="118"/>
  <c r="BF3595" i="118"/>
  <c r="BF3594" i="118"/>
  <c r="BF3593" i="118"/>
  <c r="BF3592" i="118"/>
  <c r="BF3591" i="118"/>
  <c r="BF3590" i="118"/>
  <c r="BF3589" i="118"/>
  <c r="BF3587" i="118"/>
  <c r="BF3586" i="118"/>
  <c r="BF3585" i="118"/>
  <c r="BF3584" i="118"/>
  <c r="BF3583" i="118"/>
  <c r="BF3582" i="118"/>
  <c r="BF3581" i="118"/>
  <c r="BF3580" i="118"/>
  <c r="BF3579" i="118"/>
  <c r="BF3578" i="118"/>
  <c r="BF3577" i="118"/>
  <c r="BF3576" i="118"/>
  <c r="BF3575" i="118"/>
  <c r="BF3574" i="118"/>
  <c r="BF3573" i="118"/>
  <c r="BF3572" i="118"/>
  <c r="BF3571" i="118"/>
  <c r="BF3570" i="118"/>
  <c r="BF3566" i="118"/>
  <c r="BF3565" i="118"/>
  <c r="BF3564" i="118"/>
  <c r="BF3563" i="118"/>
  <c r="BF3562" i="118"/>
  <c r="BF3561" i="118"/>
  <c r="BF3560" i="118"/>
  <c r="BF3559" i="118"/>
  <c r="BF3558" i="118"/>
  <c r="BF3557" i="118"/>
  <c r="BF3556" i="118"/>
  <c r="BF3555" i="118"/>
  <c r="BF3554" i="118"/>
  <c r="BF3553" i="118"/>
  <c r="BF3552" i="118"/>
  <c r="BF3550" i="118"/>
  <c r="BF3549" i="118"/>
  <c r="BF3548" i="118"/>
  <c r="BF3547" i="118"/>
  <c r="BF3546" i="118"/>
  <c r="BF3545" i="118"/>
  <c r="BF3544" i="118"/>
  <c r="BF3543" i="118"/>
  <c r="BF3542" i="118"/>
  <c r="BF3541" i="118"/>
  <c r="BF3540" i="118"/>
  <c r="BF3538" i="118"/>
  <c r="BF3537" i="118"/>
  <c r="BF3536" i="118"/>
  <c r="BF3535" i="118"/>
  <c r="BF3534" i="118"/>
  <c r="BF3533" i="118"/>
  <c r="BF3532" i="118"/>
  <c r="BF3531" i="118"/>
  <c r="BF3530" i="118"/>
  <c r="BF3529" i="118"/>
  <c r="BF3528" i="118"/>
  <c r="BF3527" i="118"/>
  <c r="BF3526" i="118"/>
  <c r="BF3524" i="118"/>
  <c r="BF3523" i="118"/>
  <c r="BF3522" i="118"/>
  <c r="BF3521" i="118"/>
  <c r="BF3520" i="118"/>
  <c r="BF3519" i="118"/>
  <c r="BF3518" i="118"/>
  <c r="BF3517" i="118"/>
  <c r="BF3516" i="118"/>
  <c r="BF3515" i="118"/>
  <c r="BF3514" i="118"/>
  <c r="BF3513" i="118"/>
  <c r="BF3511" i="118"/>
  <c r="BF3510" i="118"/>
  <c r="BF3509" i="118"/>
  <c r="BF3508" i="118"/>
  <c r="BF3507" i="118"/>
  <c r="BF3506" i="118"/>
  <c r="BF3505" i="118"/>
  <c r="BF3504" i="118"/>
  <c r="BF3503" i="118"/>
  <c r="BF3502" i="118"/>
  <c r="BF3501" i="118"/>
  <c r="BF3500" i="118"/>
  <c r="BF3499" i="118"/>
  <c r="BF3498" i="118"/>
  <c r="BF3497" i="118"/>
  <c r="BF3495" i="118"/>
  <c r="BF3494" i="118"/>
  <c r="BF3493" i="118"/>
  <c r="BF3492" i="118"/>
  <c r="BF3491" i="118"/>
  <c r="BF3490" i="118"/>
  <c r="BF3489" i="118"/>
  <c r="BF3488" i="118"/>
  <c r="BF3487" i="118"/>
  <c r="BF3486" i="118"/>
  <c r="BF3485" i="118"/>
  <c r="BF3484" i="118"/>
  <c r="BF3483" i="118"/>
  <c r="BF3482" i="118"/>
  <c r="BF3481" i="118"/>
  <c r="BF3480" i="118"/>
  <c r="BF3479" i="118"/>
  <c r="BF3476" i="118"/>
  <c r="BF3475" i="118"/>
  <c r="BF3473" i="118"/>
  <c r="BF3472" i="118"/>
  <c r="BF3471" i="118"/>
  <c r="BF3470" i="118"/>
  <c r="BF3469" i="118"/>
  <c r="BF3468" i="118"/>
  <c r="BF3467" i="118"/>
  <c r="BF3466" i="118"/>
  <c r="BG3445" i="118"/>
  <c r="BG3438" i="118"/>
  <c r="BG3437" i="118"/>
  <c r="BG3436" i="118"/>
  <c r="BG3435" i="118"/>
  <c r="BG3432" i="118"/>
  <c r="BG3413" i="118"/>
  <c r="BG3412" i="118"/>
  <c r="BG3411" i="118"/>
  <c r="BG3410" i="118"/>
  <c r="BG3408" i="118"/>
  <c r="BG3407" i="118"/>
  <c r="BG3406" i="118"/>
  <c r="BG3405" i="118"/>
  <c r="BG3404" i="118"/>
  <c r="BG3403" i="118"/>
  <c r="BG3402" i="118"/>
  <c r="BG3400" i="118"/>
  <c r="BG3399" i="118"/>
  <c r="BG3398" i="118"/>
  <c r="BG3397" i="118"/>
  <c r="BG3396" i="118"/>
  <c r="BG3394" i="118"/>
  <c r="BG3393" i="118"/>
  <c r="BG3392" i="118"/>
  <c r="BG3391" i="118"/>
  <c r="BG3390" i="118"/>
  <c r="BF3389" i="118"/>
  <c r="BF3388" i="118"/>
  <c r="BF3387" i="118"/>
  <c r="BF3386" i="118"/>
  <c r="BF3385" i="118"/>
  <c r="BF3384" i="118"/>
  <c r="BF3383" i="118"/>
  <c r="BF3382" i="118"/>
  <c r="BF3381" i="118"/>
  <c r="BF3380" i="118"/>
  <c r="BF3379" i="118"/>
  <c r="BF3378" i="118"/>
  <c r="BF3368" i="118"/>
  <c r="BF3367" i="118"/>
  <c r="BF3366" i="118"/>
  <c r="BG3364" i="118"/>
  <c r="BG3363" i="118"/>
  <c r="BG3362" i="118"/>
  <c r="BG3361" i="118"/>
  <c r="BG3360" i="118"/>
  <c r="BF3359" i="118"/>
  <c r="BF3358" i="118"/>
  <c r="BF3357" i="118"/>
  <c r="BF3356" i="118"/>
  <c r="BF3355" i="118"/>
  <c r="BF3354" i="118"/>
  <c r="BF3353" i="118"/>
  <c r="BF3332" i="118"/>
  <c r="BF3331" i="118"/>
  <c r="BF3330" i="118"/>
  <c r="BF3273" i="118"/>
  <c r="BF3272" i="118"/>
  <c r="BF3271" i="118"/>
  <c r="BF3270" i="118"/>
  <c r="BF3269" i="118"/>
  <c r="BF3268" i="118"/>
  <c r="BF3267" i="118"/>
  <c r="BF3266" i="118"/>
  <c r="BF3265" i="118"/>
  <c r="BF3261" i="118"/>
  <c r="BF3260" i="118"/>
  <c r="BF3259" i="118"/>
  <c r="BF3258" i="118"/>
  <c r="BG3240" i="118"/>
  <c r="BG3239" i="118"/>
  <c r="BG3232" i="118"/>
  <c r="BG3231" i="118"/>
  <c r="BG3226" i="118"/>
  <c r="BG3225" i="118"/>
  <c r="BG3222" i="118"/>
  <c r="BG3221" i="118"/>
  <c r="BG3220" i="118"/>
  <c r="BG3219" i="118"/>
  <c r="BG3218" i="118"/>
  <c r="BG3217" i="118"/>
  <c r="BG3194" i="118"/>
  <c r="BG3193" i="118"/>
  <c r="BG3132" i="118"/>
  <c r="BG3131" i="118"/>
  <c r="BG3130" i="118"/>
  <c r="BF3129" i="118"/>
  <c r="BF3128" i="118"/>
  <c r="BF3127" i="118"/>
  <c r="BG3123" i="118"/>
  <c r="BG3121" i="118"/>
  <c r="BG3120" i="118"/>
  <c r="BG3114" i="118"/>
  <c r="BG3113" i="118"/>
  <c r="BG3101" i="118"/>
  <c r="BG3094" i="118"/>
  <c r="BG3078" i="118"/>
  <c r="BG3077" i="118"/>
  <c r="BG3076" i="118"/>
  <c r="BG3075" i="118"/>
  <c r="BG3074" i="118"/>
  <c r="BG3073" i="118"/>
  <c r="BG3072" i="118"/>
  <c r="BG3071" i="118"/>
  <c r="BG3070" i="118"/>
  <c r="BG3068" i="118"/>
  <c r="BG3067" i="118"/>
  <c r="BG3066" i="118"/>
  <c r="BG3063" i="118"/>
  <c r="BG3056" i="118"/>
  <c r="BG3055" i="118"/>
  <c r="BG3054" i="118"/>
  <c r="BG3050" i="118"/>
  <c r="BG3049" i="118"/>
  <c r="BG3048" i="118"/>
  <c r="BG3047" i="118"/>
  <c r="BG3046" i="118"/>
  <c r="BG3045" i="118"/>
  <c r="BG3040" i="118"/>
  <c r="BG3039" i="118"/>
  <c r="BG3038" i="118"/>
  <c r="BG3027" i="118"/>
  <c r="BG3026" i="118"/>
  <c r="BG3025" i="118"/>
  <c r="BG3024" i="118"/>
  <c r="BG3023" i="118"/>
  <c r="BG3022" i="118"/>
  <c r="BG3012" i="118"/>
  <c r="BG2992" i="118"/>
  <c r="BG2991" i="118"/>
  <c r="BG2990" i="118"/>
  <c r="BG2989" i="118"/>
  <c r="BG2988" i="118"/>
  <c r="BG2987" i="118"/>
  <c r="BG2986" i="118"/>
  <c r="BF2985" i="118"/>
  <c r="BF2984" i="118"/>
  <c r="BF2983" i="118"/>
  <c r="BF2982" i="118"/>
  <c r="BF2980" i="118"/>
  <c r="BF2968" i="118"/>
  <c r="BF2965" i="118"/>
  <c r="BF2963" i="118"/>
  <c r="BF2962" i="118"/>
  <c r="BF2961" i="118"/>
  <c r="BF2960" i="118"/>
  <c r="BF2959" i="118"/>
  <c r="BG2957" i="118"/>
  <c r="BG2956" i="118"/>
  <c r="BG2955" i="118"/>
  <c r="BG2954" i="118"/>
  <c r="BG2953" i="118"/>
  <c r="BG2952" i="118"/>
  <c r="BF2949" i="118"/>
  <c r="BG2924" i="118"/>
  <c r="BG2923" i="118"/>
  <c r="BF2918" i="118"/>
  <c r="BF2917" i="118"/>
  <c r="BF2913" i="118"/>
  <c r="BF2908" i="118"/>
  <c r="BF2907" i="118"/>
  <c r="BF2906" i="118"/>
  <c r="BF2905" i="118"/>
  <c r="BF2904" i="118"/>
  <c r="BF2882" i="118"/>
  <c r="BG2877" i="118"/>
  <c r="BG2876" i="118"/>
  <c r="BF2875" i="118"/>
  <c r="BF2874" i="118"/>
  <c r="BF2873" i="118"/>
  <c r="BF2872" i="118"/>
  <c r="BF2871" i="118"/>
  <c r="BF2870" i="118"/>
  <c r="BF2869" i="118"/>
  <c r="BF2868" i="118"/>
  <c r="BF2867" i="118"/>
  <c r="BF2866" i="118"/>
  <c r="BF2863" i="118"/>
  <c r="BF2862" i="118"/>
  <c r="BF2861" i="118"/>
  <c r="BF2860" i="118"/>
  <c r="BF2858" i="118"/>
  <c r="BG2856" i="118"/>
  <c r="BG2855" i="118"/>
  <c r="BG2854" i="118"/>
  <c r="BG2853" i="118"/>
  <c r="BF2835" i="118"/>
  <c r="BF2834" i="118"/>
  <c r="BF2833" i="118"/>
  <c r="BF2832" i="118"/>
  <c r="BF2831" i="118"/>
  <c r="BF2828" i="118"/>
  <c r="BF2827" i="118"/>
  <c r="BF2822" i="118"/>
  <c r="BF2821" i="118"/>
  <c r="BF2820" i="118"/>
  <c r="BF2819" i="118"/>
  <c r="BF2818" i="118"/>
  <c r="BF2817" i="118"/>
  <c r="BF2803" i="118"/>
  <c r="BF2801" i="118"/>
  <c r="BF2800" i="118"/>
  <c r="BG2789" i="118"/>
  <c r="BG2788" i="118"/>
  <c r="BG2787" i="118"/>
  <c r="BG2785" i="118"/>
  <c r="BG2713" i="118"/>
  <c r="BG2712" i="118"/>
  <c r="BG2711" i="118"/>
  <c r="BG2710" i="118"/>
  <c r="BG2709" i="118"/>
  <c r="BG2696" i="118"/>
  <c r="BG2694" i="118"/>
  <c r="BG2693" i="118"/>
  <c r="BI2693" i="118" s="1"/>
  <c r="BG2691" i="118"/>
  <c r="BG2690" i="118"/>
  <c r="BG2689" i="118"/>
  <c r="BG2688" i="118"/>
  <c r="BG2687" i="118"/>
  <c r="BG2686" i="118"/>
  <c r="BG2685" i="118"/>
  <c r="BG2683" i="118"/>
  <c r="BG2682" i="118"/>
  <c r="BG2681" i="118"/>
  <c r="BG2680" i="118"/>
  <c r="BG2678" i="118"/>
  <c r="BG2677" i="118"/>
  <c r="BG2676" i="118"/>
  <c r="BG2675" i="118"/>
  <c r="BG2674" i="118"/>
  <c r="BI2674" i="118" s="1"/>
  <c r="BG2672" i="118"/>
  <c r="BG2671" i="118"/>
  <c r="BG2670" i="118"/>
  <c r="BG2669" i="118"/>
  <c r="BG2668" i="118"/>
  <c r="BG2658" i="118"/>
  <c r="BG2657" i="118"/>
  <c r="BG2656" i="118"/>
  <c r="BG2655" i="118"/>
  <c r="BG2654" i="118"/>
  <c r="BG2653" i="118"/>
  <c r="BG2652" i="118"/>
  <c r="BG2646" i="118"/>
  <c r="BG2643" i="118"/>
  <c r="BG2642" i="118"/>
  <c r="BG2641" i="118"/>
  <c r="BG2640" i="118"/>
  <c r="BG2639" i="118"/>
  <c r="BF2627" i="118"/>
  <c r="BF2626" i="118"/>
  <c r="BF2623" i="118"/>
  <c r="BF2619" i="118"/>
  <c r="BF2618" i="118"/>
  <c r="BF2616" i="118"/>
  <c r="BF2615" i="118"/>
  <c r="BF2613" i="118"/>
  <c r="BF2612" i="118"/>
  <c r="BF2609" i="118"/>
  <c r="BF2605" i="118"/>
  <c r="BF2604" i="118"/>
  <c r="BF2603" i="118"/>
  <c r="BF2602" i="118"/>
  <c r="BF2598" i="118"/>
  <c r="BF2597" i="118"/>
  <c r="BF2576" i="118"/>
  <c r="BF2575" i="118"/>
  <c r="BF2572" i="118"/>
  <c r="BF2569" i="118"/>
  <c r="BF2568" i="118"/>
  <c r="BF2566" i="118"/>
  <c r="BF2564" i="118"/>
  <c r="BF2563" i="118"/>
  <c r="BF2562" i="118"/>
  <c r="BF2554" i="118"/>
  <c r="BF2550" i="118"/>
  <c r="BF2549" i="118"/>
  <c r="BF2546" i="118"/>
  <c r="BF2544" i="118"/>
  <c r="BF2543" i="118"/>
  <c r="BF2541" i="118"/>
  <c r="BF2540" i="118"/>
  <c r="BF2537" i="118"/>
  <c r="BF2534" i="118"/>
  <c r="BF2531" i="118"/>
  <c r="BF2520" i="118"/>
  <c r="BF2519" i="118"/>
  <c r="BF2518" i="118"/>
  <c r="BF2517" i="118"/>
  <c r="BF2516" i="118"/>
  <c r="BF2514" i="118"/>
  <c r="BF2513" i="118"/>
  <c r="BF2512" i="118"/>
  <c r="BF2509" i="118"/>
  <c r="BF2508" i="118"/>
  <c r="BF2507" i="118"/>
  <c r="BF2506" i="118"/>
  <c r="BF2505" i="118"/>
  <c r="BF2503" i="118"/>
  <c r="BF2497" i="118"/>
  <c r="BF2460" i="118"/>
  <c r="BF2459" i="118"/>
  <c r="BF2458" i="118"/>
  <c r="BF2455" i="118"/>
  <c r="BF2454" i="118"/>
  <c r="BF2449" i="118"/>
  <c r="BF2447" i="118"/>
  <c r="BF2446" i="118"/>
  <c r="BF2445" i="118"/>
  <c r="BF2444" i="118"/>
  <c r="BF2437" i="118"/>
  <c r="BF2436" i="118"/>
  <c r="BF2435" i="118"/>
  <c r="BF2432" i="118"/>
  <c r="BF2431" i="118"/>
  <c r="BF2430" i="118"/>
  <c r="BF2429" i="118"/>
  <c r="BF2428" i="118"/>
  <c r="BF2427" i="118"/>
  <c r="BF2423" i="118"/>
  <c r="BF2422" i="118"/>
  <c r="BG2419" i="118"/>
  <c r="BG2418" i="118"/>
  <c r="BG2417" i="118"/>
  <c r="BG2411" i="118"/>
  <c r="BG2410" i="118"/>
  <c r="BG2404" i="118"/>
  <c r="BG2403" i="118"/>
  <c r="BG2402" i="118"/>
  <c r="BG2401" i="118"/>
  <c r="BG2400" i="118"/>
  <c r="BG2399" i="118"/>
  <c r="BG2398" i="118"/>
  <c r="BG2397" i="118"/>
  <c r="BG2392" i="118"/>
  <c r="BG2389" i="118"/>
  <c r="BG2388" i="118"/>
  <c r="BG2385" i="118"/>
  <c r="BG2378" i="118"/>
  <c r="BG2377" i="118"/>
  <c r="BG2376" i="118"/>
  <c r="BG2367" i="118"/>
  <c r="BF2357" i="118"/>
  <c r="BF2356" i="118"/>
  <c r="BF2355" i="118"/>
  <c r="BF2354" i="118"/>
  <c r="BF2353" i="118"/>
  <c r="BF2347" i="118"/>
  <c r="BF2346" i="118"/>
  <c r="BF2345" i="118"/>
  <c r="BF2344" i="118"/>
  <c r="BF2343" i="118"/>
  <c r="BF2340" i="118"/>
  <c r="BF2333" i="118"/>
  <c r="BF2332" i="118"/>
  <c r="BF2330" i="118"/>
  <c r="BF2329" i="118"/>
  <c r="BF2328" i="118"/>
  <c r="BF2322" i="118"/>
  <c r="BF2267" i="118"/>
  <c r="BF2266" i="118"/>
  <c r="BF2264" i="118"/>
  <c r="BF2263" i="118"/>
  <c r="BF2262" i="118"/>
  <c r="BF2258" i="118"/>
  <c r="BF2257" i="118"/>
  <c r="BF2256" i="118"/>
  <c r="BF2253" i="118"/>
  <c r="BF2252" i="118"/>
  <c r="BF2251" i="118"/>
  <c r="BF2248" i="118"/>
  <c r="BF2236" i="118"/>
  <c r="BF2234" i="118"/>
  <c r="BF2232" i="118"/>
  <c r="BF2231" i="118"/>
  <c r="BF2230" i="118"/>
  <c r="BF2229" i="118"/>
  <c r="BF2225" i="118"/>
  <c r="BF2222" i="118"/>
  <c r="BF2221" i="118"/>
  <c r="BF2207" i="118"/>
  <c r="BF2206" i="118"/>
  <c r="BF2202" i="118"/>
  <c r="BF2201" i="118"/>
  <c r="BF2200" i="118"/>
  <c r="BF2199" i="118"/>
  <c r="BF2198" i="118"/>
  <c r="BF2197" i="118"/>
  <c r="BF2195" i="118"/>
  <c r="BF2193" i="118"/>
  <c r="BF2192" i="118"/>
  <c r="BF2191" i="118"/>
  <c r="BF2189" i="118"/>
  <c r="BF2188" i="118"/>
  <c r="BF2187" i="118"/>
  <c r="BF2186" i="118"/>
  <c r="BF2185" i="118"/>
  <c r="BF2184" i="118"/>
  <c r="BF2182" i="118"/>
  <c r="BF2181" i="118"/>
  <c r="BF2180" i="118"/>
  <c r="BF2179" i="118"/>
  <c r="BF2178" i="118"/>
  <c r="BF2177" i="118"/>
  <c r="BF2176" i="118"/>
  <c r="BF2175" i="118"/>
  <c r="BF2174" i="118"/>
  <c r="BF2173" i="118"/>
  <c r="BF2172" i="118"/>
  <c r="BF2171" i="118"/>
  <c r="BF2170" i="118"/>
  <c r="BF2169" i="118"/>
  <c r="BF2160" i="118"/>
  <c r="BF2159" i="118"/>
  <c r="BF2158" i="118"/>
  <c r="BF2157" i="118"/>
  <c r="BF2156" i="118"/>
  <c r="BF2155" i="118"/>
  <c r="BF2154" i="118"/>
  <c r="BF2153" i="118"/>
  <c r="BF2152" i="118"/>
  <c r="BF2151" i="118"/>
  <c r="BF2150" i="118"/>
  <c r="BF2149" i="118"/>
  <c r="BF2148" i="118"/>
  <c r="BF2147" i="118"/>
  <c r="BF2146" i="118"/>
  <c r="BF2145" i="118"/>
  <c r="BF2144" i="118"/>
  <c r="BF2142" i="118"/>
  <c r="BF2140" i="118"/>
  <c r="BF2139" i="118"/>
  <c r="BF2138" i="118"/>
  <c r="BF2137" i="118"/>
  <c r="BF2136" i="118"/>
  <c r="BF2131" i="118"/>
  <c r="BF2130" i="118"/>
  <c r="BF2128" i="118"/>
  <c r="BF2126" i="118"/>
  <c r="BF2125" i="118"/>
  <c r="BF2124" i="118"/>
  <c r="BF2123" i="118"/>
  <c r="BF2122" i="118"/>
  <c r="BF2121" i="118"/>
  <c r="BF2120" i="118"/>
  <c r="BF2119" i="118"/>
  <c r="BF2118" i="118"/>
  <c r="BF2117" i="118"/>
  <c r="BF2116" i="118"/>
  <c r="BF2115" i="118"/>
  <c r="BF2114" i="118"/>
  <c r="BF2113" i="118"/>
  <c r="BF2112" i="118"/>
  <c r="BF2111" i="118"/>
  <c r="BF2110" i="118"/>
  <c r="BF2109" i="118"/>
  <c r="BF2108" i="118"/>
  <c r="BF2107" i="118"/>
  <c r="BF2106" i="118"/>
  <c r="BF2105" i="118"/>
  <c r="BF2104" i="118"/>
  <c r="BF2103" i="118"/>
  <c r="BF2102" i="118"/>
  <c r="BF2101" i="118"/>
  <c r="BF2100" i="118"/>
  <c r="BF2099" i="118"/>
  <c r="BF2098" i="118"/>
  <c r="BF2097" i="118"/>
  <c r="BF2096" i="118"/>
  <c r="BF2095" i="118"/>
  <c r="BF2094" i="118"/>
  <c r="BF2093" i="118"/>
  <c r="BF2092" i="118"/>
  <c r="BF2091" i="118"/>
  <c r="BF2089" i="118"/>
  <c r="BF2081" i="118"/>
  <c r="BF2080" i="118"/>
  <c r="BF2079" i="118"/>
  <c r="BF2077" i="118"/>
  <c r="BF2076" i="118"/>
  <c r="BF2075" i="118"/>
  <c r="BF2074" i="118"/>
  <c r="BF2073" i="118"/>
  <c r="BF2072" i="118"/>
  <c r="BF2071" i="118"/>
  <c r="BF2070" i="118"/>
  <c r="BF2069" i="118"/>
  <c r="BF2068" i="118"/>
  <c r="BF2067" i="118"/>
  <c r="BF2066" i="118"/>
  <c r="BF2065" i="118"/>
  <c r="BF2064" i="118"/>
  <c r="BF2063" i="118"/>
  <c r="BF2062" i="118"/>
  <c r="BF2061" i="118"/>
  <c r="BF2060" i="118"/>
  <c r="BF2059" i="118"/>
  <c r="BF2058" i="118"/>
  <c r="BF2057" i="118"/>
  <c r="BF2056" i="118"/>
  <c r="BF2055" i="118"/>
  <c r="BF2054" i="118"/>
  <c r="BF2053" i="118"/>
  <c r="BF2052" i="118"/>
  <c r="BF2051" i="118"/>
  <c r="BF2050" i="118"/>
  <c r="BF2011" i="118"/>
  <c r="BF2010" i="118"/>
  <c r="BF2009" i="118"/>
  <c r="BF2006" i="118"/>
  <c r="BF2005" i="118"/>
  <c r="BF1999" i="118"/>
  <c r="BF1998" i="118"/>
  <c r="BF1997" i="118"/>
  <c r="BF1996" i="118"/>
  <c r="BF1995" i="118"/>
  <c r="BF1994" i="118"/>
  <c r="BF1993" i="118"/>
  <c r="BF1992" i="118"/>
  <c r="BF1986" i="118"/>
  <c r="BF1985" i="118"/>
  <c r="BF1984" i="118"/>
  <c r="BF1983" i="118"/>
  <c r="BF1982" i="118"/>
  <c r="BF1981" i="118"/>
  <c r="BF1980" i="118"/>
  <c r="BF1965" i="118"/>
  <c r="BF1964" i="118"/>
  <c r="BF1962" i="118"/>
  <c r="BF1961" i="118"/>
  <c r="BG1957" i="118"/>
  <c r="BG1956" i="118"/>
  <c r="BG1955" i="118"/>
  <c r="BF1954" i="118"/>
  <c r="BF1953" i="118"/>
  <c r="BF1952" i="118"/>
  <c r="BF1951" i="118"/>
  <c r="BF1950" i="118"/>
  <c r="BF1949" i="118"/>
  <c r="BF1948" i="118"/>
  <c r="BF1947" i="118"/>
  <c r="BF1946" i="118"/>
  <c r="BF1945" i="118"/>
  <c r="BF1944" i="118"/>
  <c r="BF1943" i="118"/>
  <c r="BF1942" i="118"/>
  <c r="BF1941" i="118"/>
  <c r="BF1940" i="118"/>
  <c r="BF1939" i="118"/>
  <c r="BF1938" i="118"/>
  <c r="BF1937" i="118"/>
  <c r="BF1936" i="118"/>
  <c r="BF1935" i="118"/>
  <c r="BF1934" i="118"/>
  <c r="BF1933" i="118"/>
  <c r="BF1932" i="118"/>
  <c r="BF1931" i="118"/>
  <c r="BF1930" i="118"/>
  <c r="BF1929" i="118"/>
  <c r="BF1928" i="118"/>
  <c r="BF1927" i="118"/>
  <c r="BF1926" i="118"/>
  <c r="BF1925" i="118"/>
  <c r="BF1924" i="118"/>
  <c r="BF1923" i="118"/>
  <c r="BF1922" i="118"/>
  <c r="BF1921" i="118"/>
  <c r="BF1889" i="118"/>
  <c r="BF1888" i="118"/>
  <c r="BF1887" i="118"/>
  <c r="BF1886" i="118"/>
  <c r="BF1885" i="118"/>
  <c r="BF1884" i="118"/>
  <c r="BF1883" i="118"/>
  <c r="BF1882" i="118"/>
  <c r="BF1881" i="118"/>
  <c r="BF1880" i="118"/>
  <c r="BF1879" i="118"/>
  <c r="BF1875" i="118"/>
  <c r="BF1874" i="118"/>
  <c r="BF1873" i="118"/>
  <c r="BF1871" i="118"/>
  <c r="BF1847" i="118"/>
  <c r="BF1846" i="118"/>
  <c r="BF1845" i="118"/>
  <c r="BF1843" i="118"/>
  <c r="BF1842" i="118"/>
  <c r="BF1841" i="118"/>
  <c r="BF1840" i="118"/>
  <c r="BF1839" i="118"/>
  <c r="BF1838" i="118"/>
  <c r="BF1837" i="118"/>
  <c r="BF1836" i="118"/>
  <c r="BF1832" i="118"/>
  <c r="BF1831" i="118"/>
  <c r="BF1830" i="118"/>
  <c r="BF1829" i="118"/>
  <c r="BF1828" i="118"/>
  <c r="BF1825" i="118"/>
  <c r="BF1820" i="118"/>
  <c r="BG1817" i="118"/>
  <c r="BG1816" i="118"/>
  <c r="BG1811" i="118"/>
  <c r="BG1800" i="118"/>
  <c r="BG1797" i="118"/>
  <c r="BG1796" i="118"/>
  <c r="BF1795" i="118"/>
  <c r="BF1794" i="118"/>
  <c r="BF1793" i="118"/>
  <c r="BF1792" i="118"/>
  <c r="BF1791" i="118"/>
  <c r="BF1790" i="118"/>
  <c r="BF1789" i="118"/>
  <c r="BF1788" i="118"/>
  <c r="BG1771" i="118"/>
  <c r="BG1768" i="118"/>
  <c r="BG1758" i="118"/>
  <c r="BG1757" i="118"/>
  <c r="BG1753" i="118"/>
  <c r="BG1752" i="118"/>
  <c r="BF1743" i="118"/>
  <c r="BG1730" i="118"/>
  <c r="BG1729" i="118"/>
  <c r="BG1728" i="118"/>
  <c r="BG1727" i="118"/>
  <c r="BG1724" i="118"/>
  <c r="BG1718" i="118"/>
  <c r="BG1713" i="118"/>
  <c r="BG1710" i="118"/>
  <c r="BG1698" i="118"/>
  <c r="BG1697" i="118"/>
  <c r="BG1696" i="118"/>
  <c r="BG1695" i="118"/>
  <c r="BG1694" i="118"/>
  <c r="BG1693" i="118"/>
  <c r="BG1692" i="118"/>
  <c r="BG1691" i="118"/>
  <c r="BG1690" i="118"/>
  <c r="BG1689" i="118"/>
  <c r="BG1685" i="118"/>
  <c r="BG1682" i="118"/>
  <c r="BG1677" i="118"/>
  <c r="BG1675" i="118"/>
  <c r="BG1670" i="118"/>
  <c r="BG1669" i="118"/>
  <c r="BG1662" i="118"/>
  <c r="BG1661" i="118"/>
  <c r="BG1660" i="118"/>
  <c r="BG1659" i="118"/>
  <c r="BG1658" i="118"/>
  <c r="BG1657" i="118"/>
  <c r="BF1576" i="118"/>
  <c r="BF1560" i="118"/>
  <c r="BF1559" i="118"/>
  <c r="BF1558" i="118"/>
  <c r="BF1555" i="118"/>
  <c r="BF1554" i="118"/>
  <c r="BF1553" i="118"/>
  <c r="BF1551" i="118"/>
  <c r="BF1550" i="118"/>
  <c r="BF1547" i="118"/>
  <c r="BF1542" i="118"/>
  <c r="BF1520" i="118"/>
  <c r="BF1516" i="118"/>
  <c r="BF1515" i="118"/>
  <c r="BF1514" i="118"/>
  <c r="BF1510" i="118"/>
  <c r="BF1509" i="118"/>
  <c r="BF1506" i="118"/>
  <c r="BF1505" i="118"/>
  <c r="BF1504" i="118"/>
  <c r="BF1503" i="118"/>
  <c r="BF1502" i="118"/>
  <c r="BF1501" i="118"/>
  <c r="BF1500" i="118"/>
  <c r="BF1496" i="118"/>
  <c r="BF1495" i="118"/>
  <c r="BF1493" i="118"/>
  <c r="BF1490" i="118"/>
  <c r="BF1489" i="118"/>
  <c r="BF1487" i="118"/>
  <c r="BF1486" i="118"/>
  <c r="BF1485" i="118"/>
  <c r="BF1484" i="118"/>
  <c r="BF1483" i="118"/>
  <c r="BF1482" i="118"/>
  <c r="BF1481" i="118"/>
  <c r="BF1475" i="118"/>
  <c r="BF1474" i="118"/>
  <c r="BF1473" i="118"/>
  <c r="BF1469" i="118"/>
  <c r="BF1468" i="118"/>
  <c r="BF1467" i="118"/>
  <c r="BF1466" i="118"/>
  <c r="BF1464" i="118"/>
  <c r="BF1459" i="118"/>
  <c r="BF1456" i="118"/>
  <c r="BF1455" i="118"/>
  <c r="BF1432" i="118"/>
  <c r="BF1431" i="118"/>
  <c r="BF1430" i="118"/>
  <c r="BF1428" i="118"/>
  <c r="BF1427" i="118"/>
  <c r="BF1426" i="118"/>
  <c r="BF1425" i="118"/>
  <c r="BF1424" i="118"/>
  <c r="BF1421" i="118"/>
  <c r="BF1420" i="118"/>
  <c r="BF1419" i="118"/>
  <c r="BF1415" i="118"/>
  <c r="BF1411" i="118"/>
  <c r="BF1410" i="118"/>
  <c r="BF1407" i="118"/>
  <c r="BF1400" i="118"/>
  <c r="BF1397" i="118"/>
  <c r="BF1396" i="118"/>
  <c r="BF1394" i="118"/>
  <c r="BF1393" i="118"/>
  <c r="BF1392" i="118"/>
  <c r="BF1391" i="118"/>
  <c r="BF1390" i="118"/>
  <c r="BG3069" i="118"/>
  <c r="BG2698" i="118"/>
  <c r="BF2046" i="118"/>
  <c r="BF2043" i="118"/>
  <c r="BF2042" i="118"/>
  <c r="BF2041" i="118"/>
  <c r="BF2040" i="118"/>
  <c r="BF2039" i="118"/>
  <c r="BF2038" i="118"/>
  <c r="BF2032" i="118"/>
  <c r="BF2031" i="118"/>
  <c r="BF2030" i="118"/>
  <c r="BG1286" i="118"/>
  <c r="BG1285" i="118"/>
  <c r="BG1284" i="118"/>
  <c r="BG1283" i="118"/>
  <c r="BG1282" i="118"/>
  <c r="BG1281" i="118"/>
  <c r="BG1280" i="118"/>
  <c r="BG1279" i="118"/>
  <c r="BG1278" i="118"/>
  <c r="BG1277" i="118"/>
  <c r="BG1274" i="118"/>
  <c r="BG1273" i="118"/>
  <c r="BG1261" i="118"/>
  <c r="BG1260" i="118"/>
  <c r="BG1259" i="118"/>
  <c r="BG1249" i="118"/>
  <c r="BG1248" i="118"/>
  <c r="BG1247" i="118"/>
  <c r="BG1246" i="118"/>
  <c r="BG1243" i="118"/>
  <c r="BG1242" i="118"/>
  <c r="BG1237" i="118"/>
  <c r="BG1234" i="118"/>
  <c r="BG1230" i="118"/>
  <c r="BG1227" i="118"/>
  <c r="BG1226" i="118"/>
  <c r="BG1223" i="118"/>
  <c r="BG1222" i="118"/>
  <c r="BG1221" i="118"/>
  <c r="BG1220" i="118"/>
  <c r="BG1219" i="118"/>
  <c r="BG1213" i="118"/>
  <c r="BG1212" i="118"/>
  <c r="BG1208" i="118"/>
  <c r="BG1204" i="118"/>
  <c r="BG1203" i="118"/>
  <c r="BG1201" i="118"/>
  <c r="BG1200" i="118"/>
  <c r="BG1199" i="118"/>
  <c r="BG1198" i="118"/>
  <c r="BF1195" i="118"/>
  <c r="BF1188" i="118"/>
  <c r="BF1187" i="118"/>
  <c r="BF1186" i="118"/>
  <c r="BF1185" i="118"/>
  <c r="BF1184" i="118"/>
  <c r="BF1182" i="118"/>
  <c r="BF1181" i="118"/>
  <c r="BF1180" i="118"/>
  <c r="BF1179" i="118"/>
  <c r="BF1178" i="118"/>
  <c r="BF1177" i="118"/>
  <c r="BG1174" i="118"/>
  <c r="BG1173" i="118"/>
  <c r="BG1172" i="118"/>
  <c r="BG1158" i="118"/>
  <c r="BF1157" i="118"/>
  <c r="BG1155" i="118"/>
  <c r="BG1148" i="118"/>
  <c r="BG1131" i="118"/>
  <c r="BG1130" i="118"/>
  <c r="BG1129" i="118"/>
  <c r="BG1128" i="118"/>
  <c r="BG1127" i="118"/>
  <c r="BG1126" i="118"/>
  <c r="BG1124" i="118"/>
  <c r="BG1123" i="118"/>
  <c r="BG1122" i="118"/>
  <c r="BG1121" i="118"/>
  <c r="BG1120" i="118"/>
  <c r="BG1114" i="118"/>
  <c r="BG1113" i="118"/>
  <c r="BG1108" i="118"/>
  <c r="BG1102" i="118"/>
  <c r="BF1096" i="118"/>
  <c r="BF1095" i="118"/>
  <c r="BF1094" i="118"/>
  <c r="BF1093" i="118"/>
  <c r="BF1092" i="118"/>
  <c r="BF1090" i="118"/>
  <c r="BF1089" i="118"/>
  <c r="BF1088" i="118"/>
  <c r="BF1087" i="118"/>
  <c r="BF1086" i="118"/>
  <c r="BF1085" i="118"/>
  <c r="BF1084" i="118"/>
  <c r="BF1083" i="118"/>
  <c r="BF1082" i="118"/>
  <c r="BF1081" i="118"/>
  <c r="BF1080" i="118"/>
  <c r="BF1079" i="118"/>
  <c r="BF1078" i="118"/>
  <c r="BF1077" i="118"/>
  <c r="BF1076" i="118"/>
  <c r="BF1075" i="118"/>
  <c r="BF1074" i="118"/>
  <c r="BF1073" i="118"/>
  <c r="BF1072" i="118"/>
  <c r="BF1071" i="118"/>
  <c r="BF1070" i="118"/>
  <c r="BF1069" i="118"/>
  <c r="BF1068" i="118"/>
  <c r="BF1067" i="118"/>
  <c r="BF1066" i="118"/>
  <c r="BF1065" i="118"/>
  <c r="BF1064" i="118"/>
  <c r="BF1054" i="118"/>
  <c r="BF1053" i="118"/>
  <c r="BF1045" i="118"/>
  <c r="BF1044" i="118"/>
  <c r="BG1042" i="118"/>
  <c r="BG1041" i="118"/>
  <c r="BG1040" i="118"/>
  <c r="BG1039" i="118"/>
  <c r="BG1038" i="118"/>
  <c r="BG1025" i="118"/>
  <c r="BG1024" i="118"/>
  <c r="BG1022" i="118"/>
  <c r="BG1021" i="118"/>
  <c r="BG1020" i="118"/>
  <c r="BG1019" i="118"/>
  <c r="BG1016" i="118"/>
  <c r="BG1015" i="118"/>
  <c r="BG1014" i="118"/>
  <c r="BG1013" i="118"/>
  <c r="BF630" i="118"/>
  <c r="BF629" i="118"/>
  <c r="BF628" i="118"/>
  <c r="BF626" i="118"/>
  <c r="BF625" i="118"/>
  <c r="BF624" i="118"/>
  <c r="BF623" i="118"/>
  <c r="BF622" i="118"/>
  <c r="BF621" i="118"/>
  <c r="BF620" i="118"/>
  <c r="BF618" i="118"/>
  <c r="BF616" i="118"/>
  <c r="BF614" i="118"/>
  <c r="BF612" i="118"/>
  <c r="BF611" i="118"/>
  <c r="BF609" i="118"/>
  <c r="BF608" i="118"/>
  <c r="BF607" i="118"/>
  <c r="BF606" i="118"/>
  <c r="BF604" i="118"/>
  <c r="BF603" i="118"/>
  <c r="BF602" i="118"/>
  <c r="BF601" i="118"/>
  <c r="BF599" i="118"/>
  <c r="BF598" i="118"/>
  <c r="BF596" i="118"/>
  <c r="BF595" i="118"/>
  <c r="BF594" i="118"/>
  <c r="BF593" i="118"/>
  <c r="BF592" i="118"/>
  <c r="BF591" i="118"/>
  <c r="BF589" i="118"/>
  <c r="BF588" i="118"/>
  <c r="BF586" i="118"/>
  <c r="BF585" i="118"/>
  <c r="BF584" i="118"/>
  <c r="BF582" i="118"/>
  <c r="BF581" i="118"/>
  <c r="BF580" i="118"/>
  <c r="BF579" i="118"/>
  <c r="BF578" i="118"/>
  <c r="BF577" i="118"/>
  <c r="BF576" i="118"/>
  <c r="BF573" i="118"/>
  <c r="BF572" i="118"/>
  <c r="BF571" i="118"/>
  <c r="BF570" i="118"/>
  <c r="BF569" i="118"/>
  <c r="BF568" i="118"/>
  <c r="BF566" i="118"/>
  <c r="BF565" i="118"/>
  <c r="BF563" i="118"/>
  <c r="BF560" i="118"/>
  <c r="BF559" i="118"/>
  <c r="BF556" i="118"/>
  <c r="BF555" i="118"/>
  <c r="BF553" i="118"/>
  <c r="BF552" i="118"/>
  <c r="BF551" i="118"/>
  <c r="BF550" i="118"/>
  <c r="BF549" i="118"/>
  <c r="BF547" i="118"/>
  <c r="BF546" i="118"/>
  <c r="BF545" i="118"/>
  <c r="BF544" i="118"/>
  <c r="BF543" i="118"/>
  <c r="BF541" i="118"/>
  <c r="BF540" i="118"/>
  <c r="BF539" i="118"/>
  <c r="BF537" i="118"/>
  <c r="BF536" i="118"/>
  <c r="BF535" i="118"/>
  <c r="BF534" i="118"/>
  <c r="BF533" i="118"/>
  <c r="BF532" i="118"/>
  <c r="BF531" i="118"/>
  <c r="BF529" i="118"/>
  <c r="BF527" i="118"/>
  <c r="BF525" i="118"/>
  <c r="BF524" i="118"/>
  <c r="BF523" i="118"/>
  <c r="BF521" i="118"/>
  <c r="BF520" i="118"/>
  <c r="BF517" i="118"/>
  <c r="BF515" i="118"/>
  <c r="BF513" i="118"/>
  <c r="BF510" i="118"/>
  <c r="BF508" i="118"/>
  <c r="BF507" i="118"/>
  <c r="BF505" i="118"/>
  <c r="BF501" i="118"/>
  <c r="BF500" i="118"/>
  <c r="BF499" i="118"/>
  <c r="BF498" i="118"/>
  <c r="BF497" i="118"/>
  <c r="BF496" i="118"/>
  <c r="BF495" i="118"/>
  <c r="BF494" i="118"/>
  <c r="BF493" i="118"/>
  <c r="BF492" i="118"/>
  <c r="BF491" i="118"/>
  <c r="BF490" i="118"/>
  <c r="BF488" i="118"/>
  <c r="BF484" i="118"/>
  <c r="BF483" i="118"/>
  <c r="BF482" i="118"/>
  <c r="BF481" i="118"/>
  <c r="BF480" i="118"/>
  <c r="BF479" i="118"/>
  <c r="BF478" i="118"/>
  <c r="BF476" i="118"/>
  <c r="BF475" i="118"/>
  <c r="BF474" i="118"/>
  <c r="BF473" i="118"/>
  <c r="BF472" i="118"/>
  <c r="BF471" i="118"/>
  <c r="BF470" i="118"/>
  <c r="BF469" i="118"/>
  <c r="BF468" i="118"/>
  <c r="BF467" i="118"/>
  <c r="BF466" i="118"/>
  <c r="BF465" i="118"/>
  <c r="BF464" i="118"/>
  <c r="BF460" i="118"/>
  <c r="BF459" i="118"/>
  <c r="BF458" i="118"/>
  <c r="BF457" i="118"/>
  <c r="BF456" i="118"/>
  <c r="BF455" i="118"/>
  <c r="BF454" i="118"/>
  <c r="BF453" i="118"/>
  <c r="BF452" i="118"/>
  <c r="BF450" i="118"/>
  <c r="BF449" i="118"/>
  <c r="BF448" i="118"/>
  <c r="BF447" i="118"/>
  <c r="BF445" i="118"/>
  <c r="BF443" i="118"/>
  <c r="BF442" i="118"/>
  <c r="BF440" i="118"/>
  <c r="BF439" i="118"/>
  <c r="BF438" i="118"/>
  <c r="BF435" i="118"/>
  <c r="BF434" i="118"/>
  <c r="BF433" i="118"/>
  <c r="BF432" i="118"/>
  <c r="BF431" i="118"/>
  <c r="BF429" i="118"/>
  <c r="BF427" i="118"/>
  <c r="BF426" i="118"/>
  <c r="BF425" i="118"/>
  <c r="BF424" i="118"/>
  <c r="BF423" i="118"/>
  <c r="BF422" i="118"/>
  <c r="BF421" i="118"/>
  <c r="BF420" i="118"/>
  <c r="BF419" i="118"/>
  <c r="BF418" i="118"/>
  <c r="BF417" i="118"/>
  <c r="BF413" i="118"/>
  <c r="BF412" i="118"/>
  <c r="BF410" i="118"/>
  <c r="BF409" i="118"/>
  <c r="BF408" i="118"/>
  <c r="BF407" i="118"/>
  <c r="BF406" i="118"/>
  <c r="BF402" i="118"/>
  <c r="BF401" i="118"/>
  <c r="BF400" i="118"/>
  <c r="BF399" i="118"/>
  <c r="BF398" i="118"/>
  <c r="BF397" i="118"/>
  <c r="BF396" i="118"/>
  <c r="BF395" i="118"/>
  <c r="BF394" i="118"/>
  <c r="BF393" i="118"/>
  <c r="BF392" i="118"/>
  <c r="BF391" i="118"/>
  <c r="BF389" i="118"/>
  <c r="BF388" i="118"/>
  <c r="BF387" i="118"/>
  <c r="BF385" i="118"/>
  <c r="BF384" i="118"/>
  <c r="BF382" i="118"/>
  <c r="BF381" i="118"/>
  <c r="BF379" i="118"/>
  <c r="BF377" i="118"/>
  <c r="BF375" i="118"/>
  <c r="BF371" i="118"/>
  <c r="BF370" i="118"/>
  <c r="BF369" i="118"/>
  <c r="BF361" i="118"/>
  <c r="BF359" i="118"/>
  <c r="BF358" i="118"/>
  <c r="BF357" i="118"/>
  <c r="BF356" i="118"/>
  <c r="BF355" i="118"/>
  <c r="BF354" i="118"/>
  <c r="BF353" i="118"/>
  <c r="BF352" i="118"/>
  <c r="BF351" i="118"/>
  <c r="BF348" i="118"/>
  <c r="BF346" i="118"/>
  <c r="BF345" i="118"/>
  <c r="BF344" i="118"/>
  <c r="BF343" i="118"/>
  <c r="BF342" i="118"/>
  <c r="BF339" i="118"/>
  <c r="BF338" i="118"/>
  <c r="BF337" i="118"/>
  <c r="BF336" i="118"/>
  <c r="BF335" i="118"/>
  <c r="BF334" i="118"/>
  <c r="BF333" i="118"/>
  <c r="BF332" i="118"/>
  <c r="BF331" i="118"/>
  <c r="BF330" i="118"/>
  <c r="BF328" i="118"/>
  <c r="BF327" i="118"/>
  <c r="BF326" i="118"/>
  <c r="BF325" i="118"/>
  <c r="BF324" i="118"/>
  <c r="BF322" i="118"/>
  <c r="BF321" i="118"/>
  <c r="BF320" i="118"/>
  <c r="BF318" i="118"/>
  <c r="BF317" i="118"/>
  <c r="BF316" i="118"/>
  <c r="BF312" i="118"/>
  <c r="BF311" i="118"/>
  <c r="BF310" i="118"/>
  <c r="BF309" i="118"/>
  <c r="BF308" i="118"/>
  <c r="BF307" i="118"/>
  <c r="BF306" i="118"/>
  <c r="BF304" i="118"/>
  <c r="BF303" i="118"/>
  <c r="BF302" i="118"/>
  <c r="BF301" i="118"/>
  <c r="BF300" i="118"/>
  <c r="BF299" i="118"/>
  <c r="BF298" i="118"/>
  <c r="BF297" i="118"/>
  <c r="BF296" i="118"/>
  <c r="BF294" i="118"/>
  <c r="BF293" i="118"/>
  <c r="BF291" i="118"/>
  <c r="BF290" i="118"/>
  <c r="BF229" i="118"/>
  <c r="BF228" i="118"/>
  <c r="BF227" i="118"/>
  <c r="BF226" i="118"/>
  <c r="BF225" i="118"/>
  <c r="BF224" i="118"/>
  <c r="BF223" i="118"/>
  <c r="BF222" i="118"/>
  <c r="BF221" i="118"/>
  <c r="BF220" i="118"/>
  <c r="BF219" i="118"/>
  <c r="BF218" i="118"/>
  <c r="BF217" i="118"/>
  <c r="BF216" i="118"/>
  <c r="BF215" i="118"/>
  <c r="BF213" i="118"/>
  <c r="BF212" i="118"/>
  <c r="BF211" i="118"/>
  <c r="BF210" i="118"/>
  <c r="BF209" i="118"/>
  <c r="BF208" i="118"/>
  <c r="BF207" i="118"/>
  <c r="BF206" i="118"/>
  <c r="BF205" i="118"/>
  <c r="BF203" i="118"/>
  <c r="BF202" i="118"/>
  <c r="BF201" i="118"/>
  <c r="BF200" i="118"/>
  <c r="BF199" i="118"/>
  <c r="BF198" i="118"/>
  <c r="BF196" i="118"/>
  <c r="BF195" i="118"/>
  <c r="BF194" i="118"/>
  <c r="BF193" i="118"/>
  <c r="BF192" i="118"/>
  <c r="BF190" i="118"/>
  <c r="BF189" i="118"/>
  <c r="BF188" i="118"/>
  <c r="BF187" i="118"/>
  <c r="BF186" i="118"/>
  <c r="BF185" i="118"/>
  <c r="BF184" i="118"/>
  <c r="BF183" i="118"/>
  <c r="BF182" i="118"/>
  <c r="BF180" i="118"/>
  <c r="BF179" i="118"/>
  <c r="BF178" i="118"/>
  <c r="BF177" i="118"/>
  <c r="BF176" i="118"/>
  <c r="BF175" i="118"/>
  <c r="BF174" i="118"/>
  <c r="BF173" i="118"/>
  <c r="BF172" i="118"/>
  <c r="BF171" i="118"/>
  <c r="BF170" i="118"/>
  <c r="BF169" i="118"/>
  <c r="BF168" i="118"/>
  <c r="BF167" i="118"/>
  <c r="BF166" i="118"/>
  <c r="BF165" i="118"/>
  <c r="BF164" i="118"/>
  <c r="BF163" i="118"/>
  <c r="BF162" i="118"/>
  <c r="BF161" i="118"/>
  <c r="BF160" i="118"/>
  <c r="BF159" i="118"/>
  <c r="BF158" i="118"/>
  <c r="BF157" i="118"/>
  <c r="BF156" i="118"/>
  <c r="BF155" i="118"/>
  <c r="BF154" i="118"/>
  <c r="BF153" i="118"/>
  <c r="BF152" i="118"/>
  <c r="BF151" i="118"/>
  <c r="BF148" i="118"/>
  <c r="BF146" i="118"/>
  <c r="BF144" i="118"/>
  <c r="BF143" i="118"/>
  <c r="BF142" i="118"/>
  <c r="BF141" i="118"/>
  <c r="BF140" i="118"/>
  <c r="BF139" i="118"/>
  <c r="BF138" i="118"/>
  <c r="BF137" i="118"/>
  <c r="BF136" i="118"/>
  <c r="BF135" i="118"/>
  <c r="BF134" i="118"/>
  <c r="BF133" i="118"/>
  <c r="BF131" i="118"/>
  <c r="BF130" i="118"/>
  <c r="BF129" i="118"/>
  <c r="BF128" i="118"/>
  <c r="BF127" i="118"/>
  <c r="BF126" i="118"/>
  <c r="BF125" i="118"/>
  <c r="BF124" i="118"/>
  <c r="BF121" i="118"/>
  <c r="BF120" i="118"/>
  <c r="BF119" i="118"/>
  <c r="BF118" i="118"/>
  <c r="BF117" i="118"/>
  <c r="BF116" i="118"/>
  <c r="BF115" i="118"/>
  <c r="BF113" i="118"/>
  <c r="BF112" i="118"/>
  <c r="BF111" i="118"/>
  <c r="BF110" i="118"/>
  <c r="BF734" i="118"/>
  <c r="BG738" i="118"/>
  <c r="BI738" i="118" s="1"/>
  <c r="BG815" i="118"/>
  <c r="BI815" i="118" s="1"/>
  <c r="BG630" i="118"/>
  <c r="BG629" i="118"/>
  <c r="BG628" i="118"/>
  <c r="BG626" i="118"/>
  <c r="BG625" i="118"/>
  <c r="BG624" i="118"/>
  <c r="BG623" i="118"/>
  <c r="BG622" i="118"/>
  <c r="BG621" i="118"/>
  <c r="BG620" i="118"/>
  <c r="BG618" i="118"/>
  <c r="BG614" i="118"/>
  <c r="BG612" i="118"/>
  <c r="BG611" i="118"/>
  <c r="BG609" i="118"/>
  <c r="BG608" i="118"/>
  <c r="BG607" i="118"/>
  <c r="BG606" i="118"/>
  <c r="BG604" i="118"/>
  <c r="BG603" i="118"/>
  <c r="BG602" i="118"/>
  <c r="BG601" i="118"/>
  <c r="BG599" i="118"/>
  <c r="BG598" i="118"/>
  <c r="BG596" i="118"/>
  <c r="BG595" i="118"/>
  <c r="BG594" i="118"/>
  <c r="BG593" i="118"/>
  <c r="BG592" i="118"/>
  <c r="BG591" i="118"/>
  <c r="BG589" i="118"/>
  <c r="BG588" i="118"/>
  <c r="BG586" i="118"/>
  <c r="BG585" i="118"/>
  <c r="BG582" i="118"/>
  <c r="BG581" i="118"/>
  <c r="BG580" i="118"/>
  <c r="BG578" i="118"/>
  <c r="BG577" i="118"/>
  <c r="BG576" i="118"/>
  <c r="BG573" i="118"/>
  <c r="BG572" i="118"/>
  <c r="BG571" i="118"/>
  <c r="BG570" i="118"/>
  <c r="BG569" i="118"/>
  <c r="BG568" i="118"/>
  <c r="BG566" i="118"/>
  <c r="BG565" i="118"/>
  <c r="BG563" i="118"/>
  <c r="BG560" i="118"/>
  <c r="BG559" i="118"/>
  <c r="BG556" i="118"/>
  <c r="BG555" i="118"/>
  <c r="BG553" i="118"/>
  <c r="BG552" i="118"/>
  <c r="BG551" i="118"/>
  <c r="BG550" i="118"/>
  <c r="BG549" i="118"/>
  <c r="BG547" i="118"/>
  <c r="BG546" i="118"/>
  <c r="BG545" i="118"/>
  <c r="BG544" i="118"/>
  <c r="BG543" i="118"/>
  <c r="BG541" i="118"/>
  <c r="BG540" i="118"/>
  <c r="BG539" i="118"/>
  <c r="BG537" i="118"/>
  <c r="BG536" i="118"/>
  <c r="BG535" i="118"/>
  <c r="BG534" i="118"/>
  <c r="BG533" i="118"/>
  <c r="BG532" i="118"/>
  <c r="BG531" i="118"/>
  <c r="BG529" i="118"/>
  <c r="BG527" i="118"/>
  <c r="BG525" i="118"/>
  <c r="BG524" i="118"/>
  <c r="BG523" i="118"/>
  <c r="BG521" i="118"/>
  <c r="BG520" i="118"/>
  <c r="BG517" i="118"/>
  <c r="BG515" i="118"/>
  <c r="BG513" i="118"/>
  <c r="BG510" i="118"/>
  <c r="BG508" i="118"/>
  <c r="BG507" i="118"/>
  <c r="BG505" i="118"/>
  <c r="BG501" i="118"/>
  <c r="BG500" i="118"/>
  <c r="BG499" i="118"/>
  <c r="BG498" i="118"/>
  <c r="BG497" i="118"/>
  <c r="BG495" i="118"/>
  <c r="BG494" i="118"/>
  <c r="BG493" i="118"/>
  <c r="BG492" i="118"/>
  <c r="BG491" i="118"/>
  <c r="BG488" i="118"/>
  <c r="BG484" i="118"/>
  <c r="BG483" i="118"/>
  <c r="BG482" i="118"/>
  <c r="BG481" i="118"/>
  <c r="BG480" i="118"/>
  <c r="BG479" i="118"/>
  <c r="BG478" i="118"/>
  <c r="BG476" i="118"/>
  <c r="BG475" i="118"/>
  <c r="BG474" i="118"/>
  <c r="BG473" i="118"/>
  <c r="BG472" i="118"/>
  <c r="BG471" i="118"/>
  <c r="BG470" i="118"/>
  <c r="BG469" i="118"/>
  <c r="BG468" i="118"/>
  <c r="BG467" i="118"/>
  <c r="BG466" i="118"/>
  <c r="BG465" i="118"/>
  <c r="BG464" i="118"/>
  <c r="BG460" i="118"/>
  <c r="BG459" i="118"/>
  <c r="BG458" i="118"/>
  <c r="BG457" i="118"/>
  <c r="BG456" i="118"/>
  <c r="BG455" i="118"/>
  <c r="BG454" i="118"/>
  <c r="BG453" i="118"/>
  <c r="BG452" i="118"/>
  <c r="BG450" i="118"/>
  <c r="BG449" i="118"/>
  <c r="BG448" i="118"/>
  <c r="BG447" i="118"/>
  <c r="BG445" i="118"/>
  <c r="BG443" i="118"/>
  <c r="BG442" i="118"/>
  <c r="BG440" i="118"/>
  <c r="BG439" i="118"/>
  <c r="BG438" i="118"/>
  <c r="BG435" i="118"/>
  <c r="BG434" i="118"/>
  <c r="BG433" i="118"/>
  <c r="BG432" i="118"/>
  <c r="BG431" i="118"/>
  <c r="BG429" i="118"/>
  <c r="BG427" i="118"/>
  <c r="BG426" i="118"/>
  <c r="BG425" i="118"/>
  <c r="BG424" i="118"/>
  <c r="BG423" i="118"/>
  <c r="BG422" i="118"/>
  <c r="BG421" i="118"/>
  <c r="BG420" i="118"/>
  <c r="BG419" i="118"/>
  <c r="BG418" i="118"/>
  <c r="BG417" i="118"/>
  <c r="BG413" i="118"/>
  <c r="BG412" i="118"/>
  <c r="BG410" i="118"/>
  <c r="BG409" i="118"/>
  <c r="BG408" i="118"/>
  <c r="BG407" i="118"/>
  <c r="BG406" i="118"/>
  <c r="BG402" i="118"/>
  <c r="BG401" i="118"/>
  <c r="BG400" i="118"/>
  <c r="BG399" i="118"/>
  <c r="BG398" i="118"/>
  <c r="BG397" i="118"/>
  <c r="BG396" i="118"/>
  <c r="BG395" i="118"/>
  <c r="BG394" i="118"/>
  <c r="BG393" i="118"/>
  <c r="BG392" i="118"/>
  <c r="BG391" i="118"/>
  <c r="BF655" i="118"/>
  <c r="BG616" i="118"/>
  <c r="BG579" i="118"/>
  <c r="BG496" i="118"/>
  <c r="BG490" i="118"/>
  <c r="BG389" i="118"/>
  <c r="BG388" i="118"/>
  <c r="BG387" i="118"/>
  <c r="BG385" i="118"/>
  <c r="BG384" i="118"/>
  <c r="BG382" i="118"/>
  <c r="BG381" i="118"/>
  <c r="BG379" i="118"/>
  <c r="BG377" i="118"/>
  <c r="BG375" i="118"/>
  <c r="BG371" i="118"/>
  <c r="BG370" i="118"/>
  <c r="BG369" i="118"/>
  <c r="BI369" i="118" s="1"/>
  <c r="BG361" i="118"/>
  <c r="BG359" i="118"/>
  <c r="BG358" i="118"/>
  <c r="BG357" i="118"/>
  <c r="BG356" i="118"/>
  <c r="BG355" i="118"/>
  <c r="BG354" i="118"/>
  <c r="BG353" i="118"/>
  <c r="BG352" i="118"/>
  <c r="BG351" i="118"/>
  <c r="BG348" i="118"/>
  <c r="BG346" i="118"/>
  <c r="BG345" i="118"/>
  <c r="BG344" i="118"/>
  <c r="BG343" i="118"/>
  <c r="BG342" i="118"/>
  <c r="BG339" i="118"/>
  <c r="BG338" i="118"/>
  <c r="BG337" i="118"/>
  <c r="BG336" i="118"/>
  <c r="BG335" i="118"/>
  <c r="BG334" i="118"/>
  <c r="BG333" i="118"/>
  <c r="BG332" i="118"/>
  <c r="BG331" i="118"/>
  <c r="BG328" i="118"/>
  <c r="BG327" i="118"/>
  <c r="BG326" i="118"/>
  <c r="BG325" i="118"/>
  <c r="BG324" i="118"/>
  <c r="BG322" i="118"/>
  <c r="BG321" i="118"/>
  <c r="BG320" i="118"/>
  <c r="BG318" i="118"/>
  <c r="BG317" i="118"/>
  <c r="BG316" i="118"/>
  <c r="BG312" i="118"/>
  <c r="BG311" i="118"/>
  <c r="BG310" i="118"/>
  <c r="BG309" i="118"/>
  <c r="BG308" i="118"/>
  <c r="BG307" i="118"/>
  <c r="BG306" i="118"/>
  <c r="BG304" i="118"/>
  <c r="BG303" i="118"/>
  <c r="BG302" i="118"/>
  <c r="BG301" i="118"/>
  <c r="BG300" i="118"/>
  <c r="BG299" i="118"/>
  <c r="BG298" i="118"/>
  <c r="BG297" i="118"/>
  <c r="BG296" i="118"/>
  <c r="BG294" i="118"/>
  <c r="BG293" i="118"/>
  <c r="BG291" i="118"/>
  <c r="BG290" i="118"/>
  <c r="BG229" i="118"/>
  <c r="BG228" i="118"/>
  <c r="BG227" i="118"/>
  <c r="BG226" i="118"/>
  <c r="BG225" i="118"/>
  <c r="BG224" i="118"/>
  <c r="BG223" i="118"/>
  <c r="BG222" i="118"/>
  <c r="BG221" i="118"/>
  <c r="BG220" i="118"/>
  <c r="BG218" i="118"/>
  <c r="BG217" i="118"/>
  <c r="BG216" i="118"/>
  <c r="BG215" i="118"/>
  <c r="BG213" i="118"/>
  <c r="BG212" i="118"/>
  <c r="BG211" i="118"/>
  <c r="BG210" i="118"/>
  <c r="BG209" i="118"/>
  <c r="BG208" i="118"/>
  <c r="BG207" i="118"/>
  <c r="BG206" i="118"/>
  <c r="BG205" i="118"/>
  <c r="BG203" i="118"/>
  <c r="BG202" i="118"/>
  <c r="BG201" i="118"/>
  <c r="BG200" i="118"/>
  <c r="BG199" i="118"/>
  <c r="BG198" i="118"/>
  <c r="BG196" i="118"/>
  <c r="BG195" i="118"/>
  <c r="BG194" i="118"/>
  <c r="BG193" i="118"/>
  <c r="BG192" i="118"/>
  <c r="BG190" i="118"/>
  <c r="BG189" i="118"/>
  <c r="BG188" i="118"/>
  <c r="BG187" i="118"/>
  <c r="BG186" i="118"/>
  <c r="BG185" i="118"/>
  <c r="BG184" i="118"/>
  <c r="BG183" i="118"/>
  <c r="BG182" i="118"/>
  <c r="BG179" i="118"/>
  <c r="BG178" i="118"/>
  <c r="BG177" i="118"/>
  <c r="BG176" i="118"/>
  <c r="BG175" i="118"/>
  <c r="BG174" i="118"/>
  <c r="BG173" i="118"/>
  <c r="BG172" i="118"/>
  <c r="BG171" i="118"/>
  <c r="BG170" i="118"/>
  <c r="BG169" i="118"/>
  <c r="BG168" i="118"/>
  <c r="BG167" i="118"/>
  <c r="BG166" i="118"/>
  <c r="BG165" i="118"/>
  <c r="BG164" i="118"/>
  <c r="BG163" i="118"/>
  <c r="BG162" i="118"/>
  <c r="BG161" i="118"/>
  <c r="BG160" i="118"/>
  <c r="BG159" i="118"/>
  <c r="BG158" i="118"/>
  <c r="BG157" i="118"/>
  <c r="BG156" i="118"/>
  <c r="BG155" i="118"/>
  <c r="BG153" i="118"/>
  <c r="BG152" i="118"/>
  <c r="BG151" i="118"/>
  <c r="BG148" i="118"/>
  <c r="BG144" i="118"/>
  <c r="BG143" i="118"/>
  <c r="BG142" i="118"/>
  <c r="BG141" i="118"/>
  <c r="BG140" i="118"/>
  <c r="BG139" i="118"/>
  <c r="BG138" i="118"/>
  <c r="BG137" i="118"/>
  <c r="BG136" i="118"/>
  <c r="BG135" i="118"/>
  <c r="BG134" i="118"/>
  <c r="BG133" i="118"/>
  <c r="BG131" i="118"/>
  <c r="BG130" i="118"/>
  <c r="BG129" i="118"/>
  <c r="BG128" i="118"/>
  <c r="BG127" i="118"/>
  <c r="BG126" i="118"/>
  <c r="BG125" i="118"/>
  <c r="BG124" i="118"/>
  <c r="BG121" i="118"/>
  <c r="BG120" i="118"/>
  <c r="BG119" i="118"/>
  <c r="BG118" i="118"/>
  <c r="BG117" i="118"/>
  <c r="BG116" i="118"/>
  <c r="BG115" i="118"/>
  <c r="BG112" i="118"/>
  <c r="BG111" i="118"/>
  <c r="BG110" i="118"/>
  <c r="BG109" i="118"/>
  <c r="BG219" i="118"/>
  <c r="BG180" i="118"/>
  <c r="BG154" i="118"/>
  <c r="BG146" i="118"/>
  <c r="BG132" i="118"/>
  <c r="BI132" i="118" s="1"/>
  <c r="BF3794" i="118"/>
  <c r="BF3790" i="118"/>
  <c r="BG3788" i="118"/>
  <c r="BG3787" i="118"/>
  <c r="BG3786" i="118"/>
  <c r="BG3785" i="118"/>
  <c r="BG3784" i="118"/>
  <c r="BG3783" i="118"/>
  <c r="BG3782" i="118"/>
  <c r="BG3781" i="118"/>
  <c r="BF3780" i="118"/>
  <c r="BF3777" i="118"/>
  <c r="BF3775" i="118"/>
  <c r="BF3773" i="118"/>
  <c r="BF3771" i="118"/>
  <c r="BF3770" i="118"/>
  <c r="BF3769" i="118"/>
  <c r="BF3767" i="118"/>
  <c r="BF3766" i="118"/>
  <c r="BF3765" i="118"/>
  <c r="BF3762" i="118"/>
  <c r="BF3759" i="118"/>
  <c r="BF3758" i="118"/>
  <c r="BF3757" i="118"/>
  <c r="BF3756" i="118"/>
  <c r="BF3752" i="118"/>
  <c r="BF3751" i="118"/>
  <c r="BF3750" i="118"/>
  <c r="BF3748" i="118"/>
  <c r="BF3747" i="118"/>
  <c r="BG3464" i="118"/>
  <c r="BG3463" i="118"/>
  <c r="BG3462" i="118"/>
  <c r="BG3460" i="118"/>
  <c r="BG3459" i="118"/>
  <c r="BG3457" i="118"/>
  <c r="BG3454" i="118"/>
  <c r="BG3449" i="118"/>
  <c r="BG3426" i="118"/>
  <c r="BG3425" i="118"/>
  <c r="BG3424" i="118"/>
  <c r="BG3423" i="118"/>
  <c r="BG3421" i="118"/>
  <c r="BG3420" i="118"/>
  <c r="BG3419" i="118"/>
  <c r="BG3418" i="118"/>
  <c r="BG3417" i="118"/>
  <c r="BG3416" i="118"/>
  <c r="BF3377" i="118"/>
  <c r="BF3376" i="118"/>
  <c r="BF3375" i="118"/>
  <c r="BF3374" i="118"/>
  <c r="BF3373" i="118"/>
  <c r="BF3372" i="118"/>
  <c r="BF3371" i="118"/>
  <c r="BF3370" i="118"/>
  <c r="BF3369" i="118"/>
  <c r="BF3352" i="118"/>
  <c r="BF3350" i="118"/>
  <c r="BF3349" i="118"/>
  <c r="BF3348" i="118"/>
  <c r="BF3347" i="118"/>
  <c r="BF3345" i="118"/>
  <c r="BF3344" i="118"/>
  <c r="BF3343" i="118"/>
  <c r="BF3342" i="118"/>
  <c r="BF3341" i="118"/>
  <c r="BF3340" i="118"/>
  <c r="BF3339" i="118"/>
  <c r="BF3338" i="118"/>
  <c r="BF3337" i="118"/>
  <c r="BF3336" i="118"/>
  <c r="BF3335" i="118"/>
  <c r="BF3334" i="118"/>
  <c r="BF3329" i="118"/>
  <c r="BF3264" i="118"/>
  <c r="BF3263" i="118"/>
  <c r="BF3262" i="118"/>
  <c r="BF3257" i="118"/>
  <c r="BF3256" i="118"/>
  <c r="BG3253" i="118"/>
  <c r="BG3252" i="118"/>
  <c r="BG3251" i="118"/>
  <c r="BG3248" i="118"/>
  <c r="BG3246" i="118"/>
  <c r="BG3245" i="118"/>
  <c r="BG3242" i="118"/>
  <c r="BG3237" i="118"/>
  <c r="BG3236" i="118"/>
  <c r="BG3235" i="118"/>
  <c r="BG3234" i="118"/>
  <c r="BG3186" i="118"/>
  <c r="BG3185" i="118"/>
  <c r="BG3184" i="118"/>
  <c r="BG3183" i="118"/>
  <c r="BG3182" i="118"/>
  <c r="BG3181" i="118"/>
  <c r="BG3170" i="118"/>
  <c r="BG3169" i="118"/>
  <c r="BG3168" i="118"/>
  <c r="BG3167" i="118"/>
  <c r="BG3166" i="118"/>
  <c r="BG3165" i="118"/>
  <c r="BG3164" i="118"/>
  <c r="BG3163" i="118"/>
  <c r="BG3162" i="118"/>
  <c r="BG3161" i="118"/>
  <c r="BG3152" i="118"/>
  <c r="BG3151" i="118"/>
  <c r="BG3150" i="118"/>
  <c r="BG3149" i="118"/>
  <c r="BF3137" i="118"/>
  <c r="BF3132" i="118"/>
  <c r="BF3131" i="118"/>
  <c r="BF3130" i="118"/>
  <c r="BG3128" i="118"/>
  <c r="BG3127" i="118"/>
  <c r="BF3124" i="118"/>
  <c r="BF3123" i="118"/>
  <c r="BF3121" i="118"/>
  <c r="BF3120" i="118"/>
  <c r="BF3116" i="118"/>
  <c r="BF3114" i="118"/>
  <c r="BF3113" i="118"/>
  <c r="BF3109" i="118"/>
  <c r="BF3105" i="118"/>
  <c r="BF3102" i="118"/>
  <c r="BF3101" i="118"/>
  <c r="BF3099" i="118"/>
  <c r="BF3097" i="118"/>
  <c r="BF3095" i="118"/>
  <c r="BF3094" i="118"/>
  <c r="BF3092" i="118"/>
  <c r="BF3089" i="118"/>
  <c r="BF3079" i="118"/>
  <c r="BF3078" i="118"/>
  <c r="BF3077" i="118"/>
  <c r="BF3076" i="118"/>
  <c r="BF3075" i="118"/>
  <c r="BF3074" i="118"/>
  <c r="BF3073" i="118"/>
  <c r="BF3072" i="118"/>
  <c r="BF3071" i="118"/>
  <c r="BF3070" i="118"/>
  <c r="BF3069" i="118"/>
  <c r="BF3068" i="118"/>
  <c r="BF3067" i="118"/>
  <c r="BF3066" i="118"/>
  <c r="BF3064" i="118"/>
  <c r="BF3063" i="118"/>
  <c r="BF3057" i="118"/>
  <c r="BF3056" i="118"/>
  <c r="BF3055" i="118"/>
  <c r="BF3054" i="118"/>
  <c r="BF3051" i="118"/>
  <c r="BF3050" i="118"/>
  <c r="BF3049" i="118"/>
  <c r="BF3048" i="118"/>
  <c r="BF3047" i="118"/>
  <c r="BF3046" i="118"/>
  <c r="BF3045" i="118"/>
  <c r="BF3041" i="118"/>
  <c r="BF3040" i="118"/>
  <c r="BF3039" i="118"/>
  <c r="BF3038" i="118"/>
  <c r="BF3034" i="118"/>
  <c r="BF3032" i="118"/>
  <c r="BF3028" i="118"/>
  <c r="BF3027" i="118"/>
  <c r="BF3026" i="118"/>
  <c r="BF3025" i="118"/>
  <c r="BF3024" i="118"/>
  <c r="BF3023" i="118"/>
  <c r="BF3022" i="118"/>
  <c r="BF3013" i="118"/>
  <c r="BF3012" i="118"/>
  <c r="BF2993" i="118"/>
  <c r="BF2992" i="118"/>
  <c r="BF2991" i="118"/>
  <c r="BF2990" i="118"/>
  <c r="BF2989" i="118"/>
  <c r="BF2988" i="118"/>
  <c r="BF2987" i="118"/>
  <c r="BF2986" i="118"/>
  <c r="BG2984" i="118"/>
  <c r="BG2983" i="118"/>
  <c r="BG2982" i="118"/>
  <c r="BG2980" i="118"/>
  <c r="BG2962" i="118"/>
  <c r="BG2961" i="118"/>
  <c r="BG2960" i="118"/>
  <c r="BG2959" i="118"/>
  <c r="BF2958" i="118"/>
  <c r="BF2957" i="118"/>
  <c r="BF2956" i="118"/>
  <c r="BF2955" i="118"/>
  <c r="BF2954" i="118"/>
  <c r="BF2953" i="118"/>
  <c r="BF2952" i="118"/>
  <c r="BF2925" i="118"/>
  <c r="BF2924" i="118"/>
  <c r="BF2923" i="118"/>
  <c r="BG2917" i="118"/>
  <c r="BG2907" i="118"/>
  <c r="BG2906" i="118"/>
  <c r="BG2905" i="118"/>
  <c r="BG2904" i="118"/>
  <c r="BF2892" i="118"/>
  <c r="BF2878" i="118"/>
  <c r="BF2877" i="118"/>
  <c r="BF2876" i="118"/>
  <c r="BG2874" i="118"/>
  <c r="BG2873" i="118"/>
  <c r="BG2872" i="118"/>
  <c r="BG2871" i="118"/>
  <c r="BG2870" i="118"/>
  <c r="BG2869" i="118"/>
  <c r="BG2868" i="118"/>
  <c r="BG2867" i="118"/>
  <c r="BG2866" i="118"/>
  <c r="BG2862" i="118"/>
  <c r="BG2861" i="118"/>
  <c r="BG2860" i="118"/>
  <c r="BF2857" i="118"/>
  <c r="BF2856" i="118"/>
  <c r="BF2855" i="118"/>
  <c r="BF2854" i="118"/>
  <c r="BF2853" i="118"/>
  <c r="BF2785" i="118"/>
  <c r="BF2777" i="118"/>
  <c r="BF2774" i="118"/>
  <c r="BF2768" i="118"/>
  <c r="BF2714" i="118"/>
  <c r="BF2713" i="118"/>
  <c r="BF2712" i="118"/>
  <c r="BF2711" i="118"/>
  <c r="BF2710" i="118"/>
  <c r="BF2709" i="118"/>
  <c r="BF2697" i="118"/>
  <c r="BF2696" i="118"/>
  <c r="BF2694" i="118"/>
  <c r="BF2693" i="118"/>
  <c r="BF2691" i="118"/>
  <c r="BF2690" i="118"/>
  <c r="BF2689" i="118"/>
  <c r="BF2688" i="118"/>
  <c r="BF2687" i="118"/>
  <c r="BF2686" i="118"/>
  <c r="BF2685" i="118"/>
  <c r="BF2683" i="118"/>
  <c r="BF2682" i="118"/>
  <c r="BF2681" i="118"/>
  <c r="BF2680" i="118"/>
  <c r="BF2678" i="118"/>
  <c r="BF2677" i="118"/>
  <c r="BF2676" i="118"/>
  <c r="BF2675" i="118"/>
  <c r="BF2674" i="118"/>
  <c r="BF2672" i="118"/>
  <c r="BF2671" i="118"/>
  <c r="BF2670" i="118"/>
  <c r="BF2669" i="118"/>
  <c r="BF2668" i="118"/>
  <c r="BF2660" i="118"/>
  <c r="BF2658" i="118"/>
  <c r="BF2657" i="118"/>
  <c r="BF2656" i="118"/>
  <c r="BF2655" i="118"/>
  <c r="BF2654" i="118"/>
  <c r="BF2653" i="118"/>
  <c r="BF2652" i="118"/>
  <c r="BF2647" i="118"/>
  <c r="BF2646" i="118"/>
  <c r="BF2644" i="118"/>
  <c r="BF2643" i="118"/>
  <c r="BF2642" i="118"/>
  <c r="BF2641" i="118"/>
  <c r="BF2640" i="118"/>
  <c r="BF2639" i="118"/>
  <c r="BG2626" i="118"/>
  <c r="BG2618" i="118"/>
  <c r="BG2615" i="118"/>
  <c r="BG2612" i="118"/>
  <c r="BG2604" i="118"/>
  <c r="BG2603" i="118"/>
  <c r="BG2602" i="118"/>
  <c r="BG2597" i="118"/>
  <c r="BG2575" i="118"/>
  <c r="BG2568" i="118"/>
  <c r="BG2563" i="118"/>
  <c r="BG2562" i="118"/>
  <c r="BG2549" i="118"/>
  <c r="BG2544" i="118"/>
  <c r="BG2543" i="118"/>
  <c r="BG2540" i="118"/>
  <c r="BF2527" i="118"/>
  <c r="BF2389" i="118"/>
  <c r="BF2388" i="118"/>
  <c r="BF2386" i="118"/>
  <c r="BF2385" i="118"/>
  <c r="BF2383" i="118"/>
  <c r="BF2381" i="118"/>
  <c r="BF2379" i="118"/>
  <c r="BF2378" i="118"/>
  <c r="BF2377" i="118"/>
  <c r="BF2376" i="118"/>
  <c r="BF2368" i="118"/>
  <c r="BF2367" i="118"/>
  <c r="BG2356" i="118"/>
  <c r="BG2355" i="118"/>
  <c r="BG2354" i="118"/>
  <c r="BG2353" i="118"/>
  <c r="BG2346" i="118"/>
  <c r="BG2345" i="118"/>
  <c r="BG2344" i="118"/>
  <c r="BG2343" i="118"/>
  <c r="BG2330" i="118"/>
  <c r="BG2329" i="118"/>
  <c r="BG2328" i="118"/>
  <c r="BG2266" i="118"/>
  <c r="BG2263" i="118"/>
  <c r="BG2262" i="118"/>
  <c r="BG2257" i="118"/>
  <c r="BG2256" i="118"/>
  <c r="BG2252" i="118"/>
  <c r="BG2251" i="118"/>
  <c r="BG2234" i="118"/>
  <c r="BG2232" i="118"/>
  <c r="BG2231" i="118"/>
  <c r="BG2225" i="118"/>
  <c r="BG2221" i="118"/>
  <c r="BG2206" i="118"/>
  <c r="BG2201" i="118"/>
  <c r="BG2200" i="118"/>
  <c r="BG2199" i="118"/>
  <c r="BG2198" i="118"/>
  <c r="BG2197" i="118"/>
  <c r="BG2192" i="118"/>
  <c r="BG2191" i="118"/>
  <c r="BG2188" i="118"/>
  <c r="BG2187" i="118"/>
  <c r="BG2186" i="118"/>
  <c r="BG2185" i="118"/>
  <c r="BG2184" i="118"/>
  <c r="BG2181" i="118"/>
  <c r="BG2180" i="118"/>
  <c r="BG2179" i="118"/>
  <c r="BG2178" i="118"/>
  <c r="BG2177" i="118"/>
  <c r="BG2176" i="118"/>
  <c r="BG2175" i="118"/>
  <c r="BG2174" i="118"/>
  <c r="BG2173" i="118"/>
  <c r="BG2172" i="118"/>
  <c r="BG2171" i="118"/>
  <c r="BG2170" i="118"/>
  <c r="BG2169" i="118"/>
  <c r="BG2159" i="118"/>
  <c r="BG2158" i="118"/>
  <c r="BG2157" i="118"/>
  <c r="BG2156" i="118"/>
  <c r="BG2155" i="118"/>
  <c r="BG2154" i="118"/>
  <c r="BG2153" i="118"/>
  <c r="BG2152" i="118"/>
  <c r="BG2151" i="118"/>
  <c r="BG2150" i="118"/>
  <c r="BG2149" i="118"/>
  <c r="BG2148" i="118"/>
  <c r="BG2147" i="118"/>
  <c r="BG2146" i="118"/>
  <c r="BG2145" i="118"/>
  <c r="BG2144" i="118"/>
  <c r="BG2142" i="118"/>
  <c r="BG2140" i="118"/>
  <c r="BG2139" i="118"/>
  <c r="BG2138" i="118"/>
  <c r="BG2137" i="118"/>
  <c r="BG2136" i="118"/>
  <c r="BG2130" i="118"/>
  <c r="BG2126" i="118"/>
  <c r="BG2125" i="118"/>
  <c r="BG2124" i="118"/>
  <c r="BG2123" i="118"/>
  <c r="BG2122" i="118"/>
  <c r="BG2121" i="118"/>
  <c r="BG2120" i="118"/>
  <c r="BG2119" i="118"/>
  <c r="BG2118" i="118"/>
  <c r="BG2117" i="118"/>
  <c r="BG2116" i="118"/>
  <c r="BG2115" i="118"/>
  <c r="BG2114" i="118"/>
  <c r="BG2113" i="118"/>
  <c r="BG2112" i="118"/>
  <c r="BG2111" i="118"/>
  <c r="BG2110" i="118"/>
  <c r="BG2109" i="118"/>
  <c r="BG2108" i="118"/>
  <c r="BG2107" i="118"/>
  <c r="BG2106" i="118"/>
  <c r="BG2105" i="118"/>
  <c r="BG2104" i="118"/>
  <c r="BG2103" i="118"/>
  <c r="BG2102" i="118"/>
  <c r="BG2101" i="118"/>
  <c r="BG2100" i="118"/>
  <c r="BG2099" i="118"/>
  <c r="BG2098" i="118"/>
  <c r="BG2097" i="118"/>
  <c r="BG2096" i="118"/>
  <c r="BG2095" i="118"/>
  <c r="BG2094" i="118"/>
  <c r="BG2093" i="118"/>
  <c r="BG2092" i="118"/>
  <c r="BG2091" i="118"/>
  <c r="BG2089" i="118"/>
  <c r="BG2080" i="118"/>
  <c r="BG2079" i="118"/>
  <c r="BG2076" i="118"/>
  <c r="BG2075" i="118"/>
  <c r="BG2074" i="118"/>
  <c r="BG2073" i="118"/>
  <c r="BG2072" i="118"/>
  <c r="BG2071" i="118"/>
  <c r="BG2070" i="118"/>
  <c r="BG2069" i="118"/>
  <c r="BG2068" i="118"/>
  <c r="BG2067" i="118"/>
  <c r="BG2066" i="118"/>
  <c r="BG2065" i="118"/>
  <c r="BG2064" i="118"/>
  <c r="BG2063" i="118"/>
  <c r="BG2062" i="118"/>
  <c r="BG2061" i="118"/>
  <c r="BG2060" i="118"/>
  <c r="BG2059" i="118"/>
  <c r="BG2058" i="118"/>
  <c r="BG2057" i="118"/>
  <c r="BG2056" i="118"/>
  <c r="BG2055" i="118"/>
  <c r="BG2054" i="118"/>
  <c r="BG2053" i="118"/>
  <c r="BG2052" i="118"/>
  <c r="BG2051" i="118"/>
  <c r="BG2050" i="118"/>
  <c r="BG2042" i="118"/>
  <c r="BG2041" i="118"/>
  <c r="BG2040" i="118"/>
  <c r="BG2039" i="118"/>
  <c r="BG2038" i="118"/>
  <c r="BG2031" i="118"/>
  <c r="BG2030" i="118"/>
  <c r="BG2010" i="118"/>
  <c r="BG2009" i="118"/>
  <c r="BG2005" i="118"/>
  <c r="BG1998" i="118"/>
  <c r="BG1997" i="118"/>
  <c r="BG1996" i="118"/>
  <c r="BG1995" i="118"/>
  <c r="BG1994" i="118"/>
  <c r="BG1993" i="118"/>
  <c r="BG1992" i="118"/>
  <c r="BG1985" i="118"/>
  <c r="BG1984" i="118"/>
  <c r="BG1983" i="118"/>
  <c r="BG1982" i="118"/>
  <c r="BG1981" i="118"/>
  <c r="BG1980" i="118"/>
  <c r="BF1975" i="118"/>
  <c r="BG1964" i="118"/>
  <c r="BG1962" i="118"/>
  <c r="BG1961" i="118"/>
  <c r="BF1958" i="118"/>
  <c r="BF1957" i="118"/>
  <c r="BF1956" i="118"/>
  <c r="BF1955" i="118"/>
  <c r="BG1953" i="118"/>
  <c r="BG1952" i="118"/>
  <c r="BG1951" i="118"/>
  <c r="BG1950" i="118"/>
  <c r="BG1949" i="118"/>
  <c r="BG1948" i="118"/>
  <c r="BG1947" i="118"/>
  <c r="BG1946" i="118"/>
  <c r="BG1945" i="118"/>
  <c r="BG1944" i="118"/>
  <c r="BG1943" i="118"/>
  <c r="BG1942" i="118"/>
  <c r="BG1941" i="118"/>
  <c r="BG1940" i="118"/>
  <c r="BG1939" i="118"/>
  <c r="BG1938" i="118"/>
  <c r="BG1937" i="118"/>
  <c r="BG1936" i="118"/>
  <c r="BG1935" i="118"/>
  <c r="BG1934" i="118"/>
  <c r="BG1933" i="118"/>
  <c r="BG1932" i="118"/>
  <c r="BG1931" i="118"/>
  <c r="BG1930" i="118"/>
  <c r="BG1929" i="118"/>
  <c r="BG1928" i="118"/>
  <c r="BG1927" i="118"/>
  <c r="BG1926" i="118"/>
  <c r="BG1925" i="118"/>
  <c r="BG1924" i="118"/>
  <c r="BG1923" i="118"/>
  <c r="BG1922" i="118"/>
  <c r="BG1921" i="118"/>
  <c r="BG1888" i="118"/>
  <c r="BG1887" i="118"/>
  <c r="BG1886" i="118"/>
  <c r="BG1885" i="118"/>
  <c r="BG1884" i="118"/>
  <c r="BG1883" i="118"/>
  <c r="BG1882" i="118"/>
  <c r="BG1881" i="118"/>
  <c r="BG1880" i="118"/>
  <c r="BG1879" i="118"/>
  <c r="BF1878" i="118"/>
  <c r="BF1876" i="118"/>
  <c r="BG1874" i="118"/>
  <c r="BG1873" i="118"/>
  <c r="BG1846" i="118"/>
  <c r="BG1845" i="118"/>
  <c r="BG1842" i="118"/>
  <c r="BG1841" i="118"/>
  <c r="BG1840" i="118"/>
  <c r="BG1839" i="118"/>
  <c r="BG1838" i="118"/>
  <c r="BG1837" i="118"/>
  <c r="BG1836" i="118"/>
  <c r="BG1831" i="118"/>
  <c r="BG1830" i="118"/>
  <c r="BG1829" i="118"/>
  <c r="BG1828" i="118"/>
  <c r="BG1825" i="118"/>
  <c r="BF1819" i="118"/>
  <c r="BF1817" i="118"/>
  <c r="BF1816" i="118"/>
  <c r="BF1812" i="118"/>
  <c r="BF1811" i="118"/>
  <c r="BF1806" i="118"/>
  <c r="BF1804" i="118"/>
  <c r="BF1801" i="118"/>
  <c r="BF1800" i="118"/>
  <c r="BF1798" i="118"/>
  <c r="BF1797" i="118"/>
  <c r="BF1796" i="118"/>
  <c r="BG1794" i="118"/>
  <c r="BG1793" i="118"/>
  <c r="BG1792" i="118"/>
  <c r="BG1791" i="118"/>
  <c r="BG1790" i="118"/>
  <c r="BG1789" i="118"/>
  <c r="BG1788" i="118"/>
  <c r="BF1772" i="118"/>
  <c r="BF1771" i="118"/>
  <c r="BF1769" i="118"/>
  <c r="BF1768" i="118"/>
  <c r="BF1765" i="118"/>
  <c r="BF1762" i="118"/>
  <c r="BF1759" i="118"/>
  <c r="BF1758" i="118"/>
  <c r="BF1757" i="118"/>
  <c r="BF1754" i="118"/>
  <c r="BF1753" i="118"/>
  <c r="BF1752" i="118"/>
  <c r="BF1750" i="118"/>
  <c r="BF1655" i="118"/>
  <c r="BF1654" i="118"/>
  <c r="BF1652" i="118"/>
  <c r="BF1651" i="118"/>
  <c r="BF1650" i="118"/>
  <c r="BF1649" i="118"/>
  <c r="BF1648" i="118"/>
  <c r="BF1646" i="118"/>
  <c r="BF1645" i="118"/>
  <c r="BF1643" i="118"/>
  <c r="BG1638" i="118"/>
  <c r="BG1637" i="118"/>
  <c r="BG1636" i="118"/>
  <c r="BG1625" i="118"/>
  <c r="BG1624" i="118"/>
  <c r="BG1623" i="118"/>
  <c r="BG1622" i="118"/>
  <c r="BG1621" i="118"/>
  <c r="BG1620" i="118"/>
  <c r="BG1619" i="118"/>
  <c r="BG1618" i="118"/>
  <c r="BG1617" i="118"/>
  <c r="BG1616" i="118"/>
  <c r="BG1605" i="118"/>
  <c r="BG1604" i="118"/>
  <c r="BG1603" i="118"/>
  <c r="BG1602" i="118"/>
  <c r="BG1601" i="118"/>
  <c r="BG1600" i="118"/>
  <c r="BG1599" i="118"/>
  <c r="BG1598" i="118"/>
  <c r="BF1588" i="118"/>
  <c r="BF1587" i="118"/>
  <c r="BF1586" i="118"/>
  <c r="BF1585" i="118"/>
  <c r="BG1583" i="118"/>
  <c r="BG1582" i="118"/>
  <c r="BG1581" i="118"/>
  <c r="BG1580" i="118"/>
  <c r="BF1573" i="118"/>
  <c r="BF1571" i="118"/>
  <c r="BF1570" i="118"/>
  <c r="BF1569" i="118"/>
  <c r="BG1388" i="118"/>
  <c r="BG1387" i="118"/>
  <c r="BG1386" i="118"/>
  <c r="BG1380" i="118"/>
  <c r="BG1379" i="118"/>
  <c r="BG1378" i="118"/>
  <c r="BG1370" i="118"/>
  <c r="BG1369" i="118"/>
  <c r="BG1368" i="118"/>
  <c r="BG1367" i="118"/>
  <c r="BG1366" i="118"/>
  <c r="BG1342" i="118"/>
  <c r="BG1341" i="118"/>
  <c r="BG1340" i="118"/>
  <c r="BG1337" i="118"/>
  <c r="BG1331" i="118"/>
  <c r="BG1313" i="118"/>
  <c r="BG1312" i="118"/>
  <c r="BG1311" i="118"/>
  <c r="BG1310" i="118"/>
  <c r="BG1309" i="118"/>
  <c r="BG1308" i="118"/>
  <c r="BG1307" i="118"/>
  <c r="BG1302" i="118"/>
  <c r="BF1287" i="118"/>
  <c r="BF1286" i="118"/>
  <c r="BF1285" i="118"/>
  <c r="BF1284" i="118"/>
  <c r="BF1283" i="118"/>
  <c r="BF1282" i="118"/>
  <c r="BF1281" i="118"/>
  <c r="BF1280" i="118"/>
  <c r="BF1279" i="118"/>
  <c r="BF1278" i="118"/>
  <c r="BF1277" i="118"/>
  <c r="BF1275" i="118"/>
  <c r="BF1274" i="118"/>
  <c r="BF1273" i="118"/>
  <c r="BF1270" i="118"/>
  <c r="BF1266" i="118"/>
  <c r="BF1262" i="118"/>
  <c r="BF1261" i="118"/>
  <c r="BF1260" i="118"/>
  <c r="BF1259" i="118"/>
  <c r="BF1250" i="118"/>
  <c r="BF1249" i="118"/>
  <c r="BF1248" i="118"/>
  <c r="BF1247" i="118"/>
  <c r="BF1246" i="118"/>
  <c r="BF1244" i="118"/>
  <c r="BF1243" i="118"/>
  <c r="BF1242" i="118"/>
  <c r="BF1238" i="118"/>
  <c r="BF1237" i="118"/>
  <c r="BF1235" i="118"/>
  <c r="BF1234" i="118"/>
  <c r="BF1231" i="118"/>
  <c r="BF1230" i="118"/>
  <c r="BF1228" i="118"/>
  <c r="BF1227" i="118"/>
  <c r="BF1226" i="118"/>
  <c r="BF1224" i="118"/>
  <c r="BF1223" i="118"/>
  <c r="BF1222" i="118"/>
  <c r="BF1221" i="118"/>
  <c r="BF1220" i="118"/>
  <c r="BF1219" i="118"/>
  <c r="BF1217" i="118"/>
  <c r="BF1214" i="118"/>
  <c r="BF1213" i="118"/>
  <c r="BF1212" i="118"/>
  <c r="BF1209" i="118"/>
  <c r="BF1208" i="118"/>
  <c r="BF1205" i="118"/>
  <c r="BF1204" i="118"/>
  <c r="BF1203" i="118"/>
  <c r="BF1201" i="118"/>
  <c r="BF1200" i="118"/>
  <c r="BF1199" i="118"/>
  <c r="BF1198" i="118"/>
  <c r="BG1187" i="118"/>
  <c r="BG1186" i="118"/>
  <c r="BG1185" i="118"/>
  <c r="BG1184" i="118"/>
  <c r="BG1182" i="118"/>
  <c r="BG1181" i="118"/>
  <c r="BG1180" i="118"/>
  <c r="BG1179" i="118"/>
  <c r="BG1178" i="118"/>
  <c r="BG1177" i="118"/>
  <c r="BF1175" i="118"/>
  <c r="BF1174" i="118"/>
  <c r="BF1173" i="118"/>
  <c r="BF1172" i="118"/>
  <c r="BF1169" i="118"/>
  <c r="BF1161" i="118"/>
  <c r="BF1159" i="118"/>
  <c r="BF1158" i="118"/>
  <c r="BF1156" i="118"/>
  <c r="BF1155" i="118"/>
  <c r="BF1152" i="118"/>
  <c r="BF1149" i="118"/>
  <c r="BF1148" i="118"/>
  <c r="BF1132" i="118"/>
  <c r="BF1131" i="118"/>
  <c r="BF1130" i="118"/>
  <c r="BF1129" i="118"/>
  <c r="BF1128" i="118"/>
  <c r="BF1127" i="118"/>
  <c r="BF1126" i="118"/>
  <c r="BF1124" i="118"/>
  <c r="BF1123" i="118"/>
  <c r="BF1122" i="118"/>
  <c r="BF1121" i="118"/>
  <c r="BF1120" i="118"/>
  <c r="BF1115" i="118"/>
  <c r="BF1114" i="118"/>
  <c r="BF1113" i="118"/>
  <c r="BF1109" i="118"/>
  <c r="BF1108" i="118"/>
  <c r="BF1105" i="118"/>
  <c r="BF1103" i="118"/>
  <c r="BF1102" i="118"/>
  <c r="BG1095" i="118"/>
  <c r="BG1094" i="118"/>
  <c r="BG1093" i="118"/>
  <c r="BG1092" i="118"/>
  <c r="BG1090" i="118"/>
  <c r="BG1089" i="118"/>
  <c r="BG1088" i="118"/>
  <c r="BG1087" i="118"/>
  <c r="BG1086" i="118"/>
  <c r="BG1085" i="118"/>
  <c r="BG1084" i="118"/>
  <c r="BG1083" i="118"/>
  <c r="BG1082" i="118"/>
  <c r="BG1081" i="118"/>
  <c r="BG1080" i="118"/>
  <c r="BG1079" i="118"/>
  <c r="BG1078" i="118"/>
  <c r="BG1077" i="118"/>
  <c r="BG1076" i="118"/>
  <c r="BG1075" i="118"/>
  <c r="BG1074" i="118"/>
  <c r="BG1073" i="118"/>
  <c r="BG1072" i="118"/>
  <c r="BG1071" i="118"/>
  <c r="BG1070" i="118"/>
  <c r="BG1069" i="118"/>
  <c r="BG1068" i="118"/>
  <c r="BG1067" i="118"/>
  <c r="BG1066" i="118"/>
  <c r="BG1065" i="118"/>
  <c r="BG1064" i="118"/>
  <c r="BG1053" i="118"/>
  <c r="BG1044" i="118"/>
  <c r="BF1043" i="118"/>
  <c r="BF1042" i="118"/>
  <c r="BF1041" i="118"/>
  <c r="BF1040" i="118"/>
  <c r="BF1039" i="118"/>
  <c r="BF1038" i="118"/>
  <c r="BF1035" i="118"/>
  <c r="BF1033" i="118"/>
  <c r="BF1028" i="118"/>
  <c r="BF1026" i="118"/>
  <c r="BF1025" i="118"/>
  <c r="BF1024" i="118"/>
  <c r="BF1022" i="118"/>
  <c r="BF1021" i="118"/>
  <c r="BF1020" i="118"/>
  <c r="BF1019" i="118"/>
  <c r="BF1017" i="118"/>
  <c r="BF1016" i="118"/>
  <c r="BF1015" i="118"/>
  <c r="BF1014" i="118"/>
  <c r="BF1013" i="118"/>
  <c r="BF3421" i="118"/>
  <c r="BF3420" i="118"/>
  <c r="BF3419" i="118"/>
  <c r="BF3418" i="118"/>
  <c r="BF3417" i="118"/>
  <c r="BF3416" i="118"/>
  <c r="BG3228" i="118"/>
  <c r="BG3215" i="118"/>
  <c r="BG3213" i="118"/>
  <c r="BG3214" i="118"/>
  <c r="BG3212" i="118"/>
  <c r="BG3211" i="118"/>
  <c r="BG3210" i="118"/>
  <c r="BG3209" i="118"/>
  <c r="BG3208" i="118"/>
  <c r="BG3207" i="118"/>
  <c r="BG3206" i="118"/>
  <c r="BG3199" i="118"/>
  <c r="BG3198" i="118"/>
  <c r="BG3197" i="118"/>
  <c r="BG3196" i="118"/>
  <c r="BF3187" i="118"/>
  <c r="BF3186" i="118"/>
  <c r="BF3185" i="118"/>
  <c r="BF3184" i="118"/>
  <c r="BF3183" i="118"/>
  <c r="BF3182" i="118"/>
  <c r="BF3181" i="118"/>
  <c r="BF3178" i="118"/>
  <c r="BF3171" i="118"/>
  <c r="BF3170" i="118"/>
  <c r="BF3169" i="118"/>
  <c r="BF3168" i="118"/>
  <c r="BF3167" i="118"/>
  <c r="BF3166" i="118"/>
  <c r="BF3165" i="118"/>
  <c r="BF3164" i="118"/>
  <c r="BF3163" i="118"/>
  <c r="BF3162" i="118"/>
  <c r="BF3161" i="118"/>
  <c r="BF3153" i="118"/>
  <c r="BF3152" i="118"/>
  <c r="BF3151" i="118"/>
  <c r="BF3150" i="118"/>
  <c r="BF3149" i="118"/>
  <c r="BG2834" i="118"/>
  <c r="BG2833" i="118"/>
  <c r="BG2832" i="118"/>
  <c r="BG2831" i="118"/>
  <c r="BG2828" i="118"/>
  <c r="BG2827" i="118"/>
  <c r="BG2821" i="118"/>
  <c r="BG2820" i="118"/>
  <c r="BG2819" i="118"/>
  <c r="BG2818" i="118"/>
  <c r="BG2817" i="118"/>
  <c r="BG2801" i="118"/>
  <c r="BG2800" i="118"/>
  <c r="BF2790" i="118"/>
  <c r="BF2789" i="118"/>
  <c r="BF2788" i="118"/>
  <c r="BF2787" i="118"/>
  <c r="BG2519" i="118"/>
  <c r="BG2518" i="118"/>
  <c r="BG2517" i="118"/>
  <c r="BG2516" i="118"/>
  <c r="BG2514" i="118"/>
  <c r="BG2513" i="118"/>
  <c r="BG2512" i="118"/>
  <c r="BG2508" i="118"/>
  <c r="BG2507" i="118"/>
  <c r="BG2506" i="118"/>
  <c r="BG2505" i="118"/>
  <c r="BG2459" i="118"/>
  <c r="BG2458" i="118"/>
  <c r="BG2454" i="118"/>
  <c r="BG2447" i="118"/>
  <c r="BG2446" i="118"/>
  <c r="BG2445" i="118"/>
  <c r="BG2444" i="118"/>
  <c r="BG2436" i="118"/>
  <c r="BG2435" i="118"/>
  <c r="BG2431" i="118"/>
  <c r="BG2430" i="118"/>
  <c r="BG2429" i="118"/>
  <c r="BG2428" i="118"/>
  <c r="BG2427" i="118"/>
  <c r="BG2422" i="118"/>
  <c r="BF2420" i="118"/>
  <c r="BF2419" i="118"/>
  <c r="BF2418" i="118"/>
  <c r="BF2417" i="118"/>
  <c r="BF2412" i="118"/>
  <c r="BF2411" i="118"/>
  <c r="BF2410" i="118"/>
  <c r="BF2405" i="118"/>
  <c r="BF2404" i="118"/>
  <c r="BF2403" i="118"/>
  <c r="BF2402" i="118"/>
  <c r="BF2401" i="118"/>
  <c r="BF2400" i="118"/>
  <c r="BF2399" i="118"/>
  <c r="BF2398" i="118"/>
  <c r="BF2397" i="118"/>
  <c r="BF2391" i="118"/>
  <c r="BF2392" i="118"/>
  <c r="BF1731" i="118"/>
  <c r="BF1730" i="118"/>
  <c r="BF1729" i="118"/>
  <c r="BF1728" i="118"/>
  <c r="BF1727" i="118"/>
  <c r="BF1725" i="118"/>
  <c r="BF1724" i="118"/>
  <c r="BF1719" i="118"/>
  <c r="BF1718" i="118"/>
  <c r="BF1714" i="118"/>
  <c r="BF1713" i="118"/>
  <c r="BF1711" i="118"/>
  <c r="BF1710" i="118"/>
  <c r="BF1708" i="118"/>
  <c r="BF1699" i="118"/>
  <c r="BF1698" i="118"/>
  <c r="BF1697" i="118"/>
  <c r="BF1696" i="118"/>
  <c r="BF1695" i="118"/>
  <c r="BF1694" i="118"/>
  <c r="BF1693" i="118"/>
  <c r="BF1692" i="118"/>
  <c r="BF1691" i="118"/>
  <c r="BF1690" i="118"/>
  <c r="BF1689" i="118"/>
  <c r="BF1686" i="118"/>
  <c r="BF1685" i="118"/>
  <c r="BF1683" i="118"/>
  <c r="BF1682" i="118"/>
  <c r="BF1680" i="118"/>
  <c r="BF1678" i="118"/>
  <c r="BF1677" i="118"/>
  <c r="BF1675" i="118"/>
  <c r="BF1671" i="118"/>
  <c r="BF1670" i="118"/>
  <c r="BF1669" i="118"/>
  <c r="BF1665" i="118"/>
  <c r="BF1663" i="118"/>
  <c r="BF1662" i="118"/>
  <c r="BF1661" i="118"/>
  <c r="BF1660" i="118"/>
  <c r="BF1659" i="118"/>
  <c r="BF1658" i="118"/>
  <c r="BF1657" i="118"/>
  <c r="BG1655" i="118"/>
  <c r="BG1654" i="118"/>
  <c r="BG1651" i="118"/>
  <c r="BG1650" i="118"/>
  <c r="BG1649" i="118"/>
  <c r="BG1648" i="118"/>
  <c r="BG1645" i="118"/>
  <c r="BG1643" i="118"/>
  <c r="BF1639" i="118"/>
  <c r="BF1638" i="118"/>
  <c r="BF1637" i="118"/>
  <c r="BF1636" i="118"/>
  <c r="BF1633" i="118"/>
  <c r="BF1626" i="118"/>
  <c r="BF1625" i="118"/>
  <c r="BF1624" i="118"/>
  <c r="BF1623" i="118"/>
  <c r="BF1622" i="118"/>
  <c r="BF1621" i="118"/>
  <c r="BF1620" i="118"/>
  <c r="BF1619" i="118"/>
  <c r="BF1618" i="118"/>
  <c r="BF1617" i="118"/>
  <c r="BF1616" i="118"/>
  <c r="BF1611" i="118"/>
  <c r="BF1606" i="118"/>
  <c r="BF1605" i="118"/>
  <c r="BF1604" i="118"/>
  <c r="BF1603" i="118"/>
  <c r="BF1602" i="118"/>
  <c r="BF1601" i="118"/>
  <c r="BF1600" i="118"/>
  <c r="BF1599" i="118"/>
  <c r="BF1598" i="118"/>
  <c r="BG1587" i="118"/>
  <c r="BG1586" i="118"/>
  <c r="BG1585" i="118"/>
  <c r="BF1584" i="118"/>
  <c r="BF1583" i="118"/>
  <c r="BF1582" i="118"/>
  <c r="BF1581" i="118"/>
  <c r="BF1580" i="118"/>
  <c r="BG1571" i="118"/>
  <c r="BG1570" i="118"/>
  <c r="BG1569" i="118"/>
  <c r="BG1559" i="118"/>
  <c r="BG1558" i="118"/>
  <c r="BG1554" i="118"/>
  <c r="BG1553" i="118"/>
  <c r="BG1550" i="118"/>
  <c r="BG1515" i="118"/>
  <c r="BG1514" i="118"/>
  <c r="BG1509" i="118"/>
  <c r="BG1505" i="118"/>
  <c r="BG1504" i="118"/>
  <c r="BG1503" i="118"/>
  <c r="BG1502" i="118"/>
  <c r="BG1501" i="118"/>
  <c r="BG1500" i="118"/>
  <c r="BG1495" i="118"/>
  <c r="BG1489" i="118"/>
  <c r="BG1487" i="118"/>
  <c r="BG1486" i="118"/>
  <c r="BG1485" i="118"/>
  <c r="BG1484" i="118"/>
  <c r="BG1483" i="118"/>
  <c r="BG1482" i="118"/>
  <c r="BG1481" i="118"/>
  <c r="BG1474" i="118"/>
  <c r="BG1473" i="118"/>
  <c r="BG1468" i="118"/>
  <c r="BG1467" i="118"/>
  <c r="BG1466" i="118"/>
  <c r="BG1455" i="118"/>
  <c r="BG1431" i="118"/>
  <c r="BG1430" i="118"/>
  <c r="BG1427" i="118"/>
  <c r="BG1426" i="118"/>
  <c r="BG1425" i="118"/>
  <c r="BG1424" i="118"/>
  <c r="BG1420" i="118"/>
  <c r="BG1419" i="118"/>
  <c r="BG1410" i="118"/>
  <c r="BG1407" i="118"/>
  <c r="BG1396" i="118"/>
  <c r="BG1394" i="118"/>
  <c r="BG1393" i="118"/>
  <c r="BG1392" i="118"/>
  <c r="BG1391" i="118"/>
  <c r="BG1390" i="118"/>
  <c r="BF1388" i="118"/>
  <c r="BF1387" i="118"/>
  <c r="BF1386" i="118"/>
  <c r="BF1381" i="118"/>
  <c r="BF1380" i="118"/>
  <c r="BF1379" i="118"/>
  <c r="BF1378" i="118"/>
  <c r="BF1371" i="118"/>
  <c r="BF1370" i="118"/>
  <c r="BF1369" i="118"/>
  <c r="BF1368" i="118"/>
  <c r="BF1367" i="118"/>
  <c r="BF1366" i="118"/>
  <c r="BF1343" i="118"/>
  <c r="BF1342" i="118"/>
  <c r="BF1341" i="118"/>
  <c r="BF1340" i="118"/>
  <c r="BF1338" i="118"/>
  <c r="BF1337" i="118"/>
  <c r="BF1332" i="118"/>
  <c r="BF1331" i="118"/>
  <c r="BF1327" i="118"/>
  <c r="BF1318" i="118"/>
  <c r="BF1314" i="118"/>
  <c r="BF1313" i="118"/>
  <c r="BF1312" i="118"/>
  <c r="BF1311" i="118"/>
  <c r="BF1310" i="118"/>
  <c r="BF1309" i="118"/>
  <c r="BF1308" i="118"/>
  <c r="BF1307" i="118"/>
  <c r="BF1303" i="118"/>
  <c r="BF1302" i="118"/>
  <c r="BF1300" i="118"/>
  <c r="BF43" i="118"/>
  <c r="BF815" i="118"/>
  <c r="BG43" i="118"/>
  <c r="BI43" i="118" s="1"/>
  <c r="BF132" i="118"/>
  <c r="BF87" i="118"/>
  <c r="BG3328" i="118"/>
  <c r="BG3327" i="118"/>
  <c r="BG3326" i="118"/>
  <c r="BG3325" i="118"/>
  <c r="BG3324" i="118"/>
  <c r="BG3323" i="118"/>
  <c r="BG3322" i="118"/>
  <c r="BG3321" i="118"/>
  <c r="BG3319" i="118"/>
  <c r="BG3317" i="118"/>
  <c r="BG3316" i="118"/>
  <c r="BG3315" i="118"/>
  <c r="BG3313" i="118"/>
  <c r="BG3312" i="118"/>
  <c r="BG3311" i="118"/>
  <c r="BG3310" i="118"/>
  <c r="BG3309" i="118"/>
  <c r="BG3308" i="118"/>
  <c r="BG3307" i="118"/>
  <c r="BG3306" i="118"/>
  <c r="BG3305" i="118"/>
  <c r="BG3303" i="118"/>
  <c r="BG3302" i="118"/>
  <c r="BG3301" i="118"/>
  <c r="BG3300" i="118"/>
  <c r="BG3299" i="118"/>
  <c r="BG3294" i="118"/>
  <c r="BG3292" i="118"/>
  <c r="BG3291" i="118"/>
  <c r="BG3290" i="118"/>
  <c r="BG3289" i="118"/>
  <c r="BG3286" i="118"/>
  <c r="BG3285" i="118"/>
  <c r="BG3283" i="118"/>
  <c r="BG3281" i="118"/>
  <c r="BG3280" i="118"/>
  <c r="BG3279" i="118"/>
  <c r="BG3278" i="118"/>
  <c r="BG3277" i="118"/>
  <c r="BG3275" i="118"/>
  <c r="BF3328" i="118"/>
  <c r="BF3327" i="118"/>
  <c r="BF3326" i="118"/>
  <c r="BF3325" i="118"/>
  <c r="BF3324" i="118"/>
  <c r="BF3323" i="118"/>
  <c r="BF3322" i="118"/>
  <c r="BF3321" i="118"/>
  <c r="BF3319" i="118"/>
  <c r="BF3318" i="118"/>
  <c r="BF3317" i="118"/>
  <c r="BF3316" i="118"/>
  <c r="BF3315" i="118"/>
  <c r="BF3313" i="118"/>
  <c r="BF3312" i="118"/>
  <c r="BF3311" i="118"/>
  <c r="BF3310" i="118"/>
  <c r="BF3309" i="118"/>
  <c r="BF3308" i="118"/>
  <c r="BF3307" i="118"/>
  <c r="BF3306" i="118"/>
  <c r="BF3305" i="118"/>
  <c r="BF3304" i="118"/>
  <c r="BF3303" i="118"/>
  <c r="BF3302" i="118"/>
  <c r="BF3301" i="118"/>
  <c r="BF3300" i="118"/>
  <c r="BF3299" i="118"/>
  <c r="BF3297" i="118"/>
  <c r="BF3296" i="118"/>
  <c r="BF3295" i="118"/>
  <c r="BF3294" i="118"/>
  <c r="BF3293" i="118"/>
  <c r="BF3292" i="118"/>
  <c r="BF3291" i="118"/>
  <c r="BF3290" i="118"/>
  <c r="BF3289" i="118"/>
  <c r="BF3287" i="118"/>
  <c r="BF3286" i="118"/>
  <c r="BF3285" i="118"/>
  <c r="BF3283" i="118"/>
  <c r="BF3282" i="118"/>
  <c r="BF3281" i="118"/>
  <c r="BF3280" i="118"/>
  <c r="BF3279" i="118"/>
  <c r="BF3278" i="118"/>
  <c r="BF3277" i="118"/>
  <c r="BF3275" i="118"/>
  <c r="BI1784" i="118"/>
  <c r="BG1575" i="118"/>
  <c r="BI1575" i="118" s="1"/>
  <c r="BF783" i="118"/>
  <c r="BG787" i="118"/>
  <c r="BI787" i="118" s="1"/>
  <c r="BF792" i="118"/>
  <c r="BG810" i="118"/>
  <c r="BI810" i="118" s="1"/>
  <c r="BF840" i="118"/>
  <c r="BF874" i="118"/>
  <c r="BG885" i="118"/>
  <c r="BI885" i="118" s="1"/>
  <c r="BI912" i="118"/>
  <c r="BG2928" i="118"/>
  <c r="BI2928" i="118" s="1"/>
  <c r="BI892" i="118"/>
  <c r="BF145" i="118"/>
  <c r="BF147" i="118"/>
  <c r="BF204" i="118"/>
  <c r="BG214" i="118"/>
  <c r="BI214" i="118" s="1"/>
  <c r="BG305" i="118"/>
  <c r="BI305" i="118" s="1"/>
  <c r="BF313" i="118"/>
  <c r="BF315" i="118"/>
  <c r="BG323" i="118"/>
  <c r="BF1575" i="118"/>
  <c r="BG783" i="118"/>
  <c r="BI783" i="118" s="1"/>
  <c r="BF787" i="118"/>
  <c r="BG792" i="118"/>
  <c r="BI792" i="118" s="1"/>
  <c r="BF810" i="118"/>
  <c r="BG840" i="118"/>
  <c r="BI840" i="118" s="1"/>
  <c r="BG874" i="118"/>
  <c r="BI874" i="118" s="1"/>
  <c r="BF885" i="118"/>
  <c r="BI914" i="118"/>
  <c r="BI925" i="118"/>
  <c r="BI82" i="118"/>
  <c r="BG145" i="118"/>
  <c r="BI145" i="118" s="1"/>
  <c r="BG147" i="118"/>
  <c r="BI147" i="118" s="1"/>
  <c r="BI150" i="118"/>
  <c r="BG204" i="118"/>
  <c r="BI204" i="118" s="1"/>
  <c r="BF214" i="118"/>
  <c r="BF305" i="118"/>
  <c r="BG313" i="118"/>
  <c r="BI313" i="118" s="1"/>
  <c r="BG315" i="118"/>
  <c r="BI315" i="118" s="1"/>
  <c r="BF323" i="118"/>
  <c r="BF48" i="118"/>
  <c r="BI323" i="118"/>
  <c r="BG75" i="118"/>
  <c r="BF756" i="118"/>
  <c r="BG756" i="118"/>
  <c r="BI756" i="118" s="1"/>
  <c r="BG728" i="118"/>
  <c r="BI728" i="118" s="1"/>
  <c r="BG734" i="118"/>
  <c r="BI734" i="118" s="1"/>
  <c r="BF738" i="118"/>
  <c r="BG723" i="118"/>
  <c r="BI723" i="118" s="1"/>
  <c r="BG702" i="118"/>
  <c r="BI702" i="118" s="1"/>
  <c r="BF702" i="118"/>
  <c r="BG695" i="118"/>
  <c r="BI695" i="118" s="1"/>
  <c r="BF696" i="118"/>
  <c r="BF695" i="118"/>
  <c r="BI696" i="118"/>
  <c r="BG688" i="118"/>
  <c r="BI688" i="118" s="1"/>
  <c r="BF693" i="118"/>
  <c r="BF688" i="118"/>
  <c r="BG693" i="118"/>
  <c r="BI693" i="118" s="1"/>
  <c r="BG684" i="118"/>
  <c r="BI684" i="118" s="1"/>
  <c r="BF684" i="118"/>
  <c r="BG678" i="118"/>
  <c r="BI678" i="118" s="1"/>
  <c r="BF678" i="118"/>
  <c r="BG670" i="118"/>
  <c r="BI670" i="118" s="1"/>
  <c r="BF670" i="118"/>
  <c r="BF664" i="118"/>
  <c r="BG665" i="118"/>
  <c r="BI665" i="118" s="1"/>
  <c r="BG664" i="118"/>
  <c r="BI664" i="118" s="1"/>
  <c r="BF665" i="118"/>
  <c r="BG650" i="118"/>
  <c r="BI650" i="118" s="1"/>
  <c r="BF650" i="118"/>
  <c r="BI3318" i="118"/>
  <c r="BI972" i="118"/>
  <c r="BI3775" i="118"/>
  <c r="BH1008" i="118"/>
  <c r="BI1008" i="118" s="1"/>
  <c r="BH993" i="118"/>
  <c r="BH992" i="118"/>
  <c r="BI992" i="118" s="1"/>
  <c r="BH981" i="118"/>
  <c r="AK10" i="118"/>
  <c r="AL10" i="118"/>
  <c r="AM10" i="118"/>
  <c r="AN10" i="118"/>
  <c r="AO10" i="118"/>
  <c r="AP10" i="118"/>
  <c r="AQ10" i="118"/>
  <c r="AR10" i="118"/>
  <c r="AS10" i="118"/>
  <c r="AT10" i="118"/>
  <c r="AU10" i="118"/>
  <c r="AV10" i="118"/>
  <c r="AW10" i="118"/>
  <c r="AX10" i="118"/>
  <c r="AY10" i="118"/>
  <c r="AZ10" i="118"/>
  <c r="BA10" i="118"/>
  <c r="BB10" i="118"/>
  <c r="AK91" i="118"/>
  <c r="AL91" i="118"/>
  <c r="AM91" i="118"/>
  <c r="AN91" i="118"/>
  <c r="AO91" i="118"/>
  <c r="AP91" i="118"/>
  <c r="AQ91" i="118"/>
  <c r="AR91" i="118"/>
  <c r="AS91" i="118"/>
  <c r="AT91" i="118"/>
  <c r="AU91" i="118"/>
  <c r="AV91" i="118"/>
  <c r="AW91" i="118"/>
  <c r="AX91" i="118"/>
  <c r="AY91" i="118"/>
  <c r="AZ91" i="118"/>
  <c r="BA91" i="118"/>
  <c r="BB91" i="118"/>
  <c r="AK114" i="118"/>
  <c r="AL114" i="118"/>
  <c r="AM114" i="118"/>
  <c r="AN114" i="118"/>
  <c r="AO114" i="118"/>
  <c r="AP114" i="118"/>
  <c r="AQ114" i="118"/>
  <c r="AR114" i="118"/>
  <c r="AS114" i="118"/>
  <c r="AT114" i="118"/>
  <c r="AU114" i="118"/>
  <c r="AV114" i="118"/>
  <c r="AW114" i="118"/>
  <c r="AX114" i="118"/>
  <c r="AY114" i="118"/>
  <c r="AZ114" i="118"/>
  <c r="BA114" i="118"/>
  <c r="BB114" i="118"/>
  <c r="AK446" i="118"/>
  <c r="AL446" i="118"/>
  <c r="AM446" i="118"/>
  <c r="AN446" i="118"/>
  <c r="AO446" i="118"/>
  <c r="AP446" i="118"/>
  <c r="AQ446" i="118"/>
  <c r="AR446" i="118"/>
  <c r="AS446" i="118"/>
  <c r="AT446" i="118"/>
  <c r="AU446" i="118"/>
  <c r="AV446" i="118"/>
  <c r="AW446" i="118"/>
  <c r="AX446" i="118"/>
  <c r="AY446" i="118"/>
  <c r="AZ446" i="118"/>
  <c r="BA446" i="118"/>
  <c r="BB446" i="118"/>
  <c r="AK561" i="118"/>
  <c r="AL561" i="118"/>
  <c r="AM561" i="118"/>
  <c r="AN561" i="118"/>
  <c r="AO561" i="118"/>
  <c r="AP561" i="118"/>
  <c r="AQ561" i="118"/>
  <c r="AR561" i="118"/>
  <c r="AS561" i="118"/>
  <c r="AT561" i="118"/>
  <c r="AU561" i="118"/>
  <c r="AV561" i="118"/>
  <c r="AW561" i="118"/>
  <c r="AX561" i="118"/>
  <c r="AY561" i="118"/>
  <c r="AZ561" i="118"/>
  <c r="BA561" i="118"/>
  <c r="BB561" i="118"/>
  <c r="AK627" i="118"/>
  <c r="AL627" i="118"/>
  <c r="AM627" i="118"/>
  <c r="AN627" i="118"/>
  <c r="AO627" i="118"/>
  <c r="AP627" i="118"/>
  <c r="AQ627" i="118"/>
  <c r="AR627" i="118"/>
  <c r="AS627" i="118"/>
  <c r="AT627" i="118"/>
  <c r="AU627" i="118"/>
  <c r="AV627" i="118"/>
  <c r="AW627" i="118"/>
  <c r="AX627" i="118"/>
  <c r="AY627" i="118"/>
  <c r="AZ627" i="118"/>
  <c r="BA627" i="118"/>
  <c r="BB627" i="118"/>
  <c r="AK765" i="118"/>
  <c r="AL765" i="118"/>
  <c r="AM765" i="118"/>
  <c r="AN765" i="118"/>
  <c r="AO765" i="118"/>
  <c r="AP765" i="118"/>
  <c r="AQ765" i="118"/>
  <c r="AR765" i="118"/>
  <c r="AS765" i="118"/>
  <c r="AT765" i="118"/>
  <c r="AU765" i="118"/>
  <c r="AV765" i="118"/>
  <c r="AW765" i="118"/>
  <c r="AX765" i="118"/>
  <c r="AY765" i="118"/>
  <c r="AZ765" i="118"/>
  <c r="BA765" i="118"/>
  <c r="BB765" i="118"/>
  <c r="AK771" i="118"/>
  <c r="AL771" i="118"/>
  <c r="AM771" i="118"/>
  <c r="AN771" i="118"/>
  <c r="AO771" i="118"/>
  <c r="AP771" i="118"/>
  <c r="AQ771" i="118"/>
  <c r="AR771" i="118"/>
  <c r="AS771" i="118"/>
  <c r="AT771" i="118"/>
  <c r="AU771" i="118"/>
  <c r="AV771" i="118"/>
  <c r="AW771" i="118"/>
  <c r="AX771" i="118"/>
  <c r="AY771" i="118"/>
  <c r="AZ771" i="118"/>
  <c r="BA771" i="118"/>
  <c r="BB771" i="118"/>
  <c r="AK934" i="118"/>
  <c r="AL934" i="118"/>
  <c r="AM934" i="118"/>
  <c r="AN934" i="118"/>
  <c r="AO934" i="118"/>
  <c r="AP934" i="118"/>
  <c r="AQ934" i="118"/>
  <c r="AR934" i="118"/>
  <c r="AS934" i="118"/>
  <c r="AT934" i="118"/>
  <c r="AU934" i="118"/>
  <c r="AV934" i="118"/>
  <c r="AW934" i="118"/>
  <c r="AX934" i="118"/>
  <c r="AY934" i="118"/>
  <c r="AZ934" i="118"/>
  <c r="BA934" i="118"/>
  <c r="BB934" i="118"/>
  <c r="AK947" i="118"/>
  <c r="AL947" i="118"/>
  <c r="AM947" i="118"/>
  <c r="AN947" i="118"/>
  <c r="AO947" i="118"/>
  <c r="AP947" i="118"/>
  <c r="AQ947" i="118"/>
  <c r="AR947" i="118"/>
  <c r="AS947" i="118"/>
  <c r="AT947" i="118"/>
  <c r="AU947" i="118"/>
  <c r="AV947" i="118"/>
  <c r="AW947" i="118"/>
  <c r="AX947" i="118"/>
  <c r="AY947" i="118"/>
  <c r="AZ947" i="118"/>
  <c r="BA947" i="118"/>
  <c r="BB947" i="118"/>
  <c r="AK954" i="118"/>
  <c r="AL954" i="118"/>
  <c r="AM954" i="118"/>
  <c r="AN954" i="118"/>
  <c r="AO954" i="118"/>
  <c r="AP954" i="118"/>
  <c r="AQ954" i="118"/>
  <c r="AR954" i="118"/>
  <c r="AS954" i="118"/>
  <c r="AT954" i="118"/>
  <c r="AU954" i="118"/>
  <c r="AV954" i="118"/>
  <c r="AW954" i="118"/>
  <c r="AX954" i="118"/>
  <c r="AY954" i="118"/>
  <c r="AZ954" i="118"/>
  <c r="BA954" i="118"/>
  <c r="BB954" i="118"/>
  <c r="AK963" i="118"/>
  <c r="AL963" i="118"/>
  <c r="AM963" i="118"/>
  <c r="AN963" i="118"/>
  <c r="AO963" i="118"/>
  <c r="AP963" i="118"/>
  <c r="AQ963" i="118"/>
  <c r="AR963" i="118"/>
  <c r="AS963" i="118"/>
  <c r="AT963" i="118"/>
  <c r="AU963" i="118"/>
  <c r="AV963" i="118"/>
  <c r="AW963" i="118"/>
  <c r="AX963" i="118"/>
  <c r="AY963" i="118"/>
  <c r="AZ963" i="118"/>
  <c r="BA963" i="118"/>
  <c r="BB963" i="118"/>
  <c r="AK976" i="118"/>
  <c r="AL976" i="118"/>
  <c r="AM976" i="118"/>
  <c r="AN976" i="118"/>
  <c r="AO976" i="118"/>
  <c r="AP976" i="118"/>
  <c r="AQ976" i="118"/>
  <c r="AR976" i="118"/>
  <c r="AS976" i="118"/>
  <c r="AT976" i="118"/>
  <c r="AU976" i="118"/>
  <c r="AV976" i="118"/>
  <c r="AW976" i="118"/>
  <c r="AX976" i="118"/>
  <c r="AY976" i="118"/>
  <c r="AZ976" i="118"/>
  <c r="BA976" i="118"/>
  <c r="BB976" i="118"/>
  <c r="AK978" i="118"/>
  <c r="AL978" i="118"/>
  <c r="AM978" i="118"/>
  <c r="AN978" i="118"/>
  <c r="AO978" i="118"/>
  <c r="AP978" i="118"/>
  <c r="AQ978" i="118"/>
  <c r="AR978" i="118"/>
  <c r="AS978" i="118"/>
  <c r="AT978" i="118"/>
  <c r="AU978" i="118"/>
  <c r="AV978" i="118"/>
  <c r="AW978" i="118"/>
  <c r="AX978" i="118"/>
  <c r="AY978" i="118"/>
  <c r="AZ978" i="118"/>
  <c r="BA978" i="118"/>
  <c r="BB978" i="118"/>
  <c r="AK997" i="118"/>
  <c r="AL997" i="118"/>
  <c r="AM997" i="118"/>
  <c r="AN997" i="118"/>
  <c r="AO997" i="118"/>
  <c r="AP997" i="118"/>
  <c r="AQ997" i="118"/>
  <c r="AR997" i="118"/>
  <c r="AS997" i="118"/>
  <c r="AT997" i="118"/>
  <c r="AU997" i="118"/>
  <c r="AV997" i="118"/>
  <c r="AW997" i="118"/>
  <c r="AX997" i="118"/>
  <c r="AY997" i="118"/>
  <c r="AZ997" i="118"/>
  <c r="BA997" i="118"/>
  <c r="BB997" i="118"/>
  <c r="AK1011" i="118"/>
  <c r="AL1011" i="118"/>
  <c r="AM1011" i="118"/>
  <c r="AN1011" i="118"/>
  <c r="AO1011" i="118"/>
  <c r="AP1011" i="118"/>
  <c r="AQ1011" i="118"/>
  <c r="AR1011" i="118"/>
  <c r="AS1011" i="118"/>
  <c r="AT1011" i="118"/>
  <c r="AU1011" i="118"/>
  <c r="AV1011" i="118"/>
  <c r="AW1011" i="118"/>
  <c r="AX1011" i="118"/>
  <c r="AY1011" i="118"/>
  <c r="AZ1011" i="118"/>
  <c r="BA1011" i="118"/>
  <c r="BB1011" i="118"/>
  <c r="AK1183" i="118"/>
  <c r="AL1183" i="118"/>
  <c r="AM1183" i="118"/>
  <c r="AN1183" i="118"/>
  <c r="AO1183" i="118"/>
  <c r="AP1183" i="118"/>
  <c r="AQ1183" i="118"/>
  <c r="AR1183" i="118"/>
  <c r="AS1183" i="118"/>
  <c r="AT1183" i="118"/>
  <c r="AU1183" i="118"/>
  <c r="AV1183" i="118"/>
  <c r="AW1183" i="118"/>
  <c r="AX1183" i="118"/>
  <c r="AY1183" i="118"/>
  <c r="AZ1183" i="118"/>
  <c r="BA1183" i="118"/>
  <c r="BB1183" i="118"/>
  <c r="AK1295" i="118"/>
  <c r="AL1295" i="118"/>
  <c r="AM1295" i="118"/>
  <c r="AN1295" i="118"/>
  <c r="AO1295" i="118"/>
  <c r="AP1295" i="118"/>
  <c r="AQ1295" i="118"/>
  <c r="AR1295" i="118"/>
  <c r="AS1295" i="118"/>
  <c r="AT1295" i="118"/>
  <c r="AU1295" i="118"/>
  <c r="AV1295" i="118"/>
  <c r="AW1295" i="118"/>
  <c r="AX1295" i="118"/>
  <c r="AY1295" i="118"/>
  <c r="AZ1295" i="118"/>
  <c r="BA1295" i="118"/>
  <c r="BB1295" i="118"/>
  <c r="AK1389" i="118"/>
  <c r="AL1389" i="118"/>
  <c r="AM1389" i="118"/>
  <c r="AN1389" i="118"/>
  <c r="AO1389" i="118"/>
  <c r="AP1389" i="118"/>
  <c r="AQ1389" i="118"/>
  <c r="AR1389" i="118"/>
  <c r="AS1389" i="118"/>
  <c r="AT1389" i="118"/>
  <c r="AU1389" i="118"/>
  <c r="AV1389" i="118"/>
  <c r="AW1389" i="118"/>
  <c r="AX1389" i="118"/>
  <c r="AY1389" i="118"/>
  <c r="AZ1389" i="118"/>
  <c r="BA1389" i="118"/>
  <c r="BB1389" i="118"/>
  <c r="AK1488" i="118"/>
  <c r="AL1488" i="118"/>
  <c r="AM1488" i="118"/>
  <c r="AN1488" i="118"/>
  <c r="AO1488" i="118"/>
  <c r="AP1488" i="118"/>
  <c r="AQ1488" i="118"/>
  <c r="AR1488" i="118"/>
  <c r="AS1488" i="118"/>
  <c r="AT1488" i="118"/>
  <c r="AU1488" i="118"/>
  <c r="AV1488" i="118"/>
  <c r="AW1488" i="118"/>
  <c r="AX1488" i="118"/>
  <c r="AY1488" i="118"/>
  <c r="AZ1488" i="118"/>
  <c r="BA1488" i="118"/>
  <c r="BB1488" i="118"/>
  <c r="AK1565" i="118"/>
  <c r="AL1565" i="118"/>
  <c r="AM1565" i="118"/>
  <c r="AN1565" i="118"/>
  <c r="AO1565" i="118"/>
  <c r="AP1565" i="118"/>
  <c r="AQ1565" i="118"/>
  <c r="AR1565" i="118"/>
  <c r="AS1565" i="118"/>
  <c r="AT1565" i="118"/>
  <c r="AU1565" i="118"/>
  <c r="AV1565" i="118"/>
  <c r="AW1565" i="118"/>
  <c r="AX1565" i="118"/>
  <c r="AY1565" i="118"/>
  <c r="AZ1565" i="118"/>
  <c r="BA1565" i="118"/>
  <c r="BB1565" i="118"/>
  <c r="AK1656" i="118"/>
  <c r="AL1656" i="118"/>
  <c r="AM1656" i="118"/>
  <c r="AN1656" i="118"/>
  <c r="AO1656" i="118"/>
  <c r="AP1656" i="118"/>
  <c r="AQ1656" i="118"/>
  <c r="AR1656" i="118"/>
  <c r="AS1656" i="118"/>
  <c r="AT1656" i="118"/>
  <c r="AU1656" i="118"/>
  <c r="AV1656" i="118"/>
  <c r="AW1656" i="118"/>
  <c r="AX1656" i="118"/>
  <c r="AY1656" i="118"/>
  <c r="AZ1656" i="118"/>
  <c r="BA1656" i="118"/>
  <c r="BB1656" i="118"/>
  <c r="AK1738" i="118"/>
  <c r="AL1738" i="118"/>
  <c r="AM1738" i="118"/>
  <c r="AN1738" i="118"/>
  <c r="AO1738" i="118"/>
  <c r="AP1738" i="118"/>
  <c r="AQ1738" i="118"/>
  <c r="AR1738" i="118"/>
  <c r="AS1738" i="118"/>
  <c r="AT1738" i="118"/>
  <c r="AU1738" i="118"/>
  <c r="AV1738" i="118"/>
  <c r="AW1738" i="118"/>
  <c r="AX1738" i="118"/>
  <c r="AY1738" i="118"/>
  <c r="AZ1738" i="118"/>
  <c r="BA1738" i="118"/>
  <c r="BB1738" i="118"/>
  <c r="AK1824" i="118"/>
  <c r="AL1824" i="118"/>
  <c r="AM1824" i="118"/>
  <c r="AN1824" i="118"/>
  <c r="AO1824" i="118"/>
  <c r="AP1824" i="118"/>
  <c r="AQ1824" i="118"/>
  <c r="AR1824" i="118"/>
  <c r="AS1824" i="118"/>
  <c r="AT1824" i="118"/>
  <c r="AU1824" i="118"/>
  <c r="AV1824" i="118"/>
  <c r="AW1824" i="118"/>
  <c r="AX1824" i="118"/>
  <c r="AY1824" i="118"/>
  <c r="AZ1824" i="118"/>
  <c r="BA1824" i="118"/>
  <c r="BB1824" i="118"/>
  <c r="AK1826" i="118"/>
  <c r="AL1826" i="118"/>
  <c r="AM1826" i="118"/>
  <c r="AN1826" i="118"/>
  <c r="AO1826" i="118"/>
  <c r="AP1826" i="118"/>
  <c r="AQ1826" i="118"/>
  <c r="AR1826" i="118"/>
  <c r="AS1826" i="118"/>
  <c r="AT1826" i="118"/>
  <c r="AU1826" i="118"/>
  <c r="AV1826" i="118"/>
  <c r="AW1826" i="118"/>
  <c r="AX1826" i="118"/>
  <c r="AY1826" i="118"/>
  <c r="AZ1826" i="118"/>
  <c r="BA1826" i="118"/>
  <c r="BB1826" i="118"/>
  <c r="AK1968" i="118"/>
  <c r="AL1968" i="118"/>
  <c r="AM1968" i="118"/>
  <c r="AN1968" i="118"/>
  <c r="AO1968" i="118"/>
  <c r="AP1968" i="118"/>
  <c r="AQ1968" i="118"/>
  <c r="AR1968" i="118"/>
  <c r="AS1968" i="118"/>
  <c r="AT1968" i="118"/>
  <c r="AU1968" i="118"/>
  <c r="AV1968" i="118"/>
  <c r="AW1968" i="118"/>
  <c r="AX1968" i="118"/>
  <c r="AY1968" i="118"/>
  <c r="AZ1968" i="118"/>
  <c r="BA1968" i="118"/>
  <c r="BB1968" i="118"/>
  <c r="AK2090" i="118"/>
  <c r="AL2090" i="118"/>
  <c r="AM2090" i="118"/>
  <c r="AN2090" i="118"/>
  <c r="AO2090" i="118"/>
  <c r="AP2090" i="118"/>
  <c r="AQ2090" i="118"/>
  <c r="AR2090" i="118"/>
  <c r="AS2090" i="118"/>
  <c r="AT2090" i="118"/>
  <c r="AU2090" i="118"/>
  <c r="AV2090" i="118"/>
  <c r="AW2090" i="118"/>
  <c r="AX2090" i="118"/>
  <c r="AY2090" i="118"/>
  <c r="AZ2090" i="118"/>
  <c r="BA2090" i="118"/>
  <c r="BB2090" i="118"/>
  <c r="AK2127" i="118"/>
  <c r="AL2127" i="118"/>
  <c r="AM2127" i="118"/>
  <c r="AN2127" i="118"/>
  <c r="AO2127" i="118"/>
  <c r="AP2127" i="118"/>
  <c r="AQ2127" i="118"/>
  <c r="AR2127" i="118"/>
  <c r="AS2127" i="118"/>
  <c r="AT2127" i="118"/>
  <c r="AU2127" i="118"/>
  <c r="AV2127" i="118"/>
  <c r="AW2127" i="118"/>
  <c r="AX2127" i="118"/>
  <c r="AY2127" i="118"/>
  <c r="AZ2127" i="118"/>
  <c r="BA2127" i="118"/>
  <c r="BB2127" i="118"/>
  <c r="AK2161" i="118"/>
  <c r="AL2161" i="118"/>
  <c r="AM2161" i="118"/>
  <c r="AN2161" i="118"/>
  <c r="AO2161" i="118"/>
  <c r="AP2161" i="118"/>
  <c r="AQ2161" i="118"/>
  <c r="AR2161" i="118"/>
  <c r="AS2161" i="118"/>
  <c r="AT2161" i="118"/>
  <c r="AU2161" i="118"/>
  <c r="AV2161" i="118"/>
  <c r="AW2161" i="118"/>
  <c r="AX2161" i="118"/>
  <c r="AY2161" i="118"/>
  <c r="AZ2161" i="118"/>
  <c r="BA2161" i="118"/>
  <c r="BB2161" i="118"/>
  <c r="AK2362" i="118"/>
  <c r="AL2362" i="118"/>
  <c r="AM2362" i="118"/>
  <c r="AN2362" i="118"/>
  <c r="AO2362" i="118"/>
  <c r="AP2362" i="118"/>
  <c r="AQ2362" i="118"/>
  <c r="AR2362" i="118"/>
  <c r="AS2362" i="118"/>
  <c r="AT2362" i="118"/>
  <c r="AU2362" i="118"/>
  <c r="AV2362" i="118"/>
  <c r="AW2362" i="118"/>
  <c r="AX2362" i="118"/>
  <c r="AY2362" i="118"/>
  <c r="AZ2362" i="118"/>
  <c r="BA2362" i="118"/>
  <c r="BB2362" i="118"/>
  <c r="AK2390" i="118"/>
  <c r="AL2390" i="118"/>
  <c r="AM2390" i="118"/>
  <c r="AN2390" i="118"/>
  <c r="AO2390" i="118"/>
  <c r="AP2390" i="118"/>
  <c r="AQ2390" i="118"/>
  <c r="AR2390" i="118"/>
  <c r="AS2390" i="118"/>
  <c r="AT2390" i="118"/>
  <c r="AU2390" i="118"/>
  <c r="AV2390" i="118"/>
  <c r="AW2390" i="118"/>
  <c r="AX2390" i="118"/>
  <c r="AY2390" i="118"/>
  <c r="AZ2390" i="118"/>
  <c r="BA2390" i="118"/>
  <c r="BB2390" i="118"/>
  <c r="AK2522" i="118"/>
  <c r="AL2522" i="118"/>
  <c r="AM2522" i="118"/>
  <c r="AN2522" i="118"/>
  <c r="AO2522" i="118"/>
  <c r="AP2522" i="118"/>
  <c r="AQ2522" i="118"/>
  <c r="AR2522" i="118"/>
  <c r="AS2522" i="118"/>
  <c r="AT2522" i="118"/>
  <c r="AU2522" i="118"/>
  <c r="AV2522" i="118"/>
  <c r="AW2522" i="118"/>
  <c r="AX2522" i="118"/>
  <c r="AY2522" i="118"/>
  <c r="AZ2522" i="118"/>
  <c r="BA2522" i="118"/>
  <c r="BB2522" i="118"/>
  <c r="AK2632" i="118"/>
  <c r="AL2632" i="118"/>
  <c r="AM2632" i="118"/>
  <c r="AN2632" i="118"/>
  <c r="AO2632" i="118"/>
  <c r="AP2632" i="118"/>
  <c r="AQ2632" i="118"/>
  <c r="AR2632" i="118"/>
  <c r="AS2632" i="118"/>
  <c r="AT2632" i="118"/>
  <c r="AU2632" i="118"/>
  <c r="AV2632" i="118"/>
  <c r="AW2632" i="118"/>
  <c r="AX2632" i="118"/>
  <c r="AY2632" i="118"/>
  <c r="AZ2632" i="118"/>
  <c r="BA2632" i="118"/>
  <c r="BB2632" i="118"/>
  <c r="AK2786" i="118"/>
  <c r="AL2786" i="118"/>
  <c r="AM2786" i="118"/>
  <c r="AN2786" i="118"/>
  <c r="AO2786" i="118"/>
  <c r="AP2786" i="118"/>
  <c r="AQ2786" i="118"/>
  <c r="AR2786" i="118"/>
  <c r="AS2786" i="118"/>
  <c r="AT2786" i="118"/>
  <c r="AU2786" i="118"/>
  <c r="AV2786" i="118"/>
  <c r="AW2786" i="118"/>
  <c r="AX2786" i="118"/>
  <c r="AY2786" i="118"/>
  <c r="AZ2786" i="118"/>
  <c r="BA2786" i="118"/>
  <c r="BB2786" i="118"/>
  <c r="AK2829" i="118"/>
  <c r="AL2829" i="118"/>
  <c r="AM2829" i="118"/>
  <c r="AN2829" i="118"/>
  <c r="AO2829" i="118"/>
  <c r="AP2829" i="118"/>
  <c r="AQ2829" i="118"/>
  <c r="AR2829" i="118"/>
  <c r="AS2829" i="118"/>
  <c r="AT2829" i="118"/>
  <c r="AY2829" i="118"/>
  <c r="AZ2829" i="118"/>
  <c r="BA2829" i="118"/>
  <c r="BB2829" i="118"/>
  <c r="AK2845" i="118"/>
  <c r="AL2845" i="118"/>
  <c r="AM2845" i="118"/>
  <c r="AN2845" i="118"/>
  <c r="AO2845" i="118"/>
  <c r="AP2845" i="118"/>
  <c r="AQ2845" i="118"/>
  <c r="AR2845" i="118"/>
  <c r="AS2845" i="118"/>
  <c r="AT2845" i="118"/>
  <c r="AU2845" i="118"/>
  <c r="AV2845" i="118"/>
  <c r="AW2845" i="118"/>
  <c r="AX2845" i="118"/>
  <c r="AY2845" i="118"/>
  <c r="AZ2845" i="118"/>
  <c r="BA2845" i="118"/>
  <c r="BB2845" i="118"/>
  <c r="AK3011" i="118"/>
  <c r="AL3011" i="118"/>
  <c r="AM3011" i="118"/>
  <c r="AN3011" i="118"/>
  <c r="AO3011" i="118"/>
  <c r="AP3011" i="118"/>
  <c r="AQ3011" i="118"/>
  <c r="AR3011" i="118"/>
  <c r="AS3011" i="118"/>
  <c r="AT3011" i="118"/>
  <c r="AU3011" i="118"/>
  <c r="AV3011" i="118"/>
  <c r="AW3011" i="118"/>
  <c r="AX3011" i="118"/>
  <c r="AY3011" i="118"/>
  <c r="AZ3011" i="118"/>
  <c r="BA3011" i="118"/>
  <c r="BB3011" i="118"/>
  <c r="AK3115" i="118"/>
  <c r="AL3115" i="118"/>
  <c r="AM3115" i="118"/>
  <c r="AN3115" i="118"/>
  <c r="AO3115" i="118"/>
  <c r="AP3115" i="118"/>
  <c r="AQ3115" i="118"/>
  <c r="AR3115" i="118"/>
  <c r="AS3115" i="118"/>
  <c r="AT3115" i="118"/>
  <c r="AU3115" i="118"/>
  <c r="AV3115" i="118"/>
  <c r="AW3115" i="118"/>
  <c r="AX3115" i="118"/>
  <c r="AY3115" i="118"/>
  <c r="AZ3115" i="118"/>
  <c r="BA3115" i="118"/>
  <c r="BB3115" i="118"/>
  <c r="AK3136" i="118"/>
  <c r="AL3136" i="118"/>
  <c r="AM3136" i="118"/>
  <c r="AN3136" i="118"/>
  <c r="AO3136" i="118"/>
  <c r="AP3136" i="118"/>
  <c r="AQ3136" i="118"/>
  <c r="AR3136" i="118"/>
  <c r="AS3136" i="118"/>
  <c r="AT3136" i="118"/>
  <c r="AU3136" i="118"/>
  <c r="AV3136" i="118"/>
  <c r="AW3136" i="118"/>
  <c r="AX3136" i="118"/>
  <c r="AY3136" i="118"/>
  <c r="AZ3136" i="118"/>
  <c r="BA3136" i="118"/>
  <c r="BB3136" i="118"/>
  <c r="AK3192" i="118"/>
  <c r="AL3192" i="118"/>
  <c r="AM3192" i="118"/>
  <c r="AN3192" i="118"/>
  <c r="AO3192" i="118"/>
  <c r="AP3192" i="118"/>
  <c r="AQ3192" i="118"/>
  <c r="AR3192" i="118"/>
  <c r="AS3192" i="118"/>
  <c r="AT3192" i="118"/>
  <c r="AU3192" i="118"/>
  <c r="AV3192" i="118"/>
  <c r="AW3192" i="118"/>
  <c r="AX3192" i="118"/>
  <c r="AY3192" i="118"/>
  <c r="AZ3192" i="118"/>
  <c r="BA3192" i="118"/>
  <c r="BB3192" i="118"/>
  <c r="AK3230" i="118"/>
  <c r="AL3230" i="118"/>
  <c r="AM3230" i="118"/>
  <c r="AN3230" i="118"/>
  <c r="AO3230" i="118"/>
  <c r="AP3230" i="118"/>
  <c r="AQ3230" i="118"/>
  <c r="AR3230" i="118"/>
  <c r="AS3230" i="118"/>
  <c r="AT3230" i="118"/>
  <c r="AU3230" i="118"/>
  <c r="AV3230" i="118"/>
  <c r="AW3230" i="118"/>
  <c r="AX3230" i="118"/>
  <c r="AY3230" i="118"/>
  <c r="AZ3230" i="118"/>
  <c r="BA3230" i="118"/>
  <c r="BB3230" i="118"/>
  <c r="AK3255" i="118"/>
  <c r="AL3255" i="118"/>
  <c r="AM3255" i="118"/>
  <c r="AN3255" i="118"/>
  <c r="AO3255" i="118"/>
  <c r="AP3255" i="118"/>
  <c r="AQ3255" i="118"/>
  <c r="AR3255" i="118"/>
  <c r="AS3255" i="118"/>
  <c r="AT3255" i="118"/>
  <c r="AU3255" i="118"/>
  <c r="AV3255" i="118"/>
  <c r="AW3255" i="118"/>
  <c r="AX3255" i="118"/>
  <c r="AY3255" i="118"/>
  <c r="AZ3255" i="118"/>
  <c r="BA3255" i="118"/>
  <c r="BB3255" i="118"/>
  <c r="AK3288" i="118"/>
  <c r="AL3288" i="118"/>
  <c r="AM3288" i="118"/>
  <c r="AN3288" i="118"/>
  <c r="AO3288" i="118"/>
  <c r="AP3288" i="118"/>
  <c r="AQ3288" i="118"/>
  <c r="AR3288" i="118"/>
  <c r="AS3288" i="118"/>
  <c r="AT3288" i="118"/>
  <c r="AU3288" i="118"/>
  <c r="AV3288" i="118"/>
  <c r="AW3288" i="118"/>
  <c r="AX3288" i="118"/>
  <c r="AY3288" i="118"/>
  <c r="AZ3288" i="118"/>
  <c r="BA3288" i="118"/>
  <c r="BB3288" i="118"/>
  <c r="AK3333" i="118"/>
  <c r="AL3333" i="118"/>
  <c r="AM3333" i="118"/>
  <c r="AN3333" i="118"/>
  <c r="AO3333" i="118"/>
  <c r="AP3333" i="118"/>
  <c r="AQ3333" i="118"/>
  <c r="AR3333" i="118"/>
  <c r="AS3333" i="118"/>
  <c r="AT3333" i="118"/>
  <c r="AU3333" i="118"/>
  <c r="AV3333" i="118"/>
  <c r="AW3333" i="118"/>
  <c r="AX3333" i="118"/>
  <c r="AY3333" i="118"/>
  <c r="AZ3333" i="118"/>
  <c r="BA3333" i="118"/>
  <c r="BB3333" i="118"/>
  <c r="AK3346" i="118"/>
  <c r="AL3346" i="118"/>
  <c r="AM3346" i="118"/>
  <c r="AN3346" i="118"/>
  <c r="AO3346" i="118"/>
  <c r="AP3346" i="118"/>
  <c r="AQ3346" i="118"/>
  <c r="AR3346" i="118"/>
  <c r="AS3346" i="118"/>
  <c r="AT3346" i="118"/>
  <c r="AU3346" i="118"/>
  <c r="AV3346" i="118"/>
  <c r="AW3346" i="118"/>
  <c r="AX3346" i="118"/>
  <c r="AY3346" i="118"/>
  <c r="AZ3346" i="118"/>
  <c r="BA3346" i="118"/>
  <c r="BB3346" i="118"/>
  <c r="AK3395" i="118"/>
  <c r="AL3395" i="118"/>
  <c r="AM3395" i="118"/>
  <c r="AN3395" i="118"/>
  <c r="AO3395" i="118"/>
  <c r="AP3395" i="118"/>
  <c r="AQ3395" i="118"/>
  <c r="AR3395" i="118"/>
  <c r="AS3395" i="118"/>
  <c r="AT3395" i="118"/>
  <c r="AU3395" i="118"/>
  <c r="AV3395" i="118"/>
  <c r="AW3395" i="118"/>
  <c r="AX3395" i="118"/>
  <c r="AY3395" i="118"/>
  <c r="AZ3395" i="118"/>
  <c r="BA3395" i="118"/>
  <c r="BB3395" i="118"/>
  <c r="AK3414" i="118"/>
  <c r="AL3414" i="118"/>
  <c r="AM3414" i="118"/>
  <c r="AN3414" i="118"/>
  <c r="AO3414" i="118"/>
  <c r="AP3414" i="118"/>
  <c r="AQ3414" i="118"/>
  <c r="AR3414" i="118"/>
  <c r="AS3414" i="118"/>
  <c r="AT3414" i="118"/>
  <c r="AU3414" i="118"/>
  <c r="AV3414" i="118"/>
  <c r="AW3414" i="118"/>
  <c r="AX3414" i="118"/>
  <c r="AY3414" i="118"/>
  <c r="AZ3414" i="118"/>
  <c r="BA3414" i="118"/>
  <c r="BB3414" i="118"/>
  <c r="AK3430" i="118"/>
  <c r="AL3430" i="118"/>
  <c r="AM3430" i="118"/>
  <c r="AN3430" i="118"/>
  <c r="AO3430" i="118"/>
  <c r="AP3430" i="118"/>
  <c r="AQ3430" i="118"/>
  <c r="AR3430" i="118"/>
  <c r="AS3430" i="118"/>
  <c r="AT3430" i="118"/>
  <c r="AU3430" i="118"/>
  <c r="AV3430" i="118"/>
  <c r="AW3430" i="118"/>
  <c r="AX3430" i="118"/>
  <c r="AY3430" i="118"/>
  <c r="AZ3430" i="118"/>
  <c r="BA3430" i="118"/>
  <c r="BB3430" i="118"/>
  <c r="AK3458" i="118"/>
  <c r="AL3458" i="118"/>
  <c r="AM3458" i="118"/>
  <c r="AN3458" i="118"/>
  <c r="AO3458" i="118"/>
  <c r="AP3458" i="118"/>
  <c r="AQ3458" i="118"/>
  <c r="AR3458" i="118"/>
  <c r="AS3458" i="118"/>
  <c r="AT3458" i="118"/>
  <c r="AU3458" i="118"/>
  <c r="AV3458" i="118"/>
  <c r="AW3458" i="118"/>
  <c r="AX3458" i="118"/>
  <c r="AY3458" i="118"/>
  <c r="AZ3458" i="118"/>
  <c r="BA3458" i="118"/>
  <c r="BB3458" i="118"/>
  <c r="AK3461" i="118"/>
  <c r="AL3461" i="118"/>
  <c r="AM3461" i="118"/>
  <c r="AN3461" i="118"/>
  <c r="AO3461" i="118"/>
  <c r="AP3461" i="118"/>
  <c r="AQ3461" i="118"/>
  <c r="AR3461" i="118"/>
  <c r="AS3461" i="118"/>
  <c r="AT3461" i="118"/>
  <c r="AU3461" i="118"/>
  <c r="AV3461" i="118"/>
  <c r="AW3461" i="118"/>
  <c r="AX3461" i="118"/>
  <c r="AY3461" i="118"/>
  <c r="AZ3461" i="118"/>
  <c r="BA3461" i="118"/>
  <c r="BB3461" i="118"/>
  <c r="AK3474" i="118"/>
  <c r="AL3474" i="118"/>
  <c r="AM3474" i="118"/>
  <c r="AN3474" i="118"/>
  <c r="AO3474" i="118"/>
  <c r="AP3474" i="118"/>
  <c r="AQ3474" i="118"/>
  <c r="AR3474" i="118"/>
  <c r="AS3474" i="118"/>
  <c r="AT3474" i="118"/>
  <c r="AU3474" i="118"/>
  <c r="AV3474" i="118"/>
  <c r="AW3474" i="118"/>
  <c r="AX3474" i="118"/>
  <c r="AY3474" i="118"/>
  <c r="AZ3474" i="118"/>
  <c r="BA3474" i="118"/>
  <c r="BB3474" i="118"/>
  <c r="AK3478" i="118"/>
  <c r="AL3478" i="118"/>
  <c r="AM3478" i="118"/>
  <c r="AN3478" i="118"/>
  <c r="AO3478" i="118"/>
  <c r="AP3478" i="118"/>
  <c r="AQ3478" i="118"/>
  <c r="AR3478" i="118"/>
  <c r="AS3478" i="118"/>
  <c r="AT3478" i="118"/>
  <c r="AU3478" i="118"/>
  <c r="AV3478" i="118"/>
  <c r="AW3478" i="118"/>
  <c r="AX3478" i="118"/>
  <c r="AY3478" i="118"/>
  <c r="AZ3478" i="118"/>
  <c r="BA3478" i="118"/>
  <c r="BB3478" i="118"/>
  <c r="AK3496" i="118"/>
  <c r="AL3496" i="118"/>
  <c r="AM3496" i="118"/>
  <c r="AN3496" i="118"/>
  <c r="AO3496" i="118"/>
  <c r="AP3496" i="118"/>
  <c r="AQ3496" i="118"/>
  <c r="AR3496" i="118"/>
  <c r="AS3496" i="118"/>
  <c r="AT3496" i="118"/>
  <c r="AU3496" i="118"/>
  <c r="AV3496" i="118"/>
  <c r="AW3496" i="118"/>
  <c r="AX3496" i="118"/>
  <c r="AY3496" i="118"/>
  <c r="AZ3496" i="118"/>
  <c r="BA3496" i="118"/>
  <c r="BB3496" i="118"/>
  <c r="AK3512" i="118"/>
  <c r="AL3512" i="118"/>
  <c r="AM3512" i="118"/>
  <c r="AN3512" i="118"/>
  <c r="AO3512" i="118"/>
  <c r="AP3512" i="118"/>
  <c r="AQ3512" i="118"/>
  <c r="AR3512" i="118"/>
  <c r="AS3512" i="118"/>
  <c r="AT3512" i="118"/>
  <c r="AU3512" i="118"/>
  <c r="AV3512" i="118"/>
  <c r="AW3512" i="118"/>
  <c r="AX3512" i="118"/>
  <c r="AY3512" i="118"/>
  <c r="AZ3512" i="118"/>
  <c r="BA3512" i="118"/>
  <c r="BB3512" i="118"/>
  <c r="AK3525" i="118"/>
  <c r="AL3525" i="118"/>
  <c r="AM3525" i="118"/>
  <c r="AN3525" i="118"/>
  <c r="AO3525" i="118"/>
  <c r="AP3525" i="118"/>
  <c r="AQ3525" i="118"/>
  <c r="AR3525" i="118"/>
  <c r="AS3525" i="118"/>
  <c r="AT3525" i="118"/>
  <c r="AU3525" i="118"/>
  <c r="AV3525" i="118"/>
  <c r="AW3525" i="118"/>
  <c r="AX3525" i="118"/>
  <c r="AY3525" i="118"/>
  <c r="AZ3525" i="118"/>
  <c r="BA3525" i="118"/>
  <c r="BB3525" i="118"/>
  <c r="AK3539" i="118"/>
  <c r="AL3539" i="118"/>
  <c r="AM3539" i="118"/>
  <c r="AN3539" i="118"/>
  <c r="AO3539" i="118"/>
  <c r="AP3539" i="118"/>
  <c r="AQ3539" i="118"/>
  <c r="AR3539" i="118"/>
  <c r="AS3539" i="118"/>
  <c r="AT3539" i="118"/>
  <c r="AU3539" i="118"/>
  <c r="AV3539" i="118"/>
  <c r="AW3539" i="118"/>
  <c r="AX3539" i="118"/>
  <c r="AY3539" i="118"/>
  <c r="AZ3539" i="118"/>
  <c r="BA3539" i="118"/>
  <c r="BB3539" i="118"/>
  <c r="AK3551" i="118"/>
  <c r="AL3551" i="118"/>
  <c r="AM3551" i="118"/>
  <c r="AN3551" i="118"/>
  <c r="AO3551" i="118"/>
  <c r="AP3551" i="118"/>
  <c r="AQ3551" i="118"/>
  <c r="AR3551" i="118"/>
  <c r="AS3551" i="118"/>
  <c r="AT3551" i="118"/>
  <c r="AU3551" i="118"/>
  <c r="AV3551" i="118"/>
  <c r="AW3551" i="118"/>
  <c r="AX3551" i="118"/>
  <c r="AY3551" i="118"/>
  <c r="AZ3551" i="118"/>
  <c r="BA3551" i="118"/>
  <c r="BB3551" i="118"/>
  <c r="AK3569" i="118"/>
  <c r="AL3569" i="118"/>
  <c r="AM3569" i="118"/>
  <c r="AN3569" i="118"/>
  <c r="AO3569" i="118"/>
  <c r="AP3569" i="118"/>
  <c r="AQ3569" i="118"/>
  <c r="AR3569" i="118"/>
  <c r="AS3569" i="118"/>
  <c r="AT3569" i="118"/>
  <c r="AU3569" i="118"/>
  <c r="AV3569" i="118"/>
  <c r="AW3569" i="118"/>
  <c r="AX3569" i="118"/>
  <c r="AY3569" i="118"/>
  <c r="AZ3569" i="118"/>
  <c r="BA3569" i="118"/>
  <c r="BB3569" i="118"/>
  <c r="AK3588" i="118"/>
  <c r="AL3588" i="118"/>
  <c r="AM3588" i="118"/>
  <c r="AN3588" i="118"/>
  <c r="AO3588" i="118"/>
  <c r="AP3588" i="118"/>
  <c r="AQ3588" i="118"/>
  <c r="AR3588" i="118"/>
  <c r="AS3588" i="118"/>
  <c r="AT3588" i="118"/>
  <c r="AU3588" i="118"/>
  <c r="AV3588" i="118"/>
  <c r="AW3588" i="118"/>
  <c r="AX3588" i="118"/>
  <c r="AY3588" i="118"/>
  <c r="AZ3588" i="118"/>
  <c r="BA3588" i="118"/>
  <c r="BB3588" i="118"/>
  <c r="AK3603" i="118"/>
  <c r="AL3603" i="118"/>
  <c r="AM3603" i="118"/>
  <c r="AN3603" i="118"/>
  <c r="AO3603" i="118"/>
  <c r="AP3603" i="118"/>
  <c r="AQ3603" i="118"/>
  <c r="AR3603" i="118"/>
  <c r="AS3603" i="118"/>
  <c r="AT3603" i="118"/>
  <c r="AU3603" i="118"/>
  <c r="AV3603" i="118"/>
  <c r="AW3603" i="118"/>
  <c r="AX3603" i="118"/>
  <c r="AY3603" i="118"/>
  <c r="AZ3603" i="118"/>
  <c r="BA3603" i="118"/>
  <c r="BB3603" i="118"/>
  <c r="AK3606" i="118"/>
  <c r="AL3606" i="118"/>
  <c r="AM3606" i="118"/>
  <c r="AN3606" i="118"/>
  <c r="AO3606" i="118"/>
  <c r="AP3606" i="118"/>
  <c r="AQ3606" i="118"/>
  <c r="AR3606" i="118"/>
  <c r="AS3606" i="118"/>
  <c r="AT3606" i="118"/>
  <c r="AU3606" i="118"/>
  <c r="AV3606" i="118"/>
  <c r="AW3606" i="118"/>
  <c r="AX3606" i="118"/>
  <c r="AY3606" i="118"/>
  <c r="AZ3606" i="118"/>
  <c r="BA3606" i="118"/>
  <c r="BB3606" i="118"/>
  <c r="AK3618" i="118"/>
  <c r="AL3618" i="118"/>
  <c r="AM3618" i="118"/>
  <c r="AN3618" i="118"/>
  <c r="AO3618" i="118"/>
  <c r="AP3618" i="118"/>
  <c r="AQ3618" i="118"/>
  <c r="AR3618" i="118"/>
  <c r="AS3618" i="118"/>
  <c r="AT3618" i="118"/>
  <c r="AU3618" i="118"/>
  <c r="AV3618" i="118"/>
  <c r="AW3618" i="118"/>
  <c r="AX3618" i="118"/>
  <c r="AY3618" i="118"/>
  <c r="AZ3618" i="118"/>
  <c r="BA3618" i="118"/>
  <c r="BB3618" i="118"/>
  <c r="AK3626" i="118"/>
  <c r="AL3626" i="118"/>
  <c r="AM3626" i="118"/>
  <c r="AN3626" i="118"/>
  <c r="AO3626" i="118"/>
  <c r="AP3626" i="118"/>
  <c r="AQ3626" i="118"/>
  <c r="AR3626" i="118"/>
  <c r="AS3626" i="118"/>
  <c r="AT3626" i="118"/>
  <c r="AU3626" i="118"/>
  <c r="AV3626" i="118"/>
  <c r="AW3626" i="118"/>
  <c r="AX3626" i="118"/>
  <c r="AY3626" i="118"/>
  <c r="AZ3626" i="118"/>
  <c r="BA3626" i="118"/>
  <c r="BB3626" i="118"/>
  <c r="AK3628" i="118"/>
  <c r="AL3628" i="118"/>
  <c r="AM3628" i="118"/>
  <c r="AN3628" i="118"/>
  <c r="AO3628" i="118"/>
  <c r="AP3628" i="118"/>
  <c r="AQ3628" i="118"/>
  <c r="AR3628" i="118"/>
  <c r="AS3628" i="118"/>
  <c r="AT3628" i="118"/>
  <c r="AU3628" i="118"/>
  <c r="AV3628" i="118"/>
  <c r="AW3628" i="118"/>
  <c r="AX3628" i="118"/>
  <c r="AY3628" i="118"/>
  <c r="AZ3628" i="118"/>
  <c r="BA3628" i="118"/>
  <c r="BB3628" i="118"/>
  <c r="AK3631" i="118"/>
  <c r="AL3631" i="118"/>
  <c r="AM3631" i="118"/>
  <c r="AN3631" i="118"/>
  <c r="AO3631" i="118"/>
  <c r="AP3631" i="118"/>
  <c r="AQ3631" i="118"/>
  <c r="AR3631" i="118"/>
  <c r="AS3631" i="118"/>
  <c r="AT3631" i="118"/>
  <c r="AU3631" i="118"/>
  <c r="AV3631" i="118"/>
  <c r="AW3631" i="118"/>
  <c r="AX3631" i="118"/>
  <c r="AY3631" i="118"/>
  <c r="AZ3631" i="118"/>
  <c r="BA3631" i="118"/>
  <c r="BB3631" i="118"/>
  <c r="AK3652" i="118"/>
  <c r="AL3652" i="118"/>
  <c r="AM3652" i="118"/>
  <c r="AN3652" i="118"/>
  <c r="AO3652" i="118"/>
  <c r="AP3652" i="118"/>
  <c r="AQ3652" i="118"/>
  <c r="AR3652" i="118"/>
  <c r="AS3652" i="118"/>
  <c r="AT3652" i="118"/>
  <c r="AU3652" i="118"/>
  <c r="AV3652" i="118"/>
  <c r="AW3652" i="118"/>
  <c r="AX3652" i="118"/>
  <c r="AY3652" i="118"/>
  <c r="AZ3652" i="118"/>
  <c r="BA3652" i="118"/>
  <c r="BB3652" i="118"/>
  <c r="AK3654" i="118"/>
  <c r="AL3654" i="118"/>
  <c r="AM3654" i="118"/>
  <c r="AN3654" i="118"/>
  <c r="AO3654" i="118"/>
  <c r="AP3654" i="118"/>
  <c r="AQ3654" i="118"/>
  <c r="AR3654" i="118"/>
  <c r="AS3654" i="118"/>
  <c r="AT3654" i="118"/>
  <c r="AU3654" i="118"/>
  <c r="AV3654" i="118"/>
  <c r="AW3654" i="118"/>
  <c r="AX3654" i="118"/>
  <c r="AY3654" i="118"/>
  <c r="AZ3654" i="118"/>
  <c r="BA3654" i="118"/>
  <c r="BB3654" i="118"/>
  <c r="AK3667" i="118"/>
  <c r="AL3667" i="118"/>
  <c r="AM3667" i="118"/>
  <c r="AN3667" i="118"/>
  <c r="AO3667" i="118"/>
  <c r="AP3667" i="118"/>
  <c r="AQ3667" i="118"/>
  <c r="AR3667" i="118"/>
  <c r="AS3667" i="118"/>
  <c r="AT3667" i="118"/>
  <c r="AU3667" i="118"/>
  <c r="AV3667" i="118"/>
  <c r="AW3667" i="118"/>
  <c r="AX3667" i="118"/>
  <c r="AY3667" i="118"/>
  <c r="AZ3667" i="118"/>
  <c r="BA3667" i="118"/>
  <c r="BB3667" i="118"/>
  <c r="AK3685" i="118"/>
  <c r="AL3685" i="118"/>
  <c r="AM3685" i="118"/>
  <c r="AN3685" i="118"/>
  <c r="AO3685" i="118"/>
  <c r="AP3685" i="118"/>
  <c r="AQ3685" i="118"/>
  <c r="AR3685" i="118"/>
  <c r="AS3685" i="118"/>
  <c r="AT3685" i="118"/>
  <c r="AU3685" i="118"/>
  <c r="AV3685" i="118"/>
  <c r="AW3685" i="118"/>
  <c r="AX3685" i="118"/>
  <c r="AY3685" i="118"/>
  <c r="AZ3685" i="118"/>
  <c r="BA3685" i="118"/>
  <c r="BB3685" i="118"/>
  <c r="AK3712" i="118"/>
  <c r="AL3712" i="118"/>
  <c r="AM3712" i="118"/>
  <c r="AN3712" i="118"/>
  <c r="AO3712" i="118"/>
  <c r="AP3712" i="118"/>
  <c r="AQ3712" i="118"/>
  <c r="AR3712" i="118"/>
  <c r="AS3712" i="118"/>
  <c r="AT3712" i="118"/>
  <c r="AU3712" i="118"/>
  <c r="AV3712" i="118"/>
  <c r="AW3712" i="118"/>
  <c r="AX3712" i="118"/>
  <c r="AY3712" i="118"/>
  <c r="AZ3712" i="118"/>
  <c r="BA3712" i="118"/>
  <c r="BB3712" i="118"/>
  <c r="AK3724" i="118"/>
  <c r="AL3724" i="118"/>
  <c r="AM3724" i="118"/>
  <c r="AN3724" i="118"/>
  <c r="AO3724" i="118"/>
  <c r="AP3724" i="118"/>
  <c r="AQ3724" i="118"/>
  <c r="AR3724" i="118"/>
  <c r="AS3724" i="118"/>
  <c r="AT3724" i="118"/>
  <c r="AU3724" i="118"/>
  <c r="AV3724" i="118"/>
  <c r="AW3724" i="118"/>
  <c r="AX3724" i="118"/>
  <c r="AY3724" i="118"/>
  <c r="AZ3724" i="118"/>
  <c r="BA3724" i="118"/>
  <c r="BB3724" i="118"/>
  <c r="AK3726" i="118"/>
  <c r="AL3726" i="118"/>
  <c r="AM3726" i="118"/>
  <c r="AN3726" i="118"/>
  <c r="AO3726" i="118"/>
  <c r="AP3726" i="118"/>
  <c r="AQ3726" i="118"/>
  <c r="AR3726" i="118"/>
  <c r="AS3726" i="118"/>
  <c r="AT3726" i="118"/>
  <c r="AU3726" i="118"/>
  <c r="AV3726" i="118"/>
  <c r="AW3726" i="118"/>
  <c r="AX3726" i="118"/>
  <c r="AY3726" i="118"/>
  <c r="AZ3726" i="118"/>
  <c r="BA3726" i="118"/>
  <c r="BB3726" i="118"/>
  <c r="AK3733" i="118"/>
  <c r="AL3733" i="118"/>
  <c r="AM3733" i="118"/>
  <c r="AN3733" i="118"/>
  <c r="AO3733" i="118"/>
  <c r="AP3733" i="118"/>
  <c r="AQ3733" i="118"/>
  <c r="AR3733" i="118"/>
  <c r="AS3733" i="118"/>
  <c r="AT3733" i="118"/>
  <c r="AU3733" i="118"/>
  <c r="AV3733" i="118"/>
  <c r="AW3733" i="118"/>
  <c r="AX3733" i="118"/>
  <c r="AY3733" i="118"/>
  <c r="AZ3733" i="118"/>
  <c r="BA3733" i="118"/>
  <c r="BB3733" i="118"/>
  <c r="AK3745" i="118"/>
  <c r="AL3745" i="118"/>
  <c r="AM3745" i="118"/>
  <c r="AN3745" i="118"/>
  <c r="AO3745" i="118"/>
  <c r="AP3745" i="118"/>
  <c r="AQ3745" i="118"/>
  <c r="AR3745" i="118"/>
  <c r="AS3745" i="118"/>
  <c r="AT3745" i="118"/>
  <c r="AU3745" i="118"/>
  <c r="AV3745" i="118"/>
  <c r="AW3745" i="118"/>
  <c r="AX3745" i="118"/>
  <c r="AY3745" i="118"/>
  <c r="AZ3745" i="118"/>
  <c r="BA3745" i="118"/>
  <c r="BB3745" i="118"/>
  <c r="AK3796" i="118"/>
  <c r="AL3796" i="118"/>
  <c r="AM3796" i="118"/>
  <c r="AN3796" i="118"/>
  <c r="AO3796" i="118"/>
  <c r="AP3796" i="118"/>
  <c r="AQ3796" i="118"/>
  <c r="AR3796" i="118"/>
  <c r="AS3796" i="118"/>
  <c r="AT3796" i="118"/>
  <c r="AY3796" i="118"/>
  <c r="AZ3796" i="118"/>
  <c r="BA3796" i="118"/>
  <c r="BB3796" i="118"/>
  <c r="AK3798" i="118"/>
  <c r="AL3798" i="118"/>
  <c r="AM3798" i="118"/>
  <c r="AN3798" i="118"/>
  <c r="AO3798" i="118"/>
  <c r="AP3798" i="118"/>
  <c r="AQ3798" i="118"/>
  <c r="AR3798" i="118"/>
  <c r="AS3798" i="118"/>
  <c r="AT3798" i="118"/>
  <c r="AU3798" i="118"/>
  <c r="AV3798" i="118"/>
  <c r="AW3798" i="118"/>
  <c r="AX3798" i="118"/>
  <c r="AY3798" i="118"/>
  <c r="AZ3798" i="118"/>
  <c r="BA3798" i="118"/>
  <c r="BB3798" i="118"/>
  <c r="AK3800" i="118"/>
  <c r="AL3800" i="118"/>
  <c r="AM3800" i="118"/>
  <c r="AN3800" i="118"/>
  <c r="AO3800" i="118"/>
  <c r="AP3800" i="118"/>
  <c r="AQ3800" i="118"/>
  <c r="AR3800" i="118"/>
  <c r="AS3800" i="118"/>
  <c r="AT3800" i="118"/>
  <c r="AU3800" i="118"/>
  <c r="AV3800" i="118"/>
  <c r="AW3800" i="118"/>
  <c r="AX3800" i="118"/>
  <c r="AY3800" i="118"/>
  <c r="AZ3800" i="118"/>
  <c r="BA3800" i="118"/>
  <c r="BB3800" i="118"/>
  <c r="AK3802" i="118"/>
  <c r="AK3822" i="118" s="1"/>
  <c r="AL3802" i="118"/>
  <c r="AL3822" i="118" s="1"/>
  <c r="AM3802" i="118"/>
  <c r="AM3822" i="118" s="1"/>
  <c r="AN3802" i="118"/>
  <c r="AN3822" i="118" s="1"/>
  <c r="AQ3802" i="118"/>
  <c r="AQ3822" i="118" s="1"/>
  <c r="AR3802" i="118"/>
  <c r="AR3822" i="118" s="1"/>
  <c r="AS3802" i="118"/>
  <c r="AS3822" i="118" s="1"/>
  <c r="AT3802" i="118"/>
  <c r="AT3822" i="118" s="1"/>
  <c r="AU3802" i="118"/>
  <c r="AU3822" i="118" s="1"/>
  <c r="AK3820" i="118"/>
  <c r="AL3820" i="118"/>
  <c r="AM3820" i="118"/>
  <c r="AN3820" i="118"/>
  <c r="AO3820" i="118"/>
  <c r="AP3820" i="118"/>
  <c r="AQ3820" i="118"/>
  <c r="AR3820" i="118"/>
  <c r="AS3820" i="118"/>
  <c r="AT3820" i="118"/>
  <c r="AU3820" i="118"/>
  <c r="AV3820" i="118"/>
  <c r="AW3820" i="118"/>
  <c r="AX3820" i="118"/>
  <c r="AY3820" i="118"/>
  <c r="AZ3820" i="118"/>
  <c r="BA3820" i="118"/>
  <c r="BB3820" i="118"/>
  <c r="BH3214" i="118"/>
  <c r="AY3802" i="118" l="1"/>
  <c r="AY3822" i="118" s="1"/>
  <c r="BA3802" i="118"/>
  <c r="BA3822" i="118" s="1"/>
  <c r="AW3802" i="118"/>
  <c r="AW3822" i="118" s="1"/>
  <c r="BB3802" i="118"/>
  <c r="BB3822" i="118" s="1"/>
  <c r="AZ3802" i="118"/>
  <c r="AZ3822" i="118" s="1"/>
  <c r="AX3802" i="118"/>
  <c r="AX3822" i="118" s="1"/>
  <c r="AV3802" i="118"/>
  <c r="AV3822" i="118" s="1"/>
  <c r="AK3804" i="118"/>
  <c r="AP3802" i="118"/>
  <c r="AP3822" i="118" s="1"/>
  <c r="AO3802" i="118"/>
  <c r="AO3822" i="118" s="1"/>
  <c r="BA3804" i="118"/>
  <c r="AS3804" i="118"/>
  <c r="AW3804" i="118"/>
  <c r="AO3804" i="118"/>
  <c r="AY3804" i="118"/>
  <c r="AU3804" i="118"/>
  <c r="AQ3804" i="118"/>
  <c r="AM3804" i="118"/>
  <c r="AZ3191" i="118"/>
  <c r="AZ3803" i="118" s="1"/>
  <c r="AV3191" i="118"/>
  <c r="AV3803" i="118" s="1"/>
  <c r="AR3191" i="118"/>
  <c r="AR3803" i="118" s="1"/>
  <c r="AN3191" i="118"/>
  <c r="AN3803" i="118" s="1"/>
  <c r="BA3477" i="118"/>
  <c r="AY3477" i="118"/>
  <c r="AW3477" i="118"/>
  <c r="AU3477" i="118"/>
  <c r="AS3477" i="118"/>
  <c r="AQ3477" i="118"/>
  <c r="AO3477" i="118"/>
  <c r="AM3477" i="118"/>
  <c r="AK3477" i="118"/>
  <c r="BA3191" i="118"/>
  <c r="BA3803" i="118" s="1"/>
  <c r="AY3191" i="118"/>
  <c r="AY3803" i="118" s="1"/>
  <c r="AY3823" i="118" s="1"/>
  <c r="AW3191" i="118"/>
  <c r="AW3803" i="118" s="1"/>
  <c r="AU3191" i="118"/>
  <c r="AU3803" i="118" s="1"/>
  <c r="AS3191" i="118"/>
  <c r="AS3803" i="118" s="1"/>
  <c r="AQ3191" i="118"/>
  <c r="AQ3803" i="118" s="1"/>
  <c r="AQ3823" i="118" s="1"/>
  <c r="AQ3824" i="118" s="1"/>
  <c r="AQ3825" i="118" s="1"/>
  <c r="AO3191" i="118"/>
  <c r="AO3803" i="118" s="1"/>
  <c r="AM3191" i="118"/>
  <c r="AM3803" i="118" s="1"/>
  <c r="AK3191" i="118"/>
  <c r="AK3803" i="118" s="1"/>
  <c r="BA933" i="118"/>
  <c r="AY933" i="118"/>
  <c r="AW933" i="118"/>
  <c r="AU933" i="118"/>
  <c r="AS933" i="118"/>
  <c r="AQ933" i="118"/>
  <c r="AO933" i="118"/>
  <c r="AM933" i="118"/>
  <c r="AK933" i="118"/>
  <c r="BB3804" i="118"/>
  <c r="AZ3477" i="118"/>
  <c r="AX3804" i="118"/>
  <c r="AV3477" i="118"/>
  <c r="AT3804" i="118"/>
  <c r="AR3477" i="118"/>
  <c r="AP3804" i="118"/>
  <c r="AN3477" i="118"/>
  <c r="AL3804" i="118"/>
  <c r="BB3191" i="118"/>
  <c r="BB3803" i="118" s="1"/>
  <c r="AX3191" i="118"/>
  <c r="AX3803" i="118" s="1"/>
  <c r="AX3823" i="118" s="1"/>
  <c r="AT3191" i="118"/>
  <c r="AT3803" i="118" s="1"/>
  <c r="AP3191" i="118"/>
  <c r="AL3191" i="118"/>
  <c r="AP933" i="118"/>
  <c r="AL933" i="118"/>
  <c r="BI981" i="118"/>
  <c r="BI993" i="118"/>
  <c r="AP3803" i="118"/>
  <c r="AL3803" i="118"/>
  <c r="AX3477" i="118"/>
  <c r="AP3477" i="118"/>
  <c r="BB933" i="118"/>
  <c r="AZ933" i="118"/>
  <c r="AX933" i="118"/>
  <c r="AV933" i="118"/>
  <c r="AT933" i="118"/>
  <c r="AR933" i="118"/>
  <c r="AN933" i="118"/>
  <c r="BB3477" i="118"/>
  <c r="AT3477" i="118"/>
  <c r="AL3477" i="118"/>
  <c r="AZ3804" i="118"/>
  <c r="AV3804" i="118"/>
  <c r="AR3804" i="118"/>
  <c r="AN3804" i="118"/>
  <c r="BI3214" i="118"/>
  <c r="I3456" i="118"/>
  <c r="AC3456" i="118" s="1"/>
  <c r="BG3456" i="118" s="1"/>
  <c r="I3455" i="118"/>
  <c r="AC3455" i="118" s="1"/>
  <c r="BG3455" i="118" s="1"/>
  <c r="I3453" i="118"/>
  <c r="AC3453" i="118" s="1"/>
  <c r="BG3453" i="118" s="1"/>
  <c r="I3452" i="118"/>
  <c r="AC3452" i="118" s="1"/>
  <c r="BG3452" i="118" s="1"/>
  <c r="I3451" i="118"/>
  <c r="AC3451" i="118" s="1"/>
  <c r="BG3451" i="118" s="1"/>
  <c r="I3450" i="118"/>
  <c r="AC3450" i="118" s="1"/>
  <c r="BG3450" i="118" s="1"/>
  <c r="I3448" i="118"/>
  <c r="AC3448" i="118" s="1"/>
  <c r="BG3448" i="118" s="1"/>
  <c r="I3447" i="118"/>
  <c r="AC3447" i="118" s="1"/>
  <c r="BG3447" i="118" s="1"/>
  <c r="I3446" i="118"/>
  <c r="AC3446" i="118" s="1"/>
  <c r="BG3446" i="118" s="1"/>
  <c r="I3444" i="118"/>
  <c r="AC3444" i="118" s="1"/>
  <c r="BG3444" i="118" s="1"/>
  <c r="I3443" i="118"/>
  <c r="AC3443" i="118" s="1"/>
  <c r="BG3443" i="118" s="1"/>
  <c r="I3442" i="118"/>
  <c r="AC3442" i="118" s="1"/>
  <c r="BG3442" i="118" s="1"/>
  <c r="I3441" i="118"/>
  <c r="AC3441" i="118" s="1"/>
  <c r="BG3441" i="118" s="1"/>
  <c r="I3440" i="118"/>
  <c r="AC3440" i="118" s="1"/>
  <c r="BG3440" i="118" s="1"/>
  <c r="I3439" i="118"/>
  <c r="AC3439" i="118" s="1"/>
  <c r="BG3439" i="118" s="1"/>
  <c r="I3010" i="118"/>
  <c r="AC3010" i="118" s="1"/>
  <c r="BG3010" i="118" s="1"/>
  <c r="I2993" i="118"/>
  <c r="AC2993" i="118" s="1"/>
  <c r="BG2993" i="118" s="1"/>
  <c r="I2391" i="118"/>
  <c r="AC2391" i="118" s="1"/>
  <c r="BG2391" i="118" s="1"/>
  <c r="AY3824" i="118" l="1"/>
  <c r="AY3825" i="118" s="1"/>
  <c r="AX3824" i="118"/>
  <c r="AX3825" i="118" s="1"/>
  <c r="AK3805" i="118"/>
  <c r="AK3823" i="118"/>
  <c r="AK3824" i="118" s="1"/>
  <c r="AK3825" i="118" s="1"/>
  <c r="AS3823" i="118"/>
  <c r="AS3824" i="118" s="1"/>
  <c r="AS3825" i="118" s="1"/>
  <c r="BA3806" i="118"/>
  <c r="BA3821" i="118" s="1"/>
  <c r="BA3823" i="118"/>
  <c r="BA3824" i="118" s="1"/>
  <c r="BA3825" i="118" s="1"/>
  <c r="AM3805" i="118"/>
  <c r="AU3805" i="118"/>
  <c r="AW3823" i="118"/>
  <c r="AW3824" i="118" s="1"/>
  <c r="AW3825" i="118" s="1"/>
  <c r="AL3806" i="118"/>
  <c r="AL3821" i="118" s="1"/>
  <c r="AS3806" i="118"/>
  <c r="AS3821" i="118" s="1"/>
  <c r="AY3805" i="118"/>
  <c r="AW3806" i="118"/>
  <c r="AW3821" i="118" s="1"/>
  <c r="AR3805" i="118"/>
  <c r="AQ3806" i="118"/>
  <c r="AQ3821" i="118" s="1"/>
  <c r="AQ3805" i="118"/>
  <c r="AY3806" i="118"/>
  <c r="AY3821" i="118" s="1"/>
  <c r="AN3823" i="118"/>
  <c r="AN3824" i="118" s="1"/>
  <c r="AN3825" i="118" s="1"/>
  <c r="AV3823" i="118"/>
  <c r="AV3824" i="118" s="1"/>
  <c r="AV3825" i="118" s="1"/>
  <c r="AM3806" i="118"/>
  <c r="AM3821" i="118" s="1"/>
  <c r="AU3806" i="118"/>
  <c r="AU3821" i="118" s="1"/>
  <c r="BB3806" i="118"/>
  <c r="BB3821" i="118" s="1"/>
  <c r="BB3823" i="118"/>
  <c r="BB3824" i="118" s="1"/>
  <c r="BB3825" i="118" s="1"/>
  <c r="AP3806" i="118"/>
  <c r="AP3821" i="118" s="1"/>
  <c r="AP3823" i="118"/>
  <c r="AP3824" i="118" s="1"/>
  <c r="AP3825" i="118" s="1"/>
  <c r="AO3805" i="118"/>
  <c r="AO3823" i="118"/>
  <c r="AO3824" i="118" s="1"/>
  <c r="AO3825" i="118" s="1"/>
  <c r="AV3806" i="118"/>
  <c r="AV3821" i="118" s="1"/>
  <c r="AK3806" i="118"/>
  <c r="AK3821" i="118" s="1"/>
  <c r="AO3806" i="118"/>
  <c r="AO3821" i="118" s="1"/>
  <c r="AS3805" i="118"/>
  <c r="AW3805" i="118"/>
  <c r="BA3805" i="118"/>
  <c r="AT3823" i="118"/>
  <c r="AT3824" i="118" s="1"/>
  <c r="AT3825" i="118" s="1"/>
  <c r="AL3823" i="118"/>
  <c r="AL3824" i="118" s="1"/>
  <c r="AL3825" i="118" s="1"/>
  <c r="AM3823" i="118"/>
  <c r="AM3824" i="118" s="1"/>
  <c r="AM3825" i="118" s="1"/>
  <c r="AU3823" i="118"/>
  <c r="AU3824" i="118" s="1"/>
  <c r="AU3825" i="118" s="1"/>
  <c r="AR3823" i="118"/>
  <c r="AR3824" i="118" s="1"/>
  <c r="AR3825" i="118" s="1"/>
  <c r="AZ3823" i="118"/>
  <c r="AZ3824" i="118" s="1"/>
  <c r="AZ3825" i="118" s="1"/>
  <c r="AX3805" i="118"/>
  <c r="AX3806" i="118"/>
  <c r="AX3821" i="118" s="1"/>
  <c r="AN3806" i="118"/>
  <c r="AN3821" i="118" s="1"/>
  <c r="AV3805" i="118"/>
  <c r="AL3805" i="118"/>
  <c r="AR3806" i="118"/>
  <c r="AR3821" i="118" s="1"/>
  <c r="AZ3806" i="118"/>
  <c r="AZ3821" i="118" s="1"/>
  <c r="AN3805" i="118"/>
  <c r="AT3805" i="118"/>
  <c r="BB3805" i="118"/>
  <c r="AP3805" i="118"/>
  <c r="AT3806" i="118"/>
  <c r="AT3821" i="118" s="1"/>
  <c r="AZ3805" i="118"/>
  <c r="I3431" i="118"/>
  <c r="AC3431" i="118" s="1"/>
  <c r="BG3431" i="118" s="1"/>
  <c r="I3415" i="118"/>
  <c r="AC3415" i="118" s="1"/>
  <c r="BG3415" i="118" s="1"/>
  <c r="I3233" i="118"/>
  <c r="AC3233" i="118" s="1"/>
  <c r="BG3233" i="118" s="1"/>
  <c r="I3137" i="118"/>
  <c r="AC3137" i="118" s="1"/>
  <c r="BG3137" i="118" s="1"/>
  <c r="I3119" i="118"/>
  <c r="AC3119" i="118" s="1"/>
  <c r="BG3119" i="118" s="1"/>
  <c r="I3116" i="118"/>
  <c r="AC3116" i="118" s="1"/>
  <c r="BG3116" i="118" s="1"/>
  <c r="I3021" i="118"/>
  <c r="AC3021" i="118" s="1"/>
  <c r="BG3021" i="118" s="1"/>
  <c r="I3013" i="118"/>
  <c r="AC3013" i="118" s="1"/>
  <c r="BG3013" i="118" s="1"/>
  <c r="I2852" i="118"/>
  <c r="AC2852" i="118" s="1"/>
  <c r="BG2852" i="118" s="1"/>
  <c r="I2790" i="118"/>
  <c r="AC2790" i="118" s="1"/>
  <c r="BG2790" i="118" s="1"/>
  <c r="I2637" i="118"/>
  <c r="AC2637" i="118" s="1"/>
  <c r="BG2637" i="118" s="1"/>
  <c r="I2527" i="118"/>
  <c r="AC2527" i="118" s="1"/>
  <c r="BG2527" i="118" s="1"/>
  <c r="I2526" i="118"/>
  <c r="AC2526" i="118" s="1"/>
  <c r="BG2526" i="118" s="1"/>
  <c r="I2396" i="118"/>
  <c r="AC2396" i="118" s="1"/>
  <c r="BG2396" i="118" s="1"/>
  <c r="I2168" i="118"/>
  <c r="AC2168" i="118" s="1"/>
  <c r="BG2168" i="118" s="1"/>
  <c r="I2131" i="118"/>
  <c r="AC2131" i="118" s="1"/>
  <c r="BG2131" i="118" s="1"/>
  <c r="I2129" i="118"/>
  <c r="AC2129" i="118" s="1"/>
  <c r="BG2129" i="118" s="1"/>
  <c r="I2128" i="118"/>
  <c r="AC2128" i="118" s="1"/>
  <c r="BG2128" i="118" s="1"/>
  <c r="I1975" i="118"/>
  <c r="AC1975" i="118" s="1"/>
  <c r="BG1975" i="118" s="1"/>
  <c r="I1974" i="118"/>
  <c r="AC1974" i="118" s="1"/>
  <c r="BG1974" i="118" s="1"/>
  <c r="I1835" i="118"/>
  <c r="AC1835" i="118" s="1"/>
  <c r="BG1835" i="118" s="1"/>
  <c r="I1832" i="118"/>
  <c r="AC1832" i="118" s="1"/>
  <c r="BG1832" i="118" s="1"/>
  <c r="I1743" i="118"/>
  <c r="AC1743" i="118" s="1"/>
  <c r="BG1743" i="118" s="1"/>
  <c r="I1742" i="118"/>
  <c r="AC1742" i="118" s="1"/>
  <c r="BG1742" i="118" s="1"/>
  <c r="I1568" i="118"/>
  <c r="AC1568" i="118" s="1"/>
  <c r="BG1568" i="118" s="1"/>
  <c r="I1491" i="118"/>
  <c r="AC1491" i="118" s="1"/>
  <c r="BG1491" i="118" s="1"/>
  <c r="I1490" i="118"/>
  <c r="AC1490" i="118" s="1"/>
  <c r="BG1490" i="118" s="1"/>
  <c r="I1298" i="118"/>
  <c r="AC1298" i="118" s="1"/>
  <c r="BG1298" i="118" s="1"/>
  <c r="I1188" i="118"/>
  <c r="AC1188" i="118" s="1"/>
  <c r="BG1188" i="118" s="1"/>
  <c r="I1018" i="118"/>
  <c r="AC1018" i="118" s="1"/>
  <c r="BG1018" i="118" s="1"/>
  <c r="I1017" i="118"/>
  <c r="AC1017" i="118" s="1"/>
  <c r="BG1017" i="118" s="1"/>
  <c r="I1012" i="118"/>
  <c r="AC1012" i="118" s="1"/>
  <c r="BG1012" i="118" s="1"/>
  <c r="I935" i="118"/>
  <c r="AC935" i="118" s="1"/>
  <c r="BG935" i="118" s="1"/>
  <c r="H935" i="118"/>
  <c r="AB935" i="118" s="1"/>
  <c r="BF935" i="118" s="1"/>
  <c r="AD3438" i="118" l="1"/>
  <c r="AJ1030" i="118" l="1"/>
  <c r="BD1030" i="118" s="1"/>
  <c r="AJ3109" i="118"/>
  <c r="BD3109" i="118" s="1"/>
  <c r="BG3109" i="118" s="1"/>
  <c r="AJ3105" i="118"/>
  <c r="BD3105" i="118" s="1"/>
  <c r="BG3105" i="118" s="1"/>
  <c r="AJ3099" i="118"/>
  <c r="BD3099" i="118" s="1"/>
  <c r="BG3099" i="118" s="1"/>
  <c r="AJ3098" i="118"/>
  <c r="BD3098" i="118" s="1"/>
  <c r="BG3098" i="118" s="1"/>
  <c r="AJ3096" i="118"/>
  <c r="BD3096" i="118" s="1"/>
  <c r="BG3096" i="118" s="1"/>
  <c r="AJ3095" i="118"/>
  <c r="BD3095" i="118" s="1"/>
  <c r="BG3095" i="118" s="1"/>
  <c r="AJ3091" i="118"/>
  <c r="BD3091" i="118" s="1"/>
  <c r="BG3091" i="118" s="1"/>
  <c r="AJ3051" i="118"/>
  <c r="BD3051" i="118" s="1"/>
  <c r="BG3051" i="118" s="1"/>
  <c r="AJ3037" i="118"/>
  <c r="BD3037" i="118" s="1"/>
  <c r="BG3037" i="118" s="1"/>
  <c r="AJ3033" i="118"/>
  <c r="BD3033" i="118" s="1"/>
  <c r="BG3033" i="118" s="1"/>
  <c r="AJ3032" i="118"/>
  <c r="BD3032" i="118" s="1"/>
  <c r="BG3032" i="118" s="1"/>
  <c r="AJ3031" i="118"/>
  <c r="BD3031" i="118" s="1"/>
  <c r="BG3031" i="118" s="1"/>
  <c r="AJ2627" i="118"/>
  <c r="BD2627" i="118" s="1"/>
  <c r="BG2627" i="118" s="1"/>
  <c r="AJ2616" i="118"/>
  <c r="BD2616" i="118" s="1"/>
  <c r="BG2616" i="118" s="1"/>
  <c r="AJ2613" i="118"/>
  <c r="BD2613" i="118" s="1"/>
  <c r="BG2613" i="118" s="1"/>
  <c r="AJ2609" i="118"/>
  <c r="BD2609" i="118" s="1"/>
  <c r="BG2609" i="118" s="1"/>
  <c r="AJ2608" i="118"/>
  <c r="BD2608" i="118" s="1"/>
  <c r="BG2608" i="118" s="1"/>
  <c r="AJ2548" i="118"/>
  <c r="BD2548" i="118" s="1"/>
  <c r="BG2548" i="118" s="1"/>
  <c r="AJ2537" i="118"/>
  <c r="BD2537" i="118" s="1"/>
  <c r="BG2537" i="118" s="1"/>
  <c r="AJ2530" i="118"/>
  <c r="BD2530" i="118" s="1"/>
  <c r="BG2530" i="118" s="1"/>
  <c r="AJ2784" i="118"/>
  <c r="BD2784" i="118" s="1"/>
  <c r="BG2784" i="118" s="1"/>
  <c r="AJ2777" i="118"/>
  <c r="BD2777" i="118" s="1"/>
  <c r="BG2777" i="118" s="1"/>
  <c r="AJ2776" i="118"/>
  <c r="BD2776" i="118" s="1"/>
  <c r="BG2776" i="118" s="1"/>
  <c r="AJ2774" i="118"/>
  <c r="BD2774" i="118" s="1"/>
  <c r="BG2774" i="118" s="1"/>
  <c r="AJ2773" i="118"/>
  <c r="BD2773" i="118" s="1"/>
  <c r="BG2773" i="118" s="1"/>
  <c r="AJ2768" i="118"/>
  <c r="BD2768" i="118" s="1"/>
  <c r="BG2768" i="118" s="1"/>
  <c r="AJ2767" i="118"/>
  <c r="BD2767" i="118" s="1"/>
  <c r="BG2767" i="118" s="1"/>
  <c r="AJ2697" i="118"/>
  <c r="BD2697" i="118" s="1"/>
  <c r="BG2697" i="118" s="1"/>
  <c r="AJ2660" i="118"/>
  <c r="AJ2651" i="118"/>
  <c r="BD2651" i="118" s="1"/>
  <c r="BG2651" i="118" s="1"/>
  <c r="AJ2647" i="118"/>
  <c r="BD2647" i="118" s="1"/>
  <c r="BG2647" i="118" s="1"/>
  <c r="AJ2520" i="118"/>
  <c r="BD2520" i="118" s="1"/>
  <c r="BG2520" i="118" s="1"/>
  <c r="AJ2511" i="118"/>
  <c r="BD2511" i="118" s="1"/>
  <c r="BG2511" i="118" s="1"/>
  <c r="AJ2509" i="118"/>
  <c r="BD2509" i="118" s="1"/>
  <c r="BG2509" i="118" s="1"/>
  <c r="AJ2504" i="118"/>
  <c r="BD2504" i="118" s="1"/>
  <c r="BG2504" i="118" s="1"/>
  <c r="AJ2503" i="118"/>
  <c r="BD2503" i="118" s="1"/>
  <c r="BG2503" i="118" s="1"/>
  <c r="AJ2502" i="118"/>
  <c r="BD2502" i="118" s="1"/>
  <c r="BG2502" i="118" s="1"/>
  <c r="AJ2497" i="118"/>
  <c r="BD2497" i="118" s="1"/>
  <c r="BG2497" i="118" s="1"/>
  <c r="AJ2496" i="118"/>
  <c r="BD2496" i="118" s="1"/>
  <c r="BG2496" i="118" s="1"/>
  <c r="AJ2460" i="118"/>
  <c r="BD2460" i="118" s="1"/>
  <c r="BG2460" i="118" s="1"/>
  <c r="AJ2443" i="118"/>
  <c r="BD2443" i="118" s="1"/>
  <c r="BG2443" i="118" s="1"/>
  <c r="AJ2420" i="118"/>
  <c r="BD2420" i="118" s="1"/>
  <c r="BG2420" i="118" s="1"/>
  <c r="AJ2412" i="118"/>
  <c r="BD2412" i="118" s="1"/>
  <c r="BG2412" i="118" s="1"/>
  <c r="AJ2405" i="118"/>
  <c r="BD2405" i="118" s="1"/>
  <c r="BG2405" i="118" s="1"/>
  <c r="AJ2352" i="118"/>
  <c r="BD2352" i="118" s="1"/>
  <c r="BG2352" i="118" s="1"/>
  <c r="AJ2347" i="118"/>
  <c r="BD2347" i="118" s="1"/>
  <c r="BG2347" i="118" s="1"/>
  <c r="AJ2342" i="118"/>
  <c r="BD2342" i="118" s="1"/>
  <c r="BG2342" i="118" s="1"/>
  <c r="AJ2340" i="118"/>
  <c r="BD2340" i="118" s="1"/>
  <c r="BG2340" i="118" s="1"/>
  <c r="AJ2339" i="118"/>
  <c r="BD2339" i="118" s="1"/>
  <c r="BG2339" i="118" s="1"/>
  <c r="AJ2236" i="118"/>
  <c r="BD2236" i="118" s="1"/>
  <c r="BG2236" i="118" s="1"/>
  <c r="AJ2207" i="118"/>
  <c r="BD2207" i="118" s="1"/>
  <c r="BG2207" i="118" s="1"/>
  <c r="AJ2194" i="118"/>
  <c r="BD2194" i="118" s="1"/>
  <c r="BG2194" i="118" s="1"/>
  <c r="AJ2189" i="118"/>
  <c r="BD2189" i="118" s="1"/>
  <c r="BG2189" i="118" s="1"/>
  <c r="AJ2183" i="118"/>
  <c r="BD2183" i="118" s="1"/>
  <c r="BG2183" i="118" s="1"/>
  <c r="AJ1819" i="118"/>
  <c r="BD1819" i="118" s="1"/>
  <c r="AJ1806" i="118"/>
  <c r="BD1806" i="118" s="1"/>
  <c r="BG1806" i="118" s="1"/>
  <c r="AJ1804" i="118"/>
  <c r="BD1804" i="118" s="1"/>
  <c r="BG1804" i="118" s="1"/>
  <c r="AJ1799" i="118"/>
  <c r="BD1799" i="118" s="1"/>
  <c r="BG1799" i="118" s="1"/>
  <c r="AJ1798" i="118"/>
  <c r="BD1798" i="118" s="1"/>
  <c r="BG1798" i="118" s="1"/>
  <c r="AJ1764" i="118"/>
  <c r="BD1764" i="118" s="1"/>
  <c r="BG1764" i="118" s="1"/>
  <c r="AJ1761" i="118"/>
  <c r="BD1761" i="118" s="1"/>
  <c r="BG1761" i="118" s="1"/>
  <c r="AJ1756" i="118"/>
  <c r="BD1756" i="118" s="1"/>
  <c r="BG1756" i="118" s="1"/>
  <c r="AJ1750" i="118"/>
  <c r="BD1750" i="118" s="1"/>
  <c r="BG1750" i="118" s="1"/>
  <c r="AJ1731" i="118"/>
  <c r="BD1731" i="118" s="1"/>
  <c r="BG1731" i="118" s="1"/>
  <c r="AJ1726" i="118"/>
  <c r="BD1726" i="118" s="1"/>
  <c r="BG1726" i="118" s="1"/>
  <c r="AJ1725" i="118"/>
  <c r="BD1725" i="118" s="1"/>
  <c r="BG1725" i="118" s="1"/>
  <c r="AJ1717" i="118"/>
  <c r="BD1717" i="118" s="1"/>
  <c r="BG1717" i="118" s="1"/>
  <c r="AJ1714" i="118"/>
  <c r="BD1714" i="118" s="1"/>
  <c r="BG1714" i="118" s="1"/>
  <c r="AJ1712" i="118"/>
  <c r="BD1712" i="118" s="1"/>
  <c r="BG1712" i="118" s="1"/>
  <c r="AJ1711" i="118"/>
  <c r="BD1711" i="118" s="1"/>
  <c r="BG1711" i="118" s="1"/>
  <c r="AJ1708" i="118"/>
  <c r="BD1708" i="118" s="1"/>
  <c r="BG1708" i="118" s="1"/>
  <c r="AJ1707" i="118"/>
  <c r="BD1707" i="118" s="1"/>
  <c r="BG1707" i="118" s="1"/>
  <c r="AJ1683" i="118"/>
  <c r="BD1683" i="118" s="1"/>
  <c r="BG1683" i="118" s="1"/>
  <c r="AJ1681" i="118"/>
  <c r="BD1681" i="118" s="1"/>
  <c r="BG1681" i="118" s="1"/>
  <c r="AJ1680" i="118"/>
  <c r="BD1680" i="118" s="1"/>
  <c r="BG1680" i="118" s="1"/>
  <c r="AJ1678" i="118"/>
  <c r="BD1678" i="118" s="1"/>
  <c r="BG1678" i="118" s="1"/>
  <c r="AJ1674" i="118"/>
  <c r="BD1674" i="118" s="1"/>
  <c r="BG1674" i="118" s="1"/>
  <c r="AJ1668" i="118"/>
  <c r="BD1668" i="118" s="1"/>
  <c r="BG1668" i="118" s="1"/>
  <c r="AJ1664" i="118"/>
  <c r="BD1664" i="118" s="1"/>
  <c r="BG1664" i="118" s="1"/>
  <c r="AJ1663" i="118"/>
  <c r="BD1663" i="118" s="1"/>
  <c r="BG1663" i="118" s="1"/>
  <c r="AJ1653" i="118"/>
  <c r="BD1653" i="118" s="1"/>
  <c r="BG1653" i="118" s="1"/>
  <c r="AJ1647" i="118"/>
  <c r="BD1647" i="118" s="1"/>
  <c r="BG1647" i="118" s="1"/>
  <c r="AJ1646" i="118"/>
  <c r="BD1646" i="118" s="1"/>
  <c r="BG1646" i="118" s="1"/>
  <c r="AJ1642" i="118"/>
  <c r="BD1642" i="118" s="1"/>
  <c r="BG1642" i="118" s="1"/>
  <c r="AJ1640" i="118"/>
  <c r="BD1640" i="118" s="1"/>
  <c r="AJ1639" i="118"/>
  <c r="BD1639" i="118" s="1"/>
  <c r="BG1639" i="118" s="1"/>
  <c r="AJ1635" i="118"/>
  <c r="BD1635" i="118" s="1"/>
  <c r="BG1635" i="118" s="1"/>
  <c r="AJ1633" i="118"/>
  <c r="BD1633" i="118" s="1"/>
  <c r="BG1633" i="118" s="1"/>
  <c r="AJ1626" i="118"/>
  <c r="BD1626" i="118" s="1"/>
  <c r="BG1626" i="118" s="1"/>
  <c r="AJ1588" i="118"/>
  <c r="BD1588" i="118" s="1"/>
  <c r="BG1588" i="118" s="1"/>
  <c r="AJ1584" i="118"/>
  <c r="BD1584" i="118" s="1"/>
  <c r="AJ1579" i="118"/>
  <c r="BD1579" i="118" s="1"/>
  <c r="BG1579" i="118" s="1"/>
  <c r="AJ1574" i="118"/>
  <c r="BD1574" i="118" s="1"/>
  <c r="AJ1560" i="118"/>
  <c r="BD1560" i="118" s="1"/>
  <c r="BG1560" i="118" s="1"/>
  <c r="AJ1557" i="118"/>
  <c r="BD1557" i="118" s="1"/>
  <c r="BG1557" i="118" s="1"/>
  <c r="AJ1555" i="118"/>
  <c r="BD1555" i="118" s="1"/>
  <c r="BG1555" i="118" s="1"/>
  <c r="AJ1551" i="118"/>
  <c r="BD1551" i="118" s="1"/>
  <c r="BG1551" i="118" s="1"/>
  <c r="AJ1549" i="118"/>
  <c r="BD1549" i="118" s="1"/>
  <c r="BG1549" i="118" s="1"/>
  <c r="AJ1547" i="118"/>
  <c r="BD1547" i="118" s="1"/>
  <c r="BG1547" i="118" s="1"/>
  <c r="AJ1546" i="118"/>
  <c r="BD1546" i="118" s="1"/>
  <c r="BG1546" i="118" s="1"/>
  <c r="AJ1542" i="118"/>
  <c r="BD1542" i="118" s="1"/>
  <c r="BG1542" i="118" s="1"/>
  <c r="AJ1541" i="118"/>
  <c r="BD1541" i="118" s="1"/>
  <c r="BG1541" i="118" s="1"/>
  <c r="AJ1519" i="118"/>
  <c r="BD1519" i="118" s="1"/>
  <c r="BG1519" i="118" s="1"/>
  <c r="AJ1513" i="118"/>
  <c r="BD1513" i="118" s="1"/>
  <c r="BG1513" i="118" s="1"/>
  <c r="AJ1510" i="118"/>
  <c r="BD1510" i="118" s="1"/>
  <c r="BG1510" i="118" s="1"/>
  <c r="AJ1499" i="118"/>
  <c r="BD1499" i="118" s="1"/>
  <c r="BG1499" i="118" s="1"/>
  <c r="AJ1496" i="118"/>
  <c r="BD1496" i="118" s="1"/>
  <c r="BG1496" i="118" s="1"/>
  <c r="AJ1494" i="118"/>
  <c r="BD1494" i="118" s="1"/>
  <c r="BG1494" i="118" s="1"/>
  <c r="AJ1493" i="118"/>
  <c r="BD1493" i="118" s="1"/>
  <c r="BG1493" i="118" s="1"/>
  <c r="AJ1479" i="118"/>
  <c r="BD1479" i="118" s="1"/>
  <c r="BG1479" i="118" s="1"/>
  <c r="AJ1475" i="118"/>
  <c r="BD1475" i="118" s="1"/>
  <c r="BG1475" i="118" s="1"/>
  <c r="AJ1472" i="118"/>
  <c r="BD1472" i="118" s="1"/>
  <c r="BG1472" i="118" s="1"/>
  <c r="AJ1469" i="118"/>
  <c r="BD1469" i="118" s="1"/>
  <c r="BG1469" i="118" s="1"/>
  <c r="AJ1465" i="118"/>
  <c r="BD1465" i="118" s="1"/>
  <c r="BG1465" i="118" s="1"/>
  <c r="AJ1464" i="118"/>
  <c r="BD1464" i="118" s="1"/>
  <c r="BG1464" i="118" s="1"/>
  <c r="AJ1463" i="118"/>
  <c r="BD1463" i="118" s="1"/>
  <c r="BG1463" i="118" s="1"/>
  <c r="AJ1459" i="118"/>
  <c r="BD1459" i="118" s="1"/>
  <c r="BG1459" i="118" s="1"/>
  <c r="AJ1458" i="118"/>
  <c r="BD1458" i="118" s="1"/>
  <c r="BG1458" i="118" s="1"/>
  <c r="AJ1454" i="118"/>
  <c r="BD1454" i="118" s="1"/>
  <c r="BG1454" i="118" s="1"/>
  <c r="AJ1406" i="118"/>
  <c r="BD1406" i="118" s="1"/>
  <c r="BG1406" i="118" s="1"/>
  <c r="AJ1399" i="118"/>
  <c r="BD1399" i="118" s="1"/>
  <c r="BG1399" i="118" s="1"/>
  <c r="AJ1397" i="118"/>
  <c r="BD1397" i="118" s="1"/>
  <c r="BG1397" i="118" s="1"/>
  <c r="AJ1385" i="118"/>
  <c r="BD1385" i="118" s="1"/>
  <c r="BG1385" i="118" s="1"/>
  <c r="AJ1381" i="118"/>
  <c r="BD1381" i="118" s="1"/>
  <c r="BG1381" i="118" s="1"/>
  <c r="AJ1377" i="118"/>
  <c r="BD1377" i="118" s="1"/>
  <c r="BG1377" i="118" s="1"/>
  <c r="AJ1365" i="118"/>
  <c r="BD1365" i="118" s="1"/>
  <c r="BG1365" i="118" s="1"/>
  <c r="AJ1306" i="118"/>
  <c r="BD1306" i="118" s="1"/>
  <c r="BG1306" i="118" s="1"/>
  <c r="AJ1303" i="118"/>
  <c r="BD1303" i="118" s="1"/>
  <c r="BG1303" i="118" s="1"/>
  <c r="AJ1287" i="118"/>
  <c r="BD1287" i="118" s="1"/>
  <c r="BG1287" i="118" s="1"/>
  <c r="AJ1276" i="118"/>
  <c r="BD1276" i="118" s="1"/>
  <c r="BG1276" i="118" s="1"/>
  <c r="AJ1275" i="118"/>
  <c r="BD1275" i="118" s="1"/>
  <c r="BG1275" i="118" s="1"/>
  <c r="AJ1272" i="118"/>
  <c r="BD1272" i="118" s="1"/>
  <c r="BG1272" i="118" s="1"/>
  <c r="AJ1270" i="118"/>
  <c r="BD1270" i="118" s="1"/>
  <c r="BG1270" i="118" s="1"/>
  <c r="AJ1269" i="118"/>
  <c r="BD1269" i="118" s="1"/>
  <c r="BG1269" i="118" s="1"/>
  <c r="AJ1266" i="118"/>
  <c r="BD1266" i="118" s="1"/>
  <c r="BG1266" i="118" s="1"/>
  <c r="AJ1265" i="118"/>
  <c r="BD1265" i="118" s="1"/>
  <c r="BG1265" i="118" s="1"/>
  <c r="AJ1258" i="118"/>
  <c r="BD1258" i="118" s="1"/>
  <c r="BG1258" i="118" s="1"/>
  <c r="AJ1250" i="118"/>
  <c r="BD1250" i="118" s="1"/>
  <c r="BG1250" i="118" s="1"/>
  <c r="AJ1245" i="118"/>
  <c r="BD1245" i="118" s="1"/>
  <c r="BG1245" i="118" s="1"/>
  <c r="AJ1241" i="118"/>
  <c r="BD1241" i="118" s="1"/>
  <c r="BG1241" i="118" s="1"/>
  <c r="AJ1244" i="118"/>
  <c r="BD1244" i="118" s="1"/>
  <c r="BG1244" i="118" s="1"/>
  <c r="AJ1238" i="118"/>
  <c r="BD1238" i="118" s="1"/>
  <c r="BG1238" i="118" s="1"/>
  <c r="AJ1235" i="118"/>
  <c r="BD1235" i="118" s="1"/>
  <c r="BG1235" i="118" s="1"/>
  <c r="AJ1233" i="118"/>
  <c r="BD1233" i="118" s="1"/>
  <c r="BG1233" i="118" s="1"/>
  <c r="AJ1231" i="118"/>
  <c r="BD1231" i="118" s="1"/>
  <c r="BG1231" i="118" s="1"/>
  <c r="AJ1229" i="118"/>
  <c r="BD1229" i="118" s="1"/>
  <c r="BG1229" i="118" s="1"/>
  <c r="AJ1228" i="118"/>
  <c r="BD1228" i="118" s="1"/>
  <c r="BG1228" i="118" s="1"/>
  <c r="AJ1225" i="118"/>
  <c r="BD1225" i="118" s="1"/>
  <c r="BG1225" i="118" s="1"/>
  <c r="AJ1224" i="118"/>
  <c r="BD1224" i="118" s="1"/>
  <c r="BG1224" i="118" s="1"/>
  <c r="AJ1216" i="118"/>
  <c r="BD1216" i="118" s="1"/>
  <c r="BG1216" i="118" s="1"/>
  <c r="AJ1211" i="118"/>
  <c r="BD1211" i="118" s="1"/>
  <c r="BG1211" i="118" s="1"/>
  <c r="AJ1209" i="118"/>
  <c r="BD1209" i="118" s="1"/>
  <c r="BG1209" i="118" s="1"/>
  <c r="AJ1207" i="118"/>
  <c r="BD1207" i="118" s="1"/>
  <c r="BG1207" i="118" s="1"/>
  <c r="AJ1205" i="118"/>
  <c r="BD1205" i="118" s="1"/>
  <c r="BG1205" i="118" s="1"/>
  <c r="AJ1197" i="118"/>
  <c r="BD1197" i="118" s="1"/>
  <c r="BG1197" i="118" s="1"/>
  <c r="AJ1194" i="118"/>
  <c r="BD1194" i="118" s="1"/>
  <c r="BG1194" i="118" s="1"/>
  <c r="AJ1168" i="118"/>
  <c r="BD1168" i="118" s="1"/>
  <c r="BG1168" i="118" s="1"/>
  <c r="AJ1161" i="118"/>
  <c r="BD1161" i="118" s="1"/>
  <c r="BG1161" i="118" s="1"/>
  <c r="BH1158" i="118"/>
  <c r="AJ1157" i="118"/>
  <c r="BD1157" i="118" s="1"/>
  <c r="AJ1156" i="118"/>
  <c r="BD1156" i="118" s="1"/>
  <c r="AJ1152" i="118"/>
  <c r="BD1152" i="118" s="1"/>
  <c r="BG1152" i="118" s="1"/>
  <c r="AJ1151" i="118"/>
  <c r="BD1151" i="118" s="1"/>
  <c r="BG1151" i="118" s="1"/>
  <c r="AJ1147" i="118"/>
  <c r="BD1147" i="118" s="1"/>
  <c r="BG1147" i="118" s="1"/>
  <c r="AJ1132" i="118"/>
  <c r="BD1132" i="118" s="1"/>
  <c r="BG1132" i="118" s="1"/>
  <c r="AJ1105" i="118"/>
  <c r="BD1105" i="118" s="1"/>
  <c r="BG1105" i="118" s="1"/>
  <c r="AJ1104" i="118"/>
  <c r="BD1104" i="118" s="1"/>
  <c r="BG1104" i="118" s="1"/>
  <c r="AJ1103" i="118"/>
  <c r="BD1103" i="118" s="1"/>
  <c r="BG1103" i="118" s="1"/>
  <c r="AJ1100" i="118"/>
  <c r="BD1100" i="118" s="1"/>
  <c r="AJ1063" i="118"/>
  <c r="BD1063" i="118" s="1"/>
  <c r="BG1063" i="118" s="1"/>
  <c r="AJ1054" i="118"/>
  <c r="BD1054" i="118" s="1"/>
  <c r="BG1054" i="118" s="1"/>
  <c r="AJ1043" i="118"/>
  <c r="BD1043" i="118" s="1"/>
  <c r="AJ1034" i="118"/>
  <c r="BD1034" i="118" s="1"/>
  <c r="BG1034" i="118" s="1"/>
  <c r="AJ1027" i="118"/>
  <c r="BD1027" i="118" s="1"/>
  <c r="BG1027" i="118" s="1"/>
  <c r="AJ2925" i="118"/>
  <c r="BD2925" i="118" s="1"/>
  <c r="BG2925" i="118" s="1"/>
  <c r="AJ2892" i="118"/>
  <c r="BD2892" i="118" s="1"/>
  <c r="BG2892" i="118" s="1"/>
  <c r="AJ2891" i="118"/>
  <c r="BD2891" i="118" s="1"/>
  <c r="BG2891" i="118" s="1"/>
  <c r="AJ3465" i="118"/>
  <c r="BD3465" i="118" s="1"/>
  <c r="BG3465" i="118" s="1"/>
  <c r="AJ2985" i="118"/>
  <c r="BD2985" i="118" s="1"/>
  <c r="AJ2899" i="118"/>
  <c r="BD2899" i="118" s="1"/>
  <c r="AJ2885" i="118"/>
  <c r="BD2885" i="118" s="1"/>
  <c r="AJ2857" i="118"/>
  <c r="BD2857" i="118" s="1"/>
  <c r="AJ2622" i="118"/>
  <c r="BD2622" i="118" s="1"/>
  <c r="BG2622" i="118" s="1"/>
  <c r="AJ2614" i="118"/>
  <c r="BD2614" i="118" s="1"/>
  <c r="BG2614" i="118" s="1"/>
  <c r="AJ2611" i="118"/>
  <c r="BD2611" i="118" s="1"/>
  <c r="BG2611" i="118" s="1"/>
  <c r="AJ2601" i="118"/>
  <c r="BD2601" i="118" s="1"/>
  <c r="BG2601" i="118" s="1"/>
  <c r="AJ2598" i="118"/>
  <c r="BD2598" i="118" s="1"/>
  <c r="BG2598" i="118" s="1"/>
  <c r="AJ2596" i="118"/>
  <c r="BD2596" i="118" s="1"/>
  <c r="BG2596" i="118" s="1"/>
  <c r="AJ2569" i="118"/>
  <c r="BD2569" i="118" s="1"/>
  <c r="BG2569" i="118" s="1"/>
  <c r="AJ2566" i="118"/>
  <c r="BD2566" i="118" s="1"/>
  <c r="BG2566" i="118" s="1"/>
  <c r="AJ2539" i="118"/>
  <c r="BD2539" i="118" s="1"/>
  <c r="BG2539" i="118" s="1"/>
  <c r="AJ2531" i="118"/>
  <c r="BD2531" i="118" s="1"/>
  <c r="BG2531" i="118" s="1"/>
  <c r="AJ2437" i="118"/>
  <c r="BD2437" i="118" s="1"/>
  <c r="BG2437" i="118" s="1"/>
  <c r="AJ2434" i="118"/>
  <c r="BD2434" i="118" s="1"/>
  <c r="BG2434" i="118" s="1"/>
  <c r="AJ2432" i="118"/>
  <c r="BD2432" i="118" s="1"/>
  <c r="BG2432" i="118" s="1"/>
  <c r="AJ2426" i="118"/>
  <c r="BD2426" i="118" s="1"/>
  <c r="BG2426" i="118" s="1"/>
  <c r="AJ2423" i="118"/>
  <c r="BD2423" i="118" s="1"/>
  <c r="BG2423" i="118" s="1"/>
  <c r="AJ3389" i="118"/>
  <c r="BD3389" i="118" s="1"/>
  <c r="AJ3365" i="118"/>
  <c r="BD3365" i="118" s="1"/>
  <c r="AJ3359" i="118"/>
  <c r="BD3359" i="118" s="1"/>
  <c r="AJ3144" i="118"/>
  <c r="BD3144" i="118" s="1"/>
  <c r="AJ3254" i="118"/>
  <c r="BD3254" i="118" s="1"/>
  <c r="AJ3124" i="118"/>
  <c r="BD3124" i="118" s="1"/>
  <c r="BG3124" i="118" s="1"/>
  <c r="AJ1159" i="118"/>
  <c r="BD1159" i="118" s="1"/>
  <c r="BG1159" i="118" s="1"/>
  <c r="AJ1101" i="118"/>
  <c r="BD1101" i="118" s="1"/>
  <c r="BG1101" i="118" s="1"/>
  <c r="AJ1611" i="118"/>
  <c r="BD1611" i="118" s="1"/>
  <c r="BG1611" i="118" s="1"/>
  <c r="AJ1593" i="118"/>
  <c r="BD1593" i="118" s="1"/>
  <c r="AJ2049" i="118"/>
  <c r="BD2049" i="118" s="1"/>
  <c r="BG2049" i="118" s="1"/>
  <c r="AJ2046" i="118"/>
  <c r="BD2046" i="118" s="1"/>
  <c r="BG2046" i="118" s="1"/>
  <c r="BD2045" i="118"/>
  <c r="BG2045" i="118" s="1"/>
  <c r="BD2043" i="118"/>
  <c r="BG2043" i="118" s="1"/>
  <c r="BH2251" i="118"/>
  <c r="AJ2384" i="118"/>
  <c r="BD2384" i="118" s="1"/>
  <c r="BG2384" i="118" s="1"/>
  <c r="AJ2383" i="118"/>
  <c r="BD2383" i="118" s="1"/>
  <c r="BG2383" i="118" s="1"/>
  <c r="AJ2382" i="118"/>
  <c r="BD2382" i="118" s="1"/>
  <c r="BG2382" i="118" s="1"/>
  <c r="AJ2381" i="118"/>
  <c r="BD2381" i="118" s="1"/>
  <c r="BG2381" i="118" s="1"/>
  <c r="AJ2380" i="118"/>
  <c r="BD2380" i="118" s="1"/>
  <c r="BG2380" i="118" s="1"/>
  <c r="AJ2379" i="118"/>
  <c r="BD2379" i="118" s="1"/>
  <c r="BG2379" i="118" s="1"/>
  <c r="AJ2375" i="118"/>
  <c r="BD2375" i="118" s="1"/>
  <c r="BG2375" i="118" s="1"/>
  <c r="AJ2373" i="118"/>
  <c r="BD2373" i="118" s="1"/>
  <c r="AJ2372" i="118"/>
  <c r="BD2372" i="118" s="1"/>
  <c r="AJ2371" i="118"/>
  <c r="BD2371" i="118" s="1"/>
  <c r="AJ2369" i="118"/>
  <c r="BD2369" i="118" s="1"/>
  <c r="AJ2368" i="118"/>
  <c r="BD2368" i="118" s="1"/>
  <c r="BG2368" i="118" s="1"/>
  <c r="AJ2625" i="118"/>
  <c r="BD2625" i="118" s="1"/>
  <c r="BG2625" i="118" s="1"/>
  <c r="AJ2623" i="118"/>
  <c r="BD2623" i="118" s="1"/>
  <c r="BG2623" i="118" s="1"/>
  <c r="AJ2619" i="118"/>
  <c r="BD2619" i="118" s="1"/>
  <c r="BG2619" i="118" s="1"/>
  <c r="AJ2617" i="118"/>
  <c r="BD2617" i="118" s="1"/>
  <c r="BG2617" i="118" s="1"/>
  <c r="AJ2605" i="118"/>
  <c r="BD2605" i="118" s="1"/>
  <c r="BG2605" i="118" s="1"/>
  <c r="AJ2576" i="118"/>
  <c r="BD2576" i="118" s="1"/>
  <c r="BG2576" i="118" s="1"/>
  <c r="AJ2574" i="118"/>
  <c r="BD2574" i="118" s="1"/>
  <c r="BG2574" i="118" s="1"/>
  <c r="AJ2572" i="118"/>
  <c r="BD2572" i="118" s="1"/>
  <c r="BG2572" i="118" s="1"/>
  <c r="AJ2571" i="118"/>
  <c r="BD2571" i="118" s="1"/>
  <c r="BG2571" i="118" s="1"/>
  <c r="AJ2567" i="118"/>
  <c r="BD2567" i="118" s="1"/>
  <c r="BG2567" i="118" s="1"/>
  <c r="AJ2565" i="118"/>
  <c r="BD2565" i="118" s="1"/>
  <c r="BG2565" i="118" s="1"/>
  <c r="AJ2564" i="118"/>
  <c r="BD2564" i="118" s="1"/>
  <c r="BG2564" i="118" s="1"/>
  <c r="AJ2561" i="118"/>
  <c r="BD2561" i="118" s="1"/>
  <c r="BG2561" i="118" s="1"/>
  <c r="AJ2554" i="118"/>
  <c r="BD2554" i="118" s="1"/>
  <c r="BG2554" i="118" s="1"/>
  <c r="AJ2553" i="118"/>
  <c r="BD2553" i="118" s="1"/>
  <c r="BG2553" i="118" s="1"/>
  <c r="AJ2550" i="118"/>
  <c r="BD2550" i="118" s="1"/>
  <c r="BG2550" i="118" s="1"/>
  <c r="AJ2546" i="118"/>
  <c r="BD2546" i="118" s="1"/>
  <c r="BG2546" i="118" s="1"/>
  <c r="BI2546" i="118" s="1"/>
  <c r="AJ2536" i="118"/>
  <c r="BD2536" i="118" s="1"/>
  <c r="BG2536" i="118" s="1"/>
  <c r="AJ2534" i="118"/>
  <c r="BD2534" i="118" s="1"/>
  <c r="BG2534" i="118" s="1"/>
  <c r="AJ2533" i="118"/>
  <c r="BD2533" i="118" s="1"/>
  <c r="BG2533" i="118" s="1"/>
  <c r="AJ1860" i="118"/>
  <c r="BD1860" i="118" s="1"/>
  <c r="AJ1785" i="118"/>
  <c r="BD1785" i="118" s="1"/>
  <c r="BD2660" i="118" l="1"/>
  <c r="BG2660" i="118" s="1"/>
  <c r="BI1158" i="118"/>
  <c r="BI2251" i="118"/>
  <c r="AJ1423" i="118"/>
  <c r="BD1423" i="118" s="1"/>
  <c r="BG1423" i="118" s="1"/>
  <c r="AJ1421" i="118"/>
  <c r="BD1421" i="118" s="1"/>
  <c r="BG1421" i="118" s="1"/>
  <c r="AJ1415" i="118"/>
  <c r="BD1415" i="118" s="1"/>
  <c r="BG1415" i="118" s="1"/>
  <c r="AJ1033" i="118"/>
  <c r="BD1033" i="118" s="1"/>
  <c r="BG1033" i="118" s="1"/>
  <c r="AJ2816" i="118"/>
  <c r="BD2816" i="118" s="1"/>
  <c r="BG2816" i="118" s="1"/>
  <c r="AJ2322" i="118"/>
  <c r="BD2322" i="118" s="1"/>
  <c r="BG2322" i="118" s="1"/>
  <c r="AJ2224" i="118"/>
  <c r="BD2224" i="118" s="1"/>
  <c r="BG2224" i="118" s="1"/>
  <c r="AJ2357" i="118"/>
  <c r="BD2357" i="118" s="1"/>
  <c r="BG2357" i="118" s="1"/>
  <c r="AJ2333" i="118"/>
  <c r="BD2333" i="118" s="1"/>
  <c r="BG2333" i="118" s="1"/>
  <c r="AJ2326" i="118"/>
  <c r="BD2326" i="118" s="1"/>
  <c r="BG2326" i="118" s="1"/>
  <c r="AJ2321" i="118"/>
  <c r="BD2321" i="118" s="1"/>
  <c r="BG2321" i="118" s="1"/>
  <c r="AJ2267" i="118"/>
  <c r="BD2267" i="118" s="1"/>
  <c r="BG2267" i="118" s="1"/>
  <c r="AJ2265" i="118"/>
  <c r="BD2265" i="118" s="1"/>
  <c r="BG2265" i="118" s="1"/>
  <c r="AJ2264" i="118"/>
  <c r="BD2264" i="118" s="1"/>
  <c r="BG2264" i="118" s="1"/>
  <c r="AJ2261" i="118"/>
  <c r="BD2261" i="118" s="1"/>
  <c r="BG2261" i="118" s="1"/>
  <c r="AJ2258" i="118"/>
  <c r="BD2258" i="118" s="1"/>
  <c r="BG2258" i="118" s="1"/>
  <c r="AJ2255" i="118"/>
  <c r="BD2255" i="118" s="1"/>
  <c r="BG2255" i="118" s="1"/>
  <c r="AJ2253" i="118"/>
  <c r="BD2253" i="118" s="1"/>
  <c r="BG2253" i="118" s="1"/>
  <c r="AJ2250" i="118"/>
  <c r="BD2250" i="118" s="1"/>
  <c r="BG2250" i="118" s="1"/>
  <c r="AJ2247" i="118"/>
  <c r="BD2247" i="118" s="1"/>
  <c r="BG2247" i="118" s="1"/>
  <c r="AJ2222" i="118"/>
  <c r="BD2222" i="118" s="1"/>
  <c r="BG2222" i="118" s="1"/>
  <c r="AJ2218" i="118"/>
  <c r="BD2218" i="118" s="1"/>
  <c r="BG2218" i="118" s="1"/>
  <c r="AJ2205" i="118"/>
  <c r="AJ2202" i="118"/>
  <c r="BD2202" i="118" s="1"/>
  <c r="BG2202" i="118" s="1"/>
  <c r="AJ2196" i="118"/>
  <c r="BD2196" i="118" s="1"/>
  <c r="BG2196" i="118" s="1"/>
  <c r="AJ2195" i="118"/>
  <c r="BD2195" i="118" s="1"/>
  <c r="BG2195" i="118" s="1"/>
  <c r="AJ2193" i="118"/>
  <c r="BD2193" i="118" s="1"/>
  <c r="BG2193" i="118" s="1"/>
  <c r="AJ2190" i="118"/>
  <c r="BD2190" i="118" s="1"/>
  <c r="BG2190" i="118" s="1"/>
  <c r="AJ2182" i="118"/>
  <c r="BD2182" i="118" s="1"/>
  <c r="BG2182" i="118" s="1"/>
  <c r="AJ1329" i="118"/>
  <c r="BD1329" i="118" s="1"/>
  <c r="BG1329" i="118" s="1"/>
  <c r="AJ1327" i="118"/>
  <c r="BD1327" i="118" s="1"/>
  <c r="BG1327" i="118" s="1"/>
  <c r="AJ1326" i="118"/>
  <c r="BD1326" i="118" s="1"/>
  <c r="BG1326" i="118" s="1"/>
  <c r="AJ1318" i="118"/>
  <c r="BD1318" i="118" s="1"/>
  <c r="BG1318" i="118" s="1"/>
  <c r="AJ1317" i="118"/>
  <c r="BD1317" i="118" s="1"/>
  <c r="BG1317" i="118" s="1"/>
  <c r="AJ1573" i="118"/>
  <c r="BD1573" i="118" s="1"/>
  <c r="BG1573" i="118" s="1"/>
  <c r="AJ1456" i="118"/>
  <c r="BD1456" i="118" s="1"/>
  <c r="BG1456" i="118" s="1"/>
  <c r="AJ1411" i="118"/>
  <c r="BD1411" i="118" s="1"/>
  <c r="BG1411" i="118" s="1"/>
  <c r="AJ1371" i="118"/>
  <c r="BD1371" i="118" s="1"/>
  <c r="BG1371" i="118" s="1"/>
  <c r="AJ1652" i="118"/>
  <c r="BD1652" i="118" s="1"/>
  <c r="BG1652" i="118" s="1"/>
  <c r="AJ1632" i="118"/>
  <c r="BD1632" i="118" s="1"/>
  <c r="BG1632" i="118" s="1"/>
  <c r="AJ1507" i="118"/>
  <c r="BD1507" i="118" s="1"/>
  <c r="BG1507" i="118" s="1"/>
  <c r="AJ2542" i="118"/>
  <c r="BD2542" i="118" s="1"/>
  <c r="BG2542" i="118" s="1"/>
  <c r="AJ2541" i="118"/>
  <c r="BD2541" i="118" s="1"/>
  <c r="BG2541" i="118" s="1"/>
  <c r="AJ2826" i="118"/>
  <c r="BD2826" i="118" s="1"/>
  <c r="BG2826" i="118" s="1"/>
  <c r="AJ2822" i="118"/>
  <c r="BD2822" i="118" s="1"/>
  <c r="BG2822" i="118" s="1"/>
  <c r="AJ2803" i="118"/>
  <c r="BD2803" i="118" s="1"/>
  <c r="BG2803" i="118" s="1"/>
  <c r="AJ2799" i="118"/>
  <c r="BD2799" i="118" s="1"/>
  <c r="BG2799" i="118" s="1"/>
  <c r="AJ3102" i="118"/>
  <c r="BD3102" i="118" s="1"/>
  <c r="BG3102" i="118" s="1"/>
  <c r="AJ3100" i="118"/>
  <c r="BD3100" i="118" s="1"/>
  <c r="BG3100" i="118" s="1"/>
  <c r="AJ3097" i="118"/>
  <c r="BD3097" i="118" s="1"/>
  <c r="BG3097" i="118" s="1"/>
  <c r="AJ3092" i="118"/>
  <c r="BD3092" i="118" s="1"/>
  <c r="BG3092" i="118" s="1"/>
  <c r="AJ3089" i="118"/>
  <c r="BD3089" i="118" s="1"/>
  <c r="BG3089" i="118" s="1"/>
  <c r="AJ3088" i="118"/>
  <c r="BD3088" i="118" s="1"/>
  <c r="BG3088" i="118" s="1"/>
  <c r="BD2205" i="118" l="1"/>
  <c r="BG2205" i="118" s="1"/>
  <c r="AJ2979" i="118"/>
  <c r="BD2979" i="118" s="1"/>
  <c r="BG2979" i="118" s="1"/>
  <c r="BH2977" i="118"/>
  <c r="AJ2965" i="118"/>
  <c r="BD2965" i="118" s="1"/>
  <c r="BG2965" i="118" s="1"/>
  <c r="AJ2964" i="118"/>
  <c r="BD2964" i="118" s="1"/>
  <c r="BG2964" i="118" s="1"/>
  <c r="AJ2963" i="118"/>
  <c r="BD2963" i="118" s="1"/>
  <c r="BG2963" i="118" s="1"/>
  <c r="AJ2958" i="118"/>
  <c r="BD2958" i="118" s="1"/>
  <c r="AJ2951" i="118"/>
  <c r="BD2951" i="118" s="1"/>
  <c r="BG2951" i="118" s="1"/>
  <c r="BH2854" i="118"/>
  <c r="BH2855" i="118"/>
  <c r="BH2856" i="118"/>
  <c r="BH2857" i="118"/>
  <c r="BH2921" i="118"/>
  <c r="BH2920" i="118"/>
  <c r="AJ2918" i="118"/>
  <c r="BD2918" i="118" s="1"/>
  <c r="BG2918" i="118" s="1"/>
  <c r="AJ2916" i="118"/>
  <c r="BD2916" i="118" s="1"/>
  <c r="BG2916" i="118" s="1"/>
  <c r="BH2915" i="118"/>
  <c r="BH2914" i="118"/>
  <c r="AJ2913" i="118"/>
  <c r="BD2913" i="118" s="1"/>
  <c r="BG2913" i="118" s="1"/>
  <c r="AJ2912" i="118"/>
  <c r="BD2912" i="118" s="1"/>
  <c r="BG2912" i="118" s="1"/>
  <c r="AJ2903" i="118"/>
  <c r="BD2903" i="118" s="1"/>
  <c r="BG2903" i="118" s="1"/>
  <c r="AJ2878" i="118"/>
  <c r="BD2878" i="118" s="1"/>
  <c r="BG2878" i="118" s="1"/>
  <c r="AJ2875" i="118"/>
  <c r="BD2875" i="118" s="1"/>
  <c r="BH2872" i="118"/>
  <c r="AJ2865" i="118"/>
  <c r="BD2865" i="118" s="1"/>
  <c r="BG2865" i="118" s="1"/>
  <c r="AJ2863" i="118"/>
  <c r="BD2863" i="118" s="1"/>
  <c r="BG2863" i="118" s="1"/>
  <c r="BE2493" i="118"/>
  <c r="BH2400" i="118"/>
  <c r="BH2397" i="118"/>
  <c r="BH2398" i="118"/>
  <c r="BH2399" i="118"/>
  <c r="AJ2457" i="118"/>
  <c r="BD2457" i="118" s="1"/>
  <c r="BG2457" i="118" s="1"/>
  <c r="AJ2455" i="118"/>
  <c r="BD2455" i="118" s="1"/>
  <c r="BG2455" i="118" s="1"/>
  <c r="AJ2453" i="118"/>
  <c r="BD2453" i="118" s="1"/>
  <c r="BG2453" i="118" s="1"/>
  <c r="AJ2449" i="118"/>
  <c r="BD2449" i="118" s="1"/>
  <c r="BG2449" i="118" s="1"/>
  <c r="BH2447" i="118"/>
  <c r="AJ2416" i="118"/>
  <c r="BD2416" i="118" s="1"/>
  <c r="BG2416" i="118" s="1"/>
  <c r="AJ2409" i="118"/>
  <c r="BD2409" i="118" s="1"/>
  <c r="BG2409" i="118" s="1"/>
  <c r="BH2407" i="118"/>
  <c r="BH2760" i="118"/>
  <c r="BH2639" i="118"/>
  <c r="BH2640" i="118"/>
  <c r="BH2641" i="118"/>
  <c r="AJ2714" i="118"/>
  <c r="BD2714" i="118" s="1"/>
  <c r="BG2714" i="118" s="1"/>
  <c r="AJ2708" i="118"/>
  <c r="BD2708" i="118" s="1"/>
  <c r="BG2708" i="118" s="1"/>
  <c r="AJ2666" i="118"/>
  <c r="BD2666" i="118" s="1"/>
  <c r="BG2666" i="118" s="1"/>
  <c r="AJ2645" i="118"/>
  <c r="BD2645" i="118" s="1"/>
  <c r="BG2645" i="118" s="1"/>
  <c r="AJ2644" i="118"/>
  <c r="BD2644" i="118" s="1"/>
  <c r="BG2644" i="118" s="1"/>
  <c r="AJ2088" i="118"/>
  <c r="BD2088" i="118" s="1"/>
  <c r="BG2088" i="118" s="1"/>
  <c r="AJ2082" i="118"/>
  <c r="BD2082" i="118" s="1"/>
  <c r="BG2082" i="118" s="1"/>
  <c r="AJ2081" i="118"/>
  <c r="BD2081" i="118" s="1"/>
  <c r="BG2081" i="118" s="1"/>
  <c r="AJ2078" i="118"/>
  <c r="BD2078" i="118" s="1"/>
  <c r="BG2078" i="118" s="1"/>
  <c r="AJ2077" i="118"/>
  <c r="BD2077" i="118" s="1"/>
  <c r="BG2077" i="118" s="1"/>
  <c r="AJ2037" i="118"/>
  <c r="BD2037" i="118" s="1"/>
  <c r="BG2037" i="118" s="1"/>
  <c r="AJ2032" i="118"/>
  <c r="BD2032" i="118" s="1"/>
  <c r="BG2032" i="118" s="1"/>
  <c r="AJ2011" i="118"/>
  <c r="BD2011" i="118" s="1"/>
  <c r="BG2011" i="118" s="1"/>
  <c r="AJ2008" i="118"/>
  <c r="BD2008" i="118" s="1"/>
  <c r="BG2008" i="118" s="1"/>
  <c r="AJ2006" i="118"/>
  <c r="BD2006" i="118" s="1"/>
  <c r="BG2006" i="118" s="1"/>
  <c r="AJ2004" i="118"/>
  <c r="BD2004" i="118" s="1"/>
  <c r="BG2004" i="118" s="1"/>
  <c r="AJ1999" i="118"/>
  <c r="BD1999" i="118" s="1"/>
  <c r="BG1999" i="118" s="1"/>
  <c r="AJ1991" i="118"/>
  <c r="BD1991" i="118" s="1"/>
  <c r="BG1991" i="118" s="1"/>
  <c r="AJ1986" i="118"/>
  <c r="BD1986" i="118" s="1"/>
  <c r="BG1986" i="118" s="1"/>
  <c r="AJ1979" i="118"/>
  <c r="BD1979" i="118" s="1"/>
  <c r="BG1979" i="118" s="1"/>
  <c r="BH2087" i="118"/>
  <c r="BE2003" i="118"/>
  <c r="AJ1856" i="118"/>
  <c r="BD1856" i="118" s="1"/>
  <c r="AJ1875" i="118"/>
  <c r="BD1875" i="118" s="1"/>
  <c r="AJ1876" i="118"/>
  <c r="BD1876" i="118" s="1"/>
  <c r="BG1876" i="118" s="1"/>
  <c r="AJ1878" i="118"/>
  <c r="BD1878" i="118" s="1"/>
  <c r="AJ1889" i="118"/>
  <c r="BD1889" i="118" s="1"/>
  <c r="BG1889" i="118" s="1"/>
  <c r="AJ3112" i="118"/>
  <c r="BD3112" i="118" s="1"/>
  <c r="BG3112" i="118" s="1"/>
  <c r="AJ3107" i="118"/>
  <c r="BD3107" i="118" s="1"/>
  <c r="BG3107" i="118" s="1"/>
  <c r="BI3107" i="118" s="1"/>
  <c r="AJ3104" i="118"/>
  <c r="BD3104" i="118" s="1"/>
  <c r="BG3104" i="118" s="1"/>
  <c r="AJ3093" i="118"/>
  <c r="BD3093" i="118" s="1"/>
  <c r="BG3093" i="118" s="1"/>
  <c r="AJ3079" i="118"/>
  <c r="BD3079" i="118" s="1"/>
  <c r="BG3079" i="118" s="1"/>
  <c r="AJ3028" i="118"/>
  <c r="BD3028" i="118" s="1"/>
  <c r="BG3028" i="118" s="1"/>
  <c r="BH3026" i="118"/>
  <c r="AJ3065" i="118"/>
  <c r="BD3065" i="118" s="1"/>
  <c r="BG3065" i="118" s="1"/>
  <c r="AJ3064" i="118"/>
  <c r="BD3064" i="118" s="1"/>
  <c r="BG3064" i="118" s="1"/>
  <c r="AJ3062" i="118"/>
  <c r="BD3062" i="118" s="1"/>
  <c r="BG3062" i="118" s="1"/>
  <c r="AJ3057" i="118"/>
  <c r="BD3057" i="118" s="1"/>
  <c r="BG3057" i="118" s="1"/>
  <c r="AJ3053" i="118"/>
  <c r="BD3053" i="118" s="1"/>
  <c r="BG3053" i="118" s="1"/>
  <c r="AJ3044" i="118"/>
  <c r="BD3044" i="118" s="1"/>
  <c r="BG3044" i="118" s="1"/>
  <c r="AJ3041" i="118"/>
  <c r="BD3041" i="118" s="1"/>
  <c r="BG3041" i="118" s="1"/>
  <c r="AJ3034" i="118"/>
  <c r="BD3034" i="118" s="1"/>
  <c r="BG3034" i="118" s="1"/>
  <c r="BH3029" i="118"/>
  <c r="AJ1823" i="118"/>
  <c r="BD1823" i="118" s="1"/>
  <c r="BG1823" i="118" s="1"/>
  <c r="AJ1820" i="118"/>
  <c r="BD1820" i="118" s="1"/>
  <c r="BG1820" i="118" s="1"/>
  <c r="AJ1815" i="118"/>
  <c r="BD1815" i="118" s="1"/>
  <c r="BG1815" i="118" s="1"/>
  <c r="AJ1812" i="118"/>
  <c r="BD1812" i="118" s="1"/>
  <c r="BG1812" i="118" s="1"/>
  <c r="AJ1810" i="118"/>
  <c r="BD1810" i="118" s="1"/>
  <c r="BG1810" i="118" s="1"/>
  <c r="AJ1805" i="118"/>
  <c r="BD1805" i="118" s="1"/>
  <c r="BG1805" i="118" s="1"/>
  <c r="AJ1803" i="118"/>
  <c r="BD1803" i="118" s="1"/>
  <c r="BG1803" i="118" s="1"/>
  <c r="AJ1801" i="118"/>
  <c r="BD1801" i="118" s="1"/>
  <c r="BG1801" i="118" s="1"/>
  <c r="AJ1795" i="118"/>
  <c r="BD1795" i="118" s="1"/>
  <c r="AJ1787" i="118"/>
  <c r="BD1787" i="118" s="1"/>
  <c r="BG1787" i="118" s="1"/>
  <c r="AJ1772" i="118"/>
  <c r="BD1772" i="118" s="1"/>
  <c r="BG1772" i="118" s="1"/>
  <c r="AJ1770" i="118"/>
  <c r="BD1770" i="118" s="1"/>
  <c r="BG1770" i="118" s="1"/>
  <c r="AJ1769" i="118"/>
  <c r="BD1769" i="118" s="1"/>
  <c r="BG1769" i="118" s="1"/>
  <c r="AJ1767" i="118"/>
  <c r="BD1767" i="118" s="1"/>
  <c r="BG1767" i="118" s="1"/>
  <c r="AJ1765" i="118"/>
  <c r="BD1765" i="118" s="1"/>
  <c r="BG1765" i="118" s="1"/>
  <c r="AJ1762" i="118"/>
  <c r="BD1762" i="118" s="1"/>
  <c r="BG1762" i="118" s="1"/>
  <c r="AJ1759" i="118"/>
  <c r="BD1759" i="118" s="1"/>
  <c r="BG1759" i="118" s="1"/>
  <c r="AJ1754" i="118"/>
  <c r="BD1754" i="118" s="1"/>
  <c r="BG1754" i="118" s="1"/>
  <c r="AJ1751" i="118"/>
  <c r="BD1751" i="118" s="1"/>
  <c r="BG1751" i="118" s="1"/>
  <c r="AJ1749" i="118"/>
  <c r="BD1749" i="118" s="1"/>
  <c r="BG1749" i="118" s="1"/>
  <c r="AJ1109" i="118"/>
  <c r="BD1109" i="118" s="1"/>
  <c r="BG1109" i="118" s="1"/>
  <c r="BI2921" i="118" l="1"/>
  <c r="BI2855" i="118"/>
  <c r="BI2977" i="118"/>
  <c r="BI2407" i="118"/>
  <c r="BI2872" i="118"/>
  <c r="BI2915" i="118"/>
  <c r="BI2920" i="118"/>
  <c r="BI2856" i="118"/>
  <c r="BI2087" i="118"/>
  <c r="BI2854" i="118"/>
  <c r="BI2914" i="118"/>
  <c r="BI2641" i="118"/>
  <c r="BI2639" i="118"/>
  <c r="BI2447" i="118"/>
  <c r="BI2400" i="118"/>
  <c r="BI2399" i="118"/>
  <c r="BI2397" i="118"/>
  <c r="BI2398" i="118"/>
  <c r="BI2760" i="118"/>
  <c r="BI2640" i="118"/>
  <c r="BI3029" i="118"/>
  <c r="BI3026" i="118"/>
  <c r="AJ2882" i="118"/>
  <c r="BD2882" i="118" s="1"/>
  <c r="BG2882" i="118" s="1"/>
  <c r="AJ1190" i="118"/>
  <c r="BD1190" i="118" s="1"/>
  <c r="BH1117" i="118"/>
  <c r="AJ1096" i="118"/>
  <c r="BD1096" i="118" s="1"/>
  <c r="BG1096" i="118" s="1"/>
  <c r="BH1090" i="118"/>
  <c r="AJ1052" i="118"/>
  <c r="BD1052" i="118" s="1"/>
  <c r="BG1052" i="118" s="1"/>
  <c r="AJ1045" i="118"/>
  <c r="BD1045" i="118" s="1"/>
  <c r="BG1045" i="118" s="1"/>
  <c r="AJ1035" i="118"/>
  <c r="BD1035" i="118" s="1"/>
  <c r="BG1035" i="118" s="1"/>
  <c r="AD3294" i="118"/>
  <c r="AJ3129" i="118"/>
  <c r="BD3129" i="118" s="1"/>
  <c r="AJ1026" i="118"/>
  <c r="BD1026" i="118" s="1"/>
  <c r="BG1026" i="118" s="1"/>
  <c r="AJ2835" i="118"/>
  <c r="BD2835" i="118" s="1"/>
  <c r="BG2835" i="118" s="1"/>
  <c r="AJ1615" i="118"/>
  <c r="BD1615" i="118" s="1"/>
  <c r="BG1615" i="118" s="1"/>
  <c r="AJ1610" i="118"/>
  <c r="BD1610" i="118" s="1"/>
  <c r="BG1610" i="118" s="1"/>
  <c r="AJ1606" i="118"/>
  <c r="BD1606" i="118" s="1"/>
  <c r="BG1606" i="118" s="1"/>
  <c r="AJ1597" i="118"/>
  <c r="BD1597" i="118" s="1"/>
  <c r="BG1597" i="118" s="1"/>
  <c r="AJ1218" i="118"/>
  <c r="BD1218" i="118" s="1"/>
  <c r="BG1218" i="118" s="1"/>
  <c r="AJ1217" i="118"/>
  <c r="BD1217" i="118" s="1"/>
  <c r="BG1217" i="118" s="1"/>
  <c r="BE2244" i="118"/>
  <c r="BH2231" i="118"/>
  <c r="BI2231" i="118" s="1"/>
  <c r="BH2163" i="118"/>
  <c r="BH2162" i="118"/>
  <c r="AJ2968" i="118"/>
  <c r="BD2968" i="118" s="1"/>
  <c r="BG2968" i="118" s="1"/>
  <c r="AJ2967" i="118"/>
  <c r="BD2967" i="118" s="1"/>
  <c r="BG2967" i="118" s="1"/>
  <c r="AJ2908" i="118"/>
  <c r="BD2908" i="118" s="1"/>
  <c r="BG2908" i="118" s="1"/>
  <c r="BI2162" i="118" l="1"/>
  <c r="BI1090" i="118"/>
  <c r="BI1117" i="118"/>
  <c r="BI2163" i="118"/>
  <c r="AJ1911" i="118"/>
  <c r="BD1911" i="118" s="1"/>
  <c r="AJ1965" i="118"/>
  <c r="BD1965" i="118" s="1"/>
  <c r="BG1965" i="118" s="1"/>
  <c r="AJ1960" i="118"/>
  <c r="BD1960" i="118" s="1"/>
  <c r="BG1960" i="118" s="1"/>
  <c r="AJ1959" i="118"/>
  <c r="BD1959" i="118" s="1"/>
  <c r="AJ1958" i="118"/>
  <c r="BD1958" i="118" s="1"/>
  <c r="BG1958" i="118" s="1"/>
  <c r="AJ1847" i="118"/>
  <c r="BD1847" i="118" s="1"/>
  <c r="BG1847" i="118" s="1"/>
  <c r="AJ1844" i="118"/>
  <c r="BD1844" i="118" s="1"/>
  <c r="BG1844" i="118" s="1"/>
  <c r="AJ1843" i="118"/>
  <c r="BD1843" i="118" s="1"/>
  <c r="BG1843" i="118" s="1"/>
  <c r="AJ1343" i="118"/>
  <c r="BD1343" i="118" s="1"/>
  <c r="BG1343" i="118" s="1"/>
  <c r="AJ1339" i="118"/>
  <c r="BD1339" i="118" s="1"/>
  <c r="BG1339" i="118" s="1"/>
  <c r="AJ1338" i="118"/>
  <c r="BD1338" i="118" s="1"/>
  <c r="BG1338" i="118" s="1"/>
  <c r="AJ1336" i="118"/>
  <c r="BD1336" i="118" s="1"/>
  <c r="BG1336" i="118" s="1"/>
  <c r="AJ1332" i="118"/>
  <c r="BD1332" i="118" s="1"/>
  <c r="BG1332" i="118" s="1"/>
  <c r="AJ1314" i="118"/>
  <c r="BD1314" i="118" s="1"/>
  <c r="BG1314" i="118" s="1"/>
  <c r="AJ1301" i="118"/>
  <c r="BD1301" i="118" s="1"/>
  <c r="BG1301" i="118" s="1"/>
  <c r="AJ1300" i="118"/>
  <c r="BD1300" i="118" s="1"/>
  <c r="BG1300" i="118" s="1"/>
  <c r="BI1300" i="118" s="1"/>
  <c r="AJ1954" i="118"/>
  <c r="BD1954" i="118" s="1"/>
  <c r="AJ1877" i="118"/>
  <c r="BD1877" i="118" s="1"/>
  <c r="BG1877" i="118" s="1"/>
  <c r="AJ1872" i="118"/>
  <c r="BD1872" i="118" s="1"/>
  <c r="BG1872" i="118" s="1"/>
  <c r="AJ1871" i="118"/>
  <c r="BD1871" i="118" s="1"/>
  <c r="BG1871" i="118" s="1"/>
  <c r="AJ1870" i="118"/>
  <c r="BD1870" i="118" s="1"/>
  <c r="BG1870" i="118" s="1"/>
  <c r="BH1829" i="118"/>
  <c r="AJ1723" i="118"/>
  <c r="BD1723" i="118" s="1"/>
  <c r="BG1723" i="118" s="1"/>
  <c r="AJ1719" i="118"/>
  <c r="BD1719" i="118" s="1"/>
  <c r="BG1719" i="118" s="1"/>
  <c r="AJ1709" i="118"/>
  <c r="BD1709" i="118" s="1"/>
  <c r="BG1709" i="118" s="1"/>
  <c r="AJ1699" i="118"/>
  <c r="BD1699" i="118" s="1"/>
  <c r="BG1699" i="118" s="1"/>
  <c r="BH1692" i="118"/>
  <c r="AJ1688" i="118"/>
  <c r="BD1688" i="118" s="1"/>
  <c r="BG1688" i="118" s="1"/>
  <c r="AJ1686" i="118"/>
  <c r="BD1686" i="118" s="1"/>
  <c r="BG1686" i="118" s="1"/>
  <c r="AJ1684" i="118"/>
  <c r="BD1684" i="118" s="1"/>
  <c r="BG1684" i="118" s="1"/>
  <c r="AJ1679" i="118"/>
  <c r="BD1679" i="118" s="1"/>
  <c r="BG1679" i="118" s="1"/>
  <c r="AJ1671" i="118"/>
  <c r="BD1671" i="118" s="1"/>
  <c r="BG1671" i="118" s="1"/>
  <c r="AJ1665" i="118"/>
  <c r="BD1665" i="118" s="1"/>
  <c r="BG1665" i="118" s="1"/>
  <c r="BI1829" i="118" l="1"/>
  <c r="BI1692" i="118"/>
  <c r="BH2260" i="118"/>
  <c r="BH2261" i="118"/>
  <c r="BI2260" i="118" l="1"/>
  <c r="BH2514" i="118"/>
  <c r="BH2507" i="118"/>
  <c r="BH2391" i="118"/>
  <c r="BH2393" i="118"/>
  <c r="BH1770" i="118"/>
  <c r="AJ1552" i="118"/>
  <c r="BD1552" i="118" s="1"/>
  <c r="BG1552" i="118" s="1"/>
  <c r="AJ1520" i="118"/>
  <c r="BD1520" i="118" s="1"/>
  <c r="BG1520" i="118" s="1"/>
  <c r="AJ1516" i="118"/>
  <c r="BD1516" i="118" s="1"/>
  <c r="BG1516" i="118" s="1"/>
  <c r="BH1511" i="118"/>
  <c r="AJ1506" i="118"/>
  <c r="BD1506" i="118" s="1"/>
  <c r="BG1506" i="118" s="1"/>
  <c r="BH1502" i="118"/>
  <c r="AJ2248" i="118"/>
  <c r="BD2248" i="118" s="1"/>
  <c r="BG2248" i="118" s="1"/>
  <c r="BH1836" i="118"/>
  <c r="BI1836" i="118" l="1"/>
  <c r="BI1511" i="118"/>
  <c r="BI2514" i="118"/>
  <c r="BI2391" i="118"/>
  <c r="BI2507" i="118"/>
  <c r="BI1770" i="118"/>
  <c r="BI1502" i="118"/>
  <c r="BH1439" i="118"/>
  <c r="AJ1432" i="118"/>
  <c r="BD1432" i="118" s="1"/>
  <c r="BG1432" i="118" s="1"/>
  <c r="AJ1429" i="118"/>
  <c r="BD1429" i="118" s="1"/>
  <c r="BG1429" i="118" s="1"/>
  <c r="AJ1428" i="118"/>
  <c r="BD1428" i="118" s="1"/>
  <c r="BG1428" i="118" s="1"/>
  <c r="AJ1418" i="118"/>
  <c r="BD1418" i="118" s="1"/>
  <c r="BG1418" i="118" s="1"/>
  <c r="AJ1414" i="118"/>
  <c r="BD1414" i="118" s="1"/>
  <c r="BG1414" i="118" s="1"/>
  <c r="BH1410" i="118"/>
  <c r="AJ1400" i="118"/>
  <c r="BD1400" i="118" s="1"/>
  <c r="BG1400" i="118" s="1"/>
  <c r="BH2982" i="118"/>
  <c r="AJ1262" i="118"/>
  <c r="BD1262" i="118" s="1"/>
  <c r="BG1262" i="118" s="1"/>
  <c r="AJ1236" i="118"/>
  <c r="BD1236" i="118" s="1"/>
  <c r="BG1236" i="118" s="1"/>
  <c r="BH1219" i="118"/>
  <c r="AJ1214" i="118"/>
  <c r="BD1214" i="118" s="1"/>
  <c r="BG1214" i="118" s="1"/>
  <c r="BD1176" i="118"/>
  <c r="BG1176" i="118" s="1"/>
  <c r="BE1179" i="118"/>
  <c r="AJ1175" i="118"/>
  <c r="BD1175" i="118" s="1"/>
  <c r="BG1175" i="118" s="1"/>
  <c r="AJ1171" i="118"/>
  <c r="BD1171" i="118" s="1"/>
  <c r="BG1171" i="118" s="1"/>
  <c r="AJ1169" i="118"/>
  <c r="BD1169" i="118" s="1"/>
  <c r="BG1169" i="118" s="1"/>
  <c r="BH1163" i="118"/>
  <c r="AJ1160" i="118"/>
  <c r="BD1160" i="118" s="1"/>
  <c r="BG1160" i="118" s="1"/>
  <c r="AJ1154" i="118"/>
  <c r="BD1154" i="118" s="1"/>
  <c r="BG1154" i="118" s="1"/>
  <c r="AJ1149" i="118"/>
  <c r="BD1149" i="118" s="1"/>
  <c r="BG1149" i="118" s="1"/>
  <c r="AJ1119" i="118"/>
  <c r="BD1119" i="118" s="1"/>
  <c r="BG1119" i="118" s="1"/>
  <c r="AJ1115" i="118"/>
  <c r="BD1115" i="118" s="1"/>
  <c r="BG1115" i="118" s="1"/>
  <c r="AJ1112" i="118"/>
  <c r="BD1112" i="118" s="1"/>
  <c r="BG1112" i="118" s="1"/>
  <c r="AJ1107" i="118"/>
  <c r="BD1107" i="118" s="1"/>
  <c r="BG1107" i="118" s="1"/>
  <c r="AJ1037" i="118"/>
  <c r="BD1037" i="118" s="1"/>
  <c r="BG1037" i="118" s="1"/>
  <c r="AJ1032" i="118"/>
  <c r="BD1032" i="118" s="1"/>
  <c r="BG1032" i="118" s="1"/>
  <c r="BH1166" i="118"/>
  <c r="BI2982" i="118" l="1"/>
  <c r="BI1410" i="118"/>
  <c r="BI1439" i="118"/>
  <c r="BI1219" i="118"/>
  <c r="BI1163" i="118"/>
  <c r="BI1166" i="118"/>
  <c r="BH1164" i="118"/>
  <c r="BH1120" i="118"/>
  <c r="BH1119" i="118"/>
  <c r="BH1118" i="118"/>
  <c r="BH1468" i="118"/>
  <c r="BH1469" i="118"/>
  <c r="BH3006" i="118"/>
  <c r="BH3005" i="118"/>
  <c r="BH3004" i="118"/>
  <c r="BH3003" i="118"/>
  <c r="BH3002" i="118"/>
  <c r="I2985" i="118"/>
  <c r="AC2985" i="118" s="1"/>
  <c r="BG2985" i="118" s="1"/>
  <c r="I2949" i="118"/>
  <c r="AC2949" i="118" s="1"/>
  <c r="BG2949" i="118" s="1"/>
  <c r="I2948" i="118"/>
  <c r="AC2948" i="118" s="1"/>
  <c r="BG2948" i="118" s="1"/>
  <c r="I2899" i="118"/>
  <c r="AC2899" i="118" s="1"/>
  <c r="BG2899" i="118" s="1"/>
  <c r="I2885" i="118"/>
  <c r="AC2885" i="118" s="1"/>
  <c r="BG2885" i="118" s="1"/>
  <c r="I2859" i="118"/>
  <c r="AC2859" i="118" s="1"/>
  <c r="BG2859" i="118" s="1"/>
  <c r="I2858" i="118"/>
  <c r="AC2858" i="118" s="1"/>
  <c r="BG2858" i="118" s="1"/>
  <c r="I2857" i="118"/>
  <c r="AC2857" i="118" s="1"/>
  <c r="BG2857" i="118" s="1"/>
  <c r="I2881" i="118"/>
  <c r="AC2881" i="118" s="1"/>
  <c r="BG2881" i="118" s="1"/>
  <c r="I2421" i="118"/>
  <c r="AC2421" i="118" s="1"/>
  <c r="BG2421" i="118" s="1"/>
  <c r="I3389" i="118"/>
  <c r="AC3389" i="118" s="1"/>
  <c r="BG3389" i="118" s="1"/>
  <c r="I3377" i="118"/>
  <c r="AC3377" i="118" s="1"/>
  <c r="BG3377" i="118" s="1"/>
  <c r="I3368" i="118"/>
  <c r="AC3368" i="118" s="1"/>
  <c r="BG3368" i="118" s="1"/>
  <c r="I3365" i="118"/>
  <c r="AC3365" i="118" s="1"/>
  <c r="BG3365" i="118" s="1"/>
  <c r="I3359" i="118"/>
  <c r="AC3359" i="118" s="1"/>
  <c r="BG3359" i="118" s="1"/>
  <c r="I3352" i="118"/>
  <c r="AC3352" i="118" s="1"/>
  <c r="BG3352" i="118" s="1"/>
  <c r="BI3352" i="118" s="1"/>
  <c r="I3187" i="118"/>
  <c r="AC3187" i="118" s="1"/>
  <c r="BG3187" i="118" s="1"/>
  <c r="I3180" i="118"/>
  <c r="AC3180" i="118" s="1"/>
  <c r="BG3180" i="118" s="1"/>
  <c r="I3178" i="118"/>
  <c r="AC3178" i="118" s="1"/>
  <c r="BG3178" i="118" s="1"/>
  <c r="I3177" i="118"/>
  <c r="AC3177" i="118" s="1"/>
  <c r="BG3177" i="118" s="1"/>
  <c r="I3171" i="118"/>
  <c r="AC3171" i="118" s="1"/>
  <c r="BG3171" i="118" s="1"/>
  <c r="I3160" i="118"/>
  <c r="AC3160" i="118" s="1"/>
  <c r="BG3160" i="118" s="1"/>
  <c r="I3153" i="118"/>
  <c r="AC3153" i="118" s="1"/>
  <c r="BG3153" i="118" s="1"/>
  <c r="I3148" i="118"/>
  <c r="AC3148" i="118" s="1"/>
  <c r="BG3148" i="118" s="1"/>
  <c r="I3144" i="118"/>
  <c r="AC3144" i="118" s="1"/>
  <c r="BG3144" i="118" s="1"/>
  <c r="I3287" i="118"/>
  <c r="AC3287" i="118" s="1"/>
  <c r="BG3287" i="118" s="1"/>
  <c r="I3282" i="118"/>
  <c r="AC3282" i="118" s="1"/>
  <c r="BG3282" i="118" s="1"/>
  <c r="I3261" i="118"/>
  <c r="AC3261" i="118" s="1"/>
  <c r="BG3261" i="118" s="1"/>
  <c r="I3264" i="118"/>
  <c r="AC3264" i="118" s="1"/>
  <c r="BG3264" i="118" s="1"/>
  <c r="I3254" i="118"/>
  <c r="AC3254" i="118" s="1"/>
  <c r="BG3254" i="118" s="1"/>
  <c r="I3250" i="118"/>
  <c r="AC3250" i="118" s="1"/>
  <c r="BG3250" i="118" s="1"/>
  <c r="I3249" i="118"/>
  <c r="AC3249" i="118" s="1"/>
  <c r="BG3249" i="118" s="1"/>
  <c r="BH3235" i="118"/>
  <c r="I3241" i="118"/>
  <c r="AC3241" i="118" s="1"/>
  <c r="BG3241" i="118" s="1"/>
  <c r="I3238" i="118"/>
  <c r="AC3238" i="118" s="1"/>
  <c r="BG3238" i="118" s="1"/>
  <c r="I3332" i="118"/>
  <c r="AC3332" i="118" s="1"/>
  <c r="BG3332" i="118" s="1"/>
  <c r="I3329" i="118"/>
  <c r="AC3329" i="118" s="1"/>
  <c r="BG3329" i="118" s="1"/>
  <c r="I3293" i="118"/>
  <c r="AC3293" i="118" s="1"/>
  <c r="BG3293" i="118" s="1"/>
  <c r="I3304" i="118"/>
  <c r="AC3304" i="118" s="1"/>
  <c r="BG3304" i="118" s="1"/>
  <c r="I3297" i="118"/>
  <c r="AC3297" i="118" s="1"/>
  <c r="BG3297" i="118" s="1"/>
  <c r="I3296" i="118"/>
  <c r="AC3296" i="118" s="1"/>
  <c r="BG3296" i="118" s="1"/>
  <c r="I3295" i="118"/>
  <c r="AC3295" i="118" s="1"/>
  <c r="BG3295" i="118" s="1"/>
  <c r="BI3235" i="118" l="1"/>
  <c r="BI1164" i="118"/>
  <c r="BI1120" i="118"/>
  <c r="BI1119" i="118"/>
  <c r="BI1118" i="118"/>
  <c r="BI1468" i="118"/>
  <c r="BI3006" i="118"/>
  <c r="BI3005" i="118"/>
  <c r="BI3004" i="118"/>
  <c r="BI3003" i="118"/>
  <c r="BI3002" i="118"/>
  <c r="I3229" i="118"/>
  <c r="AC3229" i="118" s="1"/>
  <c r="BG3229" i="118" s="1"/>
  <c r="I3227" i="118"/>
  <c r="AC3227" i="118" s="1"/>
  <c r="BG3227" i="118" s="1"/>
  <c r="I3224" i="118"/>
  <c r="AC3224" i="118" s="1"/>
  <c r="BG3224" i="118" s="1"/>
  <c r="I3223" i="118"/>
  <c r="AC3223" i="118" s="1"/>
  <c r="BG3223" i="118" s="1"/>
  <c r="I3200" i="118"/>
  <c r="AC3200" i="118" s="1"/>
  <c r="BG3200" i="118" s="1"/>
  <c r="I3216" i="118"/>
  <c r="AC3216" i="118" s="1"/>
  <c r="BG3216" i="118" s="1"/>
  <c r="I3203" i="118"/>
  <c r="AC3203" i="118" s="1"/>
  <c r="BG3203" i="118" s="1"/>
  <c r="I3195" i="118"/>
  <c r="AC3195" i="118" s="1"/>
  <c r="BG3195" i="118" s="1"/>
  <c r="I3202" i="118"/>
  <c r="AC3202" i="118" s="1"/>
  <c r="BG3202" i="118" s="1"/>
  <c r="I3201" i="118"/>
  <c r="AC3201" i="118" s="1"/>
  <c r="BG3201" i="118" s="1"/>
  <c r="I1028" i="118"/>
  <c r="AC1028" i="118" s="1"/>
  <c r="BG1028" i="118" s="1"/>
  <c r="I1640" i="118"/>
  <c r="AC1640" i="118" s="1"/>
  <c r="BG1640" i="118" s="1"/>
  <c r="I1593" i="118"/>
  <c r="AC1593" i="118" s="1"/>
  <c r="BG1593" i="118" s="1"/>
  <c r="I2387" i="118"/>
  <c r="AC2387" i="118" s="1"/>
  <c r="BG2387" i="118" s="1"/>
  <c r="I2386" i="118"/>
  <c r="AC2386" i="118" s="1"/>
  <c r="BG2386" i="118" s="1"/>
  <c r="I2373" i="118"/>
  <c r="AC2373" i="118" s="1"/>
  <c r="BG2373" i="118" s="1"/>
  <c r="I2372" i="118"/>
  <c r="AC2372" i="118" s="1"/>
  <c r="BG2372" i="118" s="1"/>
  <c r="I2371" i="118"/>
  <c r="AC2371" i="118" s="1"/>
  <c r="BG2371" i="118" s="1"/>
  <c r="I2369" i="118"/>
  <c r="AC2369" i="118" s="1"/>
  <c r="BG2369" i="118" s="1"/>
  <c r="I2366" i="118"/>
  <c r="AC2366" i="118" s="1"/>
  <c r="BG2366" i="118" s="1"/>
  <c r="I1785" i="118"/>
  <c r="AC1785" i="118" s="1"/>
  <c r="BG1785" i="118" s="1"/>
  <c r="I2160" i="118"/>
  <c r="AC2160" i="118" s="1"/>
  <c r="BG2160" i="118" s="1"/>
  <c r="I2135" i="118"/>
  <c r="AC2135" i="118" s="1"/>
  <c r="BG2135" i="118" s="1"/>
  <c r="I1819" i="118"/>
  <c r="AC1819" i="118" s="1"/>
  <c r="BG1819" i="118" s="1"/>
  <c r="I1795" i="118"/>
  <c r="AC1795" i="118" s="1"/>
  <c r="BG1795" i="118" s="1"/>
  <c r="I2958" i="118"/>
  <c r="AC2958" i="118" s="1"/>
  <c r="BG2958" i="118" s="1"/>
  <c r="I2922" i="118"/>
  <c r="AC2922" i="118" s="1"/>
  <c r="BG2922" i="118" s="1"/>
  <c r="I2875" i="118"/>
  <c r="AC2875" i="118" s="1"/>
  <c r="BG2875" i="118" s="1"/>
  <c r="I1954" i="118"/>
  <c r="AC1954" i="118" s="1"/>
  <c r="BG1954" i="118" s="1"/>
  <c r="I1920" i="118"/>
  <c r="AC1920" i="118" s="1"/>
  <c r="BG1920" i="118" s="1"/>
  <c r="I1860" i="118"/>
  <c r="AC1860" i="118" s="1"/>
  <c r="BG1860" i="118" s="1"/>
  <c r="I1856" i="118"/>
  <c r="AC1856" i="118" s="1"/>
  <c r="BG1856" i="118" s="1"/>
  <c r="I1195" i="118"/>
  <c r="AC1195" i="118" s="1"/>
  <c r="BG1195" i="118" s="1"/>
  <c r="I1190" i="118"/>
  <c r="AC1190" i="118" s="1"/>
  <c r="BG1190" i="118" s="1"/>
  <c r="I1157" i="118"/>
  <c r="AC1157" i="118" s="1"/>
  <c r="BG1157" i="118" s="1"/>
  <c r="I1156" i="118"/>
  <c r="AC1156" i="118" s="1"/>
  <c r="BG1156" i="118" s="1"/>
  <c r="I1100" i="118"/>
  <c r="AC1100" i="118" s="1"/>
  <c r="BG1100" i="118" s="1"/>
  <c r="I1043" i="118"/>
  <c r="AC1043" i="118" s="1"/>
  <c r="BG1043" i="118" s="1"/>
  <c r="I1030" i="118"/>
  <c r="AC1030" i="118" s="1"/>
  <c r="BG1030" i="118" s="1"/>
  <c r="J2845" i="118"/>
  <c r="K2845" i="118"/>
  <c r="L2845" i="118"/>
  <c r="M2845" i="118"/>
  <c r="N2845" i="118"/>
  <c r="O2845" i="118"/>
  <c r="P2845" i="118"/>
  <c r="Q2845" i="118"/>
  <c r="R2845" i="118"/>
  <c r="S2845" i="118"/>
  <c r="T2845" i="118"/>
  <c r="U2845" i="118"/>
  <c r="V2845" i="118"/>
  <c r="W2845" i="118"/>
  <c r="X2845" i="118"/>
  <c r="Y2845" i="118"/>
  <c r="Z2845" i="118"/>
  <c r="AA2845" i="118"/>
  <c r="E2845" i="118"/>
  <c r="F2845" i="118"/>
  <c r="G2845" i="118"/>
  <c r="H2845" i="118"/>
  <c r="D2845" i="118"/>
  <c r="AB2845" i="118" l="1"/>
  <c r="I2845" i="118"/>
  <c r="AC2845" i="118" s="1"/>
  <c r="BH3286" i="118"/>
  <c r="BH3279" i="118"/>
  <c r="I3257" i="118"/>
  <c r="AC3257" i="118" s="1"/>
  <c r="BG3257" i="118" s="1"/>
  <c r="BH3324" i="118"/>
  <c r="I3129" i="118"/>
  <c r="AC3129" i="118" s="1"/>
  <c r="BG3129" i="118" s="1"/>
  <c r="I3126" i="118"/>
  <c r="AC3126" i="118" s="1"/>
  <c r="BG3126" i="118" s="1"/>
  <c r="I1875" i="118"/>
  <c r="AC1875" i="118" s="1"/>
  <c r="BG1875" i="118" s="1"/>
  <c r="I1959" i="118"/>
  <c r="AC1959" i="118" s="1"/>
  <c r="BG1959" i="118" s="1"/>
  <c r="I1911" i="118"/>
  <c r="AC1911" i="118" s="1"/>
  <c r="BG1911" i="118" s="1"/>
  <c r="I1878" i="118"/>
  <c r="AC1878" i="118" s="1"/>
  <c r="BG1878" i="118" s="1"/>
  <c r="I1584" i="118"/>
  <c r="AC1584" i="118" s="1"/>
  <c r="BG1584" i="118" s="1"/>
  <c r="I1574" i="118"/>
  <c r="AC1574" i="118" s="1"/>
  <c r="BG1574" i="118" s="1"/>
  <c r="BH3405" i="118"/>
  <c r="BH1895" i="118"/>
  <c r="BH2157" i="118"/>
  <c r="BH3369" i="118"/>
  <c r="BH3221" i="118"/>
  <c r="AD2945" i="118"/>
  <c r="AD3501" i="118"/>
  <c r="AD950" i="118"/>
  <c r="BE939" i="118"/>
  <c r="AD939" i="118"/>
  <c r="BE820" i="118"/>
  <c r="AD820" i="118"/>
  <c r="BE659" i="118"/>
  <c r="BE692" i="118"/>
  <c r="BE550" i="118"/>
  <c r="BE442" i="118"/>
  <c r="BE17" i="118"/>
  <c r="I3777" i="118"/>
  <c r="AC3777" i="118" s="1"/>
  <c r="BG3777" i="118" s="1"/>
  <c r="I3773" i="118"/>
  <c r="AC3773" i="118" s="1"/>
  <c r="BG3773" i="118" s="1"/>
  <c r="I3772" i="118"/>
  <c r="AC3772" i="118" s="1"/>
  <c r="BG3772" i="118" s="1"/>
  <c r="I3771" i="118"/>
  <c r="AC3771" i="118" s="1"/>
  <c r="BG3771" i="118" s="1"/>
  <c r="I3768" i="118"/>
  <c r="AC3768" i="118" s="1"/>
  <c r="BG3768" i="118" s="1"/>
  <c r="I3767" i="118"/>
  <c r="AC3767" i="118" s="1"/>
  <c r="BG3767" i="118" s="1"/>
  <c r="I3764" i="118"/>
  <c r="AC3764" i="118" s="1"/>
  <c r="BG3764" i="118" s="1"/>
  <c r="I3762" i="118"/>
  <c r="AC3762" i="118" s="1"/>
  <c r="BG3762" i="118" s="1"/>
  <c r="I3761" i="118"/>
  <c r="AC3761" i="118" s="1"/>
  <c r="BG3761" i="118" s="1"/>
  <c r="I3759" i="118"/>
  <c r="AC3759" i="118" s="1"/>
  <c r="BG3759" i="118" s="1"/>
  <c r="I3746" i="118"/>
  <c r="AC3746" i="118" s="1"/>
  <c r="BG3746" i="118" s="1"/>
  <c r="I3748" i="118"/>
  <c r="AC3748" i="118" s="1"/>
  <c r="BG3748" i="118" s="1"/>
  <c r="AJ3793" i="118"/>
  <c r="BD3793" i="118" s="1"/>
  <c r="AJ3790" i="118"/>
  <c r="BD3790" i="118" s="1"/>
  <c r="AJ3789" i="118"/>
  <c r="BD3789" i="118" s="1"/>
  <c r="AJ3780" i="118"/>
  <c r="BD3780" i="118" s="1"/>
  <c r="I3794" i="118"/>
  <c r="AC3794" i="118" s="1"/>
  <c r="BG3794" i="118" s="1"/>
  <c r="I3793" i="118"/>
  <c r="AC3793" i="118" s="1"/>
  <c r="I3792" i="118"/>
  <c r="AC3792" i="118" s="1"/>
  <c r="BG3792" i="118" s="1"/>
  <c r="I3791" i="118"/>
  <c r="AC3791" i="118" s="1"/>
  <c r="BG3791" i="118" s="1"/>
  <c r="I3790" i="118"/>
  <c r="AC3790" i="118" s="1"/>
  <c r="I3789" i="118"/>
  <c r="AC3789" i="118" s="1"/>
  <c r="I3780" i="118"/>
  <c r="AC3780" i="118" s="1"/>
  <c r="I3779" i="118"/>
  <c r="AC3779" i="118" s="1"/>
  <c r="BG3779" i="118" s="1"/>
  <c r="I3776" i="118"/>
  <c r="AC3776" i="118" s="1"/>
  <c r="BG3776" i="118" s="1"/>
  <c r="I3755" i="118"/>
  <c r="AC3755" i="118" s="1"/>
  <c r="BG3755" i="118" s="1"/>
  <c r="I3752" i="118"/>
  <c r="AC3752" i="118" s="1"/>
  <c r="BG3752" i="118" s="1"/>
  <c r="I3749" i="118"/>
  <c r="AC3749" i="118" s="1"/>
  <c r="BG3749" i="118" s="1"/>
  <c r="BG3780" i="118" l="1"/>
  <c r="BG3790" i="118"/>
  <c r="BG3789" i="118"/>
  <c r="BG3793" i="118"/>
  <c r="BI3279" i="118"/>
  <c r="BI3286" i="118"/>
  <c r="BI3324" i="118"/>
  <c r="BI3369" i="118"/>
  <c r="BI3405" i="118"/>
  <c r="BI3221" i="118"/>
  <c r="BI1895" i="118"/>
  <c r="BI2157" i="118"/>
  <c r="AJ60" i="118"/>
  <c r="BD60" i="118" s="1"/>
  <c r="BG60" i="118" s="1"/>
  <c r="AI60" i="118"/>
  <c r="BC60" i="118" s="1"/>
  <c r="BF60" i="118" s="1"/>
  <c r="AJ877" i="118"/>
  <c r="BD877" i="118" s="1"/>
  <c r="BG877" i="118" s="1"/>
  <c r="AI877" i="118"/>
  <c r="BC877" i="118" s="1"/>
  <c r="BF877" i="118" s="1"/>
  <c r="AJ390" i="118"/>
  <c r="BD390" i="118" s="1"/>
  <c r="BG390" i="118" s="1"/>
  <c r="AI390" i="118"/>
  <c r="BC390" i="118" s="1"/>
  <c r="BF390" i="118" s="1"/>
  <c r="BE532" i="118"/>
  <c r="BE531" i="118"/>
  <c r="AJ530" i="118"/>
  <c r="BD530" i="118" s="1"/>
  <c r="BG530" i="118" s="1"/>
  <c r="AI530" i="118"/>
  <c r="BC530" i="118" s="1"/>
  <c r="BF530" i="118" s="1"/>
  <c r="AJ528" i="118"/>
  <c r="BD528" i="118" s="1"/>
  <c r="BG528" i="118" s="1"/>
  <c r="AI528" i="118"/>
  <c r="BC528" i="118" s="1"/>
  <c r="BF528" i="118" s="1"/>
  <c r="AJ526" i="118"/>
  <c r="BD526" i="118" s="1"/>
  <c r="BG526" i="118" s="1"/>
  <c r="AI526" i="118"/>
  <c r="BC526" i="118" s="1"/>
  <c r="BF526" i="118" s="1"/>
  <c r="BE522" i="118"/>
  <c r="AJ522" i="118"/>
  <c r="BD522" i="118" s="1"/>
  <c r="BG522" i="118" s="1"/>
  <c r="AI522" i="118"/>
  <c r="BC522" i="118" s="1"/>
  <c r="BF522" i="118" s="1"/>
  <c r="AJ518" i="118"/>
  <c r="BD518" i="118" s="1"/>
  <c r="BG518" i="118" s="1"/>
  <c r="AI518" i="118"/>
  <c r="BC518" i="118" s="1"/>
  <c r="BF518" i="118" s="1"/>
  <c r="AJ514" i="118"/>
  <c r="BD514" i="118" s="1"/>
  <c r="BG514" i="118" s="1"/>
  <c r="AI514" i="118"/>
  <c r="BC514" i="118" s="1"/>
  <c r="BF514" i="118" s="1"/>
  <c r="AJ512" i="118"/>
  <c r="BD512" i="118" s="1"/>
  <c r="BG512" i="118" s="1"/>
  <c r="AI512" i="118"/>
  <c r="BC512" i="118" s="1"/>
  <c r="BF512" i="118" s="1"/>
  <c r="AJ511" i="118"/>
  <c r="BD511" i="118" s="1"/>
  <c r="BG511" i="118" s="1"/>
  <c r="AI511" i="118"/>
  <c r="BC511" i="118" s="1"/>
  <c r="BF511" i="118" s="1"/>
  <c r="AJ564" i="118"/>
  <c r="BD564" i="118" s="1"/>
  <c r="BG564" i="118" s="1"/>
  <c r="AI564" i="118"/>
  <c r="BC564" i="118" s="1"/>
  <c r="BF564" i="118" s="1"/>
  <c r="AJ123" i="118"/>
  <c r="BD123" i="118" s="1"/>
  <c r="BG123" i="118" s="1"/>
  <c r="AI123" i="118"/>
  <c r="BC123" i="118" s="1"/>
  <c r="BF123" i="118" s="1"/>
  <c r="AJ59" i="118"/>
  <c r="BD59" i="118" s="1"/>
  <c r="BG59" i="118" s="1"/>
  <c r="AI59" i="118"/>
  <c r="BC59" i="118" s="1"/>
  <c r="BF59" i="118" s="1"/>
  <c r="AJ92" i="118"/>
  <c r="BD92" i="118" s="1"/>
  <c r="BG92" i="118" s="1"/>
  <c r="AI92" i="118"/>
  <c r="BC92" i="118" s="1"/>
  <c r="BF92" i="118" s="1"/>
  <c r="AJ760" i="118"/>
  <c r="BD760" i="118" s="1"/>
  <c r="BG760" i="118" s="1"/>
  <c r="AI760" i="118"/>
  <c r="BC760" i="118" s="1"/>
  <c r="BF760" i="118" s="1"/>
  <c r="BE629" i="118"/>
  <c r="BE628" i="118"/>
  <c r="AD628" i="118"/>
  <c r="BH112" i="118"/>
  <c r="BH614" i="118" l="1"/>
  <c r="BH563" i="118"/>
  <c r="BH565" i="118"/>
  <c r="AJ542" i="118"/>
  <c r="BD542" i="118" s="1"/>
  <c r="BG542" i="118" s="1"/>
  <c r="AI542" i="118"/>
  <c r="BC542" i="118" s="1"/>
  <c r="BF542" i="118" s="1"/>
  <c r="BH482" i="118"/>
  <c r="BE476" i="118"/>
  <c r="BH470" i="118"/>
  <c r="BH468" i="118"/>
  <c r="BI468" i="118" s="1"/>
  <c r="BH457" i="118"/>
  <c r="AJ191" i="118"/>
  <c r="BD191" i="118" s="1"/>
  <c r="BG191" i="118" s="1"/>
  <c r="AI191" i="118"/>
  <c r="BC191" i="118" s="1"/>
  <c r="BF191" i="118" s="1"/>
  <c r="AJ441" i="118"/>
  <c r="BD441" i="118" s="1"/>
  <c r="BG441" i="118" s="1"/>
  <c r="AI441" i="118"/>
  <c r="BC441" i="118" s="1"/>
  <c r="BF441" i="118" s="1"/>
  <c r="BH435" i="118"/>
  <c r="BH397" i="118"/>
  <c r="BH381" i="118"/>
  <c r="BI381" i="118" l="1"/>
  <c r="BI482" i="118"/>
  <c r="BI563" i="118"/>
  <c r="BI614" i="118"/>
  <c r="BI457" i="118"/>
  <c r="BI435" i="118"/>
  <c r="BI470" i="118"/>
  <c r="BI397" i="118"/>
  <c r="BE143" i="118"/>
  <c r="AJ56" i="118"/>
  <c r="BD56" i="118" s="1"/>
  <c r="BG56" i="118" s="1"/>
  <c r="AI56" i="118"/>
  <c r="BC56" i="118" s="1"/>
  <c r="BF56" i="118" s="1"/>
  <c r="AJ823" i="118"/>
  <c r="BD823" i="118" s="1"/>
  <c r="BG823" i="118" s="1"/>
  <c r="AI823" i="118"/>
  <c r="BC823" i="118" s="1"/>
  <c r="BF823" i="118" s="1"/>
  <c r="AJ791" i="118"/>
  <c r="BD791" i="118" s="1"/>
  <c r="BG791" i="118" s="1"/>
  <c r="AI791" i="118"/>
  <c r="BC791" i="118" s="1"/>
  <c r="BF791" i="118" s="1"/>
  <c r="BE513" i="118"/>
  <c r="BE123" i="118" l="1"/>
  <c r="BE122" i="118"/>
  <c r="AD122" i="118"/>
  <c r="I122" i="118"/>
  <c r="AC122" i="118" s="1"/>
  <c r="BG122" i="118" s="1"/>
  <c r="H122" i="118"/>
  <c r="AB122" i="118" s="1"/>
  <c r="BF122" i="118" s="1"/>
  <c r="BD838" i="118"/>
  <c r="BG838" i="118" s="1"/>
  <c r="BC838" i="118"/>
  <c r="BF838" i="118" s="1"/>
  <c r="BE838" i="118"/>
  <c r="BH797" i="118"/>
  <c r="BE752" i="118"/>
  <c r="BE639" i="118"/>
  <c r="BI797" i="118" l="1"/>
  <c r="H437" i="118"/>
  <c r="AB437" i="118" s="1"/>
  <c r="BF437" i="118" s="1"/>
  <c r="I437" i="118"/>
  <c r="AC437" i="118" s="1"/>
  <c r="BG437" i="118" s="1"/>
  <c r="BH775" i="118"/>
  <c r="BH776" i="118"/>
  <c r="AC979" i="118"/>
  <c r="BG979" i="118" s="1"/>
  <c r="AB979" i="118"/>
  <c r="BF979" i="118" s="1"/>
  <c r="AC962" i="118"/>
  <c r="BG962" i="118" s="1"/>
  <c r="AB962" i="118"/>
  <c r="BF962" i="118" s="1"/>
  <c r="AC975" i="118"/>
  <c r="BG975" i="118" s="1"/>
  <c r="AB975" i="118"/>
  <c r="BF975" i="118" s="1"/>
  <c r="AC971" i="118"/>
  <c r="BG971" i="118" s="1"/>
  <c r="AB971" i="118"/>
  <c r="BF971" i="118" s="1"/>
  <c r="AC969" i="118"/>
  <c r="BG969" i="118" s="1"/>
  <c r="AB969" i="118"/>
  <c r="BF969" i="118" s="1"/>
  <c r="BH387" i="118"/>
  <c r="I181" i="118"/>
  <c r="AC181" i="118" s="1"/>
  <c r="BG181" i="118" s="1"/>
  <c r="H181" i="118"/>
  <c r="AB181" i="118" s="1"/>
  <c r="BF181" i="118" s="1"/>
  <c r="BH413" i="118"/>
  <c r="AC750" i="118"/>
  <c r="BG750" i="118" s="1"/>
  <c r="AB750" i="118"/>
  <c r="BF750" i="118" s="1"/>
  <c r="BH709" i="118"/>
  <c r="BH956" i="118"/>
  <c r="BI956" i="118" s="1"/>
  <c r="BH969" i="118"/>
  <c r="BH1001" i="118"/>
  <c r="BI1001" i="118" s="1"/>
  <c r="BH941" i="118"/>
  <c r="BI941" i="118" s="1"/>
  <c r="BH980" i="118"/>
  <c r="BI980" i="118" s="1"/>
  <c r="BH935" i="118"/>
  <c r="BI3807" i="118"/>
  <c r="BD12" i="118"/>
  <c r="BD14" i="118"/>
  <c r="AC12" i="118"/>
  <c r="AC14" i="118"/>
  <c r="AC15" i="118"/>
  <c r="BG15" i="118" s="1"/>
  <c r="AB12" i="118"/>
  <c r="AB14" i="118"/>
  <c r="AB15" i="118"/>
  <c r="BF15" i="118" s="1"/>
  <c r="BC12" i="118"/>
  <c r="BC14" i="118"/>
  <c r="AI997" i="118"/>
  <c r="AI978" i="118"/>
  <c r="AI976" i="118"/>
  <c r="AI963" i="118"/>
  <c r="AI954" i="118"/>
  <c r="AI947" i="118"/>
  <c r="AI934" i="118"/>
  <c r="AI771" i="118"/>
  <c r="AI765" i="118"/>
  <c r="AI627" i="118"/>
  <c r="AI561" i="118"/>
  <c r="AI446" i="118"/>
  <c r="AI114" i="118"/>
  <c r="AI91" i="118"/>
  <c r="AI10" i="118"/>
  <c r="AG997" i="118"/>
  <c r="AG978" i="118"/>
  <c r="AG976" i="118"/>
  <c r="AG963" i="118"/>
  <c r="AG954" i="118"/>
  <c r="AG947" i="118"/>
  <c r="AG934" i="118"/>
  <c r="AG771" i="118"/>
  <c r="AG765" i="118"/>
  <c r="AG627" i="118"/>
  <c r="AG561" i="118"/>
  <c r="AG446" i="118"/>
  <c r="AG114" i="118"/>
  <c r="AG91" i="118"/>
  <c r="AG10" i="118"/>
  <c r="AE997" i="118"/>
  <c r="AE978" i="118"/>
  <c r="AE976" i="118"/>
  <c r="AE963" i="118"/>
  <c r="AE954" i="118"/>
  <c r="AE947" i="118"/>
  <c r="AE934" i="118"/>
  <c r="AE771" i="118"/>
  <c r="AE765" i="118"/>
  <c r="AE627" i="118"/>
  <c r="AE561" i="118"/>
  <c r="AE446" i="118"/>
  <c r="AE114" i="118"/>
  <c r="AE91" i="118"/>
  <c r="AE10" i="118"/>
  <c r="Z997" i="118"/>
  <c r="Z978" i="118"/>
  <c r="Z976" i="118"/>
  <c r="Z963" i="118"/>
  <c r="Z954" i="118"/>
  <c r="Z947" i="118"/>
  <c r="Z934" i="118"/>
  <c r="Z771" i="118"/>
  <c r="Z765" i="118"/>
  <c r="Z627" i="118"/>
  <c r="Z561" i="118"/>
  <c r="Z446" i="118"/>
  <c r="Z114" i="118"/>
  <c r="Z91" i="118"/>
  <c r="Z10" i="118"/>
  <c r="X997" i="118"/>
  <c r="X978" i="118"/>
  <c r="X976" i="118"/>
  <c r="X963" i="118"/>
  <c r="X954" i="118"/>
  <c r="X947" i="118"/>
  <c r="X934" i="118"/>
  <c r="X771" i="118"/>
  <c r="X765" i="118"/>
  <c r="X627" i="118"/>
  <c r="X561" i="118"/>
  <c r="X446" i="118"/>
  <c r="X114" i="118"/>
  <c r="X91" i="118"/>
  <c r="X10" i="118"/>
  <c r="V997" i="118"/>
  <c r="V978" i="118"/>
  <c r="V976" i="118"/>
  <c r="V963" i="118"/>
  <c r="V954" i="118"/>
  <c r="V947" i="118"/>
  <c r="V934" i="118"/>
  <c r="V771" i="118"/>
  <c r="V765" i="118"/>
  <c r="V627" i="118"/>
  <c r="V561" i="118"/>
  <c r="V446" i="118"/>
  <c r="V114" i="118"/>
  <c r="V91" i="118"/>
  <c r="V10" i="118"/>
  <c r="T997" i="118"/>
  <c r="T978" i="118"/>
  <c r="T976" i="118"/>
  <c r="T963" i="118"/>
  <c r="T954" i="118"/>
  <c r="T947" i="118"/>
  <c r="T934" i="118"/>
  <c r="T771" i="118"/>
  <c r="T765" i="118"/>
  <c r="T627" i="118"/>
  <c r="T561" i="118"/>
  <c r="T446" i="118"/>
  <c r="T114" i="118"/>
  <c r="T91" i="118"/>
  <c r="T10" i="118"/>
  <c r="R997" i="118"/>
  <c r="R978" i="118"/>
  <c r="R976" i="118"/>
  <c r="R963" i="118"/>
  <c r="R954" i="118"/>
  <c r="R947" i="118"/>
  <c r="R934" i="118"/>
  <c r="R771" i="118"/>
  <c r="R765" i="118"/>
  <c r="R627" i="118"/>
  <c r="R561" i="118"/>
  <c r="R446" i="118"/>
  <c r="R114" i="118"/>
  <c r="R91" i="118"/>
  <c r="R10" i="118"/>
  <c r="P997" i="118"/>
  <c r="P978" i="118"/>
  <c r="P976" i="118"/>
  <c r="P963" i="118"/>
  <c r="P954" i="118"/>
  <c r="P947" i="118"/>
  <c r="P934" i="118"/>
  <c r="P771" i="118"/>
  <c r="P765" i="118"/>
  <c r="P627" i="118"/>
  <c r="P561" i="118"/>
  <c r="P446" i="118"/>
  <c r="P114" i="118"/>
  <c r="P91" i="118"/>
  <c r="P10" i="118"/>
  <c r="N997" i="118"/>
  <c r="N978" i="118"/>
  <c r="N976" i="118"/>
  <c r="N963" i="118"/>
  <c r="N954" i="118"/>
  <c r="N947" i="118"/>
  <c r="N934" i="118"/>
  <c r="N771" i="118"/>
  <c r="N765" i="118"/>
  <c r="N627" i="118"/>
  <c r="N561" i="118"/>
  <c r="N446" i="118"/>
  <c r="N114" i="118"/>
  <c r="N91" i="118"/>
  <c r="N10" i="118"/>
  <c r="L997" i="118"/>
  <c r="L978" i="118"/>
  <c r="L976" i="118"/>
  <c r="L963" i="118"/>
  <c r="L954" i="118"/>
  <c r="L947" i="118"/>
  <c r="L934" i="118"/>
  <c r="L771" i="118"/>
  <c r="L765" i="118"/>
  <c r="L627" i="118"/>
  <c r="L561" i="118"/>
  <c r="L446" i="118"/>
  <c r="L114" i="118"/>
  <c r="L91" i="118"/>
  <c r="L10" i="118"/>
  <c r="J997" i="118"/>
  <c r="J978" i="118"/>
  <c r="J976" i="118"/>
  <c r="J963" i="118"/>
  <c r="J954" i="118"/>
  <c r="J947" i="118"/>
  <c r="J934" i="118"/>
  <c r="J771" i="118"/>
  <c r="J765" i="118"/>
  <c r="J627" i="118"/>
  <c r="J561" i="118"/>
  <c r="J446" i="118"/>
  <c r="J114" i="118"/>
  <c r="J91" i="118"/>
  <c r="J10" i="118"/>
  <c r="H997" i="118"/>
  <c r="H976" i="118"/>
  <c r="H947" i="118"/>
  <c r="H934" i="118"/>
  <c r="H771" i="118"/>
  <c r="H765" i="118"/>
  <c r="H561" i="118"/>
  <c r="H446" i="118"/>
  <c r="H91" i="118"/>
  <c r="H10" i="118"/>
  <c r="F997" i="118"/>
  <c r="F978" i="118"/>
  <c r="F976" i="118"/>
  <c r="F963" i="118"/>
  <c r="F954" i="118"/>
  <c r="F947" i="118"/>
  <c r="F934" i="118"/>
  <c r="F771" i="118"/>
  <c r="F765" i="118"/>
  <c r="F627" i="118"/>
  <c r="F561" i="118"/>
  <c r="F446" i="118"/>
  <c r="F114" i="118"/>
  <c r="F91" i="118"/>
  <c r="F10" i="118"/>
  <c r="D997" i="118"/>
  <c r="D978" i="118"/>
  <c r="D976" i="118"/>
  <c r="D963" i="118"/>
  <c r="D954" i="118"/>
  <c r="D947" i="118"/>
  <c r="D934" i="118"/>
  <c r="D771" i="118"/>
  <c r="D765" i="118"/>
  <c r="D627" i="118"/>
  <c r="D561" i="118"/>
  <c r="D446" i="118"/>
  <c r="D114" i="118"/>
  <c r="D91" i="118"/>
  <c r="D10" i="118"/>
  <c r="BH191" i="118"/>
  <c r="BG14" i="118" l="1"/>
  <c r="AB91" i="118"/>
  <c r="AB446" i="118"/>
  <c r="AB771" i="118"/>
  <c r="AB947" i="118"/>
  <c r="BC561" i="118"/>
  <c r="BC765" i="118"/>
  <c r="BC934" i="118"/>
  <c r="BC954" i="118"/>
  <c r="BC976" i="118"/>
  <c r="BC997" i="118"/>
  <c r="AB627" i="118"/>
  <c r="BC114" i="118"/>
  <c r="AB765" i="118"/>
  <c r="AB934" i="118"/>
  <c r="AB976" i="118"/>
  <c r="BF976" i="118" s="1"/>
  <c r="AB997" i="118"/>
  <c r="H114" i="118"/>
  <c r="AB114" i="118" s="1"/>
  <c r="AB561" i="118"/>
  <c r="BC91" i="118"/>
  <c r="BC947" i="118"/>
  <c r="BC963" i="118"/>
  <c r="BC978" i="118"/>
  <c r="BC446" i="118"/>
  <c r="BC627" i="118"/>
  <c r="BC771" i="118"/>
  <c r="BF771" i="118" s="1"/>
  <c r="BF14" i="118"/>
  <c r="H954" i="118"/>
  <c r="AB954" i="118" s="1"/>
  <c r="H963" i="118"/>
  <c r="AB963" i="118" s="1"/>
  <c r="H978" i="118"/>
  <c r="AB978" i="118" s="1"/>
  <c r="BI776" i="118"/>
  <c r="BI565" i="118"/>
  <c r="BI112" i="118"/>
  <c r="BF12" i="118"/>
  <c r="BI387" i="118"/>
  <c r="BI775" i="118"/>
  <c r="BI413" i="118"/>
  <c r="F933" i="118"/>
  <c r="D933" i="118"/>
  <c r="BI935" i="118"/>
  <c r="BI969" i="118"/>
  <c r="BI709" i="118"/>
  <c r="AB10" i="118"/>
  <c r="L933" i="118"/>
  <c r="P933" i="118"/>
  <c r="T933" i="118"/>
  <c r="X933" i="118"/>
  <c r="BC10" i="118"/>
  <c r="AE933" i="118"/>
  <c r="AI933" i="118"/>
  <c r="J933" i="118"/>
  <c r="N933" i="118"/>
  <c r="R933" i="118"/>
  <c r="V933" i="118"/>
  <c r="Z933" i="118"/>
  <c r="AG933" i="118"/>
  <c r="BI191" i="118"/>
  <c r="BE2322" i="118"/>
  <c r="BE1661" i="118"/>
  <c r="BE1843" i="118"/>
  <c r="AD1658" i="118"/>
  <c r="BF91" i="118" l="1"/>
  <c r="BF947" i="118"/>
  <c r="BF446" i="118"/>
  <c r="BF997" i="118"/>
  <c r="BF765" i="118"/>
  <c r="BF954" i="118"/>
  <c r="BF963" i="118"/>
  <c r="BF627" i="118"/>
  <c r="BF561" i="118"/>
  <c r="BF934" i="118"/>
  <c r="BF978" i="118"/>
  <c r="BF114" i="118"/>
  <c r="BC933" i="118"/>
  <c r="H933" i="118"/>
  <c r="AB933" i="118" s="1"/>
  <c r="BC3802" i="118"/>
  <c r="AB3802" i="118"/>
  <c r="BF10" i="118"/>
  <c r="BF933" i="118" l="1"/>
  <c r="BC3822" i="118"/>
  <c r="AB3822" i="118"/>
  <c r="BF3802" i="118"/>
  <c r="BF3822" i="118" s="1"/>
  <c r="V3820" i="118" l="1"/>
  <c r="W3820" i="118"/>
  <c r="X3820" i="118"/>
  <c r="Y3820" i="118"/>
  <c r="V3800" i="118"/>
  <c r="W3800" i="118"/>
  <c r="X3800" i="118"/>
  <c r="Y3800" i="118"/>
  <c r="Z3800" i="118"/>
  <c r="V3798" i="118"/>
  <c r="W3798" i="118"/>
  <c r="X3798" i="118"/>
  <c r="Y3798" i="118"/>
  <c r="Z3798" i="118"/>
  <c r="V3745" i="118"/>
  <c r="W3745" i="118"/>
  <c r="X3745" i="118"/>
  <c r="Y3745" i="118"/>
  <c r="V3733" i="118"/>
  <c r="W3733" i="118"/>
  <c r="X3733" i="118"/>
  <c r="Y3733" i="118"/>
  <c r="V3726" i="118"/>
  <c r="W3726" i="118"/>
  <c r="X3726" i="118"/>
  <c r="Y3726" i="118"/>
  <c r="V3724" i="118"/>
  <c r="W3724" i="118"/>
  <c r="X3724" i="118"/>
  <c r="Y3724" i="118"/>
  <c r="V3712" i="118"/>
  <c r="W3712" i="118"/>
  <c r="X3712" i="118"/>
  <c r="Y3712" i="118"/>
  <c r="V3685" i="118"/>
  <c r="W3685" i="118"/>
  <c r="X3685" i="118"/>
  <c r="Y3685" i="118"/>
  <c r="V3667" i="118"/>
  <c r="W3667" i="118"/>
  <c r="X3667" i="118"/>
  <c r="Y3667" i="118"/>
  <c r="V3654" i="118"/>
  <c r="W3654" i="118"/>
  <c r="X3654" i="118"/>
  <c r="Y3654" i="118"/>
  <c r="V3631" i="118"/>
  <c r="W3631" i="118"/>
  <c r="X3631" i="118"/>
  <c r="Y3631" i="118"/>
  <c r="V3628" i="118"/>
  <c r="W3628" i="118"/>
  <c r="X3628" i="118"/>
  <c r="Y3628" i="118"/>
  <c r="V3626" i="118"/>
  <c r="W3626" i="118"/>
  <c r="X3626" i="118"/>
  <c r="Y3626" i="118"/>
  <c r="Z3626" i="118"/>
  <c r="V3618" i="118"/>
  <c r="W3618" i="118"/>
  <c r="X3618" i="118"/>
  <c r="Y3618" i="118"/>
  <c r="V3606" i="118"/>
  <c r="W3606" i="118"/>
  <c r="X3606" i="118"/>
  <c r="Y3606" i="118"/>
  <c r="V3603" i="118"/>
  <c r="W3603" i="118"/>
  <c r="X3603" i="118"/>
  <c r="Y3603" i="118"/>
  <c r="V3588" i="118"/>
  <c r="W3588" i="118"/>
  <c r="X3588" i="118"/>
  <c r="Y3588" i="118"/>
  <c r="V3569" i="118"/>
  <c r="W3569" i="118"/>
  <c r="X3569" i="118"/>
  <c r="Y3569" i="118"/>
  <c r="V3551" i="118"/>
  <c r="W3551" i="118"/>
  <c r="X3551" i="118"/>
  <c r="Y3551" i="118"/>
  <c r="V3539" i="118"/>
  <c r="W3539" i="118"/>
  <c r="X3539" i="118"/>
  <c r="Y3539" i="118"/>
  <c r="V3525" i="118"/>
  <c r="W3525" i="118"/>
  <c r="X3525" i="118"/>
  <c r="Y3525" i="118"/>
  <c r="V3512" i="118"/>
  <c r="W3512" i="118"/>
  <c r="X3512" i="118"/>
  <c r="Y3512" i="118"/>
  <c r="V3496" i="118"/>
  <c r="W3496" i="118"/>
  <c r="X3496" i="118"/>
  <c r="Y3496" i="118"/>
  <c r="V3478" i="118"/>
  <c r="W3478" i="118"/>
  <c r="X3478" i="118"/>
  <c r="Y3478" i="118"/>
  <c r="V3474" i="118"/>
  <c r="W3474" i="118"/>
  <c r="X3474" i="118"/>
  <c r="Y3474" i="118"/>
  <c r="V3461" i="118"/>
  <c r="W3461" i="118"/>
  <c r="X3461" i="118"/>
  <c r="Y3461" i="118"/>
  <c r="V3458" i="118"/>
  <c r="W3458" i="118"/>
  <c r="X3458" i="118"/>
  <c r="Y3458" i="118"/>
  <c r="Z3458" i="118"/>
  <c r="V3430" i="118"/>
  <c r="W3430" i="118"/>
  <c r="X3430" i="118"/>
  <c r="Y3430" i="118"/>
  <c r="V3414" i="118"/>
  <c r="W3414" i="118"/>
  <c r="X3414" i="118"/>
  <c r="Y3414" i="118"/>
  <c r="V3395" i="118"/>
  <c r="W3395" i="118"/>
  <c r="X3395" i="118"/>
  <c r="Y3395" i="118"/>
  <c r="V3346" i="118"/>
  <c r="W3346" i="118"/>
  <c r="X3346" i="118"/>
  <c r="Y3346" i="118"/>
  <c r="V3333" i="118"/>
  <c r="W3333" i="118"/>
  <c r="X3333" i="118"/>
  <c r="Y3333" i="118"/>
  <c r="V3288" i="118"/>
  <c r="W3288" i="118"/>
  <c r="X3288" i="118"/>
  <c r="Y3288" i="118"/>
  <c r="V3255" i="118"/>
  <c r="W3255" i="118"/>
  <c r="X3255" i="118"/>
  <c r="Y3255" i="118"/>
  <c r="V3230" i="118"/>
  <c r="W3230" i="118"/>
  <c r="X3230" i="118"/>
  <c r="Y3230" i="118"/>
  <c r="V3192" i="118"/>
  <c r="V3191" i="118" s="1"/>
  <c r="W3192" i="118"/>
  <c r="W3191" i="118" s="1"/>
  <c r="X3192" i="118"/>
  <c r="Y3192" i="118"/>
  <c r="Y3191" i="118" s="1"/>
  <c r="V3136" i="118"/>
  <c r="W3136" i="118"/>
  <c r="X3136" i="118"/>
  <c r="Y3136" i="118"/>
  <c r="V3115" i="118"/>
  <c r="W3115" i="118"/>
  <c r="X3115" i="118"/>
  <c r="Y3115" i="118"/>
  <c r="Z3115" i="118"/>
  <c r="V3011" i="118"/>
  <c r="W3011" i="118"/>
  <c r="X3011" i="118"/>
  <c r="Y3011" i="118"/>
  <c r="V2829" i="118"/>
  <c r="W2829" i="118"/>
  <c r="X2829" i="118"/>
  <c r="Y2829" i="118"/>
  <c r="V2786" i="118"/>
  <c r="W2786" i="118"/>
  <c r="X2786" i="118"/>
  <c r="Y2786" i="118"/>
  <c r="V2632" i="118"/>
  <c r="W2632" i="118"/>
  <c r="X2632" i="118"/>
  <c r="Y2632" i="118"/>
  <c r="V2522" i="118"/>
  <c r="W2522" i="118"/>
  <c r="X2522" i="118"/>
  <c r="Y2522" i="118"/>
  <c r="V2390" i="118"/>
  <c r="W2390" i="118"/>
  <c r="X2390" i="118"/>
  <c r="Y2390" i="118"/>
  <c r="Z2390" i="118"/>
  <c r="V2161" i="118"/>
  <c r="W2161" i="118"/>
  <c r="X2161" i="118"/>
  <c r="Y2161" i="118"/>
  <c r="V2127" i="118"/>
  <c r="W2127" i="118"/>
  <c r="X2127" i="118"/>
  <c r="Y2127" i="118"/>
  <c r="Z2127" i="118"/>
  <c r="V2090" i="118"/>
  <c r="W2090" i="118"/>
  <c r="X2090" i="118"/>
  <c r="Y2090" i="118"/>
  <c r="V1968" i="118"/>
  <c r="W1968" i="118"/>
  <c r="X1968" i="118"/>
  <c r="Y1968" i="118"/>
  <c r="V1826" i="118"/>
  <c r="W1826" i="118"/>
  <c r="X1826" i="118"/>
  <c r="Y1826" i="118"/>
  <c r="Z1826" i="118"/>
  <c r="V1824" i="118"/>
  <c r="W1824" i="118"/>
  <c r="X1824" i="118"/>
  <c r="Y1824" i="118"/>
  <c r="V1738" i="118"/>
  <c r="W1738" i="118"/>
  <c r="X1738" i="118"/>
  <c r="Y1738" i="118"/>
  <c r="V1656" i="118"/>
  <c r="W1656" i="118"/>
  <c r="X1656" i="118"/>
  <c r="Y1656" i="118"/>
  <c r="V1565" i="118"/>
  <c r="W1565" i="118"/>
  <c r="X1565" i="118"/>
  <c r="Y1565" i="118"/>
  <c r="V1488" i="118"/>
  <c r="W1488" i="118"/>
  <c r="X1488" i="118"/>
  <c r="Y1488" i="118"/>
  <c r="V1389" i="118"/>
  <c r="W1389" i="118"/>
  <c r="X1389" i="118"/>
  <c r="Y1389" i="118"/>
  <c r="V1295" i="118"/>
  <c r="W1295" i="118"/>
  <c r="X1295" i="118"/>
  <c r="Y1295" i="118"/>
  <c r="V1183" i="118"/>
  <c r="W1183" i="118"/>
  <c r="X1183" i="118"/>
  <c r="Y1183" i="118"/>
  <c r="Z1183" i="118"/>
  <c r="V1011" i="118"/>
  <c r="W1011" i="118"/>
  <c r="X1011" i="118"/>
  <c r="Y1011" i="118"/>
  <c r="W997" i="118"/>
  <c r="Y997" i="118"/>
  <c r="W978" i="118"/>
  <c r="Y978" i="118"/>
  <c r="W976" i="118"/>
  <c r="Y976" i="118"/>
  <c r="W963" i="118"/>
  <c r="Y963" i="118"/>
  <c r="W954" i="118"/>
  <c r="Y954" i="118"/>
  <c r="W947" i="118"/>
  <c r="Y947" i="118"/>
  <c r="AA947" i="118"/>
  <c r="W934" i="118"/>
  <c r="Y934" i="118"/>
  <c r="W771" i="118"/>
  <c r="Y771" i="118"/>
  <c r="W765" i="118"/>
  <c r="Y765" i="118"/>
  <c r="W627" i="118"/>
  <c r="Y627" i="118"/>
  <c r="W561" i="118"/>
  <c r="Y561" i="118"/>
  <c r="W446" i="118"/>
  <c r="Y446" i="118"/>
  <c r="W114" i="118"/>
  <c r="Y114" i="118"/>
  <c r="W91" i="118"/>
  <c r="Y91" i="118"/>
  <c r="W10" i="118"/>
  <c r="Y10" i="118"/>
  <c r="X3191" i="118" l="1"/>
  <c r="X3803" i="118" s="1"/>
  <c r="Y933" i="118"/>
  <c r="W933" i="118"/>
  <c r="V3803" i="118"/>
  <c r="X3477" i="118"/>
  <c r="V3477" i="118"/>
  <c r="Y3802" i="118"/>
  <c r="Y3822" i="118" s="1"/>
  <c r="W3802" i="118"/>
  <c r="W3822" i="118" s="1"/>
  <c r="X3802" i="118"/>
  <c r="X3822" i="118" s="1"/>
  <c r="V3802" i="118"/>
  <c r="V3822" i="118" s="1"/>
  <c r="Y3803" i="118"/>
  <c r="W3803" i="118"/>
  <c r="Y3477" i="118"/>
  <c r="W3477" i="118"/>
  <c r="Y3804" i="118"/>
  <c r="W3804" i="118"/>
  <c r="X3804" i="118"/>
  <c r="V3804" i="118"/>
  <c r="X3805" i="118" l="1"/>
  <c r="Y3823" i="118"/>
  <c r="Y3824" i="118" s="1"/>
  <c r="Y3825" i="118" s="1"/>
  <c r="X3823" i="118"/>
  <c r="X3824" i="118" s="1"/>
  <c r="X3825" i="118" s="1"/>
  <c r="W3823" i="118"/>
  <c r="W3824" i="118" s="1"/>
  <c r="W3825" i="118" s="1"/>
  <c r="V3823" i="118"/>
  <c r="V3824" i="118" s="1"/>
  <c r="V3825" i="118" s="1"/>
  <c r="V3805" i="118"/>
  <c r="W3806" i="118"/>
  <c r="W3821" i="118" s="1"/>
  <c r="Y3806" i="118"/>
  <c r="Y3821" i="118" s="1"/>
  <c r="W3805" i="118"/>
  <c r="V3806" i="118"/>
  <c r="V3821" i="118" s="1"/>
  <c r="Y3805" i="118"/>
  <c r="X3806" i="118"/>
  <c r="X3821" i="118" s="1"/>
  <c r="BH971" i="118"/>
  <c r="BH970" i="118"/>
  <c r="BH968" i="118"/>
  <c r="BH965" i="118"/>
  <c r="BH960" i="118"/>
  <c r="BH946" i="118"/>
  <c r="BH944" i="118"/>
  <c r="BH938" i="118"/>
  <c r="BH937" i="118"/>
  <c r="BI968" i="118" l="1"/>
  <c r="BI946" i="118"/>
  <c r="BI965" i="118"/>
  <c r="BI970" i="118"/>
  <c r="BI960" i="118"/>
  <c r="BI944" i="118"/>
  <c r="BI938" i="118"/>
  <c r="BI937" i="118"/>
  <c r="BH437" i="118"/>
  <c r="BH2900" i="118"/>
  <c r="BH2905" i="118"/>
  <c r="BH2889" i="118"/>
  <c r="BH2879" i="118"/>
  <c r="BH932" i="118"/>
  <c r="BH931" i="118"/>
  <c r="BH929" i="118"/>
  <c r="BH928" i="118"/>
  <c r="BH927" i="118"/>
  <c r="BH801" i="118"/>
  <c r="BH802" i="118"/>
  <c r="BH803" i="118"/>
  <c r="BH922" i="118"/>
  <c r="BH921" i="118"/>
  <c r="BH916" i="118"/>
  <c r="BH913" i="118"/>
  <c r="BH881" i="118"/>
  <c r="BH880" i="118"/>
  <c r="BH879" i="118"/>
  <c r="BH872" i="118"/>
  <c r="BH870" i="118"/>
  <c r="BH866" i="118"/>
  <c r="BH865" i="118"/>
  <c r="BH862" i="118"/>
  <c r="BH838" i="118"/>
  <c r="BH830" i="118"/>
  <c r="BH827" i="118"/>
  <c r="BH826" i="118"/>
  <c r="BH820" i="118"/>
  <c r="BH796" i="118"/>
  <c r="BH788" i="118"/>
  <c r="BH786" i="118"/>
  <c r="BH784" i="118"/>
  <c r="BH782" i="118"/>
  <c r="BH781" i="118"/>
  <c r="BH780" i="118"/>
  <c r="BH779" i="118"/>
  <c r="BH778" i="118"/>
  <c r="BH777" i="118"/>
  <c r="BH774" i="118"/>
  <c r="BH773" i="118"/>
  <c r="BH772" i="118"/>
  <c r="BH3707" i="118"/>
  <c r="BH3705" i="118"/>
  <c r="BH764" i="118"/>
  <c r="BH763" i="118"/>
  <c r="BH755" i="118"/>
  <c r="BH752" i="118"/>
  <c r="BH750" i="118"/>
  <c r="BH749" i="118"/>
  <c r="BH714" i="118"/>
  <c r="BH707" i="118"/>
  <c r="BH698" i="118"/>
  <c r="BH694" i="118"/>
  <c r="BH692" i="118"/>
  <c r="BH690" i="118"/>
  <c r="BH689" i="118"/>
  <c r="BH686" i="118"/>
  <c r="BH680" i="118"/>
  <c r="BH677" i="118"/>
  <c r="BH673" i="118"/>
  <c r="BH662" i="118"/>
  <c r="BH657" i="118"/>
  <c r="BH652" i="118"/>
  <c r="BH635" i="118"/>
  <c r="BH632" i="118"/>
  <c r="BH630" i="118"/>
  <c r="BH2698" i="118"/>
  <c r="BH2687" i="118"/>
  <c r="BH626" i="118"/>
  <c r="BH620" i="118"/>
  <c r="BH564" i="118"/>
  <c r="BH2563" i="118"/>
  <c r="BH2562" i="118"/>
  <c r="BH2555" i="118"/>
  <c r="BH555" i="118"/>
  <c r="BH534" i="118"/>
  <c r="BH532" i="118"/>
  <c r="BH531" i="118"/>
  <c r="BH526" i="118"/>
  <c r="BH524" i="118"/>
  <c r="BH523" i="118"/>
  <c r="BH522" i="118"/>
  <c r="BH513" i="118"/>
  <c r="BH512" i="118"/>
  <c r="BH511" i="118"/>
  <c r="BH510" i="118"/>
  <c r="BH492" i="118"/>
  <c r="BH459" i="118"/>
  <c r="BH450" i="118"/>
  <c r="BH448" i="118"/>
  <c r="BH447" i="118"/>
  <c r="BH2442" i="118"/>
  <c r="BH2439" i="118"/>
  <c r="BH2434" i="118"/>
  <c r="BH2433" i="118"/>
  <c r="BH2432" i="118"/>
  <c r="BH2431" i="118"/>
  <c r="BH440" i="118"/>
  <c r="BH439" i="118"/>
  <c r="BH408" i="118"/>
  <c r="BH405" i="118"/>
  <c r="BH375" i="118"/>
  <c r="BH303" i="118"/>
  <c r="BH299" i="118"/>
  <c r="BH294" i="118"/>
  <c r="BH293" i="118"/>
  <c r="BH205" i="118"/>
  <c r="BH201" i="118"/>
  <c r="BH200" i="118"/>
  <c r="BH157" i="118"/>
  <c r="BH155" i="118"/>
  <c r="BH153" i="118"/>
  <c r="BH144" i="118"/>
  <c r="BH141" i="118"/>
  <c r="BH138" i="118"/>
  <c r="BH136" i="118"/>
  <c r="BH128" i="118"/>
  <c r="BH127" i="118"/>
  <c r="BH124" i="118"/>
  <c r="BH121" i="118"/>
  <c r="BH120" i="118"/>
  <c r="BH119" i="118"/>
  <c r="BH118" i="118"/>
  <c r="BH117" i="118"/>
  <c r="BH116" i="118"/>
  <c r="BH115" i="118"/>
  <c r="BH2244" i="118"/>
  <c r="BH2243" i="118"/>
  <c r="BH2241" i="118"/>
  <c r="BH2240" i="118"/>
  <c r="BH2234" i="118"/>
  <c r="BH2221" i="118"/>
  <c r="BH2224" i="118"/>
  <c r="BH2211" i="118"/>
  <c r="BH2209" i="118"/>
  <c r="BH99" i="118"/>
  <c r="BH2028" i="118"/>
  <c r="BH2027" i="118"/>
  <c r="BH2003" i="118"/>
  <c r="BH2002" i="118"/>
  <c r="BH2001" i="118"/>
  <c r="BH2000" i="118"/>
  <c r="BH89" i="118"/>
  <c r="BH12" i="118"/>
  <c r="BH1894" i="118"/>
  <c r="BH1891" i="118"/>
  <c r="BH1890" i="118"/>
  <c r="BH1882" i="118"/>
  <c r="BH1880" i="118"/>
  <c r="BH1879" i="118"/>
  <c r="BH1878" i="118"/>
  <c r="BH1877" i="118"/>
  <c r="BH1876" i="118"/>
  <c r="BH1875" i="118"/>
  <c r="BH1874" i="118"/>
  <c r="BH1872" i="118"/>
  <c r="BH1871" i="118"/>
  <c r="BH1869" i="118"/>
  <c r="BH1868" i="118"/>
  <c r="BH1867" i="118"/>
  <c r="BH1866" i="118"/>
  <c r="BH1864" i="118"/>
  <c r="BH1863" i="118"/>
  <c r="BI779" i="118" l="1"/>
  <c r="BI437" i="118"/>
  <c r="BI971" i="118"/>
  <c r="BI778" i="118"/>
  <c r="BI780" i="118"/>
  <c r="BI2879" i="118"/>
  <c r="BI922" i="118"/>
  <c r="BI801" i="118"/>
  <c r="BI931" i="118"/>
  <c r="BI2900" i="118"/>
  <c r="BI2889" i="118"/>
  <c r="BI3707" i="118"/>
  <c r="BI796" i="118"/>
  <c r="BI826" i="118"/>
  <c r="BI830" i="118"/>
  <c r="BI862" i="118"/>
  <c r="BI866" i="118"/>
  <c r="BI872" i="118"/>
  <c r="BI880" i="118"/>
  <c r="BI913" i="118"/>
  <c r="BI802" i="118"/>
  <c r="BI927" i="118"/>
  <c r="BI929" i="118"/>
  <c r="BI932" i="118"/>
  <c r="BI928" i="118"/>
  <c r="BI803" i="118"/>
  <c r="BI921" i="118"/>
  <c r="BI772" i="118"/>
  <c r="BI774" i="118"/>
  <c r="BI781" i="118"/>
  <c r="BI784" i="118"/>
  <c r="BI820" i="118"/>
  <c r="BI827" i="118"/>
  <c r="BI838" i="118"/>
  <c r="BI865" i="118"/>
  <c r="BI870" i="118"/>
  <c r="BI879" i="118"/>
  <c r="BI881" i="118"/>
  <c r="BI916" i="118"/>
  <c r="BI773" i="118"/>
  <c r="BI788" i="118"/>
  <c r="BI786" i="118"/>
  <c r="BI3705" i="118"/>
  <c r="BI764" i="118"/>
  <c r="BI686" i="118"/>
  <c r="BI689" i="118"/>
  <c r="BI698" i="118"/>
  <c r="BI752" i="118"/>
  <c r="BI763" i="118"/>
  <c r="BI755" i="118"/>
  <c r="BI714" i="118"/>
  <c r="BI707" i="118"/>
  <c r="BI690" i="118"/>
  <c r="BI692" i="118"/>
  <c r="BI694" i="118"/>
  <c r="BI750" i="118"/>
  <c r="BI749" i="118"/>
  <c r="BI657" i="118"/>
  <c r="BI680" i="118"/>
  <c r="BI630" i="118"/>
  <c r="BI635" i="118"/>
  <c r="BI677" i="118"/>
  <c r="BI652" i="118"/>
  <c r="BI662" i="118"/>
  <c r="BI673" i="118"/>
  <c r="BI632" i="118"/>
  <c r="BI2562" i="118"/>
  <c r="BI2687" i="118"/>
  <c r="BI2698" i="118"/>
  <c r="BI626" i="118"/>
  <c r="BI620" i="118"/>
  <c r="BI2555" i="118"/>
  <c r="BI2563" i="118"/>
  <c r="BI513" i="118"/>
  <c r="BI532" i="118"/>
  <c r="BI534" i="118"/>
  <c r="BI375" i="118"/>
  <c r="BI555" i="118"/>
  <c r="BI512" i="118"/>
  <c r="BI448" i="118"/>
  <c r="BI459" i="118"/>
  <c r="BI510" i="118"/>
  <c r="BI524" i="118"/>
  <c r="BI522" i="118"/>
  <c r="BI523" i="118"/>
  <c r="BI526" i="118"/>
  <c r="BI2431" i="118"/>
  <c r="BI2439" i="118"/>
  <c r="BI447" i="118"/>
  <c r="BI450" i="118"/>
  <c r="BI492" i="118"/>
  <c r="BI531" i="118"/>
  <c r="BI2433" i="118"/>
  <c r="BI2442" i="118"/>
  <c r="BI408" i="118"/>
  <c r="BI405" i="118"/>
  <c r="BI440" i="118"/>
  <c r="BI439" i="118"/>
  <c r="BI138" i="118"/>
  <c r="BI153" i="118"/>
  <c r="BI157" i="118"/>
  <c r="BI201" i="118"/>
  <c r="BI115" i="118"/>
  <c r="BI117" i="118"/>
  <c r="BI119" i="118"/>
  <c r="BI121" i="118"/>
  <c r="BI299" i="118"/>
  <c r="BI294" i="118"/>
  <c r="BI127" i="118"/>
  <c r="BI2234" i="118"/>
  <c r="BI116" i="118"/>
  <c r="BI118" i="118"/>
  <c r="BI120" i="118"/>
  <c r="BI124" i="118"/>
  <c r="BI128" i="118"/>
  <c r="BI136" i="118"/>
  <c r="BI141" i="118"/>
  <c r="BI144" i="118"/>
  <c r="BI155" i="118"/>
  <c r="BI200" i="118"/>
  <c r="BI205" i="118"/>
  <c r="BI293" i="118"/>
  <c r="BI303" i="118"/>
  <c r="BI2209" i="118"/>
  <c r="BI2240" i="118"/>
  <c r="BI99" i="118"/>
  <c r="BI2221" i="118"/>
  <c r="BI2244" i="118"/>
  <c r="BI2243" i="118"/>
  <c r="BI2211" i="118"/>
  <c r="BI2241" i="118"/>
  <c r="BI2000" i="118"/>
  <c r="BI2001" i="118"/>
  <c r="BI2028" i="118"/>
  <c r="BI2003" i="118"/>
  <c r="BI2002" i="118"/>
  <c r="BI2027" i="118"/>
  <c r="BG12" i="118"/>
  <c r="BI12" i="118" s="1"/>
  <c r="BI89" i="118"/>
  <c r="BI1863" i="118"/>
  <c r="BI1866" i="118"/>
  <c r="BI1879" i="118"/>
  <c r="BI1882" i="118"/>
  <c r="BI1864" i="118"/>
  <c r="BI1867" i="118"/>
  <c r="BI1869" i="118"/>
  <c r="BI1894" i="118"/>
  <c r="BI1868" i="118"/>
  <c r="BI1891" i="118"/>
  <c r="BI1874" i="118"/>
  <c r="BI1876" i="118"/>
  <c r="BI1877" i="118"/>
  <c r="BI1880" i="118"/>
  <c r="BI1890" i="118"/>
  <c r="BI1872" i="118"/>
  <c r="BE3820" i="118"/>
  <c r="AJ3820" i="118"/>
  <c r="AI3820" i="118"/>
  <c r="AH3820" i="118"/>
  <c r="AG3820" i="118"/>
  <c r="AF3820" i="118"/>
  <c r="AE3820" i="118"/>
  <c r="AD3820" i="118"/>
  <c r="AA3820" i="118"/>
  <c r="Z3820" i="118"/>
  <c r="U3820" i="118"/>
  <c r="T3820" i="118"/>
  <c r="S3820" i="118"/>
  <c r="R3820" i="118"/>
  <c r="Q3820" i="118"/>
  <c r="P3820" i="118"/>
  <c r="O3820" i="118"/>
  <c r="N3820" i="118"/>
  <c r="M3820" i="118"/>
  <c r="L3820" i="118"/>
  <c r="K3820" i="118"/>
  <c r="J3820" i="118"/>
  <c r="I3820" i="118"/>
  <c r="H3820" i="118"/>
  <c r="G3820" i="118"/>
  <c r="F3820" i="118"/>
  <c r="E3820" i="118"/>
  <c r="D3820" i="118"/>
  <c r="BH3819" i="118"/>
  <c r="BD3819" i="118"/>
  <c r="AC3819" i="118"/>
  <c r="BH3818" i="118"/>
  <c r="BD3818" i="118"/>
  <c r="AC3818" i="118"/>
  <c r="BH3817" i="118"/>
  <c r="BD3817" i="118"/>
  <c r="AC3817" i="118"/>
  <c r="BH3816" i="118"/>
  <c r="BD3816" i="118"/>
  <c r="AC3816" i="118"/>
  <c r="BH3815" i="118"/>
  <c r="BD3815" i="118"/>
  <c r="AC3815" i="118"/>
  <c r="BH3814" i="118"/>
  <c r="BD3814" i="118"/>
  <c r="AC3814" i="118"/>
  <c r="BH3813" i="118"/>
  <c r="BD3813" i="118"/>
  <c r="AC3813" i="118"/>
  <c r="BH3812" i="118"/>
  <c r="BD3812" i="118"/>
  <c r="AC3812" i="118"/>
  <c r="BH3811" i="118"/>
  <c r="BD3811" i="118"/>
  <c r="AC3811" i="118"/>
  <c r="BH3810" i="118"/>
  <c r="BD3810" i="118"/>
  <c r="AC3810" i="118"/>
  <c r="BH3809" i="118"/>
  <c r="BD3809" i="118"/>
  <c r="AC3809" i="118"/>
  <c r="BH3808" i="118"/>
  <c r="BD3808" i="118"/>
  <c r="AC3808" i="118"/>
  <c r="BJ3806" i="118"/>
  <c r="BH3801" i="118"/>
  <c r="BE3800" i="118"/>
  <c r="AJ3800" i="118"/>
  <c r="AI3800" i="118"/>
  <c r="AH3800" i="118"/>
  <c r="AG3800" i="118"/>
  <c r="AF3800" i="118"/>
  <c r="BD3800" i="118" s="1"/>
  <c r="AE3800" i="118"/>
  <c r="BC3800" i="118" s="1"/>
  <c r="AD3800" i="118"/>
  <c r="AA3800" i="118"/>
  <c r="U3800" i="118"/>
  <c r="T3800" i="118"/>
  <c r="S3800" i="118"/>
  <c r="R3800" i="118"/>
  <c r="Q3800" i="118"/>
  <c r="P3800" i="118"/>
  <c r="O3800" i="118"/>
  <c r="N3800" i="118"/>
  <c r="M3800" i="118"/>
  <c r="L3800" i="118"/>
  <c r="K3800" i="118"/>
  <c r="J3800" i="118"/>
  <c r="I3800" i="118"/>
  <c r="H3800" i="118"/>
  <c r="G3800" i="118"/>
  <c r="F3800" i="118"/>
  <c r="E3800" i="118"/>
  <c r="D3800" i="118"/>
  <c r="BH3799" i="118"/>
  <c r="BE3798" i="118"/>
  <c r="AJ3798" i="118"/>
  <c r="AI3798" i="118"/>
  <c r="AH3798" i="118"/>
  <c r="AG3798" i="118"/>
  <c r="AF3798" i="118"/>
  <c r="BD3798" i="118" s="1"/>
  <c r="AE3798" i="118"/>
  <c r="BC3798" i="118" s="1"/>
  <c r="AD3798" i="118"/>
  <c r="AA3798" i="118"/>
  <c r="U3798" i="118"/>
  <c r="T3798" i="118"/>
  <c r="S3798" i="118"/>
  <c r="R3798" i="118"/>
  <c r="Q3798" i="118"/>
  <c r="P3798" i="118"/>
  <c r="O3798" i="118"/>
  <c r="N3798" i="118"/>
  <c r="M3798" i="118"/>
  <c r="L3798" i="118"/>
  <c r="K3798" i="118"/>
  <c r="J3798" i="118"/>
  <c r="I3798" i="118"/>
  <c r="H3798" i="118"/>
  <c r="G3798" i="118"/>
  <c r="F3798" i="118"/>
  <c r="E3798" i="118"/>
  <c r="D3798" i="118"/>
  <c r="BH3797" i="118"/>
  <c r="BE3796" i="118"/>
  <c r="AJ3796" i="118"/>
  <c r="AI3796" i="118"/>
  <c r="AH3796" i="118"/>
  <c r="AG3796" i="118"/>
  <c r="AF3796" i="118"/>
  <c r="BD3796" i="118" s="1"/>
  <c r="AE3796" i="118"/>
  <c r="BC3796" i="118" s="1"/>
  <c r="AD3796" i="118"/>
  <c r="AA3796" i="118"/>
  <c r="Z3796" i="118"/>
  <c r="U3796" i="118"/>
  <c r="T3796" i="118"/>
  <c r="S3796" i="118"/>
  <c r="R3796" i="118"/>
  <c r="Q3796" i="118"/>
  <c r="P3796" i="118"/>
  <c r="O3796" i="118"/>
  <c r="N3796" i="118"/>
  <c r="M3796" i="118"/>
  <c r="L3796" i="118"/>
  <c r="K3796" i="118"/>
  <c r="J3796" i="118"/>
  <c r="I3796" i="118"/>
  <c r="H3796" i="118"/>
  <c r="G3796" i="118"/>
  <c r="F3796" i="118"/>
  <c r="E3796" i="118"/>
  <c r="AC3796" i="118" s="1"/>
  <c r="D3796" i="118"/>
  <c r="AB3796" i="118" s="1"/>
  <c r="BH3795" i="118"/>
  <c r="BH3794" i="118"/>
  <c r="BH3793" i="118"/>
  <c r="BH3792" i="118"/>
  <c r="BH3791" i="118"/>
  <c r="BH3790" i="118"/>
  <c r="BH3789" i="118"/>
  <c r="BH3788" i="118"/>
  <c r="BH3787" i="118"/>
  <c r="BH3786" i="118"/>
  <c r="BH3785" i="118"/>
  <c r="BH3784" i="118"/>
  <c r="BH3783" i="118"/>
  <c r="BH3782" i="118"/>
  <c r="BH3781" i="118"/>
  <c r="BH3780" i="118"/>
  <c r="BH3779" i="118"/>
  <c r="BH3778" i="118"/>
  <c r="BH3777" i="118"/>
  <c r="BH3776" i="118"/>
  <c r="BH3774" i="118"/>
  <c r="BH3773" i="118"/>
  <c r="BH3772" i="118"/>
  <c r="BH3771" i="118"/>
  <c r="BH3770" i="118"/>
  <c r="BH3769" i="118"/>
  <c r="BH3768" i="118"/>
  <c r="BH3767" i="118"/>
  <c r="BH3766" i="118"/>
  <c r="BH3765" i="118"/>
  <c r="BH3764" i="118"/>
  <c r="BH3763" i="118"/>
  <c r="BH3762" i="118"/>
  <c r="BH3761" i="118"/>
  <c r="BH3760" i="118"/>
  <c r="BH3759" i="118"/>
  <c r="BH3758" i="118"/>
  <c r="BH3757" i="118"/>
  <c r="BH3756" i="118"/>
  <c r="BH3755" i="118"/>
  <c r="BH3754" i="118"/>
  <c r="BH3753" i="118"/>
  <c r="BH3752" i="118"/>
  <c r="BH3751" i="118"/>
  <c r="BH3750" i="118"/>
  <c r="BH3749" i="118"/>
  <c r="BH3748" i="118"/>
  <c r="BH3747" i="118"/>
  <c r="BH3746" i="118"/>
  <c r="BE3745" i="118"/>
  <c r="AJ3745" i="118"/>
  <c r="AH3745" i="118"/>
  <c r="AG3745" i="118"/>
  <c r="AF3745" i="118"/>
  <c r="AE3745" i="118"/>
  <c r="AD3745" i="118"/>
  <c r="AA3745" i="118"/>
  <c r="Z3745" i="118"/>
  <c r="U3745" i="118"/>
  <c r="T3745" i="118"/>
  <c r="S3745" i="118"/>
  <c r="R3745" i="118"/>
  <c r="Q3745" i="118"/>
  <c r="O3745" i="118"/>
  <c r="N3745" i="118"/>
  <c r="M3745" i="118"/>
  <c r="K3745" i="118"/>
  <c r="J3745" i="118"/>
  <c r="I3745" i="118"/>
  <c r="G3745" i="118"/>
  <c r="F3745" i="118"/>
  <c r="E3745" i="118"/>
  <c r="BH3744" i="118"/>
  <c r="BH3743" i="118"/>
  <c r="BH3742" i="118"/>
  <c r="BH3741" i="118"/>
  <c r="BH3740" i="118"/>
  <c r="P3733" i="118"/>
  <c r="L3733" i="118"/>
  <c r="BH3739" i="118"/>
  <c r="BH3738" i="118"/>
  <c r="BH3737" i="118"/>
  <c r="BH3736" i="118"/>
  <c r="BH3735" i="118"/>
  <c r="BH3734" i="118"/>
  <c r="BE3733" i="118"/>
  <c r="AJ3733" i="118"/>
  <c r="AI3733" i="118"/>
  <c r="AH3733" i="118"/>
  <c r="AG3733" i="118"/>
  <c r="AF3733" i="118"/>
  <c r="BD3733" i="118" s="1"/>
  <c r="AE3733" i="118"/>
  <c r="BC3733" i="118" s="1"/>
  <c r="AD3733" i="118"/>
  <c r="AA3733" i="118"/>
  <c r="Z3733" i="118"/>
  <c r="U3733" i="118"/>
  <c r="T3733" i="118"/>
  <c r="S3733" i="118"/>
  <c r="R3733" i="118"/>
  <c r="Q3733" i="118"/>
  <c r="O3733" i="118"/>
  <c r="N3733" i="118"/>
  <c r="M3733" i="118"/>
  <c r="K3733" i="118"/>
  <c r="J3733" i="118"/>
  <c r="I3733" i="118"/>
  <c r="H3733" i="118"/>
  <c r="G3733" i="118"/>
  <c r="F3733" i="118"/>
  <c r="E3733" i="118"/>
  <c r="D3733" i="118"/>
  <c r="BH3732" i="118"/>
  <c r="BH3731" i="118"/>
  <c r="BH3730" i="118"/>
  <c r="BH3729" i="118"/>
  <c r="P3726" i="118"/>
  <c r="L3726" i="118"/>
  <c r="BH3728" i="118"/>
  <c r="BH3727" i="118"/>
  <c r="BE3726" i="118"/>
  <c r="AJ3726" i="118"/>
  <c r="AI3726" i="118"/>
  <c r="AH3726" i="118"/>
  <c r="AG3726" i="118"/>
  <c r="AF3726" i="118"/>
  <c r="BD3726" i="118" s="1"/>
  <c r="AE3726" i="118"/>
  <c r="BC3726" i="118" s="1"/>
  <c r="AD3726" i="118"/>
  <c r="AA3726" i="118"/>
  <c r="Z3726" i="118"/>
  <c r="U3726" i="118"/>
  <c r="T3726" i="118"/>
  <c r="S3726" i="118"/>
  <c r="R3726" i="118"/>
  <c r="Q3726" i="118"/>
  <c r="O3726" i="118"/>
  <c r="N3726" i="118"/>
  <c r="M3726" i="118"/>
  <c r="K3726" i="118"/>
  <c r="J3726" i="118"/>
  <c r="I3726" i="118"/>
  <c r="H3726" i="118"/>
  <c r="G3726" i="118"/>
  <c r="F3726" i="118"/>
  <c r="E3726" i="118"/>
  <c r="D3726" i="118"/>
  <c r="BH3725" i="118"/>
  <c r="BE3724" i="118"/>
  <c r="AJ3724" i="118"/>
  <c r="AI3724" i="118"/>
  <c r="AH3724" i="118"/>
  <c r="AG3724" i="118"/>
  <c r="AF3724" i="118"/>
  <c r="BD3724" i="118" s="1"/>
  <c r="AE3724" i="118"/>
  <c r="BC3724" i="118" s="1"/>
  <c r="AD3724" i="118"/>
  <c r="AA3724" i="118"/>
  <c r="Z3724" i="118"/>
  <c r="U3724" i="118"/>
  <c r="T3724" i="118"/>
  <c r="S3724" i="118"/>
  <c r="R3724" i="118"/>
  <c r="Q3724" i="118"/>
  <c r="P3724" i="118"/>
  <c r="O3724" i="118"/>
  <c r="N3724" i="118"/>
  <c r="M3724" i="118"/>
  <c r="L3724" i="118"/>
  <c r="K3724" i="118"/>
  <c r="J3724" i="118"/>
  <c r="I3724" i="118"/>
  <c r="H3724" i="118"/>
  <c r="G3724" i="118"/>
  <c r="F3724" i="118"/>
  <c r="E3724" i="118"/>
  <c r="AC3724" i="118" s="1"/>
  <c r="D3724" i="118"/>
  <c r="AB3724" i="118" s="1"/>
  <c r="BH3723" i="118"/>
  <c r="BH3722" i="118"/>
  <c r="BH3721" i="118"/>
  <c r="BH3720" i="118"/>
  <c r="BH3719" i="118"/>
  <c r="BH3718" i="118"/>
  <c r="BH3717" i="118"/>
  <c r="BH3716" i="118"/>
  <c r="BH3715" i="118"/>
  <c r="BH3714" i="118"/>
  <c r="BH3713" i="118"/>
  <c r="BE3712" i="118"/>
  <c r="AJ3712" i="118"/>
  <c r="AI3712" i="118"/>
  <c r="AH3712" i="118"/>
  <c r="AG3712" i="118"/>
  <c r="AF3712" i="118"/>
  <c r="BD3712" i="118" s="1"/>
  <c r="AE3712" i="118"/>
  <c r="BC3712" i="118" s="1"/>
  <c r="AD3712" i="118"/>
  <c r="AA3712" i="118"/>
  <c r="Z3712" i="118"/>
  <c r="U3712" i="118"/>
  <c r="T3712" i="118"/>
  <c r="S3712" i="118"/>
  <c r="R3712" i="118"/>
  <c r="Q3712" i="118"/>
  <c r="P3712" i="118"/>
  <c r="O3712" i="118"/>
  <c r="N3712" i="118"/>
  <c r="M3712" i="118"/>
  <c r="L3712" i="118"/>
  <c r="K3712" i="118"/>
  <c r="J3712" i="118"/>
  <c r="I3712" i="118"/>
  <c r="H3712" i="118"/>
  <c r="G3712" i="118"/>
  <c r="F3712" i="118"/>
  <c r="E3712" i="118"/>
  <c r="AC3712" i="118" s="1"/>
  <c r="D3712" i="118"/>
  <c r="AB3712" i="118" s="1"/>
  <c r="BH3711" i="118"/>
  <c r="BH3710" i="118"/>
  <c r="BH3709" i="118"/>
  <c r="BH3708" i="118"/>
  <c r="BH3706" i="118"/>
  <c r="BH3704" i="118"/>
  <c r="BH3703" i="118"/>
  <c r="BH3702" i="118"/>
  <c r="BH3701" i="118"/>
  <c r="BH3700" i="118"/>
  <c r="BH3699" i="118"/>
  <c r="BH3698" i="118"/>
  <c r="BH3697" i="118"/>
  <c r="BH3696" i="118"/>
  <c r="BH3695" i="118"/>
  <c r="BH3694" i="118"/>
  <c r="BH3693" i="118"/>
  <c r="BH3692" i="118"/>
  <c r="BH3691" i="118"/>
  <c r="BH3689" i="118"/>
  <c r="BH3688" i="118"/>
  <c r="BH3687" i="118"/>
  <c r="BH3686" i="118"/>
  <c r="BE3685" i="118"/>
  <c r="AJ3685" i="118"/>
  <c r="AI3685" i="118"/>
  <c r="AH3685" i="118"/>
  <c r="AG3685" i="118"/>
  <c r="AF3685" i="118"/>
  <c r="BD3685" i="118" s="1"/>
  <c r="AE3685" i="118"/>
  <c r="BC3685" i="118" s="1"/>
  <c r="AD3685" i="118"/>
  <c r="AA3685" i="118"/>
  <c r="Z3685" i="118"/>
  <c r="U3685" i="118"/>
  <c r="T3685" i="118"/>
  <c r="S3685" i="118"/>
  <c r="R3685" i="118"/>
  <c r="Q3685" i="118"/>
  <c r="P3685" i="118"/>
  <c r="O3685" i="118"/>
  <c r="N3685" i="118"/>
  <c r="M3685" i="118"/>
  <c r="L3685" i="118"/>
  <c r="K3685" i="118"/>
  <c r="J3685" i="118"/>
  <c r="I3685" i="118"/>
  <c r="H3685" i="118"/>
  <c r="G3685" i="118"/>
  <c r="F3685" i="118"/>
  <c r="E3685" i="118"/>
  <c r="AC3685" i="118" s="1"/>
  <c r="D3685" i="118"/>
  <c r="AB3685" i="118" s="1"/>
  <c r="BH3684" i="118"/>
  <c r="BH3683" i="118"/>
  <c r="BH3682" i="118"/>
  <c r="BH3681" i="118"/>
  <c r="BH3680" i="118"/>
  <c r="BH3679" i="118"/>
  <c r="BH3678" i="118"/>
  <c r="BH3677" i="118"/>
  <c r="D3667" i="118"/>
  <c r="BH3676" i="118"/>
  <c r="BH3675" i="118"/>
  <c r="BH3674" i="118"/>
  <c r="BH3673" i="118"/>
  <c r="BH3672" i="118"/>
  <c r="BH3671" i="118"/>
  <c r="BH3670" i="118"/>
  <c r="BH3669" i="118"/>
  <c r="BH3668" i="118"/>
  <c r="BE3667" i="118"/>
  <c r="AJ3667" i="118"/>
  <c r="AI3667" i="118"/>
  <c r="AH3667" i="118"/>
  <c r="AG3667" i="118"/>
  <c r="AF3667" i="118"/>
  <c r="BD3667" i="118" s="1"/>
  <c r="AE3667" i="118"/>
  <c r="BC3667" i="118" s="1"/>
  <c r="AD3667" i="118"/>
  <c r="AA3667" i="118"/>
  <c r="Z3667" i="118"/>
  <c r="U3667" i="118"/>
  <c r="T3667" i="118"/>
  <c r="S3667" i="118"/>
  <c r="R3667" i="118"/>
  <c r="Q3667" i="118"/>
  <c r="P3667" i="118"/>
  <c r="O3667" i="118"/>
  <c r="N3667" i="118"/>
  <c r="M3667" i="118"/>
  <c r="L3667" i="118"/>
  <c r="K3667" i="118"/>
  <c r="J3667" i="118"/>
  <c r="I3667" i="118"/>
  <c r="H3667" i="118"/>
  <c r="G3667" i="118"/>
  <c r="F3667" i="118"/>
  <c r="E3667" i="118"/>
  <c r="BH3666" i="118"/>
  <c r="BH3665" i="118"/>
  <c r="BH3664" i="118"/>
  <c r="BH3663" i="118"/>
  <c r="BH3662" i="118"/>
  <c r="BH3661" i="118"/>
  <c r="BH3660" i="118"/>
  <c r="BH3659" i="118"/>
  <c r="BH3658" i="118"/>
  <c r="BH3657" i="118"/>
  <c r="BH3656" i="118"/>
  <c r="BH3655" i="118"/>
  <c r="BE3654" i="118"/>
  <c r="AJ3654" i="118"/>
  <c r="AI3654" i="118"/>
  <c r="AH3654" i="118"/>
  <c r="AG3654" i="118"/>
  <c r="AF3654" i="118"/>
  <c r="BD3654" i="118" s="1"/>
  <c r="AE3654" i="118"/>
  <c r="BC3654" i="118" s="1"/>
  <c r="AD3654" i="118"/>
  <c r="AA3654" i="118"/>
  <c r="Z3654" i="118"/>
  <c r="U3654" i="118"/>
  <c r="T3654" i="118"/>
  <c r="S3654" i="118"/>
  <c r="R3654" i="118"/>
  <c r="Q3654" i="118"/>
  <c r="P3654" i="118"/>
  <c r="O3654" i="118"/>
  <c r="N3654" i="118"/>
  <c r="M3654" i="118"/>
  <c r="L3654" i="118"/>
  <c r="K3654" i="118"/>
  <c r="J3654" i="118"/>
  <c r="I3654" i="118"/>
  <c r="H3654" i="118"/>
  <c r="G3654" i="118"/>
  <c r="F3654" i="118"/>
  <c r="E3654" i="118"/>
  <c r="AC3654" i="118" s="1"/>
  <c r="D3654" i="118"/>
  <c r="AB3654" i="118" s="1"/>
  <c r="BH3653" i="118"/>
  <c r="BK3652" i="118" s="1"/>
  <c r="BE3652" i="118"/>
  <c r="AJ3652" i="118"/>
  <c r="AI3652" i="118"/>
  <c r="AH3652" i="118"/>
  <c r="AG3652" i="118"/>
  <c r="AF3652" i="118"/>
  <c r="BD3652" i="118" s="1"/>
  <c r="AE3652" i="118"/>
  <c r="BC3652" i="118" s="1"/>
  <c r="AD3652" i="118"/>
  <c r="AA3652" i="118"/>
  <c r="Z3652" i="118"/>
  <c r="U3652" i="118"/>
  <c r="T3652" i="118"/>
  <c r="S3652" i="118"/>
  <c r="R3652" i="118"/>
  <c r="Q3652" i="118"/>
  <c r="P3652" i="118"/>
  <c r="O3652" i="118"/>
  <c r="N3652" i="118"/>
  <c r="M3652" i="118"/>
  <c r="L3652" i="118"/>
  <c r="K3652" i="118"/>
  <c r="J3652" i="118"/>
  <c r="I3652" i="118"/>
  <c r="H3652" i="118"/>
  <c r="G3652" i="118"/>
  <c r="F3652" i="118"/>
  <c r="E3652" i="118"/>
  <c r="AC3652" i="118" s="1"/>
  <c r="D3652" i="118"/>
  <c r="AB3652" i="118" s="1"/>
  <c r="BH3651" i="118"/>
  <c r="BH3650" i="118"/>
  <c r="BH3649" i="118"/>
  <c r="BH3648" i="118"/>
  <c r="BH3647" i="118"/>
  <c r="BH3646" i="118"/>
  <c r="BH3645" i="118"/>
  <c r="BH3644" i="118"/>
  <c r="BH3643" i="118"/>
  <c r="BH3642" i="118"/>
  <c r="BH3641" i="118"/>
  <c r="BH3640" i="118"/>
  <c r="BH3639" i="118"/>
  <c r="BH3638" i="118"/>
  <c r="BH3637" i="118"/>
  <c r="BH3636" i="118"/>
  <c r="BH3635" i="118"/>
  <c r="BH3634" i="118"/>
  <c r="BH3633" i="118"/>
  <c r="BH3632" i="118"/>
  <c r="BE3631" i="118"/>
  <c r="AJ3631" i="118"/>
  <c r="AI3631" i="118"/>
  <c r="AH3631" i="118"/>
  <c r="AG3631" i="118"/>
  <c r="AF3631" i="118"/>
  <c r="BD3631" i="118" s="1"/>
  <c r="AE3631" i="118"/>
  <c r="BC3631" i="118" s="1"/>
  <c r="AD3631" i="118"/>
  <c r="AA3631" i="118"/>
  <c r="Z3631" i="118"/>
  <c r="U3631" i="118"/>
  <c r="T3631" i="118"/>
  <c r="S3631" i="118"/>
  <c r="R3631" i="118"/>
  <c r="Q3631" i="118"/>
  <c r="P3631" i="118"/>
  <c r="O3631" i="118"/>
  <c r="N3631" i="118"/>
  <c r="M3631" i="118"/>
  <c r="L3631" i="118"/>
  <c r="K3631" i="118"/>
  <c r="J3631" i="118"/>
  <c r="I3631" i="118"/>
  <c r="H3631" i="118"/>
  <c r="G3631" i="118"/>
  <c r="F3631" i="118"/>
  <c r="E3631" i="118"/>
  <c r="AC3631" i="118" s="1"/>
  <c r="D3631" i="118"/>
  <c r="BH3630" i="118"/>
  <c r="BH3629" i="118"/>
  <c r="BE3628" i="118"/>
  <c r="AJ3628" i="118"/>
  <c r="AI3628" i="118"/>
  <c r="AH3628" i="118"/>
  <c r="AG3628" i="118"/>
  <c r="AF3628" i="118"/>
  <c r="BD3628" i="118" s="1"/>
  <c r="AE3628" i="118"/>
  <c r="AD3628" i="118"/>
  <c r="AA3628" i="118"/>
  <c r="Z3628" i="118"/>
  <c r="U3628" i="118"/>
  <c r="T3628" i="118"/>
  <c r="S3628" i="118"/>
  <c r="R3628" i="118"/>
  <c r="Q3628" i="118"/>
  <c r="P3628" i="118"/>
  <c r="O3628" i="118"/>
  <c r="N3628" i="118"/>
  <c r="M3628" i="118"/>
  <c r="L3628" i="118"/>
  <c r="K3628" i="118"/>
  <c r="J3628" i="118"/>
  <c r="I3628" i="118"/>
  <c r="H3628" i="118"/>
  <c r="G3628" i="118"/>
  <c r="F3628" i="118"/>
  <c r="E3628" i="118"/>
  <c r="AC3628" i="118" s="1"/>
  <c r="D3628" i="118"/>
  <c r="AB3628" i="118" s="1"/>
  <c r="BH3627" i="118"/>
  <c r="BE3626" i="118"/>
  <c r="AJ3626" i="118"/>
  <c r="AI3626" i="118"/>
  <c r="AH3626" i="118"/>
  <c r="AG3626" i="118"/>
  <c r="AF3626" i="118"/>
  <c r="BD3626" i="118" s="1"/>
  <c r="AE3626" i="118"/>
  <c r="BC3626" i="118" s="1"/>
  <c r="AD3626" i="118"/>
  <c r="AA3626" i="118"/>
  <c r="U3626" i="118"/>
  <c r="T3626" i="118"/>
  <c r="S3626" i="118"/>
  <c r="R3626" i="118"/>
  <c r="Q3626" i="118"/>
  <c r="P3626" i="118"/>
  <c r="O3626" i="118"/>
  <c r="N3626" i="118"/>
  <c r="M3626" i="118"/>
  <c r="L3626" i="118"/>
  <c r="K3626" i="118"/>
  <c r="J3626" i="118"/>
  <c r="I3626" i="118"/>
  <c r="H3626" i="118"/>
  <c r="G3626" i="118"/>
  <c r="F3626" i="118"/>
  <c r="E3626" i="118"/>
  <c r="D3626" i="118"/>
  <c r="AB3626" i="118" s="1"/>
  <c r="BF3626" i="118" s="1"/>
  <c r="BH3625" i="118"/>
  <c r="BH3624" i="118"/>
  <c r="BH3623" i="118"/>
  <c r="BH3622" i="118"/>
  <c r="BH3621" i="118"/>
  <c r="BH3620" i="118"/>
  <c r="BH3619" i="118"/>
  <c r="BE3618" i="118"/>
  <c r="AJ3618" i="118"/>
  <c r="AI3618" i="118"/>
  <c r="AH3618" i="118"/>
  <c r="AG3618" i="118"/>
  <c r="AF3618" i="118"/>
  <c r="BD3618" i="118" s="1"/>
  <c r="AE3618" i="118"/>
  <c r="BC3618" i="118" s="1"/>
  <c r="AD3618" i="118"/>
  <c r="AA3618" i="118"/>
  <c r="Z3618" i="118"/>
  <c r="U3618" i="118"/>
  <c r="T3618" i="118"/>
  <c r="S3618" i="118"/>
  <c r="R3618" i="118"/>
  <c r="Q3618" i="118"/>
  <c r="P3618" i="118"/>
  <c r="O3618" i="118"/>
  <c r="N3618" i="118"/>
  <c r="M3618" i="118"/>
  <c r="L3618" i="118"/>
  <c r="K3618" i="118"/>
  <c r="J3618" i="118"/>
  <c r="I3618" i="118"/>
  <c r="H3618" i="118"/>
  <c r="G3618" i="118"/>
  <c r="F3618" i="118"/>
  <c r="E3618" i="118"/>
  <c r="D3618" i="118"/>
  <c r="AB3618" i="118" s="1"/>
  <c r="BH3617" i="118"/>
  <c r="BH3616" i="118"/>
  <c r="BH3615" i="118"/>
  <c r="BH3614" i="118"/>
  <c r="BH3613" i="118"/>
  <c r="BH3612" i="118"/>
  <c r="BH3611" i="118"/>
  <c r="BH3610" i="118"/>
  <c r="BH3609" i="118"/>
  <c r="BH3608" i="118"/>
  <c r="BH3607" i="118"/>
  <c r="BE3606" i="118"/>
  <c r="AJ3606" i="118"/>
  <c r="AI3606" i="118"/>
  <c r="AH3606" i="118"/>
  <c r="AG3606" i="118"/>
  <c r="AF3606" i="118"/>
  <c r="BD3606" i="118" s="1"/>
  <c r="AE3606" i="118"/>
  <c r="BC3606" i="118" s="1"/>
  <c r="AD3606" i="118"/>
  <c r="AA3606" i="118"/>
  <c r="Z3606" i="118"/>
  <c r="U3606" i="118"/>
  <c r="T3606" i="118"/>
  <c r="S3606" i="118"/>
  <c r="R3606" i="118"/>
  <c r="Q3606" i="118"/>
  <c r="P3606" i="118"/>
  <c r="O3606" i="118"/>
  <c r="N3606" i="118"/>
  <c r="M3606" i="118"/>
  <c r="L3606" i="118"/>
  <c r="K3606" i="118"/>
  <c r="J3606" i="118"/>
  <c r="I3606" i="118"/>
  <c r="H3606" i="118"/>
  <c r="G3606" i="118"/>
  <c r="F3606" i="118"/>
  <c r="E3606" i="118"/>
  <c r="AC3606" i="118" s="1"/>
  <c r="D3606" i="118"/>
  <c r="AB3606" i="118" s="1"/>
  <c r="BH3605" i="118"/>
  <c r="BH3604" i="118"/>
  <c r="BE3603" i="118"/>
  <c r="AJ3603" i="118"/>
  <c r="AI3603" i="118"/>
  <c r="AH3603" i="118"/>
  <c r="AG3603" i="118"/>
  <c r="AF3603" i="118"/>
  <c r="BD3603" i="118" s="1"/>
  <c r="AE3603" i="118"/>
  <c r="BC3603" i="118" s="1"/>
  <c r="AD3603" i="118"/>
  <c r="AA3603" i="118"/>
  <c r="Z3603" i="118"/>
  <c r="U3603" i="118"/>
  <c r="T3603" i="118"/>
  <c r="S3603" i="118"/>
  <c r="R3603" i="118"/>
  <c r="Q3603" i="118"/>
  <c r="P3603" i="118"/>
  <c r="O3603" i="118"/>
  <c r="N3603" i="118"/>
  <c r="M3603" i="118"/>
  <c r="L3603" i="118"/>
  <c r="K3603" i="118"/>
  <c r="J3603" i="118"/>
  <c r="I3603" i="118"/>
  <c r="H3603" i="118"/>
  <c r="G3603" i="118"/>
  <c r="F3603" i="118"/>
  <c r="E3603" i="118"/>
  <c r="AC3603" i="118" s="1"/>
  <c r="D3603" i="118"/>
  <c r="AB3603" i="118" s="1"/>
  <c r="BH3602" i="118"/>
  <c r="BH3601" i="118"/>
  <c r="BH3600" i="118"/>
  <c r="BH3599" i="118"/>
  <c r="BH3598" i="118"/>
  <c r="BH3597" i="118"/>
  <c r="BH3596" i="118"/>
  <c r="BH3595" i="118"/>
  <c r="BH3594" i="118"/>
  <c r="BH3593" i="118"/>
  <c r="BH3592" i="118"/>
  <c r="BH3591" i="118"/>
  <c r="BH3590" i="118"/>
  <c r="BH3589" i="118"/>
  <c r="BE3588" i="118"/>
  <c r="AJ3588" i="118"/>
  <c r="AI3588" i="118"/>
  <c r="AH3588" i="118"/>
  <c r="AG3588" i="118"/>
  <c r="AF3588" i="118"/>
  <c r="BD3588" i="118" s="1"/>
  <c r="AE3588" i="118"/>
  <c r="BC3588" i="118" s="1"/>
  <c r="AD3588" i="118"/>
  <c r="AA3588" i="118"/>
  <c r="Z3588" i="118"/>
  <c r="U3588" i="118"/>
  <c r="T3588" i="118"/>
  <c r="S3588" i="118"/>
  <c r="R3588" i="118"/>
  <c r="Q3588" i="118"/>
  <c r="P3588" i="118"/>
  <c r="O3588" i="118"/>
  <c r="N3588" i="118"/>
  <c r="M3588" i="118"/>
  <c r="L3588" i="118"/>
  <c r="K3588" i="118"/>
  <c r="J3588" i="118"/>
  <c r="I3588" i="118"/>
  <c r="H3588" i="118"/>
  <c r="G3588" i="118"/>
  <c r="F3588" i="118"/>
  <c r="E3588" i="118"/>
  <c r="AC3588" i="118" s="1"/>
  <c r="D3588" i="118"/>
  <c r="AB3588" i="118" s="1"/>
  <c r="BH3587" i="118"/>
  <c r="BH3586" i="118"/>
  <c r="BH3585" i="118"/>
  <c r="BH3584" i="118"/>
  <c r="BH3583" i="118"/>
  <c r="BH3582" i="118"/>
  <c r="BH3581" i="118"/>
  <c r="BH3580" i="118"/>
  <c r="BH3579" i="118"/>
  <c r="BH3578" i="118"/>
  <c r="BH3577" i="118"/>
  <c r="BH3576" i="118"/>
  <c r="BH3575" i="118"/>
  <c r="BH3574" i="118"/>
  <c r="BH3573" i="118"/>
  <c r="BH3572" i="118"/>
  <c r="BH3571" i="118"/>
  <c r="BH3570" i="118"/>
  <c r="BE3569" i="118"/>
  <c r="AJ3569" i="118"/>
  <c r="AI3569" i="118"/>
  <c r="AH3569" i="118"/>
  <c r="AG3569" i="118"/>
  <c r="AF3569" i="118"/>
  <c r="BD3569" i="118" s="1"/>
  <c r="AE3569" i="118"/>
  <c r="BC3569" i="118" s="1"/>
  <c r="AD3569" i="118"/>
  <c r="AA3569" i="118"/>
  <c r="Z3569" i="118"/>
  <c r="U3569" i="118"/>
  <c r="T3569" i="118"/>
  <c r="S3569" i="118"/>
  <c r="R3569" i="118"/>
  <c r="Q3569" i="118"/>
  <c r="P3569" i="118"/>
  <c r="O3569" i="118"/>
  <c r="N3569" i="118"/>
  <c r="M3569" i="118"/>
  <c r="L3569" i="118"/>
  <c r="K3569" i="118"/>
  <c r="J3569" i="118"/>
  <c r="I3569" i="118"/>
  <c r="H3569" i="118"/>
  <c r="G3569" i="118"/>
  <c r="F3569" i="118"/>
  <c r="E3569" i="118"/>
  <c r="AC3569" i="118" s="1"/>
  <c r="D3569" i="118"/>
  <c r="AB3569" i="118" s="1"/>
  <c r="BH3566" i="118"/>
  <c r="BH3565" i="118"/>
  <c r="BH3564" i="118"/>
  <c r="BH3563" i="118"/>
  <c r="BH3562" i="118"/>
  <c r="BH3561" i="118"/>
  <c r="BH3560" i="118"/>
  <c r="BH3559" i="118"/>
  <c r="BH3558" i="118"/>
  <c r="BH3557" i="118"/>
  <c r="BH3556" i="118"/>
  <c r="BH3555" i="118"/>
  <c r="BH3554" i="118"/>
  <c r="BH3553" i="118"/>
  <c r="BH3552" i="118"/>
  <c r="BE3551" i="118"/>
  <c r="AJ3551" i="118"/>
  <c r="AI3551" i="118"/>
  <c r="AH3551" i="118"/>
  <c r="AG3551" i="118"/>
  <c r="AF3551" i="118"/>
  <c r="BD3551" i="118" s="1"/>
  <c r="AE3551" i="118"/>
  <c r="BC3551" i="118" s="1"/>
  <c r="AD3551" i="118"/>
  <c r="AA3551" i="118"/>
  <c r="Z3551" i="118"/>
  <c r="U3551" i="118"/>
  <c r="T3551" i="118"/>
  <c r="S3551" i="118"/>
  <c r="R3551" i="118"/>
  <c r="Q3551" i="118"/>
  <c r="P3551" i="118"/>
  <c r="O3551" i="118"/>
  <c r="N3551" i="118"/>
  <c r="M3551" i="118"/>
  <c r="L3551" i="118"/>
  <c r="K3551" i="118"/>
  <c r="J3551" i="118"/>
  <c r="I3551" i="118"/>
  <c r="H3551" i="118"/>
  <c r="G3551" i="118"/>
  <c r="F3551" i="118"/>
  <c r="E3551" i="118"/>
  <c r="AC3551" i="118" s="1"/>
  <c r="D3551" i="118"/>
  <c r="AB3551" i="118" s="1"/>
  <c r="BH3550" i="118"/>
  <c r="BH3549" i="118"/>
  <c r="BH3548" i="118"/>
  <c r="BH3547" i="118"/>
  <c r="BH3546" i="118"/>
  <c r="BH3545" i="118"/>
  <c r="BH3544" i="118"/>
  <c r="BH3543" i="118"/>
  <c r="BH3542" i="118"/>
  <c r="BH3541" i="118"/>
  <c r="BH3540" i="118"/>
  <c r="BE3539" i="118"/>
  <c r="AJ3539" i="118"/>
  <c r="AI3539" i="118"/>
  <c r="AH3539" i="118"/>
  <c r="AG3539" i="118"/>
  <c r="AF3539" i="118"/>
  <c r="BD3539" i="118" s="1"/>
  <c r="AE3539" i="118"/>
  <c r="BC3539" i="118" s="1"/>
  <c r="AD3539" i="118"/>
  <c r="AA3539" i="118"/>
  <c r="Z3539" i="118"/>
  <c r="U3539" i="118"/>
  <c r="T3539" i="118"/>
  <c r="S3539" i="118"/>
  <c r="R3539" i="118"/>
  <c r="Q3539" i="118"/>
  <c r="P3539" i="118"/>
  <c r="O3539" i="118"/>
  <c r="N3539" i="118"/>
  <c r="M3539" i="118"/>
  <c r="L3539" i="118"/>
  <c r="K3539" i="118"/>
  <c r="J3539" i="118"/>
  <c r="I3539" i="118"/>
  <c r="H3539" i="118"/>
  <c r="G3539" i="118"/>
  <c r="F3539" i="118"/>
  <c r="E3539" i="118"/>
  <c r="AC3539" i="118" s="1"/>
  <c r="D3539" i="118"/>
  <c r="AB3539" i="118" s="1"/>
  <c r="BH3538" i="118"/>
  <c r="BH3537" i="118"/>
  <c r="BH3536" i="118"/>
  <c r="BH3535" i="118"/>
  <c r="BH3534" i="118"/>
  <c r="BH3533" i="118"/>
  <c r="BH3532" i="118"/>
  <c r="BH3531" i="118"/>
  <c r="BH3530" i="118"/>
  <c r="BH3529" i="118"/>
  <c r="BH3528" i="118"/>
  <c r="BH3527" i="118"/>
  <c r="BH3526" i="118"/>
  <c r="BE3525" i="118"/>
  <c r="AJ3525" i="118"/>
  <c r="AI3525" i="118"/>
  <c r="AH3525" i="118"/>
  <c r="AG3525" i="118"/>
  <c r="AF3525" i="118"/>
  <c r="BD3525" i="118" s="1"/>
  <c r="AE3525" i="118"/>
  <c r="BC3525" i="118" s="1"/>
  <c r="AD3525" i="118"/>
  <c r="AA3525" i="118"/>
  <c r="Z3525" i="118"/>
  <c r="U3525" i="118"/>
  <c r="T3525" i="118"/>
  <c r="S3525" i="118"/>
  <c r="R3525" i="118"/>
  <c r="Q3525" i="118"/>
  <c r="P3525" i="118"/>
  <c r="O3525" i="118"/>
  <c r="N3525" i="118"/>
  <c r="M3525" i="118"/>
  <c r="L3525" i="118"/>
  <c r="K3525" i="118"/>
  <c r="J3525" i="118"/>
  <c r="I3525" i="118"/>
  <c r="H3525" i="118"/>
  <c r="G3525" i="118"/>
  <c r="F3525" i="118"/>
  <c r="E3525" i="118"/>
  <c r="AC3525" i="118" s="1"/>
  <c r="D3525" i="118"/>
  <c r="AB3525" i="118" s="1"/>
  <c r="BH3524" i="118"/>
  <c r="BH3523" i="118"/>
  <c r="BH3522" i="118"/>
  <c r="BH3521" i="118"/>
  <c r="BH3520" i="118"/>
  <c r="BH3519" i="118"/>
  <c r="BH3518" i="118"/>
  <c r="BH3517" i="118"/>
  <c r="BH3516" i="118"/>
  <c r="BH3515" i="118"/>
  <c r="BH3514" i="118"/>
  <c r="BH3513" i="118"/>
  <c r="BE3512" i="118"/>
  <c r="AJ3512" i="118"/>
  <c r="AI3512" i="118"/>
  <c r="AH3512" i="118"/>
  <c r="AG3512" i="118"/>
  <c r="AF3512" i="118"/>
  <c r="BD3512" i="118" s="1"/>
  <c r="AE3512" i="118"/>
  <c r="BC3512" i="118" s="1"/>
  <c r="AD3512" i="118"/>
  <c r="AA3512" i="118"/>
  <c r="Z3512" i="118"/>
  <c r="U3512" i="118"/>
  <c r="T3512" i="118"/>
  <c r="S3512" i="118"/>
  <c r="R3512" i="118"/>
  <c r="Q3512" i="118"/>
  <c r="P3512" i="118"/>
  <c r="O3512" i="118"/>
  <c r="N3512" i="118"/>
  <c r="M3512" i="118"/>
  <c r="L3512" i="118"/>
  <c r="K3512" i="118"/>
  <c r="J3512" i="118"/>
  <c r="I3512" i="118"/>
  <c r="H3512" i="118"/>
  <c r="G3512" i="118"/>
  <c r="F3512" i="118"/>
  <c r="E3512" i="118"/>
  <c r="AC3512" i="118" s="1"/>
  <c r="D3512" i="118"/>
  <c r="AB3512" i="118" s="1"/>
  <c r="BH3511" i="118"/>
  <c r="BH3510" i="118"/>
  <c r="BH3509" i="118"/>
  <c r="BH3508" i="118"/>
  <c r="BH3507" i="118"/>
  <c r="BH3506" i="118"/>
  <c r="BH3505" i="118"/>
  <c r="BH3504" i="118"/>
  <c r="BH3503" i="118"/>
  <c r="BH3502" i="118"/>
  <c r="BH3501" i="118"/>
  <c r="BH3500" i="118"/>
  <c r="BH3499" i="118"/>
  <c r="BH3498" i="118"/>
  <c r="BH3497" i="118"/>
  <c r="BE3496" i="118"/>
  <c r="AJ3496" i="118"/>
  <c r="AI3496" i="118"/>
  <c r="AH3496" i="118"/>
  <c r="AG3496" i="118"/>
  <c r="AF3496" i="118"/>
  <c r="BD3496" i="118" s="1"/>
  <c r="AE3496" i="118"/>
  <c r="BC3496" i="118" s="1"/>
  <c r="AD3496" i="118"/>
  <c r="AA3496" i="118"/>
  <c r="Z3496" i="118"/>
  <c r="U3496" i="118"/>
  <c r="T3496" i="118"/>
  <c r="S3496" i="118"/>
  <c r="R3496" i="118"/>
  <c r="Q3496" i="118"/>
  <c r="P3496" i="118"/>
  <c r="O3496" i="118"/>
  <c r="N3496" i="118"/>
  <c r="M3496" i="118"/>
  <c r="L3496" i="118"/>
  <c r="K3496" i="118"/>
  <c r="J3496" i="118"/>
  <c r="I3496" i="118"/>
  <c r="H3496" i="118"/>
  <c r="G3496" i="118"/>
  <c r="F3496" i="118"/>
  <c r="E3496" i="118"/>
  <c r="AC3496" i="118" s="1"/>
  <c r="D3496" i="118"/>
  <c r="AB3496" i="118" s="1"/>
  <c r="BH3495" i="118"/>
  <c r="BH3494" i="118"/>
  <c r="BH3493" i="118"/>
  <c r="BH3492" i="118"/>
  <c r="BH3491" i="118"/>
  <c r="BH3490" i="118"/>
  <c r="BH3489" i="118"/>
  <c r="BH3488" i="118"/>
  <c r="BH3487" i="118"/>
  <c r="BH3486" i="118"/>
  <c r="BH3485" i="118"/>
  <c r="BH3484" i="118"/>
  <c r="BH3483" i="118"/>
  <c r="BH3482" i="118"/>
  <c r="BH3481" i="118"/>
  <c r="BH3480" i="118"/>
  <c r="BH3479" i="118"/>
  <c r="BE3478" i="118"/>
  <c r="AJ3478" i="118"/>
  <c r="AI3478" i="118"/>
  <c r="AH3478" i="118"/>
  <c r="AG3478" i="118"/>
  <c r="AF3478" i="118"/>
  <c r="BD3478" i="118" s="1"/>
  <c r="AE3478" i="118"/>
  <c r="BC3478" i="118" s="1"/>
  <c r="AD3478" i="118"/>
  <c r="AA3478" i="118"/>
  <c r="Z3478" i="118"/>
  <c r="U3478" i="118"/>
  <c r="T3478" i="118"/>
  <c r="S3478" i="118"/>
  <c r="R3478" i="118"/>
  <c r="Q3478" i="118"/>
  <c r="P3478" i="118"/>
  <c r="O3478" i="118"/>
  <c r="N3478" i="118"/>
  <c r="M3478" i="118"/>
  <c r="L3478" i="118"/>
  <c r="K3478" i="118"/>
  <c r="J3478" i="118"/>
  <c r="I3478" i="118"/>
  <c r="G3478" i="118"/>
  <c r="F3478" i="118"/>
  <c r="E3478" i="118"/>
  <c r="D3478" i="118"/>
  <c r="BH3476" i="118"/>
  <c r="BH3475" i="118"/>
  <c r="BE3474" i="118"/>
  <c r="AJ3474" i="118"/>
  <c r="AI3474" i="118"/>
  <c r="AH3474" i="118"/>
  <c r="AG3474" i="118"/>
  <c r="AF3474" i="118"/>
  <c r="BD3474" i="118" s="1"/>
  <c r="AE3474" i="118"/>
  <c r="BC3474" i="118" s="1"/>
  <c r="AD3474" i="118"/>
  <c r="AA3474" i="118"/>
  <c r="Z3474" i="118"/>
  <c r="U3474" i="118"/>
  <c r="T3474" i="118"/>
  <c r="S3474" i="118"/>
  <c r="R3474" i="118"/>
  <c r="Q3474" i="118"/>
  <c r="P3474" i="118"/>
  <c r="O3474" i="118"/>
  <c r="N3474" i="118"/>
  <c r="M3474" i="118"/>
  <c r="L3474" i="118"/>
  <c r="K3474" i="118"/>
  <c r="J3474" i="118"/>
  <c r="I3474" i="118"/>
  <c r="H3474" i="118"/>
  <c r="G3474" i="118"/>
  <c r="F3474" i="118"/>
  <c r="E3474" i="118"/>
  <c r="AC3474" i="118" s="1"/>
  <c r="D3474" i="118"/>
  <c r="AB3474" i="118" s="1"/>
  <c r="BH3473" i="118"/>
  <c r="BH3472" i="118"/>
  <c r="BH3471" i="118"/>
  <c r="BH3470" i="118"/>
  <c r="BH3469" i="118"/>
  <c r="BH3468" i="118"/>
  <c r="BH3467" i="118"/>
  <c r="BH3466" i="118"/>
  <c r="BH3465" i="118"/>
  <c r="BH3464" i="118"/>
  <c r="BH3463" i="118"/>
  <c r="BH3462" i="118"/>
  <c r="BE3461" i="118"/>
  <c r="AJ3461" i="118"/>
  <c r="AH3461" i="118"/>
  <c r="AG3461" i="118"/>
  <c r="AF3461" i="118"/>
  <c r="AD3461" i="118"/>
  <c r="AA3461" i="118"/>
  <c r="Z3461" i="118"/>
  <c r="U3461" i="118"/>
  <c r="T3461" i="118"/>
  <c r="S3461" i="118"/>
  <c r="R3461" i="118"/>
  <c r="Q3461" i="118"/>
  <c r="P3461" i="118"/>
  <c r="O3461" i="118"/>
  <c r="N3461" i="118"/>
  <c r="M3461" i="118"/>
  <c r="L3461" i="118"/>
  <c r="K3461" i="118"/>
  <c r="J3461" i="118"/>
  <c r="I3461" i="118"/>
  <c r="H3461" i="118"/>
  <c r="G3461" i="118"/>
  <c r="F3461" i="118"/>
  <c r="E3461" i="118"/>
  <c r="AC3461" i="118" s="1"/>
  <c r="BH3460" i="118"/>
  <c r="BH3459" i="118"/>
  <c r="BE3458" i="118"/>
  <c r="AJ3458" i="118"/>
  <c r="AI3458" i="118"/>
  <c r="AH3458" i="118"/>
  <c r="AG3458" i="118"/>
  <c r="AF3458" i="118"/>
  <c r="BD3458" i="118" s="1"/>
  <c r="AE3458" i="118"/>
  <c r="BC3458" i="118" s="1"/>
  <c r="AD3458" i="118"/>
  <c r="AA3458" i="118"/>
  <c r="U3458" i="118"/>
  <c r="T3458" i="118"/>
  <c r="S3458" i="118"/>
  <c r="R3458" i="118"/>
  <c r="Q3458" i="118"/>
  <c r="P3458" i="118"/>
  <c r="O3458" i="118"/>
  <c r="N3458" i="118"/>
  <c r="M3458" i="118"/>
  <c r="L3458" i="118"/>
  <c r="K3458" i="118"/>
  <c r="J3458" i="118"/>
  <c r="I3458" i="118"/>
  <c r="G3458" i="118"/>
  <c r="F3458" i="118"/>
  <c r="E3458" i="118"/>
  <c r="D3458" i="118"/>
  <c r="BH3457" i="118"/>
  <c r="BH3456" i="118"/>
  <c r="BH3455" i="118"/>
  <c r="BH3454" i="118"/>
  <c r="BH3453" i="118"/>
  <c r="BH3452" i="118"/>
  <c r="BH3451" i="118"/>
  <c r="BH3450" i="118"/>
  <c r="BH3449" i="118"/>
  <c r="BH3448" i="118"/>
  <c r="BH3447" i="118"/>
  <c r="BH3446" i="118"/>
  <c r="BH3445" i="118"/>
  <c r="BH3444" i="118"/>
  <c r="BH3443" i="118"/>
  <c r="BH3442" i="118"/>
  <c r="BH3441" i="118"/>
  <c r="BH3440" i="118"/>
  <c r="BH3439" i="118"/>
  <c r="BH3438" i="118"/>
  <c r="BH3437" i="118"/>
  <c r="BH3436" i="118"/>
  <c r="BH3435" i="118"/>
  <c r="BH3432" i="118"/>
  <c r="BH3431" i="118"/>
  <c r="P3430" i="118"/>
  <c r="L3430" i="118"/>
  <c r="D3430" i="118"/>
  <c r="BE3430" i="118"/>
  <c r="AJ3430" i="118"/>
  <c r="AI3430" i="118"/>
  <c r="AH3430" i="118"/>
  <c r="AG3430" i="118"/>
  <c r="AF3430" i="118"/>
  <c r="BD3430" i="118" s="1"/>
  <c r="AE3430" i="118"/>
  <c r="BC3430" i="118" s="1"/>
  <c r="AD3430" i="118"/>
  <c r="AA3430" i="118"/>
  <c r="Z3430" i="118"/>
  <c r="U3430" i="118"/>
  <c r="T3430" i="118"/>
  <c r="S3430" i="118"/>
  <c r="R3430" i="118"/>
  <c r="Q3430" i="118"/>
  <c r="O3430" i="118"/>
  <c r="N3430" i="118"/>
  <c r="M3430" i="118"/>
  <c r="K3430" i="118"/>
  <c r="J3430" i="118"/>
  <c r="I3430" i="118"/>
  <c r="G3430" i="118"/>
  <c r="F3430" i="118"/>
  <c r="E3430" i="118"/>
  <c r="BH3426" i="118"/>
  <c r="BH3425" i="118"/>
  <c r="BH3424" i="118"/>
  <c r="BH3423" i="118"/>
  <c r="BH3421" i="118"/>
  <c r="BH3420" i="118"/>
  <c r="BH3419" i="118"/>
  <c r="BH3418" i="118"/>
  <c r="BH3417" i="118"/>
  <c r="BH3416" i="118"/>
  <c r="BH3415" i="118"/>
  <c r="P3414" i="118"/>
  <c r="L3414" i="118"/>
  <c r="H3414" i="118"/>
  <c r="D3414" i="118"/>
  <c r="BE3414" i="118"/>
  <c r="AJ3414" i="118"/>
  <c r="AI3414" i="118"/>
  <c r="AH3414" i="118"/>
  <c r="AG3414" i="118"/>
  <c r="AF3414" i="118"/>
  <c r="BD3414" i="118" s="1"/>
  <c r="AE3414" i="118"/>
  <c r="BC3414" i="118" s="1"/>
  <c r="AD3414" i="118"/>
  <c r="AA3414" i="118"/>
  <c r="Z3414" i="118"/>
  <c r="U3414" i="118"/>
  <c r="T3414" i="118"/>
  <c r="S3414" i="118"/>
  <c r="R3414" i="118"/>
  <c r="Q3414" i="118"/>
  <c r="O3414" i="118"/>
  <c r="N3414" i="118"/>
  <c r="M3414" i="118"/>
  <c r="K3414" i="118"/>
  <c r="J3414" i="118"/>
  <c r="I3414" i="118"/>
  <c r="G3414" i="118"/>
  <c r="F3414" i="118"/>
  <c r="E3414" i="118"/>
  <c r="BH3413" i="118"/>
  <c r="BH3412" i="118"/>
  <c r="BH3411" i="118"/>
  <c r="BH3410" i="118"/>
  <c r="BH3408" i="118"/>
  <c r="BH3407" i="118"/>
  <c r="BH3406" i="118"/>
  <c r="BH3404" i="118"/>
  <c r="BH3403" i="118"/>
  <c r="BH3402" i="118"/>
  <c r="BH3400" i="118"/>
  <c r="BH3399" i="118"/>
  <c r="BH3398" i="118"/>
  <c r="BH3397" i="118"/>
  <c r="BH3396" i="118"/>
  <c r="AJ3395" i="118"/>
  <c r="AI3395" i="118"/>
  <c r="AH3395" i="118"/>
  <c r="AG3395" i="118"/>
  <c r="AF3395" i="118"/>
  <c r="BD3395" i="118" s="1"/>
  <c r="AE3395" i="118"/>
  <c r="AD3395" i="118"/>
  <c r="AA3395" i="118"/>
  <c r="Z3395" i="118"/>
  <c r="U3395" i="118"/>
  <c r="T3395" i="118"/>
  <c r="S3395" i="118"/>
  <c r="R3395" i="118"/>
  <c r="Q3395" i="118"/>
  <c r="P3395" i="118"/>
  <c r="O3395" i="118"/>
  <c r="N3395" i="118"/>
  <c r="M3395" i="118"/>
  <c r="L3395" i="118"/>
  <c r="K3395" i="118"/>
  <c r="J3395" i="118"/>
  <c r="I3395" i="118"/>
  <c r="H3395" i="118"/>
  <c r="G3395" i="118"/>
  <c r="F3395" i="118"/>
  <c r="E3395" i="118"/>
  <c r="D3395" i="118"/>
  <c r="AB3395" i="118" s="1"/>
  <c r="BH3394" i="118"/>
  <c r="BH3393" i="118"/>
  <c r="BH3392" i="118"/>
  <c r="BH3391" i="118"/>
  <c r="BH3390" i="118"/>
  <c r="BH3389" i="118"/>
  <c r="BH3388" i="118"/>
  <c r="BH3387" i="118"/>
  <c r="BH3386" i="118"/>
  <c r="BH3385" i="118"/>
  <c r="BH3384" i="118"/>
  <c r="BH3383" i="118"/>
  <c r="BH3382" i="118"/>
  <c r="BH3381" i="118"/>
  <c r="BH3380" i="118"/>
  <c r="BH3379" i="118"/>
  <c r="BH3378" i="118"/>
  <c r="BH3377" i="118"/>
  <c r="BH3376" i="118"/>
  <c r="BH3375" i="118"/>
  <c r="BH3374" i="118"/>
  <c r="BH3373" i="118"/>
  <c r="BH3372" i="118"/>
  <c r="BH3371" i="118"/>
  <c r="BH3370" i="118"/>
  <c r="BH3368" i="118"/>
  <c r="BH3367" i="118"/>
  <c r="BH3366" i="118"/>
  <c r="BH3365" i="118"/>
  <c r="BH3364" i="118"/>
  <c r="BH3363" i="118"/>
  <c r="BH3362" i="118"/>
  <c r="BH3361" i="118"/>
  <c r="BH3360" i="118"/>
  <c r="BH3359" i="118"/>
  <c r="BH3358" i="118"/>
  <c r="BH3357" i="118"/>
  <c r="BH3356" i="118"/>
  <c r="BH3355" i="118"/>
  <c r="BH3354" i="118"/>
  <c r="BH3353" i="118"/>
  <c r="BH3350" i="118"/>
  <c r="BH3349" i="118"/>
  <c r="BH3348" i="118"/>
  <c r="BH3347" i="118"/>
  <c r="BE3346" i="118"/>
  <c r="AJ3346" i="118"/>
  <c r="AI3346" i="118"/>
  <c r="AH3346" i="118"/>
  <c r="AG3346" i="118"/>
  <c r="AF3346" i="118"/>
  <c r="BD3346" i="118" s="1"/>
  <c r="AD3346" i="118"/>
  <c r="AA3346" i="118"/>
  <c r="Z3346" i="118"/>
  <c r="U3346" i="118"/>
  <c r="T3346" i="118"/>
  <c r="S3346" i="118"/>
  <c r="R3346" i="118"/>
  <c r="Q3346" i="118"/>
  <c r="O3346" i="118"/>
  <c r="N3346" i="118"/>
  <c r="M3346" i="118"/>
  <c r="K3346" i="118"/>
  <c r="J3346" i="118"/>
  <c r="I3346" i="118"/>
  <c r="G3346" i="118"/>
  <c r="F3346" i="118"/>
  <c r="E3346" i="118"/>
  <c r="BH3345" i="118"/>
  <c r="BH3344" i="118"/>
  <c r="BH3343" i="118"/>
  <c r="BH3342" i="118"/>
  <c r="BH3341" i="118"/>
  <c r="BH3340" i="118"/>
  <c r="BH3339" i="118"/>
  <c r="BH3338" i="118"/>
  <c r="BH3337" i="118"/>
  <c r="BH3336" i="118"/>
  <c r="BH3335" i="118"/>
  <c r="BH3334" i="118"/>
  <c r="AJ3333" i="118"/>
  <c r="AI3333" i="118"/>
  <c r="AH3333" i="118"/>
  <c r="AG3333" i="118"/>
  <c r="AF3333" i="118"/>
  <c r="BD3333" i="118" s="1"/>
  <c r="AE3333" i="118"/>
  <c r="BC3333" i="118" s="1"/>
  <c r="AD3333" i="118"/>
  <c r="AA3333" i="118"/>
  <c r="Z3333" i="118"/>
  <c r="U3333" i="118"/>
  <c r="T3333" i="118"/>
  <c r="S3333" i="118"/>
  <c r="R3333" i="118"/>
  <c r="Q3333" i="118"/>
  <c r="P3333" i="118"/>
  <c r="O3333" i="118"/>
  <c r="N3333" i="118"/>
  <c r="M3333" i="118"/>
  <c r="L3333" i="118"/>
  <c r="K3333" i="118"/>
  <c r="J3333" i="118"/>
  <c r="I3333" i="118"/>
  <c r="H3333" i="118"/>
  <c r="G3333" i="118"/>
  <c r="F3333" i="118"/>
  <c r="E3333" i="118"/>
  <c r="AC3333" i="118" s="1"/>
  <c r="D3333" i="118"/>
  <c r="AB3333" i="118" s="1"/>
  <c r="BH3332" i="118"/>
  <c r="BH3331" i="118"/>
  <c r="BH3330" i="118"/>
  <c r="BH3329" i="118"/>
  <c r="BH3328" i="118"/>
  <c r="BH3327" i="118"/>
  <c r="BH3326" i="118"/>
  <c r="BH3325" i="118"/>
  <c r="BH3323" i="118"/>
  <c r="BH3322" i="118"/>
  <c r="BH3321" i="118"/>
  <c r="BH3319" i="118"/>
  <c r="BH3317" i="118"/>
  <c r="BH3316" i="118"/>
  <c r="BH3315" i="118"/>
  <c r="BH3313" i="118"/>
  <c r="BH3312" i="118"/>
  <c r="BH3311" i="118"/>
  <c r="BH3310" i="118"/>
  <c r="BH3309" i="118"/>
  <c r="BH3308" i="118"/>
  <c r="BH3307" i="118"/>
  <c r="BH3306" i="118"/>
  <c r="BH3305" i="118"/>
  <c r="BH3304" i="118"/>
  <c r="BH3303" i="118"/>
  <c r="BH3302" i="118"/>
  <c r="BH3301" i="118"/>
  <c r="BH3300" i="118"/>
  <c r="BH3299" i="118"/>
  <c r="BH3297" i="118"/>
  <c r="BH3296" i="118"/>
  <c r="BH3295" i="118"/>
  <c r="BH3294" i="118"/>
  <c r="BH3293" i="118"/>
  <c r="BH3292" i="118"/>
  <c r="BH3291" i="118"/>
  <c r="BH3290" i="118"/>
  <c r="BH3289" i="118"/>
  <c r="BE3288" i="118"/>
  <c r="AJ3288" i="118"/>
  <c r="AH3288" i="118"/>
  <c r="AG3288" i="118"/>
  <c r="AF3288" i="118"/>
  <c r="AE3288" i="118"/>
  <c r="AD3288" i="118"/>
  <c r="AA3288" i="118"/>
  <c r="Z3288" i="118"/>
  <c r="U3288" i="118"/>
  <c r="T3288" i="118"/>
  <c r="S3288" i="118"/>
  <c r="R3288" i="118"/>
  <c r="Q3288" i="118"/>
  <c r="O3288" i="118"/>
  <c r="N3288" i="118"/>
  <c r="M3288" i="118"/>
  <c r="K3288" i="118"/>
  <c r="J3288" i="118"/>
  <c r="I3288" i="118"/>
  <c r="G3288" i="118"/>
  <c r="F3288" i="118"/>
  <c r="E3288" i="118"/>
  <c r="BH3287" i="118"/>
  <c r="P3255" i="118"/>
  <c r="L3255" i="118"/>
  <c r="BH3285" i="118"/>
  <c r="BH3283" i="118"/>
  <c r="BH3282" i="118"/>
  <c r="BH3281" i="118"/>
  <c r="BH3280" i="118"/>
  <c r="BH3278" i="118"/>
  <c r="BH3277" i="118"/>
  <c r="BH3275" i="118"/>
  <c r="BH3273" i="118"/>
  <c r="BH3272" i="118"/>
  <c r="BH3271" i="118"/>
  <c r="BH3270" i="118"/>
  <c r="BH3269" i="118"/>
  <c r="BH3268" i="118"/>
  <c r="BH3267" i="118"/>
  <c r="BH3266" i="118"/>
  <c r="BH3265" i="118"/>
  <c r="BH3264" i="118"/>
  <c r="BH3263" i="118"/>
  <c r="BH3262" i="118"/>
  <c r="BH3261" i="118"/>
  <c r="BH3260" i="118"/>
  <c r="BH3259" i="118"/>
  <c r="BH3258" i="118"/>
  <c r="BH3257" i="118"/>
  <c r="BH3256" i="118"/>
  <c r="BE3255" i="118"/>
  <c r="AJ3255" i="118"/>
  <c r="AI3255" i="118"/>
  <c r="AH3255" i="118"/>
  <c r="AG3255" i="118"/>
  <c r="AF3255" i="118"/>
  <c r="BD3255" i="118" s="1"/>
  <c r="AE3255" i="118"/>
  <c r="AD3255" i="118"/>
  <c r="AA3255" i="118"/>
  <c r="Z3255" i="118"/>
  <c r="U3255" i="118"/>
  <c r="T3255" i="118"/>
  <c r="S3255" i="118"/>
  <c r="R3255" i="118"/>
  <c r="Q3255" i="118"/>
  <c r="O3255" i="118"/>
  <c r="N3255" i="118"/>
  <c r="M3255" i="118"/>
  <c r="K3255" i="118"/>
  <c r="J3255" i="118"/>
  <c r="I3255" i="118"/>
  <c r="G3255" i="118"/>
  <c r="F3255" i="118"/>
  <c r="E3255" i="118"/>
  <c r="BH3254" i="118"/>
  <c r="P3230" i="118"/>
  <c r="L3230" i="118"/>
  <c r="BH3253" i="118"/>
  <c r="BH3252" i="118"/>
  <c r="BH3251" i="118"/>
  <c r="BH3250" i="118"/>
  <c r="BH3249" i="118"/>
  <c r="BH3248" i="118"/>
  <c r="BH3246" i="118"/>
  <c r="BH3245" i="118"/>
  <c r="BH3242" i="118"/>
  <c r="BH3241" i="118"/>
  <c r="BH3240" i="118"/>
  <c r="BH3239" i="118"/>
  <c r="BH3238" i="118"/>
  <c r="BH3237" i="118"/>
  <c r="BH3236" i="118"/>
  <c r="BH3234" i="118"/>
  <c r="BH3233" i="118"/>
  <c r="BH3232" i="118"/>
  <c r="BH3231" i="118"/>
  <c r="BE3230" i="118"/>
  <c r="AJ3230" i="118"/>
  <c r="AI3230" i="118"/>
  <c r="AH3230" i="118"/>
  <c r="AG3230" i="118"/>
  <c r="AF3230" i="118"/>
  <c r="BD3230" i="118" s="1"/>
  <c r="AE3230" i="118"/>
  <c r="BC3230" i="118" s="1"/>
  <c r="AD3230" i="118"/>
  <c r="AA3230" i="118"/>
  <c r="Z3230" i="118"/>
  <c r="U3230" i="118"/>
  <c r="T3230" i="118"/>
  <c r="S3230" i="118"/>
  <c r="R3230" i="118"/>
  <c r="Q3230" i="118"/>
  <c r="O3230" i="118"/>
  <c r="N3230" i="118"/>
  <c r="M3230" i="118"/>
  <c r="K3230" i="118"/>
  <c r="J3230" i="118"/>
  <c r="I3230" i="118"/>
  <c r="G3230" i="118"/>
  <c r="F3230" i="118"/>
  <c r="E3230" i="118"/>
  <c r="BH3229" i="118"/>
  <c r="BH3228" i="118"/>
  <c r="BH3227" i="118"/>
  <c r="BH3226" i="118"/>
  <c r="BH3225" i="118"/>
  <c r="BH3224" i="118"/>
  <c r="BH3223" i="118"/>
  <c r="BH3222" i="118"/>
  <c r="BH3220" i="118"/>
  <c r="BH3219" i="118"/>
  <c r="BH3218" i="118"/>
  <c r="BH3217" i="118"/>
  <c r="BH3216" i="118"/>
  <c r="BH3215" i="118"/>
  <c r="BE3213" i="118"/>
  <c r="BE3212" i="118"/>
  <c r="BH3211" i="118"/>
  <c r="BE3210" i="118"/>
  <c r="BH3209" i="118"/>
  <c r="BH3208" i="118"/>
  <c r="BE3207" i="118"/>
  <c r="BH3203" i="118"/>
  <c r="BH3202" i="118"/>
  <c r="BH3201" i="118"/>
  <c r="BH3200" i="118"/>
  <c r="BH3199" i="118"/>
  <c r="BH3198" i="118"/>
  <c r="BH3197" i="118"/>
  <c r="BH3196" i="118"/>
  <c r="BH3195" i="118"/>
  <c r="BH3194" i="118"/>
  <c r="BH3193" i="118"/>
  <c r="AJ3192" i="118"/>
  <c r="AI3192" i="118"/>
  <c r="AH3192" i="118"/>
  <c r="AG3192" i="118"/>
  <c r="AF3192" i="118"/>
  <c r="BD3192" i="118" s="1"/>
  <c r="AE3192" i="118"/>
  <c r="BC3192" i="118" s="1"/>
  <c r="AD3192" i="118"/>
  <c r="AA3192" i="118"/>
  <c r="Z3192" i="118"/>
  <c r="U3192" i="118"/>
  <c r="T3192" i="118"/>
  <c r="S3192" i="118"/>
  <c r="R3192" i="118"/>
  <c r="Q3192" i="118"/>
  <c r="O3192" i="118"/>
  <c r="N3192" i="118"/>
  <c r="M3192" i="118"/>
  <c r="K3192" i="118"/>
  <c r="J3192" i="118"/>
  <c r="I3192" i="118"/>
  <c r="G3192" i="118"/>
  <c r="F3192" i="118"/>
  <c r="E3192" i="118"/>
  <c r="BH3190" i="118"/>
  <c r="BH3188" i="118"/>
  <c r="BH3187" i="118"/>
  <c r="BH3186" i="118"/>
  <c r="BH3185" i="118"/>
  <c r="BH3184" i="118"/>
  <c r="BH3183" i="118"/>
  <c r="BH3182" i="118"/>
  <c r="BH3181" i="118"/>
  <c r="BH3180" i="118"/>
  <c r="BH3179" i="118"/>
  <c r="BH3178" i="118"/>
  <c r="BH3177" i="118"/>
  <c r="BH3176" i="118"/>
  <c r="BH3175" i="118"/>
  <c r="BH3174" i="118"/>
  <c r="BH3173" i="118"/>
  <c r="BH3172" i="118"/>
  <c r="BH3171" i="118"/>
  <c r="BH3170" i="118"/>
  <c r="BH3169" i="118"/>
  <c r="BH3168" i="118"/>
  <c r="BH3167" i="118"/>
  <c r="BH3166" i="118"/>
  <c r="BH3165" i="118"/>
  <c r="BH3164" i="118"/>
  <c r="BH3163" i="118"/>
  <c r="BH3162" i="118"/>
  <c r="BH3161" i="118"/>
  <c r="BH3160" i="118"/>
  <c r="BH3159" i="118"/>
  <c r="BH3158" i="118"/>
  <c r="BH3157" i="118"/>
  <c r="BH3156" i="118"/>
  <c r="BH3155" i="118"/>
  <c r="BH3154" i="118"/>
  <c r="BH3153" i="118"/>
  <c r="BH3152" i="118"/>
  <c r="BH3151" i="118"/>
  <c r="BH3150" i="118"/>
  <c r="BH3149" i="118"/>
  <c r="BH3148" i="118"/>
  <c r="BH3147" i="118"/>
  <c r="BH3146" i="118"/>
  <c r="BH3145" i="118"/>
  <c r="BH3144" i="118"/>
  <c r="BH3143" i="118"/>
  <c r="BH3142" i="118"/>
  <c r="BH3140" i="118"/>
  <c r="BH3139" i="118"/>
  <c r="BH3137" i="118"/>
  <c r="BE3136" i="118"/>
  <c r="AJ3136" i="118"/>
  <c r="AH3136" i="118"/>
  <c r="AG3136" i="118"/>
  <c r="AF3136" i="118"/>
  <c r="AE3136" i="118"/>
  <c r="AD3136" i="118"/>
  <c r="AA3136" i="118"/>
  <c r="Z3136" i="118"/>
  <c r="U3136" i="118"/>
  <c r="T3136" i="118"/>
  <c r="S3136" i="118"/>
  <c r="R3136" i="118"/>
  <c r="Q3136" i="118"/>
  <c r="O3136" i="118"/>
  <c r="N3136" i="118"/>
  <c r="M3136" i="118"/>
  <c r="K3136" i="118"/>
  <c r="J3136" i="118"/>
  <c r="I3136" i="118"/>
  <c r="G3136" i="118"/>
  <c r="F3136" i="118"/>
  <c r="E3136" i="118"/>
  <c r="BH3132" i="118"/>
  <c r="BH3131" i="118"/>
  <c r="BH3130" i="118"/>
  <c r="BH3129" i="118"/>
  <c r="BH3128" i="118"/>
  <c r="BH3127" i="118"/>
  <c r="BH3126" i="118"/>
  <c r="BH3125" i="118"/>
  <c r="BH3124" i="118"/>
  <c r="BH3123" i="118"/>
  <c r="BH3121" i="118"/>
  <c r="BH3120" i="118"/>
  <c r="BH3119" i="118"/>
  <c r="BH3116" i="118"/>
  <c r="BE3115" i="118"/>
  <c r="AJ3115" i="118"/>
  <c r="AH3115" i="118"/>
  <c r="AG3115" i="118"/>
  <c r="AF3115" i="118"/>
  <c r="AE3115" i="118"/>
  <c r="AD3115" i="118"/>
  <c r="AA3115" i="118"/>
  <c r="U3115" i="118"/>
  <c r="T3115" i="118"/>
  <c r="S3115" i="118"/>
  <c r="R3115" i="118"/>
  <c r="Q3115" i="118"/>
  <c r="O3115" i="118"/>
  <c r="N3115" i="118"/>
  <c r="M3115" i="118"/>
  <c r="K3115" i="118"/>
  <c r="J3115" i="118"/>
  <c r="I3115" i="118"/>
  <c r="G3115" i="118"/>
  <c r="F3115" i="118"/>
  <c r="E3115" i="118"/>
  <c r="BH3114" i="118"/>
  <c r="BH3113" i="118"/>
  <c r="BH3112" i="118"/>
  <c r="BH3111" i="118"/>
  <c r="BH3110" i="118"/>
  <c r="BH3109" i="118"/>
  <c r="BH3105" i="118"/>
  <c r="BH3104" i="118"/>
  <c r="BH3103" i="118"/>
  <c r="BH3102" i="118"/>
  <c r="BH3101" i="118"/>
  <c r="BH3100" i="118"/>
  <c r="BH3099" i="118"/>
  <c r="BH3098" i="118"/>
  <c r="BH3097" i="118"/>
  <c r="BH3096" i="118"/>
  <c r="BH3095" i="118"/>
  <c r="BH3094" i="118"/>
  <c r="BH3093" i="118"/>
  <c r="BH3092" i="118"/>
  <c r="BH3091" i="118"/>
  <c r="BH3090" i="118"/>
  <c r="BH3089" i="118"/>
  <c r="BH3088" i="118"/>
  <c r="BH3087" i="118"/>
  <c r="BH3086" i="118"/>
  <c r="BH3085" i="118"/>
  <c r="BH3084" i="118"/>
  <c r="BH3083" i="118"/>
  <c r="BH3082" i="118"/>
  <c r="BH3081" i="118"/>
  <c r="BH3080" i="118"/>
  <c r="BH3079" i="118"/>
  <c r="BH3078" i="118"/>
  <c r="BH3077" i="118"/>
  <c r="BH3076" i="118"/>
  <c r="BH3075" i="118"/>
  <c r="BH3074" i="118"/>
  <c r="BH3073" i="118"/>
  <c r="BH3072" i="118"/>
  <c r="BH3071" i="118"/>
  <c r="BH3070" i="118"/>
  <c r="BH3069" i="118"/>
  <c r="BH3068" i="118"/>
  <c r="BH3067" i="118"/>
  <c r="BH3066" i="118"/>
  <c r="BH3065" i="118"/>
  <c r="BH3064" i="118"/>
  <c r="BH3063" i="118"/>
  <c r="BH3062" i="118"/>
  <c r="BH3061" i="118"/>
  <c r="BH3060" i="118"/>
  <c r="BH3059" i="118"/>
  <c r="BH3058" i="118"/>
  <c r="BH3057" i="118"/>
  <c r="BH3056" i="118"/>
  <c r="BH3055" i="118"/>
  <c r="BH3054" i="118"/>
  <c r="BH3053" i="118"/>
  <c r="BH3052" i="118"/>
  <c r="BH3051" i="118"/>
  <c r="BH3050" i="118"/>
  <c r="BH3049" i="118"/>
  <c r="BH3048" i="118"/>
  <c r="BH3047" i="118"/>
  <c r="BH3046" i="118"/>
  <c r="BH3045" i="118"/>
  <c r="BH3044" i="118"/>
  <c r="BH3043" i="118"/>
  <c r="BH3042" i="118"/>
  <c r="BH3041" i="118"/>
  <c r="BH3040" i="118"/>
  <c r="BH3039" i="118"/>
  <c r="BH3038" i="118"/>
  <c r="BH3037" i="118"/>
  <c r="BH3036" i="118"/>
  <c r="BH3035" i="118"/>
  <c r="BH3034" i="118"/>
  <c r="BH3033" i="118"/>
  <c r="BH3032" i="118"/>
  <c r="BH3031" i="118"/>
  <c r="BH3030" i="118"/>
  <c r="BH3028" i="118"/>
  <c r="BH3027" i="118"/>
  <c r="BH3025" i="118"/>
  <c r="BH3024" i="118"/>
  <c r="BH3023" i="118"/>
  <c r="BH3022" i="118"/>
  <c r="BH3021" i="118"/>
  <c r="BH3020" i="118"/>
  <c r="BH3019" i="118"/>
  <c r="BH3018" i="118"/>
  <c r="BH3017" i="118"/>
  <c r="BH3016" i="118"/>
  <c r="BH3015" i="118"/>
  <c r="BH3014" i="118"/>
  <c r="BH3013" i="118"/>
  <c r="L3011" i="118"/>
  <c r="BH3012" i="118"/>
  <c r="BE3011" i="118"/>
  <c r="AJ3011" i="118"/>
  <c r="AH3011" i="118"/>
  <c r="AG3011" i="118"/>
  <c r="AF3011" i="118"/>
  <c r="AD3011" i="118"/>
  <c r="AA3011" i="118"/>
  <c r="Z3011" i="118"/>
  <c r="U3011" i="118"/>
  <c r="T3011" i="118"/>
  <c r="S3011" i="118"/>
  <c r="R3011" i="118"/>
  <c r="Q3011" i="118"/>
  <c r="O3011" i="118"/>
  <c r="N3011" i="118"/>
  <c r="M3011" i="118"/>
  <c r="K3011" i="118"/>
  <c r="J3011" i="118"/>
  <c r="I3011" i="118"/>
  <c r="G3011" i="118"/>
  <c r="F3011" i="118"/>
  <c r="E3011" i="118"/>
  <c r="BH3010" i="118"/>
  <c r="BH3009" i="118"/>
  <c r="BH3008" i="118"/>
  <c r="BH3007" i="118"/>
  <c r="BH3001" i="118"/>
  <c r="BH3000" i="118"/>
  <c r="BH2999" i="118"/>
  <c r="BH2998" i="118"/>
  <c r="BH2997" i="118"/>
  <c r="BH2996" i="118"/>
  <c r="BH2995" i="118"/>
  <c r="BH2994" i="118"/>
  <c r="BH2993" i="118"/>
  <c r="BH2992" i="118"/>
  <c r="BH2991" i="118"/>
  <c r="BH2990" i="118"/>
  <c r="BH2989" i="118"/>
  <c r="BH2988" i="118"/>
  <c r="BH2987" i="118"/>
  <c r="BH2986" i="118"/>
  <c r="BH2985" i="118"/>
  <c r="BH2984" i="118"/>
  <c r="BH2983" i="118"/>
  <c r="BH2980" i="118"/>
  <c r="BH2979" i="118"/>
  <c r="BH2978" i="118"/>
  <c r="BH2976" i="118"/>
  <c r="BH2975" i="118"/>
  <c r="BH2974" i="118"/>
  <c r="BH2973" i="118"/>
  <c r="BH2972" i="118"/>
  <c r="BH2971" i="118"/>
  <c r="BH2970" i="118"/>
  <c r="BH2969" i="118"/>
  <c r="BH2968" i="118"/>
  <c r="BH2967" i="118"/>
  <c r="BH2966" i="118"/>
  <c r="BH2965" i="118"/>
  <c r="BH2964" i="118"/>
  <c r="BH2963" i="118"/>
  <c r="BH2962" i="118"/>
  <c r="BH2961" i="118"/>
  <c r="BH2960" i="118"/>
  <c r="BH2959" i="118"/>
  <c r="BH2958" i="118"/>
  <c r="BH2957" i="118"/>
  <c r="BH2956" i="118"/>
  <c r="BH2955" i="118"/>
  <c r="BH2954" i="118"/>
  <c r="BH2953" i="118"/>
  <c r="BH2952" i="118"/>
  <c r="BH2951" i="118"/>
  <c r="BH2950" i="118"/>
  <c r="BH2949" i="118"/>
  <c r="BH2948" i="118"/>
  <c r="BH2947" i="118"/>
  <c r="BH2946" i="118"/>
  <c r="BH2945" i="118"/>
  <c r="BH2944" i="118"/>
  <c r="BH2943" i="118"/>
  <c r="BH2942" i="118"/>
  <c r="BH2941" i="118"/>
  <c r="BH2940" i="118"/>
  <c r="BH2939" i="118"/>
  <c r="BH2938" i="118"/>
  <c r="BH2937" i="118"/>
  <c r="BH2936" i="118"/>
  <c r="BH2935" i="118"/>
  <c r="BH2934" i="118"/>
  <c r="BH2933" i="118"/>
  <c r="BH2932" i="118"/>
  <c r="BH2931" i="118"/>
  <c r="BH2930" i="118"/>
  <c r="BH2929" i="118"/>
  <c r="BH2927" i="118"/>
  <c r="BH2925" i="118"/>
  <c r="BH2924" i="118"/>
  <c r="BH2923" i="118"/>
  <c r="BH2922" i="118"/>
  <c r="BH2919" i="118"/>
  <c r="BH2918" i="118"/>
  <c r="BH2917" i="118"/>
  <c r="BH2916" i="118"/>
  <c r="BH2913" i="118"/>
  <c r="BH2912" i="118"/>
  <c r="BH2911" i="118"/>
  <c r="BH2910" i="118"/>
  <c r="BH2909" i="118"/>
  <c r="BH2908" i="118"/>
  <c r="BH2907" i="118"/>
  <c r="BH2906" i="118"/>
  <c r="BH2904" i="118"/>
  <c r="BH2903" i="118"/>
  <c r="BH2902" i="118"/>
  <c r="BH2901" i="118"/>
  <c r="BH2899" i="118"/>
  <c r="BH2898" i="118"/>
  <c r="BH2897" i="118"/>
  <c r="BH2895" i="118"/>
  <c r="BH2894" i="118"/>
  <c r="BH2893" i="118"/>
  <c r="BH2892" i="118"/>
  <c r="BH2891" i="118"/>
  <c r="BH2890" i="118"/>
  <c r="BH2888" i="118"/>
  <c r="BH2887" i="118"/>
  <c r="BH2886" i="118"/>
  <c r="BH2885" i="118"/>
  <c r="BH2884" i="118"/>
  <c r="BH2883" i="118"/>
  <c r="BH2882" i="118"/>
  <c r="BH2881" i="118"/>
  <c r="BH2878" i="118"/>
  <c r="BH2877" i="118"/>
  <c r="BH2876" i="118"/>
  <c r="BH2875" i="118"/>
  <c r="BH2874" i="118"/>
  <c r="BH2873" i="118"/>
  <c r="BH2871" i="118"/>
  <c r="BH2870" i="118"/>
  <c r="BH2869" i="118"/>
  <c r="BH2868" i="118"/>
  <c r="BH2867" i="118"/>
  <c r="BH2866" i="118"/>
  <c r="BH2865" i="118"/>
  <c r="BH2864" i="118"/>
  <c r="BH2863" i="118"/>
  <c r="BH2862" i="118"/>
  <c r="BH2861" i="118"/>
  <c r="BH2860" i="118"/>
  <c r="BH2859" i="118"/>
  <c r="BH2858" i="118"/>
  <c r="BH2853" i="118"/>
  <c r="BH2852" i="118"/>
  <c r="BH2851" i="118"/>
  <c r="BH2850" i="118"/>
  <c r="BH2849" i="118"/>
  <c r="BH2848" i="118"/>
  <c r="BH2846" i="118"/>
  <c r="BE2845" i="118"/>
  <c r="AJ2845" i="118"/>
  <c r="AH2845" i="118"/>
  <c r="AG2845" i="118"/>
  <c r="AF2845" i="118"/>
  <c r="AD2845" i="118"/>
  <c r="BH2844" i="118"/>
  <c r="BH2843" i="118"/>
  <c r="BH2842" i="118"/>
  <c r="BH2841" i="118"/>
  <c r="BH2840" i="118"/>
  <c r="BH2839" i="118"/>
  <c r="BH2838" i="118"/>
  <c r="BH2837" i="118"/>
  <c r="BH2836" i="118"/>
  <c r="BH2835" i="118"/>
  <c r="AE2829" i="118"/>
  <c r="BH2834" i="118"/>
  <c r="BH2833" i="118"/>
  <c r="BH2832" i="118"/>
  <c r="BH2831" i="118"/>
  <c r="P2829" i="118"/>
  <c r="L2829" i="118"/>
  <c r="BE2829" i="118"/>
  <c r="AJ2829" i="118"/>
  <c r="AI2829" i="118"/>
  <c r="AH2829" i="118"/>
  <c r="AG2829" i="118"/>
  <c r="AF2829" i="118"/>
  <c r="BD2829" i="118" s="1"/>
  <c r="AD2829" i="118"/>
  <c r="AA2829" i="118"/>
  <c r="Z2829" i="118"/>
  <c r="U2829" i="118"/>
  <c r="T2829" i="118"/>
  <c r="S2829" i="118"/>
  <c r="R2829" i="118"/>
  <c r="Q2829" i="118"/>
  <c r="O2829" i="118"/>
  <c r="N2829" i="118"/>
  <c r="M2829" i="118"/>
  <c r="K2829" i="118"/>
  <c r="J2829" i="118"/>
  <c r="I2829" i="118"/>
  <c r="H2829" i="118"/>
  <c r="G2829" i="118"/>
  <c r="F2829" i="118"/>
  <c r="E2829" i="118"/>
  <c r="D2829" i="118"/>
  <c r="BH2828" i="118"/>
  <c r="BH2827" i="118"/>
  <c r="BH2826" i="118"/>
  <c r="BH2825" i="118"/>
  <c r="BH2824" i="118"/>
  <c r="BH2823" i="118"/>
  <c r="BH2822" i="118"/>
  <c r="BH2821" i="118"/>
  <c r="BH2820" i="118"/>
  <c r="BH2819" i="118"/>
  <c r="BH2818" i="118"/>
  <c r="BH2817" i="118"/>
  <c r="BH2816" i="118"/>
  <c r="AE2786" i="118"/>
  <c r="BH2815" i="118"/>
  <c r="BH2814" i="118"/>
  <c r="BH2813" i="118"/>
  <c r="BH2812" i="118"/>
  <c r="BH2811" i="118"/>
  <c r="BH2810" i="118"/>
  <c r="BH2809" i="118"/>
  <c r="BH2808" i="118"/>
  <c r="BH2807" i="118"/>
  <c r="BH2806" i="118"/>
  <c r="BH2805" i="118"/>
  <c r="BH2804" i="118"/>
  <c r="BH2803" i="118"/>
  <c r="BH2801" i="118"/>
  <c r="BH2800" i="118"/>
  <c r="BH2799" i="118"/>
  <c r="BH2798" i="118"/>
  <c r="BH2797" i="118"/>
  <c r="BH2796" i="118"/>
  <c r="BH2795" i="118"/>
  <c r="BH2794" i="118"/>
  <c r="BH2793" i="118"/>
  <c r="BH2792" i="118"/>
  <c r="BH2791" i="118"/>
  <c r="BH2790" i="118"/>
  <c r="P2786" i="118"/>
  <c r="L2786" i="118"/>
  <c r="H2786" i="118"/>
  <c r="D2786" i="118"/>
  <c r="BH2789" i="118"/>
  <c r="BH2788" i="118"/>
  <c r="BH2787" i="118"/>
  <c r="BE2786" i="118"/>
  <c r="AJ2786" i="118"/>
  <c r="AH2786" i="118"/>
  <c r="AG2786" i="118"/>
  <c r="AF2786" i="118"/>
  <c r="AD2786" i="118"/>
  <c r="AA2786" i="118"/>
  <c r="Z2786" i="118"/>
  <c r="U2786" i="118"/>
  <c r="T2786" i="118"/>
  <c r="S2786" i="118"/>
  <c r="R2786" i="118"/>
  <c r="Q2786" i="118"/>
  <c r="O2786" i="118"/>
  <c r="N2786" i="118"/>
  <c r="M2786" i="118"/>
  <c r="K2786" i="118"/>
  <c r="J2786" i="118"/>
  <c r="I2786" i="118"/>
  <c r="G2786" i="118"/>
  <c r="F2786" i="118"/>
  <c r="E2786" i="118"/>
  <c r="BH2785" i="118"/>
  <c r="BH2784" i="118"/>
  <c r="BH2783" i="118"/>
  <c r="BH2782" i="118"/>
  <c r="BH2781" i="118"/>
  <c r="BH2780" i="118"/>
  <c r="BH2779" i="118"/>
  <c r="BH2778" i="118"/>
  <c r="BH2777" i="118"/>
  <c r="BH2776" i="118"/>
  <c r="BH2775" i="118"/>
  <c r="BH2774" i="118"/>
  <c r="BH2773" i="118"/>
  <c r="BH2772" i="118"/>
  <c r="BH2771" i="118"/>
  <c r="BH2770" i="118"/>
  <c r="BH2769" i="118"/>
  <c r="BH2768" i="118"/>
  <c r="BH2767" i="118"/>
  <c r="BH2766" i="118"/>
  <c r="BH2765" i="118"/>
  <c r="BH2764" i="118"/>
  <c r="BH2763" i="118"/>
  <c r="BH2762" i="118"/>
  <c r="BH2761" i="118"/>
  <c r="BH2759" i="118"/>
  <c r="BH2758" i="118"/>
  <c r="BH2757" i="118"/>
  <c r="BH2756" i="118"/>
  <c r="BH2755" i="118"/>
  <c r="BH2754" i="118"/>
  <c r="BH2753" i="118"/>
  <c r="BH2752" i="118"/>
  <c r="BH2751" i="118"/>
  <c r="BH2750" i="118"/>
  <c r="BH2749" i="118"/>
  <c r="BH2748" i="118"/>
  <c r="BH2747" i="118"/>
  <c r="BH2746" i="118"/>
  <c r="BH2745" i="118"/>
  <c r="BH2744" i="118"/>
  <c r="BH2743" i="118"/>
  <c r="BH2742" i="118"/>
  <c r="BH2741" i="118"/>
  <c r="BH2740" i="118"/>
  <c r="BH2739" i="118"/>
  <c r="BH2738" i="118"/>
  <c r="BH2737" i="118"/>
  <c r="BH2736" i="118"/>
  <c r="BH2735" i="118"/>
  <c r="BH2734" i="118"/>
  <c r="BH2733" i="118"/>
  <c r="BH2732" i="118"/>
  <c r="BH2731" i="118"/>
  <c r="BH2730" i="118"/>
  <c r="BH2729" i="118"/>
  <c r="BH2728" i="118"/>
  <c r="BH2727" i="118"/>
  <c r="BH2726" i="118"/>
  <c r="BH2725" i="118"/>
  <c r="BH2724" i="118"/>
  <c r="BH2723" i="118"/>
  <c r="BH2722" i="118"/>
  <c r="BH2721" i="118"/>
  <c r="BH2720" i="118"/>
  <c r="BH2719" i="118"/>
  <c r="BH2718" i="118"/>
  <c r="BH2717" i="118"/>
  <c r="BH2716" i="118"/>
  <c r="BH2715" i="118"/>
  <c r="BH2714" i="118"/>
  <c r="BH2713" i="118"/>
  <c r="BH2712" i="118"/>
  <c r="BH2711" i="118"/>
  <c r="BH2710" i="118"/>
  <c r="BH2709" i="118"/>
  <c r="BH2708" i="118"/>
  <c r="BH2707" i="118"/>
  <c r="BH2706" i="118"/>
  <c r="BH2705" i="118"/>
  <c r="BH2704" i="118"/>
  <c r="BH2703" i="118"/>
  <c r="BH2700" i="118"/>
  <c r="BH2699" i="118"/>
  <c r="BH2697" i="118"/>
  <c r="BH2696" i="118"/>
  <c r="BH2694" i="118"/>
  <c r="BH2691" i="118"/>
  <c r="BH2690" i="118"/>
  <c r="BH2689" i="118"/>
  <c r="BH2688" i="118"/>
  <c r="BH2686" i="118"/>
  <c r="BH2685" i="118"/>
  <c r="BH2683" i="118"/>
  <c r="BH2682" i="118"/>
  <c r="BH2681" i="118"/>
  <c r="BH2680" i="118"/>
  <c r="BH2678" i="118"/>
  <c r="BH2677" i="118"/>
  <c r="BH2676" i="118"/>
  <c r="BH2675" i="118"/>
  <c r="BH2672" i="118"/>
  <c r="BH2671" i="118"/>
  <c r="BH2670" i="118"/>
  <c r="BH2669" i="118"/>
  <c r="BH2668" i="118"/>
  <c r="BH2666" i="118"/>
  <c r="BH2665" i="118"/>
  <c r="BH2664" i="118"/>
  <c r="BH2660" i="118"/>
  <c r="BH2658" i="118"/>
  <c r="BH2657" i="118"/>
  <c r="BH2656" i="118"/>
  <c r="BH2655" i="118"/>
  <c r="BH2654" i="118"/>
  <c r="BH2653" i="118"/>
  <c r="BH2652" i="118"/>
  <c r="BH2651" i="118"/>
  <c r="BH2650" i="118"/>
  <c r="BH2649" i="118"/>
  <c r="BH2648" i="118"/>
  <c r="BH2647" i="118"/>
  <c r="BH2646" i="118"/>
  <c r="BH2645" i="118"/>
  <c r="BH2644" i="118"/>
  <c r="BH2643" i="118"/>
  <c r="BH2642" i="118"/>
  <c r="BH2637" i="118"/>
  <c r="BH2636" i="118"/>
  <c r="BH2635" i="118"/>
  <c r="BH2634" i="118"/>
  <c r="BH2633" i="118"/>
  <c r="BE2632" i="118"/>
  <c r="AJ2632" i="118"/>
  <c r="AH2632" i="118"/>
  <c r="AG2632" i="118"/>
  <c r="AF2632" i="118"/>
  <c r="AD2632" i="118"/>
  <c r="AA2632" i="118"/>
  <c r="Z2632" i="118"/>
  <c r="U2632" i="118"/>
  <c r="T2632" i="118"/>
  <c r="S2632" i="118"/>
  <c r="R2632" i="118"/>
  <c r="Q2632" i="118"/>
  <c r="P2632" i="118"/>
  <c r="O2632" i="118"/>
  <c r="N2632" i="118"/>
  <c r="M2632" i="118"/>
  <c r="L2632" i="118"/>
  <c r="K2632" i="118"/>
  <c r="J2632" i="118"/>
  <c r="I2632" i="118"/>
  <c r="H2632" i="118"/>
  <c r="G2632" i="118"/>
  <c r="F2632" i="118"/>
  <c r="E2632" i="118"/>
  <c r="AC2632" i="118" s="1"/>
  <c r="BH2631" i="118"/>
  <c r="BH2630" i="118"/>
  <c r="BH2629" i="118"/>
  <c r="BH2628" i="118"/>
  <c r="BH2627" i="118"/>
  <c r="BH2626" i="118"/>
  <c r="BH2625" i="118"/>
  <c r="BH2624" i="118"/>
  <c r="BH2623" i="118"/>
  <c r="BH2622" i="118"/>
  <c r="BH2621" i="118"/>
  <c r="BH2620" i="118"/>
  <c r="BH2619" i="118"/>
  <c r="BH2618" i="118"/>
  <c r="BH2617" i="118"/>
  <c r="BH2616" i="118"/>
  <c r="BH2615" i="118"/>
  <c r="BH2614" i="118"/>
  <c r="BH2613" i="118"/>
  <c r="BH2612" i="118"/>
  <c r="BH2611" i="118"/>
  <c r="BH2610" i="118"/>
  <c r="BH2609" i="118"/>
  <c r="BH2608" i="118"/>
  <c r="BH2607" i="118"/>
  <c r="BH2606" i="118"/>
  <c r="BH2605" i="118"/>
  <c r="BH2604" i="118"/>
  <c r="BH2603" i="118"/>
  <c r="BH2602" i="118"/>
  <c r="BH2601" i="118"/>
  <c r="BH2600" i="118"/>
  <c r="BH2599" i="118"/>
  <c r="BH2598" i="118"/>
  <c r="BH2597" i="118"/>
  <c r="BH2596" i="118"/>
  <c r="BH2595" i="118"/>
  <c r="BH2594" i="118"/>
  <c r="BH2593" i="118"/>
  <c r="BH2592" i="118"/>
  <c r="BH2591" i="118"/>
  <c r="BH2590" i="118"/>
  <c r="BH2589" i="118"/>
  <c r="BH2588" i="118"/>
  <c r="BH2587" i="118"/>
  <c r="BH2586" i="118"/>
  <c r="BH2585" i="118"/>
  <c r="BH2584" i="118"/>
  <c r="BH2583" i="118"/>
  <c r="BH2582" i="118"/>
  <c r="BH2581" i="118"/>
  <c r="BH2580" i="118"/>
  <c r="BH2579" i="118"/>
  <c r="BH2578" i="118"/>
  <c r="BH2577" i="118"/>
  <c r="BH2576" i="118"/>
  <c r="BH2575" i="118"/>
  <c r="BH2574" i="118"/>
  <c r="BH2573" i="118"/>
  <c r="BH2572" i="118"/>
  <c r="BH2571" i="118"/>
  <c r="BH2570" i="118"/>
  <c r="BH2569" i="118"/>
  <c r="BH2568" i="118"/>
  <c r="BH2567" i="118"/>
  <c r="BH2566" i="118"/>
  <c r="BH2565" i="118"/>
  <c r="BH2564" i="118"/>
  <c r="BH2561" i="118"/>
  <c r="BH2560" i="118"/>
  <c r="BH2559" i="118"/>
  <c r="BH2558" i="118"/>
  <c r="BH2556" i="118"/>
  <c r="BH2554" i="118"/>
  <c r="BH2553" i="118"/>
  <c r="BH2552" i="118"/>
  <c r="BH2551" i="118"/>
  <c r="BH2550" i="118"/>
  <c r="BH2549" i="118"/>
  <c r="BH2548" i="118"/>
  <c r="BH2547" i="118"/>
  <c r="BH2544" i="118"/>
  <c r="BH2543" i="118"/>
  <c r="BH2542" i="118"/>
  <c r="BH2541" i="118"/>
  <c r="BH2540" i="118"/>
  <c r="BH2539" i="118"/>
  <c r="BH2538" i="118"/>
  <c r="BH2537" i="118"/>
  <c r="BH2536" i="118"/>
  <c r="BH2535" i="118"/>
  <c r="BH2534" i="118"/>
  <c r="BH2533" i="118"/>
  <c r="BH2532" i="118"/>
  <c r="BH2531" i="118"/>
  <c r="BH2530" i="118"/>
  <c r="BH2529" i="118"/>
  <c r="BH2528" i="118"/>
  <c r="BH2527" i="118"/>
  <c r="P2522" i="118"/>
  <c r="L2522" i="118"/>
  <c r="D2522" i="118"/>
  <c r="BH2526" i="118"/>
  <c r="BH2525" i="118"/>
  <c r="BH2524" i="118"/>
  <c r="BH2523" i="118"/>
  <c r="BE2522" i="118"/>
  <c r="AJ2522" i="118"/>
  <c r="AH2522" i="118"/>
  <c r="AG2522" i="118"/>
  <c r="AF2522" i="118"/>
  <c r="AD2522" i="118"/>
  <c r="AA2522" i="118"/>
  <c r="Z2522" i="118"/>
  <c r="U2522" i="118"/>
  <c r="T2522" i="118"/>
  <c r="S2522" i="118"/>
  <c r="R2522" i="118"/>
  <c r="Q2522" i="118"/>
  <c r="O2522" i="118"/>
  <c r="N2522" i="118"/>
  <c r="M2522" i="118"/>
  <c r="K2522" i="118"/>
  <c r="J2522" i="118"/>
  <c r="I2522" i="118"/>
  <c r="G2522" i="118"/>
  <c r="F2522" i="118"/>
  <c r="E2522" i="118"/>
  <c r="BH2521" i="118"/>
  <c r="BH2520" i="118"/>
  <c r="BH2519" i="118"/>
  <c r="BH2518" i="118"/>
  <c r="BH2517" i="118"/>
  <c r="BH2516" i="118"/>
  <c r="BH2513" i="118"/>
  <c r="BH2512" i="118"/>
  <c r="BH2511" i="118"/>
  <c r="BH2510" i="118"/>
  <c r="BH2509" i="118"/>
  <c r="BH2508" i="118"/>
  <c r="BH2506" i="118"/>
  <c r="BH2505" i="118"/>
  <c r="BH2504" i="118"/>
  <c r="BH2503" i="118"/>
  <c r="BH2502" i="118"/>
  <c r="BH2501" i="118"/>
  <c r="BH2500" i="118"/>
  <c r="BH2499" i="118"/>
  <c r="BH2498" i="118"/>
  <c r="BH2497" i="118"/>
  <c r="BH2496" i="118"/>
  <c r="BH2495" i="118"/>
  <c r="BH2494" i="118"/>
  <c r="BH2493" i="118"/>
  <c r="BH2492" i="118"/>
  <c r="BH2491" i="118"/>
  <c r="BH2490" i="118"/>
  <c r="BH2489" i="118"/>
  <c r="BH2488" i="118"/>
  <c r="BH2487" i="118"/>
  <c r="BH2486" i="118"/>
  <c r="BH2485" i="118"/>
  <c r="BH2484" i="118"/>
  <c r="BH2483" i="118"/>
  <c r="BH2482" i="118"/>
  <c r="BH2481" i="118"/>
  <c r="BH2480" i="118"/>
  <c r="BH2479" i="118"/>
  <c r="BH2478" i="118"/>
  <c r="BH2477" i="118"/>
  <c r="BH2476" i="118"/>
  <c r="BH2475" i="118"/>
  <c r="BH2474" i="118"/>
  <c r="BH2473" i="118"/>
  <c r="BH2472" i="118"/>
  <c r="BH2471" i="118"/>
  <c r="BH2470" i="118"/>
  <c r="BH2469" i="118"/>
  <c r="BH2468" i="118"/>
  <c r="BH2467" i="118"/>
  <c r="BH2466" i="118"/>
  <c r="BH2465" i="118"/>
  <c r="BH2464" i="118"/>
  <c r="BH2463" i="118"/>
  <c r="BH2462" i="118"/>
  <c r="BH2461" i="118"/>
  <c r="BH2460" i="118"/>
  <c r="BH2459" i="118"/>
  <c r="BH2458" i="118"/>
  <c r="BH2457" i="118"/>
  <c r="BH2456" i="118"/>
  <c r="BH2455" i="118"/>
  <c r="BH2454" i="118"/>
  <c r="BH2453" i="118"/>
  <c r="BH2452" i="118"/>
  <c r="BH2451" i="118"/>
  <c r="BH2449" i="118"/>
  <c r="BH2446" i="118"/>
  <c r="BH2445" i="118"/>
  <c r="BH2444" i="118"/>
  <c r="BH2443" i="118"/>
  <c r="BH2440" i="118"/>
  <c r="BH2437" i="118"/>
  <c r="BH2436" i="118"/>
  <c r="BH2435" i="118"/>
  <c r="BH2430" i="118"/>
  <c r="BH2429" i="118"/>
  <c r="BH2428" i="118"/>
  <c r="BH2427" i="118"/>
  <c r="BH2426" i="118"/>
  <c r="BH2425" i="118"/>
  <c r="BH2424" i="118"/>
  <c r="BH2423" i="118"/>
  <c r="BH2422" i="118"/>
  <c r="BH2421" i="118"/>
  <c r="BH2420" i="118"/>
  <c r="BH2419" i="118"/>
  <c r="BH2418" i="118"/>
  <c r="BH2417" i="118"/>
  <c r="BH2416" i="118"/>
  <c r="BH2415" i="118"/>
  <c r="BH2414" i="118"/>
  <c r="BH2413" i="118"/>
  <c r="BH2412" i="118"/>
  <c r="BH2411" i="118"/>
  <c r="BH2410" i="118"/>
  <c r="BH2409" i="118"/>
  <c r="BH2408" i="118"/>
  <c r="BH2406" i="118"/>
  <c r="BH2405" i="118"/>
  <c r="BH2404" i="118"/>
  <c r="BH2403" i="118"/>
  <c r="BH2402" i="118"/>
  <c r="BH2401" i="118"/>
  <c r="BH2396" i="118"/>
  <c r="P2390" i="118"/>
  <c r="L2390" i="118"/>
  <c r="H2390" i="118"/>
  <c r="D2390" i="118"/>
  <c r="BH2395" i="118"/>
  <c r="BH2394" i="118"/>
  <c r="BH2392" i="118"/>
  <c r="BE2390" i="118"/>
  <c r="AJ2390" i="118"/>
  <c r="AH2390" i="118"/>
  <c r="AG2390" i="118"/>
  <c r="AF2390" i="118"/>
  <c r="AD2390" i="118"/>
  <c r="AA2390" i="118"/>
  <c r="U2390" i="118"/>
  <c r="T2390" i="118"/>
  <c r="S2390" i="118"/>
  <c r="R2390" i="118"/>
  <c r="Q2390" i="118"/>
  <c r="O2390" i="118"/>
  <c r="N2390" i="118"/>
  <c r="M2390" i="118"/>
  <c r="K2390" i="118"/>
  <c r="J2390" i="118"/>
  <c r="I2390" i="118"/>
  <c r="G2390" i="118"/>
  <c r="F2390" i="118"/>
  <c r="E2390" i="118"/>
  <c r="BH2389" i="118"/>
  <c r="BH2388" i="118"/>
  <c r="BH2387" i="118"/>
  <c r="BH2386" i="118"/>
  <c r="BH2385" i="118"/>
  <c r="BH2384" i="118"/>
  <c r="BH2383" i="118"/>
  <c r="BH2382" i="118"/>
  <c r="BH2381" i="118"/>
  <c r="BH2380" i="118"/>
  <c r="BH2379" i="118"/>
  <c r="BH2378" i="118"/>
  <c r="BH2377" i="118"/>
  <c r="BH2376" i="118"/>
  <c r="BH2375" i="118"/>
  <c r="BH2374" i="118"/>
  <c r="BH2373" i="118"/>
  <c r="BH2372" i="118"/>
  <c r="BH2371" i="118"/>
  <c r="BH2369" i="118"/>
  <c r="BH2368" i="118"/>
  <c r="BH2367" i="118"/>
  <c r="BH2366" i="118"/>
  <c r="BH2365" i="118"/>
  <c r="BH2364" i="118"/>
  <c r="BH2363" i="118"/>
  <c r="BE2362" i="118"/>
  <c r="AJ2362" i="118"/>
  <c r="AI2362" i="118"/>
  <c r="AH2362" i="118"/>
  <c r="AG2362" i="118"/>
  <c r="AF2362" i="118"/>
  <c r="BD2362" i="118" s="1"/>
  <c r="AE2362" i="118"/>
  <c r="BC2362" i="118" s="1"/>
  <c r="AD2362" i="118"/>
  <c r="AA2362" i="118"/>
  <c r="Z2362" i="118"/>
  <c r="U2362" i="118"/>
  <c r="T2362" i="118"/>
  <c r="S2362" i="118"/>
  <c r="R2362" i="118"/>
  <c r="Q2362" i="118"/>
  <c r="P2362" i="118"/>
  <c r="O2362" i="118"/>
  <c r="N2362" i="118"/>
  <c r="M2362" i="118"/>
  <c r="L2362" i="118"/>
  <c r="K2362" i="118"/>
  <c r="J2362" i="118"/>
  <c r="I2362" i="118"/>
  <c r="G2362" i="118"/>
  <c r="F2362" i="118"/>
  <c r="E2362" i="118"/>
  <c r="D2362" i="118"/>
  <c r="BH2360" i="118"/>
  <c r="BH2359" i="118"/>
  <c r="BH2358" i="118"/>
  <c r="BH2357" i="118"/>
  <c r="BH2356" i="118"/>
  <c r="BH2355" i="118"/>
  <c r="BH2354" i="118"/>
  <c r="BH2353" i="118"/>
  <c r="BH2352" i="118"/>
  <c r="BH2351" i="118"/>
  <c r="BH2350" i="118"/>
  <c r="BH2349" i="118"/>
  <c r="BH2348" i="118"/>
  <c r="BH2347" i="118"/>
  <c r="BH2346" i="118"/>
  <c r="BH2345" i="118"/>
  <c r="BH2344" i="118"/>
  <c r="BH2343" i="118"/>
  <c r="BH2342" i="118"/>
  <c r="BH2341" i="118"/>
  <c r="BH2340" i="118"/>
  <c r="BH2339" i="118"/>
  <c r="BH2338" i="118"/>
  <c r="BH2337" i="118"/>
  <c r="BH2336" i="118"/>
  <c r="BH2335" i="118"/>
  <c r="BH2334" i="118"/>
  <c r="BH2333" i="118"/>
  <c r="BH2330" i="118"/>
  <c r="BH2329" i="118"/>
  <c r="BH2328" i="118"/>
  <c r="BH2326" i="118"/>
  <c r="BH2325" i="118"/>
  <c r="BH2324" i="118"/>
  <c r="BH2323" i="118"/>
  <c r="BH2322" i="118"/>
  <c r="BH2321" i="118"/>
  <c r="BH2319" i="118"/>
  <c r="BH2318" i="118"/>
  <c r="BH2317" i="118"/>
  <c r="BH2316" i="118"/>
  <c r="BH2315" i="118"/>
  <c r="BH2314" i="118"/>
  <c r="BH2313" i="118"/>
  <c r="BH2312" i="118"/>
  <c r="BH2311" i="118"/>
  <c r="BH2310" i="118"/>
  <c r="BH2309" i="118"/>
  <c r="BH2308" i="118"/>
  <c r="BH2307" i="118"/>
  <c r="BH2306" i="118"/>
  <c r="BH2305" i="118"/>
  <c r="BH2304" i="118"/>
  <c r="BH2303" i="118"/>
  <c r="BH2302" i="118"/>
  <c r="BH2301" i="118"/>
  <c r="BH2300" i="118"/>
  <c r="BH2299" i="118"/>
  <c r="BH2298" i="118"/>
  <c r="BH2297" i="118"/>
  <c r="BH2296" i="118"/>
  <c r="BH2295" i="118"/>
  <c r="BH2294" i="118"/>
  <c r="BH2292" i="118"/>
  <c r="BH2291" i="118"/>
  <c r="BH2290" i="118"/>
  <c r="BH2293" i="118"/>
  <c r="BH2289" i="118"/>
  <c r="BH2288" i="118"/>
  <c r="BH2287" i="118"/>
  <c r="BH2286" i="118"/>
  <c r="BH2285" i="118"/>
  <c r="BH2284" i="118"/>
  <c r="BH2283" i="118"/>
  <c r="BH2282" i="118"/>
  <c r="BH2281" i="118"/>
  <c r="BH2280" i="118"/>
  <c r="BH2279" i="118"/>
  <c r="BH2278" i="118"/>
  <c r="BH2277" i="118"/>
  <c r="BH2276" i="118"/>
  <c r="BH2275" i="118"/>
  <c r="BH2274" i="118"/>
  <c r="BH2273" i="118"/>
  <c r="BH2272" i="118"/>
  <c r="BH2271" i="118"/>
  <c r="BH2270" i="118"/>
  <c r="BH2269" i="118"/>
  <c r="BH2268" i="118"/>
  <c r="BH2267" i="118"/>
  <c r="BH2266" i="118"/>
  <c r="BH2265" i="118"/>
  <c r="BH2264" i="118"/>
  <c r="BH2263" i="118"/>
  <c r="BH2262" i="118"/>
  <c r="BH2259" i="118"/>
  <c r="BH2258" i="118"/>
  <c r="BH2257" i="118"/>
  <c r="BH2256" i="118"/>
  <c r="BH2255" i="118"/>
  <c r="BH2254" i="118"/>
  <c r="BH2253" i="118"/>
  <c r="BH2252" i="118"/>
  <c r="BH2250" i="118"/>
  <c r="BH2249" i="118"/>
  <c r="BH2248" i="118"/>
  <c r="BH2247" i="118"/>
  <c r="BH2246" i="118"/>
  <c r="BH2242" i="118"/>
  <c r="BH2239" i="118"/>
  <c r="BH2238" i="118"/>
  <c r="BH2237" i="118"/>
  <c r="BH2236" i="118"/>
  <c r="BH2232" i="118"/>
  <c r="BH2225" i="118"/>
  <c r="BH2222" i="118"/>
  <c r="BH2218" i="118"/>
  <c r="BH2216" i="118"/>
  <c r="BH2215" i="118"/>
  <c r="BH2214" i="118"/>
  <c r="BH2213" i="118"/>
  <c r="BH2212" i="118"/>
  <c r="BH2208" i="118"/>
  <c r="BH2207" i="118"/>
  <c r="BH2206" i="118"/>
  <c r="BH2205" i="118"/>
  <c r="BH2203" i="118"/>
  <c r="BH2202" i="118"/>
  <c r="BH2201" i="118"/>
  <c r="BH2200" i="118"/>
  <c r="BH2199" i="118"/>
  <c r="BH2198" i="118"/>
  <c r="BH2197" i="118"/>
  <c r="BH2196" i="118"/>
  <c r="BH2195" i="118"/>
  <c r="BH2194" i="118"/>
  <c r="BH2193" i="118"/>
  <c r="BH2192" i="118"/>
  <c r="BH2191" i="118"/>
  <c r="BH2190" i="118"/>
  <c r="BH2189" i="118"/>
  <c r="BH2188" i="118"/>
  <c r="BH2187" i="118"/>
  <c r="BH2186" i="118"/>
  <c r="BH2185" i="118"/>
  <c r="BH2184" i="118"/>
  <c r="BH2183" i="118"/>
  <c r="BH2182" i="118"/>
  <c r="BH2181" i="118"/>
  <c r="BH2180" i="118"/>
  <c r="BH2179" i="118"/>
  <c r="BH2178" i="118"/>
  <c r="BH2177" i="118"/>
  <c r="BH2176" i="118"/>
  <c r="BH2175" i="118"/>
  <c r="BH2174" i="118"/>
  <c r="BH2173" i="118"/>
  <c r="BH2172" i="118"/>
  <c r="BH2171" i="118"/>
  <c r="BH2170" i="118"/>
  <c r="BH2169" i="118"/>
  <c r="BH2168" i="118"/>
  <c r="BH2167" i="118"/>
  <c r="BH2166" i="118"/>
  <c r="BH2165" i="118"/>
  <c r="BH2164" i="118"/>
  <c r="BE2161" i="118"/>
  <c r="AJ2161" i="118"/>
  <c r="AH2161" i="118"/>
  <c r="AG2161" i="118"/>
  <c r="AF2161" i="118"/>
  <c r="AD2161" i="118"/>
  <c r="AA2161" i="118"/>
  <c r="Z2161" i="118"/>
  <c r="U2161" i="118"/>
  <c r="T2161" i="118"/>
  <c r="S2161" i="118"/>
  <c r="R2161" i="118"/>
  <c r="Q2161" i="118"/>
  <c r="O2161" i="118"/>
  <c r="N2161" i="118"/>
  <c r="M2161" i="118"/>
  <c r="K2161" i="118"/>
  <c r="J2161" i="118"/>
  <c r="I2161" i="118"/>
  <c r="G2161" i="118"/>
  <c r="F2161" i="118"/>
  <c r="E2161" i="118"/>
  <c r="BH2160" i="118"/>
  <c r="BH2159" i="118"/>
  <c r="BH2158" i="118"/>
  <c r="BH2156" i="118"/>
  <c r="BH2155" i="118"/>
  <c r="BH2154" i="118"/>
  <c r="BH2153" i="118"/>
  <c r="BH2152" i="118"/>
  <c r="BH2151" i="118"/>
  <c r="BH2150" i="118"/>
  <c r="BH2149" i="118"/>
  <c r="BH2148" i="118"/>
  <c r="BH2147" i="118"/>
  <c r="BH2146" i="118"/>
  <c r="BH2145" i="118"/>
  <c r="BH2144" i="118"/>
  <c r="BH2142" i="118"/>
  <c r="BH2140" i="118"/>
  <c r="BH2139" i="118"/>
  <c r="BH2138" i="118"/>
  <c r="BH2137" i="118"/>
  <c r="BH2136" i="118"/>
  <c r="BH2135" i="118"/>
  <c r="BH2134" i="118"/>
  <c r="BH2133" i="118"/>
  <c r="BH2132" i="118"/>
  <c r="BH2131" i="118"/>
  <c r="BH2130" i="118"/>
  <c r="BH2129" i="118"/>
  <c r="BH2128" i="118"/>
  <c r="P2127" i="118"/>
  <c r="L2127" i="118"/>
  <c r="H2127" i="118"/>
  <c r="D2127" i="118"/>
  <c r="BE2127" i="118"/>
  <c r="AJ2127" i="118"/>
  <c r="AI2127" i="118"/>
  <c r="AH2127" i="118"/>
  <c r="AG2127" i="118"/>
  <c r="AF2127" i="118"/>
  <c r="BD2127" i="118" s="1"/>
  <c r="AE2127" i="118"/>
  <c r="BC2127" i="118" s="1"/>
  <c r="AD2127" i="118"/>
  <c r="AA2127" i="118"/>
  <c r="U2127" i="118"/>
  <c r="T2127" i="118"/>
  <c r="S2127" i="118"/>
  <c r="R2127" i="118"/>
  <c r="Q2127" i="118"/>
  <c r="O2127" i="118"/>
  <c r="N2127" i="118"/>
  <c r="M2127" i="118"/>
  <c r="K2127" i="118"/>
  <c r="J2127" i="118"/>
  <c r="I2127" i="118"/>
  <c r="G2127" i="118"/>
  <c r="F2127" i="118"/>
  <c r="E2127" i="118"/>
  <c r="BH2126" i="118"/>
  <c r="BH2125" i="118"/>
  <c r="BH2124" i="118"/>
  <c r="BH2123" i="118"/>
  <c r="BH2122" i="118"/>
  <c r="BH2121" i="118"/>
  <c r="BH2120" i="118"/>
  <c r="BH2119" i="118"/>
  <c r="BH2118" i="118"/>
  <c r="BH2117" i="118"/>
  <c r="BH2116" i="118"/>
  <c r="BH2115" i="118"/>
  <c r="BH2114" i="118"/>
  <c r="BH2113" i="118"/>
  <c r="BH2112" i="118"/>
  <c r="BH2111" i="118"/>
  <c r="BH2110" i="118"/>
  <c r="BH2109" i="118"/>
  <c r="BH2108" i="118"/>
  <c r="BH2107" i="118"/>
  <c r="BH2106" i="118"/>
  <c r="BH2105" i="118"/>
  <c r="BH2104" i="118"/>
  <c r="BH2103" i="118"/>
  <c r="BH2102" i="118"/>
  <c r="BH2101" i="118"/>
  <c r="BH2100" i="118"/>
  <c r="BH2099" i="118"/>
  <c r="BH2098" i="118"/>
  <c r="BH2097" i="118"/>
  <c r="BH2096" i="118"/>
  <c r="BH2095" i="118"/>
  <c r="BH2094" i="118"/>
  <c r="BH2093" i="118"/>
  <c r="BH2092" i="118"/>
  <c r="BH2091" i="118"/>
  <c r="BE2090" i="118"/>
  <c r="AJ2090" i="118"/>
  <c r="AI2090" i="118"/>
  <c r="AH2090" i="118"/>
  <c r="AG2090" i="118"/>
  <c r="AF2090" i="118"/>
  <c r="BD2090" i="118" s="1"/>
  <c r="AE2090" i="118"/>
  <c r="AD2090" i="118"/>
  <c r="AA2090" i="118"/>
  <c r="Z2090" i="118"/>
  <c r="U2090" i="118"/>
  <c r="T2090" i="118"/>
  <c r="S2090" i="118"/>
  <c r="R2090" i="118"/>
  <c r="Q2090" i="118"/>
  <c r="P2090" i="118"/>
  <c r="O2090" i="118"/>
  <c r="N2090" i="118"/>
  <c r="M2090" i="118"/>
  <c r="L2090" i="118"/>
  <c r="K2090" i="118"/>
  <c r="J2090" i="118"/>
  <c r="I2090" i="118"/>
  <c r="H2090" i="118"/>
  <c r="G2090" i="118"/>
  <c r="F2090" i="118"/>
  <c r="E2090" i="118"/>
  <c r="D2090" i="118"/>
  <c r="AB2090" i="118" s="1"/>
  <c r="BH2089" i="118"/>
  <c r="BH2088" i="118"/>
  <c r="BH2086" i="118"/>
  <c r="BH2085" i="118"/>
  <c r="BH2084" i="118"/>
  <c r="BH2082" i="118"/>
  <c r="BH2081" i="118"/>
  <c r="BH2080" i="118"/>
  <c r="BH2079" i="118"/>
  <c r="BH2078" i="118"/>
  <c r="BH2077" i="118"/>
  <c r="BH2076" i="118"/>
  <c r="BH2075" i="118"/>
  <c r="BH2074" i="118"/>
  <c r="BH2073" i="118"/>
  <c r="BH2072" i="118"/>
  <c r="BH2071" i="118"/>
  <c r="BH2070" i="118"/>
  <c r="BH2069" i="118"/>
  <c r="BH2068" i="118"/>
  <c r="BH2067" i="118"/>
  <c r="BH2066" i="118"/>
  <c r="BH2065" i="118"/>
  <c r="BH2064" i="118"/>
  <c r="BH2063" i="118"/>
  <c r="BH2062" i="118"/>
  <c r="BH2061" i="118"/>
  <c r="BH2060" i="118"/>
  <c r="BH2059" i="118"/>
  <c r="BH2058" i="118"/>
  <c r="BH2057" i="118"/>
  <c r="BH2056" i="118"/>
  <c r="BH2055" i="118"/>
  <c r="BH2054" i="118"/>
  <c r="BH2053" i="118"/>
  <c r="BH2052" i="118"/>
  <c r="BH2051" i="118"/>
  <c r="BH2050" i="118"/>
  <c r="BH2049" i="118"/>
  <c r="BH2048" i="118"/>
  <c r="BH2047" i="118"/>
  <c r="BH2046" i="118"/>
  <c r="BH2045" i="118"/>
  <c r="BH2044" i="118"/>
  <c r="BH2043" i="118"/>
  <c r="BH2042" i="118"/>
  <c r="BH2041" i="118"/>
  <c r="BH2040" i="118"/>
  <c r="BH2039" i="118"/>
  <c r="BH2038" i="118"/>
  <c r="BH2037" i="118"/>
  <c r="BH2036" i="118"/>
  <c r="BH2035" i="118"/>
  <c r="BH2034" i="118"/>
  <c r="BH2033" i="118"/>
  <c r="BH2032" i="118"/>
  <c r="BH2031" i="118"/>
  <c r="BH2030" i="118"/>
  <c r="BH2026" i="118"/>
  <c r="BH2025" i="118"/>
  <c r="BH2024" i="118"/>
  <c r="BH2023" i="118"/>
  <c r="BH2022" i="118"/>
  <c r="BH2021" i="118"/>
  <c r="BH2020" i="118"/>
  <c r="BH2019" i="118"/>
  <c r="BH2018" i="118"/>
  <c r="BH2017" i="118"/>
  <c r="BH2016" i="118"/>
  <c r="BH2015" i="118"/>
  <c r="BH2014" i="118"/>
  <c r="BH2013" i="118"/>
  <c r="BH2012" i="118"/>
  <c r="BH2011" i="118"/>
  <c r="BH2010" i="118"/>
  <c r="BH2009" i="118"/>
  <c r="BH2008" i="118"/>
  <c r="BH2007" i="118"/>
  <c r="BH2006" i="118"/>
  <c r="BH2005" i="118"/>
  <c r="BH2004" i="118"/>
  <c r="BH1999" i="118"/>
  <c r="BH1998" i="118"/>
  <c r="BH1997" i="118"/>
  <c r="BH1996" i="118"/>
  <c r="BH1995" i="118"/>
  <c r="BH1994" i="118"/>
  <c r="BH1993" i="118"/>
  <c r="BH1992" i="118"/>
  <c r="BH1991" i="118"/>
  <c r="BH1990" i="118"/>
  <c r="BH1989" i="118"/>
  <c r="BH1988" i="118"/>
  <c r="BH1987" i="118"/>
  <c r="BH1986" i="118"/>
  <c r="BH1985" i="118"/>
  <c r="BH1984" i="118"/>
  <c r="BH1983" i="118"/>
  <c r="BH1982" i="118"/>
  <c r="BH1981" i="118"/>
  <c r="BH1980" i="118"/>
  <c r="BH1979" i="118"/>
  <c r="BH1978" i="118"/>
  <c r="BH1977" i="118"/>
  <c r="BH1976" i="118"/>
  <c r="BH1975" i="118"/>
  <c r="BH1974" i="118"/>
  <c r="L1968" i="118"/>
  <c r="H1968" i="118"/>
  <c r="BH1973" i="118"/>
  <c r="BH1972" i="118"/>
  <c r="BH1971" i="118"/>
  <c r="BH1970" i="118"/>
  <c r="BH1969" i="118"/>
  <c r="BE1968" i="118"/>
  <c r="AJ1968" i="118"/>
  <c r="AH1968" i="118"/>
  <c r="AG1968" i="118"/>
  <c r="AF1968" i="118"/>
  <c r="AD1968" i="118"/>
  <c r="AA1968" i="118"/>
  <c r="Z1968" i="118"/>
  <c r="U1968" i="118"/>
  <c r="T1968" i="118"/>
  <c r="S1968" i="118"/>
  <c r="R1968" i="118"/>
  <c r="Q1968" i="118"/>
  <c r="P1968" i="118"/>
  <c r="O1968" i="118"/>
  <c r="N1968" i="118"/>
  <c r="M1968" i="118"/>
  <c r="K1968" i="118"/>
  <c r="J1968" i="118"/>
  <c r="I1968" i="118"/>
  <c r="G1968" i="118"/>
  <c r="F1968" i="118"/>
  <c r="E1968" i="118"/>
  <c r="BH1967" i="118"/>
  <c r="BH1965" i="118"/>
  <c r="BH1964" i="118"/>
  <c r="BH1962" i="118"/>
  <c r="BH1961" i="118"/>
  <c r="BH1960" i="118"/>
  <c r="BH1959" i="118"/>
  <c r="BH1958" i="118"/>
  <c r="BH1957" i="118"/>
  <c r="BH1956" i="118"/>
  <c r="BH1955" i="118"/>
  <c r="BH1954" i="118"/>
  <c r="BH1953" i="118"/>
  <c r="BH1952" i="118"/>
  <c r="BH1951" i="118"/>
  <c r="BH1950" i="118"/>
  <c r="BH1949" i="118"/>
  <c r="BH1948" i="118"/>
  <c r="BH1947" i="118"/>
  <c r="BH1946" i="118"/>
  <c r="BH1945" i="118"/>
  <c r="BH1944" i="118"/>
  <c r="BH1943" i="118"/>
  <c r="BH1942" i="118"/>
  <c r="BH1941" i="118"/>
  <c r="BH1940" i="118"/>
  <c r="BH1939" i="118"/>
  <c r="BH1938" i="118"/>
  <c r="BH1937" i="118"/>
  <c r="BH1936" i="118"/>
  <c r="BH1935" i="118"/>
  <c r="BH1934" i="118"/>
  <c r="BH1933" i="118"/>
  <c r="BH1932" i="118"/>
  <c r="BH1931" i="118"/>
  <c r="BH1930" i="118"/>
  <c r="BH1929" i="118"/>
  <c r="BH1928" i="118"/>
  <c r="BH1927" i="118"/>
  <c r="BH1926" i="118"/>
  <c r="BH1925" i="118"/>
  <c r="BH1924" i="118"/>
  <c r="BH1923" i="118"/>
  <c r="BH1922" i="118"/>
  <c r="BH1921" i="118"/>
  <c r="BH1920" i="118"/>
  <c r="BH1919" i="118"/>
  <c r="BH1918" i="118"/>
  <c r="BH1917" i="118"/>
  <c r="BH1916" i="118"/>
  <c r="BH1915" i="118"/>
  <c r="BH1914" i="118"/>
  <c r="BH1913" i="118"/>
  <c r="BH1912" i="118"/>
  <c r="BH1911" i="118"/>
  <c r="BH1910" i="118"/>
  <c r="BH1909" i="118"/>
  <c r="BH1908" i="118"/>
  <c r="BH1907" i="118"/>
  <c r="BH1904" i="118"/>
  <c r="BH1903" i="118"/>
  <c r="BH1902" i="118"/>
  <c r="BH1901" i="118"/>
  <c r="BH1900" i="118"/>
  <c r="BH1899" i="118"/>
  <c r="BH1898" i="118"/>
  <c r="BH1897" i="118"/>
  <c r="BH1896" i="118"/>
  <c r="BH1892" i="118"/>
  <c r="BH1889" i="118"/>
  <c r="BH1888" i="118"/>
  <c r="BH1887" i="118"/>
  <c r="BH1886" i="118"/>
  <c r="BH1885" i="118"/>
  <c r="BH1884" i="118"/>
  <c r="BH1883" i="118"/>
  <c r="BH1881" i="118"/>
  <c r="BH1873" i="118"/>
  <c r="BH1870" i="118"/>
  <c r="BH1862" i="118"/>
  <c r="BH1861" i="118"/>
  <c r="BH1860" i="118"/>
  <c r="BH1859" i="118"/>
  <c r="BH1858" i="118"/>
  <c r="BH1857" i="118"/>
  <c r="BH1856" i="118"/>
  <c r="BH1855" i="118"/>
  <c r="BH1854" i="118"/>
  <c r="BH1853" i="118"/>
  <c r="BH1852" i="118"/>
  <c r="BH1851" i="118"/>
  <c r="BH1850" i="118"/>
  <c r="BH1849" i="118"/>
  <c r="BH1848" i="118"/>
  <c r="BH1847" i="118"/>
  <c r="BH1846" i="118"/>
  <c r="BH1845" i="118"/>
  <c r="BH1844" i="118"/>
  <c r="BH1843" i="118"/>
  <c r="BH1842" i="118"/>
  <c r="BH1841" i="118"/>
  <c r="BH1840" i="118"/>
  <c r="BH1839" i="118"/>
  <c r="BH1838" i="118"/>
  <c r="BH1837" i="118"/>
  <c r="BH1835" i="118"/>
  <c r="BH1834" i="118"/>
  <c r="BH1833" i="118"/>
  <c r="BH1832" i="118"/>
  <c r="BH1831" i="118"/>
  <c r="BH1830" i="118"/>
  <c r="BH1828" i="118"/>
  <c r="BE1826" i="118"/>
  <c r="AJ1826" i="118"/>
  <c r="AH1826" i="118"/>
  <c r="AG1826" i="118"/>
  <c r="AF1826" i="118"/>
  <c r="AD1826" i="118"/>
  <c r="AA1826" i="118"/>
  <c r="U1826" i="118"/>
  <c r="T1826" i="118"/>
  <c r="S1826" i="118"/>
  <c r="R1826" i="118"/>
  <c r="Q1826" i="118"/>
  <c r="O1826" i="118"/>
  <c r="N1826" i="118"/>
  <c r="M1826" i="118"/>
  <c r="K1826" i="118"/>
  <c r="J1826" i="118"/>
  <c r="I1826" i="118"/>
  <c r="G1826" i="118"/>
  <c r="F1826" i="118"/>
  <c r="E1826" i="118"/>
  <c r="BH1825" i="118"/>
  <c r="BE1824" i="118"/>
  <c r="AJ1824" i="118"/>
  <c r="AI1824" i="118"/>
  <c r="AH1824" i="118"/>
  <c r="AG1824" i="118"/>
  <c r="AF1824" i="118"/>
  <c r="BD1824" i="118" s="1"/>
  <c r="AE1824" i="118"/>
  <c r="AD1824" i="118"/>
  <c r="AA1824" i="118"/>
  <c r="Z1824" i="118"/>
  <c r="U1824" i="118"/>
  <c r="T1824" i="118"/>
  <c r="S1824" i="118"/>
  <c r="R1824" i="118"/>
  <c r="Q1824" i="118"/>
  <c r="P1824" i="118"/>
  <c r="O1824" i="118"/>
  <c r="N1824" i="118"/>
  <c r="M1824" i="118"/>
  <c r="L1824" i="118"/>
  <c r="K1824" i="118"/>
  <c r="J1824" i="118"/>
  <c r="I1824" i="118"/>
  <c r="H1824" i="118"/>
  <c r="G1824" i="118"/>
  <c r="F1824" i="118"/>
  <c r="E1824" i="118"/>
  <c r="AC1824" i="118" s="1"/>
  <c r="D1824" i="118"/>
  <c r="AB1824" i="118" s="1"/>
  <c r="BH1823" i="118"/>
  <c r="BH1822" i="118"/>
  <c r="BH1821" i="118"/>
  <c r="BH1820" i="118"/>
  <c r="BH1819" i="118"/>
  <c r="BH1817" i="118"/>
  <c r="BH1816" i="118"/>
  <c r="BH1815" i="118"/>
  <c r="BH1814" i="118"/>
  <c r="BH1813" i="118"/>
  <c r="BH1812" i="118"/>
  <c r="BH1811" i="118"/>
  <c r="BH1810" i="118"/>
  <c r="BH1809" i="118"/>
  <c r="BH1808" i="118"/>
  <c r="BH1807" i="118"/>
  <c r="BH1806" i="118"/>
  <c r="BH1805" i="118"/>
  <c r="BH1804" i="118"/>
  <c r="BH1803" i="118"/>
  <c r="BH1801" i="118"/>
  <c r="BH1800" i="118"/>
  <c r="BH1799" i="118"/>
  <c r="BH1798" i="118"/>
  <c r="BH1797" i="118"/>
  <c r="BH1796" i="118"/>
  <c r="BH1795" i="118"/>
  <c r="BH1794" i="118"/>
  <c r="BH1793" i="118"/>
  <c r="BH1792" i="118"/>
  <c r="BH1791" i="118"/>
  <c r="BH1790" i="118"/>
  <c r="BH1789" i="118"/>
  <c r="BH1788" i="118"/>
  <c r="BH1787" i="118"/>
  <c r="BH1786" i="118"/>
  <c r="BH1785" i="118"/>
  <c r="BH1782" i="118"/>
  <c r="BH1781" i="118"/>
  <c r="BH1780" i="118"/>
  <c r="BH1779" i="118"/>
  <c r="BH1778" i="118"/>
  <c r="BH1777" i="118"/>
  <c r="BH1773" i="118"/>
  <c r="BH1772" i="118"/>
  <c r="BH1771" i="118"/>
  <c r="BH1769" i="118"/>
  <c r="BH1768" i="118"/>
  <c r="BH1767" i="118"/>
  <c r="BH1765" i="118"/>
  <c r="BH1764" i="118"/>
  <c r="BH1763" i="118"/>
  <c r="BH1762" i="118"/>
  <c r="BH1761" i="118"/>
  <c r="BH1760" i="118"/>
  <c r="BH1759" i="118"/>
  <c r="BH1758" i="118"/>
  <c r="BH1757" i="118"/>
  <c r="BH1756" i="118"/>
  <c r="BH1755" i="118"/>
  <c r="BH1754" i="118"/>
  <c r="BH1753" i="118"/>
  <c r="BH1752" i="118"/>
  <c r="BH1751" i="118"/>
  <c r="BH1750" i="118"/>
  <c r="BH1749" i="118"/>
  <c r="BH1748" i="118"/>
  <c r="BH1747" i="118"/>
  <c r="BH1746" i="118"/>
  <c r="BH1745" i="118"/>
  <c r="BH1744" i="118"/>
  <c r="BH1743" i="118"/>
  <c r="BH1742" i="118"/>
  <c r="BH1741" i="118"/>
  <c r="BH1739" i="118"/>
  <c r="BE1738" i="118"/>
  <c r="AJ1738" i="118"/>
  <c r="AH1738" i="118"/>
  <c r="AG1738" i="118"/>
  <c r="AF1738" i="118"/>
  <c r="AD1738" i="118"/>
  <c r="AA1738" i="118"/>
  <c r="Z1738" i="118"/>
  <c r="U1738" i="118"/>
  <c r="T1738" i="118"/>
  <c r="S1738" i="118"/>
  <c r="R1738" i="118"/>
  <c r="Q1738" i="118"/>
  <c r="O1738" i="118"/>
  <c r="N1738" i="118"/>
  <c r="M1738" i="118"/>
  <c r="K1738" i="118"/>
  <c r="J1738" i="118"/>
  <c r="I1738" i="118"/>
  <c r="G1738" i="118"/>
  <c r="F1738" i="118"/>
  <c r="E1738" i="118"/>
  <c r="BH1737" i="118"/>
  <c r="BH1736" i="118"/>
  <c r="BH1735" i="118"/>
  <c r="BH1734" i="118"/>
  <c r="BH1733" i="118"/>
  <c r="BH1731" i="118"/>
  <c r="BH1730" i="118"/>
  <c r="BH1729" i="118"/>
  <c r="BH1728" i="118"/>
  <c r="BH1727" i="118"/>
  <c r="BH1726" i="118"/>
  <c r="BH1725" i="118"/>
  <c r="BH1724" i="118"/>
  <c r="BH1723" i="118"/>
  <c r="BH1722" i="118"/>
  <c r="BH1721" i="118"/>
  <c r="BH1720" i="118"/>
  <c r="BH1719" i="118"/>
  <c r="BH1718" i="118"/>
  <c r="BH1717" i="118"/>
  <c r="BH1716" i="118"/>
  <c r="BH1715" i="118"/>
  <c r="BH1714" i="118"/>
  <c r="BH1713" i="118"/>
  <c r="BH1712" i="118"/>
  <c r="BH1711" i="118"/>
  <c r="BH1710" i="118"/>
  <c r="BH1709" i="118"/>
  <c r="BH1708" i="118"/>
  <c r="BH1707" i="118"/>
  <c r="BH1706" i="118"/>
  <c r="BH1705" i="118"/>
  <c r="BH1704" i="118"/>
  <c r="BH1703" i="118"/>
  <c r="BH1702" i="118"/>
  <c r="BH1701" i="118"/>
  <c r="BH1700" i="118"/>
  <c r="BH1699" i="118"/>
  <c r="BH1698" i="118"/>
  <c r="BH1697" i="118"/>
  <c r="BH1696" i="118"/>
  <c r="BH1695" i="118"/>
  <c r="BH1694" i="118"/>
  <c r="BH1693" i="118"/>
  <c r="BH1691" i="118"/>
  <c r="BH1690" i="118"/>
  <c r="BH1689" i="118"/>
  <c r="BH1688" i="118"/>
  <c r="BH1687" i="118"/>
  <c r="BH1686" i="118"/>
  <c r="BH1685" i="118"/>
  <c r="BH1684" i="118"/>
  <c r="BH1683" i="118"/>
  <c r="BH1682" i="118"/>
  <c r="BH1681" i="118"/>
  <c r="BH1680" i="118"/>
  <c r="BH1679" i="118"/>
  <c r="BH1678" i="118"/>
  <c r="BH1677" i="118"/>
  <c r="BH1675" i="118"/>
  <c r="BH1674" i="118"/>
  <c r="BH1673" i="118"/>
  <c r="BH1672" i="118"/>
  <c r="BH1671" i="118"/>
  <c r="BH1670" i="118"/>
  <c r="BH1669" i="118"/>
  <c r="BH1668" i="118"/>
  <c r="BH1667" i="118"/>
  <c r="BH1666" i="118"/>
  <c r="BH1665" i="118"/>
  <c r="BH1664" i="118"/>
  <c r="BH1663" i="118"/>
  <c r="BH1662" i="118"/>
  <c r="BH1661" i="118"/>
  <c r="BH1660" i="118"/>
  <c r="BH1659" i="118"/>
  <c r="BH1658" i="118"/>
  <c r="P1656" i="118"/>
  <c r="L1656" i="118"/>
  <c r="H1656" i="118"/>
  <c r="D1656" i="118"/>
  <c r="BH1657" i="118"/>
  <c r="BE1656" i="118"/>
  <c r="AJ1656" i="118"/>
  <c r="AH1656" i="118"/>
  <c r="AG1656" i="118"/>
  <c r="AF1656" i="118"/>
  <c r="AD1656" i="118"/>
  <c r="AA1656" i="118"/>
  <c r="Z1656" i="118"/>
  <c r="U1656" i="118"/>
  <c r="T1656" i="118"/>
  <c r="S1656" i="118"/>
  <c r="R1656" i="118"/>
  <c r="Q1656" i="118"/>
  <c r="O1656" i="118"/>
  <c r="N1656" i="118"/>
  <c r="M1656" i="118"/>
  <c r="K1656" i="118"/>
  <c r="J1656" i="118"/>
  <c r="I1656" i="118"/>
  <c r="G1656" i="118"/>
  <c r="F1656" i="118"/>
  <c r="E1656" i="118"/>
  <c r="BH1655" i="118"/>
  <c r="BH1654" i="118"/>
  <c r="BH1653" i="118"/>
  <c r="BH1652" i="118"/>
  <c r="BH1651" i="118"/>
  <c r="BH1650" i="118"/>
  <c r="BH1649" i="118"/>
  <c r="BH1648" i="118"/>
  <c r="BH1647" i="118"/>
  <c r="BH1646" i="118"/>
  <c r="BH1645" i="118"/>
  <c r="BH1643" i="118"/>
  <c r="BH1642" i="118"/>
  <c r="BH1641" i="118"/>
  <c r="BH1640" i="118"/>
  <c r="BH1639" i="118"/>
  <c r="BH1638" i="118"/>
  <c r="BH1637" i="118"/>
  <c r="BH1636" i="118"/>
  <c r="BH1635" i="118"/>
  <c r="BH1634" i="118"/>
  <c r="BH1633" i="118"/>
  <c r="BH1632" i="118"/>
  <c r="BH1631" i="118"/>
  <c r="BH1629" i="118"/>
  <c r="BH1628" i="118"/>
  <c r="BH1627" i="118"/>
  <c r="BH1626" i="118"/>
  <c r="BH1625" i="118"/>
  <c r="BH1624" i="118"/>
  <c r="BH1623" i="118"/>
  <c r="BH1622" i="118"/>
  <c r="BH1621" i="118"/>
  <c r="BH1620" i="118"/>
  <c r="BH1619" i="118"/>
  <c r="BH1618" i="118"/>
  <c r="BH1617" i="118"/>
  <c r="BH1616" i="118"/>
  <c r="BH1615" i="118"/>
  <c r="BH1614" i="118"/>
  <c r="BH1613" i="118"/>
  <c r="BH1612" i="118"/>
  <c r="BH1611" i="118"/>
  <c r="BH1610" i="118"/>
  <c r="BH1609" i="118"/>
  <c r="BH1608" i="118"/>
  <c r="BH1607" i="118"/>
  <c r="BH1606" i="118"/>
  <c r="BH1605" i="118"/>
  <c r="BH1604" i="118"/>
  <c r="BH1603" i="118"/>
  <c r="BH1602" i="118"/>
  <c r="BH1601" i="118"/>
  <c r="BH1600" i="118"/>
  <c r="BH1599" i="118"/>
  <c r="BH1598" i="118"/>
  <c r="BH1597" i="118"/>
  <c r="BH1596" i="118"/>
  <c r="BH1595" i="118"/>
  <c r="BH1594" i="118"/>
  <c r="BH1593" i="118"/>
  <c r="BH1592" i="118"/>
  <c r="BH1591" i="118"/>
  <c r="BH1590" i="118"/>
  <c r="BH1589" i="118"/>
  <c r="BH1588" i="118"/>
  <c r="BH1587" i="118"/>
  <c r="BH1586" i="118"/>
  <c r="BH1585" i="118"/>
  <c r="BH1584" i="118"/>
  <c r="BH1583" i="118"/>
  <c r="BH1582" i="118"/>
  <c r="BH1581" i="118"/>
  <c r="BH1580" i="118"/>
  <c r="BH1579" i="118"/>
  <c r="BH1578" i="118"/>
  <c r="BH1577" i="118"/>
  <c r="BH1576" i="118"/>
  <c r="BH1574" i="118"/>
  <c r="BH1573" i="118"/>
  <c r="BH1571" i="118"/>
  <c r="BH1570" i="118"/>
  <c r="BH1569" i="118"/>
  <c r="BH1568" i="118"/>
  <c r="BH1567" i="118"/>
  <c r="BH1566" i="118"/>
  <c r="BE1565" i="118"/>
  <c r="AJ1565" i="118"/>
  <c r="AH1565" i="118"/>
  <c r="AG1565" i="118"/>
  <c r="AF1565" i="118"/>
  <c r="AD1565" i="118"/>
  <c r="AA1565" i="118"/>
  <c r="Z1565" i="118"/>
  <c r="U1565" i="118"/>
  <c r="T1565" i="118"/>
  <c r="S1565" i="118"/>
  <c r="R1565" i="118"/>
  <c r="Q1565" i="118"/>
  <c r="O1565" i="118"/>
  <c r="N1565" i="118"/>
  <c r="M1565" i="118"/>
  <c r="K1565" i="118"/>
  <c r="J1565" i="118"/>
  <c r="I1565" i="118"/>
  <c r="G1565" i="118"/>
  <c r="F1565" i="118"/>
  <c r="E1565" i="118"/>
  <c r="BH1564" i="118"/>
  <c r="BH1563" i="118"/>
  <c r="BH1562" i="118"/>
  <c r="BH1561" i="118"/>
  <c r="BH1560" i="118"/>
  <c r="BH1559" i="118"/>
  <c r="BH1558" i="118"/>
  <c r="BH1557" i="118"/>
  <c r="BH1556" i="118"/>
  <c r="BH1555" i="118"/>
  <c r="BH1554" i="118"/>
  <c r="BH1553" i="118"/>
  <c r="BH1552" i="118"/>
  <c r="BH1551" i="118"/>
  <c r="BH1550" i="118"/>
  <c r="BH1549" i="118"/>
  <c r="BH1547" i="118"/>
  <c r="BH1546" i="118"/>
  <c r="BH1545" i="118"/>
  <c r="BH1544" i="118"/>
  <c r="BH1543" i="118"/>
  <c r="BH1542" i="118"/>
  <c r="BH1541" i="118"/>
  <c r="BH1540" i="118"/>
  <c r="BH1539" i="118"/>
  <c r="BH1538" i="118"/>
  <c r="BH1537" i="118"/>
  <c r="BH1536" i="118"/>
  <c r="BH1535" i="118"/>
  <c r="BH1534" i="118"/>
  <c r="BH1533" i="118"/>
  <c r="BH1532" i="118"/>
  <c r="BH1531" i="118"/>
  <c r="BH1530" i="118"/>
  <c r="BH1529" i="118"/>
  <c r="BH1528" i="118"/>
  <c r="BH1527" i="118"/>
  <c r="BH1525" i="118"/>
  <c r="BH1524" i="118"/>
  <c r="BH1523" i="118"/>
  <c r="BH1521" i="118"/>
  <c r="BH1520" i="118"/>
  <c r="BH1519" i="118"/>
  <c r="BH1518" i="118"/>
  <c r="BH1517" i="118"/>
  <c r="BH1516" i="118"/>
  <c r="BH1515" i="118"/>
  <c r="BH1514" i="118"/>
  <c r="BH1513" i="118"/>
  <c r="BH1512" i="118"/>
  <c r="BH1510" i="118"/>
  <c r="BH1509" i="118"/>
  <c r="BH1507" i="118"/>
  <c r="BH1506" i="118"/>
  <c r="BH1505" i="118"/>
  <c r="BH1504" i="118"/>
  <c r="BH1503" i="118"/>
  <c r="BH1501" i="118"/>
  <c r="BH1500" i="118"/>
  <c r="BH1499" i="118"/>
  <c r="BH1498" i="118"/>
  <c r="BH1497" i="118"/>
  <c r="BH1496" i="118"/>
  <c r="BH1495" i="118"/>
  <c r="BH1494" i="118"/>
  <c r="BH1493" i="118"/>
  <c r="BH1491" i="118"/>
  <c r="P1488" i="118"/>
  <c r="L1488" i="118"/>
  <c r="BH1490" i="118"/>
  <c r="D1488" i="118"/>
  <c r="BH1489" i="118"/>
  <c r="BE1488" i="118"/>
  <c r="AJ1488" i="118"/>
  <c r="AH1488" i="118"/>
  <c r="AG1488" i="118"/>
  <c r="AF1488" i="118"/>
  <c r="AD1488" i="118"/>
  <c r="AA1488" i="118"/>
  <c r="Z1488" i="118"/>
  <c r="U1488" i="118"/>
  <c r="T1488" i="118"/>
  <c r="S1488" i="118"/>
  <c r="R1488" i="118"/>
  <c r="Q1488" i="118"/>
  <c r="O1488" i="118"/>
  <c r="N1488" i="118"/>
  <c r="M1488" i="118"/>
  <c r="K1488" i="118"/>
  <c r="J1488" i="118"/>
  <c r="I1488" i="118"/>
  <c r="G1488" i="118"/>
  <c r="F1488" i="118"/>
  <c r="E1488" i="118"/>
  <c r="BH1487" i="118"/>
  <c r="BH1486" i="118"/>
  <c r="BH1485" i="118"/>
  <c r="BH1484" i="118"/>
  <c r="BH1483" i="118"/>
  <c r="BH1482" i="118"/>
  <c r="BH1481" i="118"/>
  <c r="BH1479" i="118"/>
  <c r="BH1478" i="118"/>
  <c r="BH1477" i="118"/>
  <c r="BH1476" i="118"/>
  <c r="BH1475" i="118"/>
  <c r="BH1474" i="118"/>
  <c r="BH1473" i="118"/>
  <c r="BH1472" i="118"/>
  <c r="BH1471" i="118"/>
  <c r="BH1470" i="118"/>
  <c r="BH1467" i="118"/>
  <c r="BH1466" i="118"/>
  <c r="BH1465" i="118"/>
  <c r="BH1464" i="118"/>
  <c r="BH1463" i="118"/>
  <c r="BH1462" i="118"/>
  <c r="BH1461" i="118"/>
  <c r="BH1460" i="118"/>
  <c r="BH1459" i="118"/>
  <c r="BH1458" i="118"/>
  <c r="BH1457" i="118"/>
  <c r="BH1456" i="118"/>
  <c r="BH1455" i="118"/>
  <c r="BH1454" i="118"/>
  <c r="BH1453" i="118"/>
  <c r="BH1452" i="118"/>
  <c r="BH1451" i="118"/>
  <c r="BH1450" i="118"/>
  <c r="BH1449" i="118"/>
  <c r="BH1448" i="118"/>
  <c r="BH1447" i="118"/>
  <c r="BH1446" i="118"/>
  <c r="BH1445" i="118"/>
  <c r="BH1444" i="118"/>
  <c r="BH1443" i="118"/>
  <c r="BH1442" i="118"/>
  <c r="BH1441" i="118"/>
  <c r="BH1440" i="118"/>
  <c r="BH1438" i="118"/>
  <c r="BH1437" i="118"/>
  <c r="BH1436" i="118"/>
  <c r="BH1434" i="118"/>
  <c r="BH1432" i="118"/>
  <c r="BH1431" i="118"/>
  <c r="BH1430" i="118"/>
  <c r="BH1429" i="118"/>
  <c r="BH1428" i="118"/>
  <c r="BH1427" i="118"/>
  <c r="BH1426" i="118"/>
  <c r="BH1425" i="118"/>
  <c r="BH1424" i="118"/>
  <c r="BH1423" i="118"/>
  <c r="BH1422" i="118"/>
  <c r="BH1421" i="118"/>
  <c r="BH1420" i="118"/>
  <c r="BH1419" i="118"/>
  <c r="BH1418" i="118"/>
  <c r="BH1417" i="118"/>
  <c r="BH1416" i="118"/>
  <c r="BH1415" i="118"/>
  <c r="BH1414" i="118"/>
  <c r="BH1413" i="118"/>
  <c r="BH1412" i="118"/>
  <c r="BH1409" i="118"/>
  <c r="BH1408" i="118"/>
  <c r="BH1411" i="118"/>
  <c r="BH1407" i="118"/>
  <c r="BH1406" i="118"/>
  <c r="BH1405" i="118"/>
  <c r="BH1404" i="118"/>
  <c r="BH1403" i="118"/>
  <c r="BH1402" i="118"/>
  <c r="BH1401" i="118"/>
  <c r="BH1400" i="118"/>
  <c r="BH1399" i="118"/>
  <c r="BH1398" i="118"/>
  <c r="BH1397" i="118"/>
  <c r="BH1396" i="118"/>
  <c r="BH1394" i="118"/>
  <c r="P1389" i="118"/>
  <c r="L1389" i="118"/>
  <c r="D1389" i="118"/>
  <c r="BH1393" i="118"/>
  <c r="BH1392" i="118"/>
  <c r="BH1391" i="118"/>
  <c r="BH1390" i="118"/>
  <c r="BE1389" i="118"/>
  <c r="AJ1389" i="118"/>
  <c r="AH1389" i="118"/>
  <c r="AG1389" i="118"/>
  <c r="AF1389" i="118"/>
  <c r="AD1389" i="118"/>
  <c r="AA1389" i="118"/>
  <c r="Z1389" i="118"/>
  <c r="U1389" i="118"/>
  <c r="T1389" i="118"/>
  <c r="S1389" i="118"/>
  <c r="R1389" i="118"/>
  <c r="Q1389" i="118"/>
  <c r="O1389" i="118"/>
  <c r="N1389" i="118"/>
  <c r="M1389" i="118"/>
  <c r="K1389" i="118"/>
  <c r="J1389" i="118"/>
  <c r="I1389" i="118"/>
  <c r="G1389" i="118"/>
  <c r="F1389" i="118"/>
  <c r="E1389" i="118"/>
  <c r="BH1388" i="118"/>
  <c r="BH1387" i="118"/>
  <c r="BH1386" i="118"/>
  <c r="BH1385" i="118"/>
  <c r="BH1384" i="118"/>
  <c r="BH1383" i="118"/>
  <c r="BH1382" i="118"/>
  <c r="BH1381" i="118"/>
  <c r="BH1380" i="118"/>
  <c r="BH1379" i="118"/>
  <c r="BH1378" i="118"/>
  <c r="BH1377" i="118"/>
  <c r="BH1376" i="118"/>
  <c r="BH1375" i="118"/>
  <c r="BH1374" i="118"/>
  <c r="BH1373" i="118"/>
  <c r="BH1372" i="118"/>
  <c r="BH1371" i="118"/>
  <c r="BH1370" i="118"/>
  <c r="BH1369" i="118"/>
  <c r="BH1368" i="118"/>
  <c r="BH1367" i="118"/>
  <c r="BH1366" i="118"/>
  <c r="BH1365" i="118"/>
  <c r="BH1364" i="118"/>
  <c r="BH1363" i="118"/>
  <c r="BH1362" i="118"/>
  <c r="BH1361" i="118"/>
  <c r="BH1360" i="118"/>
  <c r="BH1359" i="118"/>
  <c r="BH1358" i="118"/>
  <c r="BH1357" i="118"/>
  <c r="BH1356" i="118"/>
  <c r="BH1355" i="118"/>
  <c r="BH1354" i="118"/>
  <c r="BH1353" i="118"/>
  <c r="BH1352" i="118"/>
  <c r="BH1351" i="118"/>
  <c r="BH1350" i="118"/>
  <c r="BH1349" i="118"/>
  <c r="BH1348" i="118"/>
  <c r="BH1346" i="118"/>
  <c r="BH1345" i="118"/>
  <c r="BH1344" i="118"/>
  <c r="BH1343" i="118"/>
  <c r="BH1342" i="118"/>
  <c r="BH1341" i="118"/>
  <c r="BH1340" i="118"/>
  <c r="BH1339" i="118"/>
  <c r="BH1338" i="118"/>
  <c r="BH1337" i="118"/>
  <c r="BH1336" i="118"/>
  <c r="BH1335" i="118"/>
  <c r="BH1334" i="118"/>
  <c r="BH1333" i="118"/>
  <c r="BH1332" i="118"/>
  <c r="BH1331" i="118"/>
  <c r="BH1329" i="118"/>
  <c r="BH1328" i="118"/>
  <c r="BH1327" i="118"/>
  <c r="BH1326" i="118"/>
  <c r="BH1325" i="118"/>
  <c r="BH1324" i="118"/>
  <c r="BH1323" i="118"/>
  <c r="BH1322" i="118"/>
  <c r="BH1321" i="118"/>
  <c r="BH1320" i="118"/>
  <c r="BH1319" i="118"/>
  <c r="BH1318" i="118"/>
  <c r="BH1317" i="118"/>
  <c r="BH1316" i="118"/>
  <c r="BH1315" i="118"/>
  <c r="BH1314" i="118"/>
  <c r="BH1313" i="118"/>
  <c r="BH1312" i="118"/>
  <c r="BH1311" i="118"/>
  <c r="BH1310" i="118"/>
  <c r="BH1309" i="118"/>
  <c r="BH1308" i="118"/>
  <c r="BH1307" i="118"/>
  <c r="BH1306" i="118"/>
  <c r="BH1305" i="118"/>
  <c r="BH1304" i="118"/>
  <c r="BH1303" i="118"/>
  <c r="BH1302" i="118"/>
  <c r="BH1301" i="118"/>
  <c r="BH1298" i="118"/>
  <c r="P1295" i="118"/>
  <c r="L1295" i="118"/>
  <c r="H1295" i="118"/>
  <c r="D1295" i="118"/>
  <c r="BH1297" i="118"/>
  <c r="BH1296" i="118"/>
  <c r="BE1295" i="118"/>
  <c r="AJ1295" i="118"/>
  <c r="AH1295" i="118"/>
  <c r="AG1295" i="118"/>
  <c r="AF1295" i="118"/>
  <c r="AD1295" i="118"/>
  <c r="AA1295" i="118"/>
  <c r="Z1295" i="118"/>
  <c r="U1295" i="118"/>
  <c r="T1295" i="118"/>
  <c r="S1295" i="118"/>
  <c r="R1295" i="118"/>
  <c r="Q1295" i="118"/>
  <c r="O1295" i="118"/>
  <c r="N1295" i="118"/>
  <c r="M1295" i="118"/>
  <c r="K1295" i="118"/>
  <c r="J1295" i="118"/>
  <c r="I1295" i="118"/>
  <c r="G1295" i="118"/>
  <c r="F1295" i="118"/>
  <c r="E1295" i="118"/>
  <c r="BH1294" i="118"/>
  <c r="BH1293" i="118"/>
  <c r="BH1292" i="118"/>
  <c r="BH1291" i="118"/>
  <c r="BH1290" i="118"/>
  <c r="BH1289" i="118"/>
  <c r="BH1288" i="118"/>
  <c r="BH1287" i="118"/>
  <c r="BH1286" i="118"/>
  <c r="BH1285" i="118"/>
  <c r="BH1284" i="118"/>
  <c r="BH1283" i="118"/>
  <c r="BH1282" i="118"/>
  <c r="BH1281" i="118"/>
  <c r="BH1280" i="118"/>
  <c r="BH1279" i="118"/>
  <c r="BH1278" i="118"/>
  <c r="BH1277" i="118"/>
  <c r="BH1276" i="118"/>
  <c r="BH1275" i="118"/>
  <c r="BH1274" i="118"/>
  <c r="BH1273" i="118"/>
  <c r="BH1272" i="118"/>
  <c r="BH1270" i="118"/>
  <c r="BH1269" i="118"/>
  <c r="BH1268" i="118"/>
  <c r="BH1267" i="118"/>
  <c r="BH1266" i="118"/>
  <c r="BH1265" i="118"/>
  <c r="BH1264" i="118"/>
  <c r="BH1263" i="118"/>
  <c r="BH1262" i="118"/>
  <c r="BH1261" i="118"/>
  <c r="BH1260" i="118"/>
  <c r="BH1259" i="118"/>
  <c r="BH1258" i="118"/>
  <c r="BH1257" i="118"/>
  <c r="BH1256" i="118"/>
  <c r="BH1255" i="118"/>
  <c r="BH1254" i="118"/>
  <c r="BH1253" i="118"/>
  <c r="BH1252" i="118"/>
  <c r="BH1251" i="118"/>
  <c r="BH1250" i="118"/>
  <c r="BH1249" i="118"/>
  <c r="BH1248" i="118"/>
  <c r="BH1247" i="118"/>
  <c r="BH1246" i="118"/>
  <c r="BH1245" i="118"/>
  <c r="BH1244" i="118"/>
  <c r="BH1243" i="118"/>
  <c r="BH1242" i="118"/>
  <c r="BH1241" i="118"/>
  <c r="BH1240" i="118"/>
  <c r="BH1239" i="118"/>
  <c r="BH1238" i="118"/>
  <c r="BH1237" i="118"/>
  <c r="BH1236" i="118"/>
  <c r="BH1235" i="118"/>
  <c r="BH1234" i="118"/>
  <c r="BH1233" i="118"/>
  <c r="BH1232" i="118"/>
  <c r="BH1231" i="118"/>
  <c r="BH1230" i="118"/>
  <c r="BH1229" i="118"/>
  <c r="BH1228" i="118"/>
  <c r="BH1227" i="118"/>
  <c r="BH1226" i="118"/>
  <c r="BH1225" i="118"/>
  <c r="BH1224" i="118"/>
  <c r="BH1223" i="118"/>
  <c r="BH1222" i="118"/>
  <c r="BH1221" i="118"/>
  <c r="BH1220" i="118"/>
  <c r="BH1218" i="118"/>
  <c r="BH1217" i="118"/>
  <c r="BH1216" i="118"/>
  <c r="BH1215" i="118"/>
  <c r="BH1214" i="118"/>
  <c r="BH1213" i="118"/>
  <c r="BH1212" i="118"/>
  <c r="BH1211" i="118"/>
  <c r="BH1210" i="118"/>
  <c r="BH1209" i="118"/>
  <c r="BH1208" i="118"/>
  <c r="BH1207" i="118"/>
  <c r="BH1206" i="118"/>
  <c r="BH1205" i="118"/>
  <c r="BH1204" i="118"/>
  <c r="BH1203" i="118"/>
  <c r="BH1201" i="118"/>
  <c r="BH1200" i="118"/>
  <c r="BH1199" i="118"/>
  <c r="BH1198" i="118"/>
  <c r="BH1197" i="118"/>
  <c r="BH1196" i="118"/>
  <c r="BH1195" i="118"/>
  <c r="BH1194" i="118"/>
  <c r="BH1193" i="118"/>
  <c r="BH1192" i="118"/>
  <c r="BH1191" i="118"/>
  <c r="BH1190" i="118"/>
  <c r="BH1188" i="118"/>
  <c r="BH1187" i="118"/>
  <c r="BH1186" i="118"/>
  <c r="BH1185" i="118"/>
  <c r="BH1184" i="118"/>
  <c r="BE1183" i="118"/>
  <c r="AJ1183" i="118"/>
  <c r="AH1183" i="118"/>
  <c r="AG1183" i="118"/>
  <c r="AF1183" i="118"/>
  <c r="AD1183" i="118"/>
  <c r="AA1183" i="118"/>
  <c r="U1183" i="118"/>
  <c r="T1183" i="118"/>
  <c r="S1183" i="118"/>
  <c r="R1183" i="118"/>
  <c r="Q1183" i="118"/>
  <c r="O1183" i="118"/>
  <c r="N1183" i="118"/>
  <c r="M1183" i="118"/>
  <c r="K1183" i="118"/>
  <c r="J1183" i="118"/>
  <c r="I1183" i="118"/>
  <c r="G1183" i="118"/>
  <c r="F1183" i="118"/>
  <c r="E1183" i="118"/>
  <c r="BH1182" i="118"/>
  <c r="BH1181" i="118"/>
  <c r="BH1180" i="118"/>
  <c r="BH1179" i="118"/>
  <c r="BH1178" i="118"/>
  <c r="BH1177" i="118"/>
  <c r="BH1175" i="118"/>
  <c r="BH1174" i="118"/>
  <c r="BH1173" i="118"/>
  <c r="BH1172" i="118"/>
  <c r="BH1171" i="118"/>
  <c r="BH1170" i="118"/>
  <c r="BH1169" i="118"/>
  <c r="BH1168" i="118"/>
  <c r="BH1167" i="118"/>
  <c r="BH1165" i="118"/>
  <c r="BH1161" i="118"/>
  <c r="BH1160" i="118"/>
  <c r="BH1159" i="118"/>
  <c r="BH1157" i="118"/>
  <c r="BH1156" i="118"/>
  <c r="BH1155" i="118"/>
  <c r="BH1154" i="118"/>
  <c r="BH1153" i="118"/>
  <c r="BH1152" i="118"/>
  <c r="BH1151" i="118"/>
  <c r="BH1150" i="118"/>
  <c r="BH1149" i="118"/>
  <c r="BH1148" i="118"/>
  <c r="BH1147" i="118"/>
  <c r="BH1145" i="118"/>
  <c r="BH1144" i="118"/>
  <c r="BH1143" i="118"/>
  <c r="BH1141" i="118"/>
  <c r="BH1140" i="118"/>
  <c r="BH1139" i="118"/>
  <c r="BH1138" i="118"/>
  <c r="BH1137" i="118"/>
  <c r="BH1136" i="118"/>
  <c r="BH1135" i="118"/>
  <c r="BH1133" i="118"/>
  <c r="BH1132" i="118"/>
  <c r="BH1131" i="118"/>
  <c r="BH1130" i="118"/>
  <c r="BH1129" i="118"/>
  <c r="BH1128" i="118"/>
  <c r="BH1127" i="118"/>
  <c r="BH1126" i="118"/>
  <c r="BH1124" i="118"/>
  <c r="BH1123" i="118"/>
  <c r="BH1122" i="118"/>
  <c r="BH1121" i="118"/>
  <c r="BH1176" i="118"/>
  <c r="BH1116" i="118"/>
  <c r="BH1115" i="118"/>
  <c r="BH1114" i="118"/>
  <c r="BH1113" i="118"/>
  <c r="BH1112" i="118"/>
  <c r="BH1111" i="118"/>
  <c r="BH1110" i="118"/>
  <c r="BH1109" i="118"/>
  <c r="BH1108" i="118"/>
  <c r="BH1107" i="118"/>
  <c r="BH1106" i="118"/>
  <c r="BH1105" i="118"/>
  <c r="BH1104" i="118"/>
  <c r="BH1103" i="118"/>
  <c r="BH1102" i="118"/>
  <c r="BH1101" i="118"/>
  <c r="BH1100" i="118"/>
  <c r="BH1098" i="118"/>
  <c r="BH1097" i="118"/>
  <c r="BH1096" i="118"/>
  <c r="BH1095" i="118"/>
  <c r="BH1094" i="118"/>
  <c r="BH1093" i="118"/>
  <c r="BH1092" i="118"/>
  <c r="BH1089" i="118"/>
  <c r="BH1088" i="118"/>
  <c r="BH1087" i="118"/>
  <c r="BH1086" i="118"/>
  <c r="BH1085" i="118"/>
  <c r="BH1084" i="118"/>
  <c r="BH1083" i="118"/>
  <c r="BH1082" i="118"/>
  <c r="BH1081" i="118"/>
  <c r="BH1080" i="118"/>
  <c r="BH1079" i="118"/>
  <c r="BH1078" i="118"/>
  <c r="BH1077" i="118"/>
  <c r="BH1076" i="118"/>
  <c r="BH1075" i="118"/>
  <c r="BH1074" i="118"/>
  <c r="BH1073" i="118"/>
  <c r="BH1072" i="118"/>
  <c r="BH1071" i="118"/>
  <c r="BH1070" i="118"/>
  <c r="BH1069" i="118"/>
  <c r="BH1068" i="118"/>
  <c r="BH1067" i="118"/>
  <c r="BH1066" i="118"/>
  <c r="BH1065" i="118"/>
  <c r="BH1064" i="118"/>
  <c r="BH1063" i="118"/>
  <c r="BH1062" i="118"/>
  <c r="BH1061" i="118"/>
  <c r="BH1060" i="118"/>
  <c r="BH1059" i="118"/>
  <c r="BH1058" i="118"/>
  <c r="BH1056" i="118"/>
  <c r="BH1055" i="118"/>
  <c r="BH1054" i="118"/>
  <c r="BH1053" i="118"/>
  <c r="BH1052" i="118"/>
  <c r="BH1051" i="118"/>
  <c r="BH1050" i="118"/>
  <c r="BH1049" i="118"/>
  <c r="BH1048" i="118"/>
  <c r="BH1047" i="118"/>
  <c r="BH1046" i="118"/>
  <c r="BH1045" i="118"/>
  <c r="BH1044" i="118"/>
  <c r="BH1043" i="118"/>
  <c r="BH1042" i="118"/>
  <c r="BH1041" i="118"/>
  <c r="BH1040" i="118"/>
  <c r="BH1039" i="118"/>
  <c r="BH1038" i="118"/>
  <c r="BH1037" i="118"/>
  <c r="BH1036" i="118"/>
  <c r="BH1035" i="118"/>
  <c r="BH1034" i="118"/>
  <c r="BH1033" i="118"/>
  <c r="BH1032" i="118"/>
  <c r="BH1031" i="118"/>
  <c r="BH1030" i="118"/>
  <c r="BH1029" i="118"/>
  <c r="BH1028" i="118"/>
  <c r="BH1027" i="118"/>
  <c r="BH1026" i="118"/>
  <c r="BH1025" i="118"/>
  <c r="BH1024" i="118"/>
  <c r="BH1022" i="118"/>
  <c r="BH1021" i="118"/>
  <c r="BH1020" i="118"/>
  <c r="BH1019" i="118"/>
  <c r="BH1018" i="118"/>
  <c r="BH1017" i="118"/>
  <c r="BH1016" i="118"/>
  <c r="BH1015" i="118"/>
  <c r="BH1014" i="118"/>
  <c r="BH1013" i="118"/>
  <c r="BH1012" i="118"/>
  <c r="BE1011" i="118"/>
  <c r="AJ1011" i="118"/>
  <c r="AH1011" i="118"/>
  <c r="AG1011" i="118"/>
  <c r="AF1011" i="118"/>
  <c r="AD1011" i="118"/>
  <c r="AA1011" i="118"/>
  <c r="Z1011" i="118"/>
  <c r="U1011" i="118"/>
  <c r="T1011" i="118"/>
  <c r="S1011" i="118"/>
  <c r="R1011" i="118"/>
  <c r="Q1011" i="118"/>
  <c r="O1011" i="118"/>
  <c r="N1011" i="118"/>
  <c r="M1011" i="118"/>
  <c r="K1011" i="118"/>
  <c r="J1011" i="118"/>
  <c r="I1011" i="118"/>
  <c r="G1011" i="118"/>
  <c r="F1011" i="118"/>
  <c r="E1011" i="118"/>
  <c r="BH1010" i="118"/>
  <c r="BH1007" i="118"/>
  <c r="BH1006" i="118"/>
  <c r="BH1005" i="118"/>
  <c r="BH1004" i="118"/>
  <c r="BH1003" i="118"/>
  <c r="BH1002" i="118"/>
  <c r="BH1000" i="118"/>
  <c r="BH999" i="118"/>
  <c r="BH998" i="118"/>
  <c r="AJ997" i="118"/>
  <c r="AH997" i="118"/>
  <c r="AF997" i="118"/>
  <c r="AD997" i="118"/>
  <c r="AA997" i="118"/>
  <c r="U997" i="118"/>
  <c r="S997" i="118"/>
  <c r="Q997" i="118"/>
  <c r="O997" i="118"/>
  <c r="M997" i="118"/>
  <c r="K997" i="118"/>
  <c r="I997" i="118"/>
  <c r="G997" i="118"/>
  <c r="E997" i="118"/>
  <c r="BH996" i="118"/>
  <c r="BH994" i="118"/>
  <c r="BH990" i="118"/>
  <c r="BH989" i="118"/>
  <c r="BH988" i="118"/>
  <c r="BH986" i="118"/>
  <c r="BH985" i="118"/>
  <c r="BH984" i="118"/>
  <c r="BH979" i="118"/>
  <c r="BE978" i="118"/>
  <c r="AJ978" i="118"/>
  <c r="AH978" i="118"/>
  <c r="AF978" i="118"/>
  <c r="AD978" i="118"/>
  <c r="AA978" i="118"/>
  <c r="U978" i="118"/>
  <c r="S978" i="118"/>
  <c r="Q978" i="118"/>
  <c r="O978" i="118"/>
  <c r="M978" i="118"/>
  <c r="K978" i="118"/>
  <c r="I978" i="118"/>
  <c r="G978" i="118"/>
  <c r="E978" i="118"/>
  <c r="BH977" i="118"/>
  <c r="AJ976" i="118"/>
  <c r="AH976" i="118"/>
  <c r="AF976" i="118"/>
  <c r="AD976" i="118"/>
  <c r="AA976" i="118"/>
  <c r="U976" i="118"/>
  <c r="S976" i="118"/>
  <c r="Q976" i="118"/>
  <c r="O976" i="118"/>
  <c r="M976" i="118"/>
  <c r="K976" i="118"/>
  <c r="I976" i="118"/>
  <c r="G976" i="118"/>
  <c r="E976" i="118"/>
  <c r="BH975" i="118"/>
  <c r="BH974" i="118"/>
  <c r="BH973" i="118"/>
  <c r="BH967" i="118"/>
  <c r="BH966" i="118"/>
  <c r="AJ963" i="118"/>
  <c r="AH963" i="118"/>
  <c r="AF963" i="118"/>
  <c r="AD963" i="118"/>
  <c r="AA963" i="118"/>
  <c r="U963" i="118"/>
  <c r="S963" i="118"/>
  <c r="Q963" i="118"/>
  <c r="O963" i="118"/>
  <c r="M963" i="118"/>
  <c r="K963" i="118"/>
  <c r="I963" i="118"/>
  <c r="G963" i="118"/>
  <c r="E963" i="118"/>
  <c r="BH962" i="118"/>
  <c r="BH959" i="118"/>
  <c r="BH958" i="118"/>
  <c r="BH957" i="118"/>
  <c r="BH955" i="118"/>
  <c r="BE954" i="118"/>
  <c r="AJ954" i="118"/>
  <c r="AH954" i="118"/>
  <c r="AF954" i="118"/>
  <c r="AD954" i="118"/>
  <c r="AA954" i="118"/>
  <c r="U954" i="118"/>
  <c r="S954" i="118"/>
  <c r="Q954" i="118"/>
  <c r="O954" i="118"/>
  <c r="M954" i="118"/>
  <c r="K954" i="118"/>
  <c r="I954" i="118"/>
  <c r="G954" i="118"/>
  <c r="E954" i="118"/>
  <c r="BH953" i="118"/>
  <c r="BH952" i="118"/>
  <c r="BH951" i="118"/>
  <c r="BH950" i="118"/>
  <c r="BH948" i="118"/>
  <c r="BE947" i="118"/>
  <c r="AJ947" i="118"/>
  <c r="AH947" i="118"/>
  <c r="AF947" i="118"/>
  <c r="AD947" i="118"/>
  <c r="U947" i="118"/>
  <c r="S947" i="118"/>
  <c r="Q947" i="118"/>
  <c r="O947" i="118"/>
  <c r="M947" i="118"/>
  <c r="K947" i="118"/>
  <c r="I947" i="118"/>
  <c r="G947" i="118"/>
  <c r="E947" i="118"/>
  <c r="BH945" i="118"/>
  <c r="BH943" i="118"/>
  <c r="BH942" i="118"/>
  <c r="BH940" i="118"/>
  <c r="BH939" i="118"/>
  <c r="BH936" i="118"/>
  <c r="BE934" i="118"/>
  <c r="AJ934" i="118"/>
  <c r="AH934" i="118"/>
  <c r="AF934" i="118"/>
  <c r="AD934" i="118"/>
  <c r="AA934" i="118"/>
  <c r="U934" i="118"/>
  <c r="S934" i="118"/>
  <c r="Q934" i="118"/>
  <c r="O934" i="118"/>
  <c r="M934" i="118"/>
  <c r="K934" i="118"/>
  <c r="I934" i="118"/>
  <c r="G934" i="118"/>
  <c r="E934" i="118"/>
  <c r="BH930" i="118"/>
  <c r="BH923" i="118"/>
  <c r="BH920" i="118"/>
  <c r="BH918" i="118"/>
  <c r="BH917" i="118"/>
  <c r="BH911" i="118"/>
  <c r="BH910" i="118"/>
  <c r="BH908" i="118"/>
  <c r="BH907" i="118"/>
  <c r="BH906" i="118"/>
  <c r="BH905" i="118"/>
  <c r="BH904" i="118"/>
  <c r="BH902" i="118"/>
  <c r="BH901" i="118"/>
  <c r="BH900" i="118"/>
  <c r="BH899" i="118"/>
  <c r="BH897" i="118"/>
  <c r="BH896" i="118"/>
  <c r="BH895" i="118"/>
  <c r="BH894" i="118"/>
  <c r="BH893" i="118"/>
  <c r="BH891" i="118"/>
  <c r="BH890" i="118"/>
  <c r="BH889" i="118"/>
  <c r="BH888" i="118"/>
  <c r="BH887" i="118"/>
  <c r="BH886" i="118"/>
  <c r="BH884" i="118"/>
  <c r="BH883" i="118"/>
  <c r="BH882" i="118"/>
  <c r="BH878" i="118"/>
  <c r="BH877" i="118"/>
  <c r="BH876" i="118"/>
  <c r="BH875" i="118"/>
  <c r="BH873" i="118"/>
  <c r="BH871" i="118"/>
  <c r="BH869" i="118"/>
  <c r="BE868" i="118"/>
  <c r="BH867" i="118"/>
  <c r="BH864" i="118"/>
  <c r="BH863" i="118"/>
  <c r="BH861" i="118"/>
  <c r="BH860" i="118"/>
  <c r="BH859" i="118"/>
  <c r="BH858" i="118"/>
  <c r="BH856" i="118"/>
  <c r="BH855" i="118"/>
  <c r="BH854" i="118"/>
  <c r="BH852" i="118"/>
  <c r="BH851" i="118"/>
  <c r="BH850" i="118"/>
  <c r="BH849" i="118"/>
  <c r="BH848" i="118"/>
  <c r="BH847" i="118"/>
  <c r="BH846" i="118"/>
  <c r="BH845" i="118"/>
  <c r="BH844" i="118"/>
  <c r="BH843" i="118"/>
  <c r="BH841" i="118"/>
  <c r="BH839" i="118"/>
  <c r="BH837" i="118"/>
  <c r="BH836" i="118"/>
  <c r="BH834" i="118"/>
  <c r="BH833" i="118"/>
  <c r="BH832" i="118"/>
  <c r="BH831" i="118"/>
  <c r="BH829" i="118"/>
  <c r="BH828" i="118"/>
  <c r="BE825" i="118"/>
  <c r="BH825" i="118" s="1"/>
  <c r="BH824" i="118"/>
  <c r="BH823" i="118"/>
  <c r="BH822" i="118"/>
  <c r="BH821" i="118"/>
  <c r="BH819" i="118"/>
  <c r="BH818" i="118"/>
  <c r="BH817" i="118"/>
  <c r="BH816" i="118"/>
  <c r="BH814" i="118"/>
  <c r="BH813" i="118"/>
  <c r="BH812" i="118"/>
  <c r="BH811" i="118"/>
  <c r="BH809" i="118"/>
  <c r="BH808" i="118"/>
  <c r="BH807" i="118"/>
  <c r="BH806" i="118"/>
  <c r="BH805" i="118"/>
  <c r="BH804" i="118"/>
  <c r="BH800" i="118"/>
  <c r="BH799" i="118"/>
  <c r="BH798" i="118"/>
  <c r="BH795" i="118"/>
  <c r="BH794" i="118"/>
  <c r="BH793" i="118"/>
  <c r="BH791" i="118"/>
  <c r="BH789" i="118"/>
  <c r="BH785" i="118"/>
  <c r="AJ771" i="118"/>
  <c r="AH771" i="118"/>
  <c r="AF771" i="118"/>
  <c r="AD771" i="118"/>
  <c r="AA771" i="118"/>
  <c r="U771" i="118"/>
  <c r="S771" i="118"/>
  <c r="Q771" i="118"/>
  <c r="O771" i="118"/>
  <c r="M771" i="118"/>
  <c r="K771" i="118"/>
  <c r="I771" i="118"/>
  <c r="G771" i="118"/>
  <c r="E771" i="118"/>
  <c r="BH770" i="118"/>
  <c r="BH769" i="118"/>
  <c r="BH768" i="118"/>
  <c r="BH767" i="118"/>
  <c r="BH766" i="118"/>
  <c r="BE765" i="118"/>
  <c r="AJ765" i="118"/>
  <c r="AH765" i="118"/>
  <c r="AF765" i="118"/>
  <c r="AD765" i="118"/>
  <c r="AA765" i="118"/>
  <c r="U765" i="118"/>
  <c r="S765" i="118"/>
  <c r="Q765" i="118"/>
  <c r="O765" i="118"/>
  <c r="M765" i="118"/>
  <c r="K765" i="118"/>
  <c r="I765" i="118"/>
  <c r="G765" i="118"/>
  <c r="E765" i="118"/>
  <c r="BH762" i="118"/>
  <c r="BH761" i="118"/>
  <c r="BH760" i="118"/>
  <c r="BH754" i="118"/>
  <c r="BH751" i="118"/>
  <c r="BH748" i="118"/>
  <c r="BH746" i="118"/>
  <c r="BH745" i="118"/>
  <c r="BH744" i="118"/>
  <c r="BH743" i="118"/>
  <c r="BH742" i="118"/>
  <c r="BH741" i="118"/>
  <c r="BH740" i="118"/>
  <c r="BH739" i="118"/>
  <c r="BH737" i="118"/>
  <c r="BH736" i="118"/>
  <c r="BH735" i="118"/>
  <c r="BH730" i="118"/>
  <c r="BH727" i="118"/>
  <c r="BH726" i="118"/>
  <c r="BH725" i="118"/>
  <c r="BH724" i="118"/>
  <c r="BH722" i="118"/>
  <c r="BH720" i="118"/>
  <c r="BH719" i="118"/>
  <c r="BH715" i="118"/>
  <c r="BH713" i="118"/>
  <c r="BH712" i="118"/>
  <c r="BH711" i="118"/>
  <c r="BH710" i="118"/>
  <c r="BH708" i="118"/>
  <c r="BH705" i="118"/>
  <c r="BH704" i="118"/>
  <c r="BH701" i="118"/>
  <c r="BH699" i="118"/>
  <c r="BH697" i="118"/>
  <c r="BH691" i="118"/>
  <c r="BH687" i="118"/>
  <c r="BH685" i="118"/>
  <c r="BH683" i="118"/>
  <c r="BH682" i="118"/>
  <c r="BH681" i="118"/>
  <c r="BH679" i="118"/>
  <c r="BH676" i="118"/>
  <c r="BH675" i="118"/>
  <c r="BH674" i="118"/>
  <c r="BH671" i="118"/>
  <c r="BH668" i="118"/>
  <c r="BH667" i="118"/>
  <c r="BH666" i="118"/>
  <c r="BH663" i="118"/>
  <c r="BH659" i="118"/>
  <c r="BH654" i="118"/>
  <c r="BH653" i="118"/>
  <c r="BH651" i="118"/>
  <c r="BH649" i="118"/>
  <c r="BH645" i="118"/>
  <c r="BH644" i="118"/>
  <c r="BH640" i="118"/>
  <c r="BH639" i="118"/>
  <c r="BH638" i="118"/>
  <c r="BH637" i="118"/>
  <c r="BH636" i="118"/>
  <c r="BH631" i="118"/>
  <c r="BH629" i="118"/>
  <c r="BH628" i="118"/>
  <c r="BE627" i="118"/>
  <c r="AJ627" i="118"/>
  <c r="AH627" i="118"/>
  <c r="AF627" i="118"/>
  <c r="AD627" i="118"/>
  <c r="AA627" i="118"/>
  <c r="U627" i="118"/>
  <c r="S627" i="118"/>
  <c r="Q627" i="118"/>
  <c r="O627" i="118"/>
  <c r="M627" i="118"/>
  <c r="K627" i="118"/>
  <c r="G627" i="118"/>
  <c r="E627" i="118"/>
  <c r="BH625" i="118"/>
  <c r="BH624" i="118"/>
  <c r="BH623" i="118"/>
  <c r="BH622" i="118"/>
  <c r="BH621" i="118"/>
  <c r="BH618" i="118"/>
  <c r="BH616" i="118"/>
  <c r="BH612" i="118"/>
  <c r="BH611" i="118"/>
  <c r="BH609" i="118"/>
  <c r="BH608" i="118"/>
  <c r="BH607" i="118"/>
  <c r="BH606" i="118"/>
  <c r="BH604" i="118"/>
  <c r="BH603" i="118"/>
  <c r="BH602" i="118"/>
  <c r="BH601" i="118"/>
  <c r="BH599" i="118"/>
  <c r="BH598" i="118"/>
  <c r="BH596" i="118"/>
  <c r="BH595" i="118"/>
  <c r="BH594" i="118"/>
  <c r="BH593" i="118"/>
  <c r="BH592" i="118"/>
  <c r="BH591" i="118"/>
  <c r="BH589" i="118"/>
  <c r="BH588" i="118"/>
  <c r="BH586" i="118"/>
  <c r="BH585" i="118"/>
  <c r="BH582" i="118"/>
  <c r="BH581" i="118"/>
  <c r="BH580" i="118"/>
  <c r="BH579" i="118"/>
  <c r="BH578" i="118"/>
  <c r="BH577" i="118"/>
  <c r="BH576" i="118"/>
  <c r="BH573" i="118"/>
  <c r="BH572" i="118"/>
  <c r="BH571" i="118"/>
  <c r="BH570" i="118"/>
  <c r="BH569" i="118"/>
  <c r="BH568" i="118"/>
  <c r="BH566" i="118"/>
  <c r="BE561" i="118"/>
  <c r="AJ561" i="118"/>
  <c r="AH561" i="118"/>
  <c r="AF561" i="118"/>
  <c r="AD561" i="118"/>
  <c r="AA561" i="118"/>
  <c r="U561" i="118"/>
  <c r="S561" i="118"/>
  <c r="Q561" i="118"/>
  <c r="O561" i="118"/>
  <c r="M561" i="118"/>
  <c r="K561" i="118"/>
  <c r="I561" i="118"/>
  <c r="G561" i="118"/>
  <c r="E561" i="118"/>
  <c r="BH560" i="118"/>
  <c r="BH559" i="118"/>
  <c r="BH556" i="118"/>
  <c r="BH553" i="118"/>
  <c r="BH552" i="118"/>
  <c r="BH551" i="118"/>
  <c r="BH550" i="118"/>
  <c r="BH549" i="118"/>
  <c r="BH547" i="118"/>
  <c r="BH546" i="118"/>
  <c r="BH545" i="118"/>
  <c r="BH544" i="118"/>
  <c r="BH543" i="118"/>
  <c r="BH542" i="118"/>
  <c r="BH541" i="118"/>
  <c r="BH540" i="118"/>
  <c r="BH539" i="118"/>
  <c r="BH537" i="118"/>
  <c r="BH536" i="118"/>
  <c r="BH535" i="118"/>
  <c r="BH533" i="118"/>
  <c r="BH530" i="118"/>
  <c r="BH529" i="118"/>
  <c r="BH528" i="118"/>
  <c r="BH527" i="118"/>
  <c r="BH525" i="118"/>
  <c r="BH521" i="118"/>
  <c r="BH520" i="118"/>
  <c r="BH518" i="118"/>
  <c r="BH517" i="118"/>
  <c r="BH515" i="118"/>
  <c r="BH514" i="118"/>
  <c r="BH508" i="118"/>
  <c r="BH507" i="118"/>
  <c r="BH505" i="118"/>
  <c r="BH501" i="118"/>
  <c r="BH500" i="118"/>
  <c r="BH499" i="118"/>
  <c r="BH498" i="118"/>
  <c r="BH497" i="118"/>
  <c r="BH496" i="118"/>
  <c r="BH495" i="118"/>
  <c r="BH494" i="118"/>
  <c r="BH493" i="118"/>
  <c r="BH491" i="118"/>
  <c r="BH490" i="118"/>
  <c r="BH488" i="118"/>
  <c r="BH487" i="118"/>
  <c r="BH484" i="118"/>
  <c r="BH483" i="118"/>
  <c r="BH481" i="118"/>
  <c r="BH480" i="118"/>
  <c r="BH479" i="118"/>
  <c r="BH478" i="118"/>
  <c r="BH476" i="118"/>
  <c r="BH475" i="118"/>
  <c r="BH474" i="118"/>
  <c r="BH473" i="118"/>
  <c r="BH472" i="118"/>
  <c r="BH471" i="118"/>
  <c r="BH469" i="118"/>
  <c r="BH467" i="118"/>
  <c r="BH466" i="118"/>
  <c r="BH465" i="118"/>
  <c r="BH464" i="118"/>
  <c r="BH460" i="118"/>
  <c r="BH458" i="118"/>
  <c r="BH456" i="118"/>
  <c r="BH455" i="118"/>
  <c r="BH454" i="118"/>
  <c r="BH453" i="118"/>
  <c r="BH452" i="118"/>
  <c r="BH449" i="118"/>
  <c r="BE446" i="118"/>
  <c r="AJ446" i="118"/>
  <c r="AH446" i="118"/>
  <c r="AF446" i="118"/>
  <c r="AD446" i="118"/>
  <c r="AA446" i="118"/>
  <c r="U446" i="118"/>
  <c r="S446" i="118"/>
  <c r="Q446" i="118"/>
  <c r="O446" i="118"/>
  <c r="M446" i="118"/>
  <c r="K446" i="118"/>
  <c r="I446" i="118"/>
  <c r="G446" i="118"/>
  <c r="E446" i="118"/>
  <c r="BH445" i="118"/>
  <c r="BH443" i="118"/>
  <c r="BH442" i="118"/>
  <c r="BH441" i="118"/>
  <c r="BH438" i="118"/>
  <c r="BH434" i="118"/>
  <c r="BH433" i="118"/>
  <c r="BH432" i="118"/>
  <c r="BH431" i="118"/>
  <c r="BH429" i="118"/>
  <c r="BH427" i="118"/>
  <c r="BH426" i="118"/>
  <c r="BH425" i="118"/>
  <c r="BH424" i="118"/>
  <c r="BH423" i="118"/>
  <c r="BH422" i="118"/>
  <c r="BH421" i="118"/>
  <c r="BH420" i="118"/>
  <c r="BH419" i="118"/>
  <c r="BH418" i="118"/>
  <c r="BH417" i="118"/>
  <c r="BH412" i="118"/>
  <c r="BH410" i="118"/>
  <c r="BH409" i="118"/>
  <c r="BH407" i="118"/>
  <c r="BH406" i="118"/>
  <c r="BH402" i="118"/>
  <c r="BH401" i="118"/>
  <c r="BH400" i="118"/>
  <c r="BH399" i="118"/>
  <c r="BH398" i="118"/>
  <c r="BH396" i="118"/>
  <c r="BH395" i="118"/>
  <c r="BH394" i="118"/>
  <c r="BH393" i="118"/>
  <c r="BH392" i="118"/>
  <c r="BH391" i="118"/>
  <c r="BH390" i="118"/>
  <c r="BH389" i="118"/>
  <c r="BH388" i="118"/>
  <c r="BH385" i="118"/>
  <c r="BH384" i="118"/>
  <c r="BH382" i="118"/>
  <c r="BH379" i="118"/>
  <c r="BH377" i="118"/>
  <c r="BH371" i="118"/>
  <c r="BH370" i="118"/>
  <c r="BH365" i="118"/>
  <c r="BH361" i="118"/>
  <c r="BH359" i="118"/>
  <c r="BH358" i="118"/>
  <c r="BH357" i="118"/>
  <c r="BH356" i="118"/>
  <c r="BH355" i="118"/>
  <c r="BH354" i="118"/>
  <c r="BH353" i="118"/>
  <c r="BH352" i="118"/>
  <c r="BH351" i="118"/>
  <c r="BH348" i="118"/>
  <c r="BH346" i="118"/>
  <c r="BH345" i="118"/>
  <c r="BH344" i="118"/>
  <c r="BH343" i="118"/>
  <c r="BH342" i="118"/>
  <c r="BH339" i="118"/>
  <c r="BH338" i="118"/>
  <c r="BH337" i="118"/>
  <c r="BH336" i="118"/>
  <c r="BH335" i="118"/>
  <c r="BH334" i="118"/>
  <c r="BH333" i="118"/>
  <c r="BH332" i="118"/>
  <c r="BH331" i="118"/>
  <c r="BH328" i="118"/>
  <c r="BH327" i="118"/>
  <c r="BH326" i="118"/>
  <c r="BH325" i="118"/>
  <c r="BH324" i="118"/>
  <c r="BH322" i="118"/>
  <c r="BH321" i="118"/>
  <c r="BH320" i="118"/>
  <c r="BH318" i="118"/>
  <c r="BH317" i="118"/>
  <c r="BH316" i="118"/>
  <c r="BH312" i="118"/>
  <c r="BH311" i="118"/>
  <c r="BH310" i="118"/>
  <c r="BH309" i="118"/>
  <c r="BH308" i="118"/>
  <c r="BH307" i="118"/>
  <c r="BH306" i="118"/>
  <c r="BH304" i="118"/>
  <c r="BH302" i="118"/>
  <c r="BH301" i="118"/>
  <c r="BH300" i="118"/>
  <c r="BH298" i="118"/>
  <c r="BH297" i="118"/>
  <c r="BH296" i="118"/>
  <c r="BH291" i="118"/>
  <c r="BH290" i="118"/>
  <c r="BH229" i="118"/>
  <c r="BH228" i="118"/>
  <c r="BH227" i="118"/>
  <c r="BH226" i="118"/>
  <c r="BH225" i="118"/>
  <c r="BH224" i="118"/>
  <c r="BH223" i="118"/>
  <c r="BH222" i="118"/>
  <c r="BH221" i="118"/>
  <c r="BH220" i="118"/>
  <c r="BH219" i="118"/>
  <c r="BH218" i="118"/>
  <c r="BH217" i="118"/>
  <c r="BH216" i="118"/>
  <c r="BH215" i="118"/>
  <c r="BH213" i="118"/>
  <c r="BH212" i="118"/>
  <c r="BH211" i="118"/>
  <c r="BH210" i="118"/>
  <c r="BH209" i="118"/>
  <c r="BH208" i="118"/>
  <c r="BH207" i="118"/>
  <c r="BH206" i="118"/>
  <c r="BH203" i="118"/>
  <c r="BH202" i="118"/>
  <c r="BH199" i="118"/>
  <c r="BH198" i="118"/>
  <c r="BH196" i="118"/>
  <c r="BH195" i="118"/>
  <c r="BH194" i="118"/>
  <c r="BH193" i="118"/>
  <c r="BH192" i="118"/>
  <c r="BH190" i="118"/>
  <c r="BH189" i="118"/>
  <c r="BH188" i="118"/>
  <c r="BH187" i="118"/>
  <c r="BH186" i="118"/>
  <c r="BH185" i="118"/>
  <c r="BH184" i="118"/>
  <c r="BH183" i="118"/>
  <c r="BH182" i="118"/>
  <c r="BH181" i="118"/>
  <c r="BH180" i="118"/>
  <c r="BH179" i="118"/>
  <c r="BH178" i="118"/>
  <c r="BH177" i="118"/>
  <c r="BH176" i="118"/>
  <c r="BH175" i="118"/>
  <c r="BH174" i="118"/>
  <c r="BH173" i="118"/>
  <c r="BH172" i="118"/>
  <c r="BH171" i="118"/>
  <c r="BH170" i="118"/>
  <c r="BH169" i="118"/>
  <c r="BH168" i="118"/>
  <c r="BH167" i="118"/>
  <c r="BH166" i="118"/>
  <c r="BH165" i="118"/>
  <c r="BH164" i="118"/>
  <c r="BH163" i="118"/>
  <c r="BH162" i="118"/>
  <c r="BH161" i="118"/>
  <c r="BH160" i="118"/>
  <c r="BH159" i="118"/>
  <c r="BH158" i="118"/>
  <c r="BH156" i="118"/>
  <c r="BH154" i="118"/>
  <c r="BH152" i="118"/>
  <c r="BH151" i="118"/>
  <c r="BH148" i="118"/>
  <c r="BH146" i="118"/>
  <c r="BH143" i="118"/>
  <c r="BH142" i="118"/>
  <c r="BH140" i="118"/>
  <c r="BH139" i="118"/>
  <c r="BH137" i="118"/>
  <c r="BH135" i="118"/>
  <c r="BH134" i="118"/>
  <c r="BH133" i="118"/>
  <c r="BH131" i="118"/>
  <c r="BH130" i="118"/>
  <c r="BH129" i="118"/>
  <c r="BH125" i="118"/>
  <c r="BH123" i="118"/>
  <c r="BH122" i="118"/>
  <c r="BE114" i="118"/>
  <c r="AJ114" i="118"/>
  <c r="AH114" i="118"/>
  <c r="AF114" i="118"/>
  <c r="AD114" i="118"/>
  <c r="AA114" i="118"/>
  <c r="U114" i="118"/>
  <c r="S114" i="118"/>
  <c r="Q114" i="118"/>
  <c r="O114" i="118"/>
  <c r="M114" i="118"/>
  <c r="K114" i="118"/>
  <c r="I114" i="118"/>
  <c r="G114" i="118"/>
  <c r="E114" i="118"/>
  <c r="BH111" i="118"/>
  <c r="BH110" i="118"/>
  <c r="BH109" i="118"/>
  <c r="BH108" i="118"/>
  <c r="BH107" i="118"/>
  <c r="BH106" i="118"/>
  <c r="BH105" i="118"/>
  <c r="BH104" i="118"/>
  <c r="BH103" i="118"/>
  <c r="BH102" i="118"/>
  <c r="BH101" i="118"/>
  <c r="BH100" i="118"/>
  <c r="BH98" i="118"/>
  <c r="BH97" i="118"/>
  <c r="BH96" i="118"/>
  <c r="BH95" i="118"/>
  <c r="BH94" i="118"/>
  <c r="BH93" i="118"/>
  <c r="BH92" i="118"/>
  <c r="BE91" i="118"/>
  <c r="AJ91" i="118"/>
  <c r="AH91" i="118"/>
  <c r="AF91" i="118"/>
  <c r="AD91" i="118"/>
  <c r="AA91" i="118"/>
  <c r="U91" i="118"/>
  <c r="S91" i="118"/>
  <c r="Q91" i="118"/>
  <c r="O91" i="118"/>
  <c r="M91" i="118"/>
  <c r="K91" i="118"/>
  <c r="I91" i="118"/>
  <c r="G91" i="118"/>
  <c r="E91" i="118"/>
  <c r="BH90" i="118"/>
  <c r="BH88" i="118"/>
  <c r="BH87" i="118"/>
  <c r="BH86" i="118"/>
  <c r="BH85" i="118"/>
  <c r="BH84" i="118"/>
  <c r="BH83" i="118"/>
  <c r="BH81" i="118"/>
  <c r="BH79" i="118"/>
  <c r="BH77" i="118"/>
  <c r="BH76" i="118"/>
  <c r="BH75" i="118"/>
  <c r="BH74" i="118"/>
  <c r="BH73" i="118"/>
  <c r="BH72" i="118"/>
  <c r="BH71" i="118"/>
  <c r="BH70" i="118"/>
  <c r="BH69" i="118"/>
  <c r="BH68" i="118"/>
  <c r="BH67" i="118"/>
  <c r="BH66" i="118"/>
  <c r="BH65" i="118"/>
  <c r="BH64" i="118"/>
  <c r="BH63" i="118"/>
  <c r="BH62" i="118"/>
  <c r="BH61" i="118"/>
  <c r="BH60" i="118"/>
  <c r="BH59" i="118"/>
  <c r="BH58" i="118"/>
  <c r="BH57" i="118"/>
  <c r="BH56" i="118"/>
  <c r="BH54" i="118"/>
  <c r="BH52" i="118"/>
  <c r="BH51" i="118"/>
  <c r="BH49" i="118"/>
  <c r="BH48" i="118"/>
  <c r="BH47" i="118"/>
  <c r="BH46" i="118"/>
  <c r="BH45" i="118"/>
  <c r="BH44" i="118"/>
  <c r="BH42" i="118"/>
  <c r="BH41" i="118"/>
  <c r="BH40" i="118"/>
  <c r="BH39" i="118"/>
  <c r="BH38" i="118"/>
  <c r="BH37" i="118"/>
  <c r="BH36" i="118"/>
  <c r="BH33" i="118"/>
  <c r="BH31" i="118"/>
  <c r="BH30" i="118"/>
  <c r="BH28" i="118"/>
  <c r="BH27" i="118"/>
  <c r="BH26" i="118"/>
  <c r="BH25" i="118"/>
  <c r="BH24" i="118"/>
  <c r="BH23" i="118"/>
  <c r="BH22" i="118"/>
  <c r="BH21" i="118"/>
  <c r="BH19" i="118"/>
  <c r="BH18" i="118"/>
  <c r="BH17" i="118"/>
  <c r="BH16" i="118"/>
  <c r="BH15" i="118"/>
  <c r="BH14" i="118"/>
  <c r="BE10" i="118"/>
  <c r="AJ10" i="118"/>
  <c r="AH10" i="118"/>
  <c r="AF10" i="118"/>
  <c r="AD10" i="118"/>
  <c r="AA10" i="118"/>
  <c r="U10" i="118"/>
  <c r="S10" i="118"/>
  <c r="Q10" i="118"/>
  <c r="O10" i="118"/>
  <c r="M10" i="118"/>
  <c r="K10" i="118"/>
  <c r="I10" i="118"/>
  <c r="G10" i="118"/>
  <c r="E10" i="118"/>
  <c r="BC3255" i="118" l="1"/>
  <c r="BH114" i="118"/>
  <c r="AC3618" i="118"/>
  <c r="O3804" i="118"/>
  <c r="AC3395" i="118"/>
  <c r="BC2090" i="118"/>
  <c r="AC2090" i="118"/>
  <c r="BG2090" i="118" s="1"/>
  <c r="AC3115" i="118"/>
  <c r="BD3288" i="118"/>
  <c r="AC3346" i="118"/>
  <c r="BG3346" i="118" s="1"/>
  <c r="BG3395" i="118"/>
  <c r="AC3430" i="118"/>
  <c r="BD3461" i="118"/>
  <c r="BG3461" i="118" s="1"/>
  <c r="BG3474" i="118"/>
  <c r="AC3478" i="118"/>
  <c r="BG3478" i="118" s="1"/>
  <c r="BF3512" i="118"/>
  <c r="BF3525" i="118"/>
  <c r="BG3539" i="118"/>
  <c r="BF3551" i="118"/>
  <c r="BG3569" i="118"/>
  <c r="BG3796" i="118"/>
  <c r="AB3631" i="118"/>
  <c r="BF3631" i="118" s="1"/>
  <c r="BF3333" i="118"/>
  <c r="BF3496" i="118"/>
  <c r="AC91" i="118"/>
  <c r="BD561" i="118"/>
  <c r="AC765" i="118"/>
  <c r="AC771" i="118"/>
  <c r="AC934" i="118"/>
  <c r="AC954" i="118"/>
  <c r="AC963" i="118"/>
  <c r="BD976" i="118"/>
  <c r="AC978" i="118"/>
  <c r="AC997" i="118"/>
  <c r="AC1011" i="118"/>
  <c r="BG3588" i="118"/>
  <c r="BG3603" i="118"/>
  <c r="BG3606" i="118"/>
  <c r="BF3618" i="118"/>
  <c r="AC3626" i="118"/>
  <c r="BG3626" i="118" s="1"/>
  <c r="BG3628" i="118"/>
  <c r="BG3631" i="118"/>
  <c r="BG3652" i="118"/>
  <c r="BF3654" i="118"/>
  <c r="BG3685" i="118"/>
  <c r="BF3712" i="118"/>
  <c r="BG3724" i="118"/>
  <c r="AB3726" i="118"/>
  <c r="BF3726" i="118" s="1"/>
  <c r="AB3733" i="118"/>
  <c r="BF3733" i="118" s="1"/>
  <c r="AC1826" i="118"/>
  <c r="AC1968" i="118"/>
  <c r="AC2161" i="118"/>
  <c r="BD114" i="118"/>
  <c r="BD446" i="118"/>
  <c r="AC627" i="118"/>
  <c r="BG3430" i="118"/>
  <c r="BC3628" i="118"/>
  <c r="AB3798" i="118"/>
  <c r="BF3798" i="118" s="1"/>
  <c r="AB3800" i="118"/>
  <c r="BF3800" i="118" s="1"/>
  <c r="BD91" i="118"/>
  <c r="AC114" i="118"/>
  <c r="AC446" i="118"/>
  <c r="AC561" i="118"/>
  <c r="BD627" i="118"/>
  <c r="BD765" i="118"/>
  <c r="BG765" i="118" s="1"/>
  <c r="BD771" i="118"/>
  <c r="BD934" i="118"/>
  <c r="BG934" i="118" s="1"/>
  <c r="AC947" i="118"/>
  <c r="BD947" i="118"/>
  <c r="BD954" i="118"/>
  <c r="BG954" i="118" s="1"/>
  <c r="BD963" i="118"/>
  <c r="BG963" i="118" s="1"/>
  <c r="AC976" i="118"/>
  <c r="BG976" i="118" s="1"/>
  <c r="BD978" i="118"/>
  <c r="BG978" i="118" s="1"/>
  <c r="BD997" i="118"/>
  <c r="AC2362" i="118"/>
  <c r="BG2362" i="118" s="1"/>
  <c r="AC2390" i="118"/>
  <c r="AB2390" i="118"/>
  <c r="AC3255" i="118"/>
  <c r="AC3288" i="118"/>
  <c r="BG3288" i="118" s="1"/>
  <c r="BG3333" i="118"/>
  <c r="BG3496" i="118"/>
  <c r="AC3745" i="118"/>
  <c r="BD3745" i="118"/>
  <c r="BG3255" i="118"/>
  <c r="AC1183" i="118"/>
  <c r="BD1183" i="118"/>
  <c r="AC1295" i="118"/>
  <c r="AC1389" i="118"/>
  <c r="BD1488" i="118"/>
  <c r="BD1565" i="118"/>
  <c r="AC1656" i="118"/>
  <c r="AC1738" i="118"/>
  <c r="BG1824" i="118"/>
  <c r="BD1826" i="118"/>
  <c r="BG1826" i="118" s="1"/>
  <c r="BD1968" i="118"/>
  <c r="BG1968" i="118" s="1"/>
  <c r="BF2090" i="118"/>
  <c r="AC2522" i="118"/>
  <c r="AC2786" i="118"/>
  <c r="AB2829" i="118"/>
  <c r="AC3011" i="118"/>
  <c r="AC3136" i="118"/>
  <c r="BD3136" i="118"/>
  <c r="AC3230" i="118"/>
  <c r="BG3230" i="118" s="1"/>
  <c r="AB3667" i="118"/>
  <c r="AB1295" i="118"/>
  <c r="BC1824" i="118"/>
  <c r="AB2127" i="118"/>
  <c r="BF2127" i="118" s="1"/>
  <c r="BD1011" i="118"/>
  <c r="BD1295" i="118"/>
  <c r="BD1389" i="118"/>
  <c r="AC1488" i="118"/>
  <c r="BG1488" i="118" s="1"/>
  <c r="AC1565" i="118"/>
  <c r="BG1565" i="118" s="1"/>
  <c r="BD1656" i="118"/>
  <c r="AB1656" i="118"/>
  <c r="BD1738" i="118"/>
  <c r="BF1824" i="118"/>
  <c r="AC2127" i="118"/>
  <c r="BG2127" i="118" s="1"/>
  <c r="BD2161" i="118"/>
  <c r="BD2390" i="118"/>
  <c r="BD2522" i="118"/>
  <c r="BD2632" i="118"/>
  <c r="BG2632" i="118" s="1"/>
  <c r="BD2786" i="118"/>
  <c r="AB2786" i="118"/>
  <c r="AC2829" i="118"/>
  <c r="BG2829" i="118" s="1"/>
  <c r="BC2829" i="118"/>
  <c r="BD2845" i="118"/>
  <c r="BG2845" i="118" s="1"/>
  <c r="BD3011" i="118"/>
  <c r="BD3115" i="118"/>
  <c r="AC3192" i="118"/>
  <c r="BG3192" i="118" s="1"/>
  <c r="AC3414" i="118"/>
  <c r="BG3414" i="118" s="1"/>
  <c r="AB3414" i="118"/>
  <c r="BF3414" i="118" s="1"/>
  <c r="AC3458" i="118"/>
  <c r="BG3458" i="118" s="1"/>
  <c r="BF3474" i="118"/>
  <c r="BG3512" i="118"/>
  <c r="BG3525" i="118"/>
  <c r="BF3539" i="118"/>
  <c r="BG3551" i="118"/>
  <c r="BF3569" i="118"/>
  <c r="BF3588" i="118"/>
  <c r="BF3603" i="118"/>
  <c r="BF3606" i="118"/>
  <c r="BG3618" i="118"/>
  <c r="BF3628" i="118"/>
  <c r="BF3652" i="118"/>
  <c r="BG3654" i="118"/>
  <c r="BF3685" i="118"/>
  <c r="BG3712" i="118"/>
  <c r="BF3724" i="118"/>
  <c r="AC3726" i="118"/>
  <c r="BG3726" i="118" s="1"/>
  <c r="AC3733" i="118"/>
  <c r="BG3733" i="118" s="1"/>
  <c r="BF3796" i="118"/>
  <c r="AC3798" i="118"/>
  <c r="BG3798" i="118" s="1"/>
  <c r="AC3800" i="118"/>
  <c r="BG3800" i="118" s="1"/>
  <c r="BC3395" i="118"/>
  <c r="BF3395" i="118" s="1"/>
  <c r="AC3667" i="118"/>
  <c r="BG3667" i="118" s="1"/>
  <c r="BF3667" i="118"/>
  <c r="BK1070" i="118"/>
  <c r="BK1071" i="118" s="1"/>
  <c r="BI2393" i="118"/>
  <c r="BI2434" i="118"/>
  <c r="BI1871" i="118"/>
  <c r="BL1000" i="118"/>
  <c r="AC10" i="118"/>
  <c r="BD10" i="118"/>
  <c r="Z3802" i="118"/>
  <c r="Z3822" i="118" s="1"/>
  <c r="F3802" i="118"/>
  <c r="J3802" i="118"/>
  <c r="J3822" i="118" s="1"/>
  <c r="M3802" i="118"/>
  <c r="M3822" i="118" s="1"/>
  <c r="O3802" i="118"/>
  <c r="O3822" i="118" s="1"/>
  <c r="R3802" i="118"/>
  <c r="R3822" i="118" s="1"/>
  <c r="T3802" i="118"/>
  <c r="T3822" i="118" s="1"/>
  <c r="L3802" i="118"/>
  <c r="L3822" i="118" s="1"/>
  <c r="E3802" i="118"/>
  <c r="G3802" i="118"/>
  <c r="I3802" i="118"/>
  <c r="K3802" i="118"/>
  <c r="K3822" i="118" s="1"/>
  <c r="N3802" i="118"/>
  <c r="N3822" i="118" s="1"/>
  <c r="Q3802" i="118"/>
  <c r="Q3822" i="118" s="1"/>
  <c r="S3802" i="118"/>
  <c r="S3822" i="118" s="1"/>
  <c r="U3802" i="118"/>
  <c r="U3822" i="118" s="1"/>
  <c r="AA3802" i="118"/>
  <c r="AA3822" i="118" s="1"/>
  <c r="P3802" i="118"/>
  <c r="P3822" i="118" s="1"/>
  <c r="AF3802" i="118"/>
  <c r="AH3802" i="118"/>
  <c r="AG3802" i="118"/>
  <c r="AJ3802" i="118"/>
  <c r="BH3206" i="118"/>
  <c r="BI2432" i="118"/>
  <c r="BI2224" i="118"/>
  <c r="BI2905" i="118"/>
  <c r="BH3288" i="118"/>
  <c r="BK3288" i="118" s="1"/>
  <c r="BI564" i="118"/>
  <c r="BI511" i="118"/>
  <c r="BI777" i="118"/>
  <c r="AD3802" i="118"/>
  <c r="P3346" i="118"/>
  <c r="AE3346" i="118"/>
  <c r="BI782" i="118"/>
  <c r="AI2632" i="118"/>
  <c r="P2161" i="118"/>
  <c r="L2161" i="118"/>
  <c r="D1738" i="118"/>
  <c r="P1738" i="118"/>
  <c r="H1738" i="118"/>
  <c r="BI1764" i="118"/>
  <c r="BI1767" i="118"/>
  <c r="BI1785" i="118"/>
  <c r="L1826" i="118"/>
  <c r="BH2362" i="118"/>
  <c r="BK2362" i="118" s="1"/>
  <c r="H3230" i="118"/>
  <c r="H3430" i="118"/>
  <c r="AB3430" i="118" s="1"/>
  <c r="BF3430" i="118" s="1"/>
  <c r="BE771" i="118"/>
  <c r="L1738" i="118"/>
  <c r="H1826" i="118"/>
  <c r="P1826" i="118"/>
  <c r="D1011" i="118"/>
  <c r="L1011" i="118"/>
  <c r="H1011" i="118"/>
  <c r="AI1565" i="118"/>
  <c r="AE1656" i="118"/>
  <c r="D1826" i="118"/>
  <c r="AI1826" i="118"/>
  <c r="BI3767" i="118"/>
  <c r="BI1875" i="118"/>
  <c r="AE1826" i="118"/>
  <c r="D1968" i="118"/>
  <c r="AB1968" i="118" s="1"/>
  <c r="AE1565" i="118"/>
  <c r="BC1565" i="118" s="1"/>
  <c r="BI1911" i="118"/>
  <c r="AI1968" i="118"/>
  <c r="AE2161" i="118"/>
  <c r="AE1389" i="118"/>
  <c r="L1565" i="118"/>
  <c r="BI1615" i="118"/>
  <c r="AE1738" i="118"/>
  <c r="AI2161" i="118"/>
  <c r="AI2390" i="118"/>
  <c r="P1565" i="118"/>
  <c r="BI2352" i="118"/>
  <c r="BI2357" i="118"/>
  <c r="AE2390" i="118"/>
  <c r="BC2390" i="118" s="1"/>
  <c r="AE1968" i="118"/>
  <c r="BC1968" i="118" s="1"/>
  <c r="BI2423" i="118"/>
  <c r="AI1656" i="118"/>
  <c r="AI1389" i="118"/>
  <c r="H1488" i="118"/>
  <c r="AB1488" i="118" s="1"/>
  <c r="H1565" i="118"/>
  <c r="D3461" i="118"/>
  <c r="AB3461" i="118" s="1"/>
  <c r="BI1870" i="118"/>
  <c r="BI2189" i="118"/>
  <c r="P3115" i="118"/>
  <c r="L1183" i="118"/>
  <c r="BI1192" i="118"/>
  <c r="BI1194" i="118"/>
  <c r="H1183" i="118"/>
  <c r="P1183" i="118"/>
  <c r="AI1183" i="118"/>
  <c r="BI1243" i="118"/>
  <c r="AI1295" i="118"/>
  <c r="BI1475" i="118"/>
  <c r="BI1606" i="118"/>
  <c r="D3011" i="118"/>
  <c r="D3115" i="118"/>
  <c r="L3115" i="118"/>
  <c r="BI3202" i="118"/>
  <c r="D3230" i="118"/>
  <c r="AI1011" i="118"/>
  <c r="AE1011" i="118"/>
  <c r="D1183" i="118"/>
  <c r="P1011" i="118"/>
  <c r="BI1027" i="118"/>
  <c r="BI1034" i="118"/>
  <c r="BI1053" i="118"/>
  <c r="BI1067" i="118"/>
  <c r="BI1115" i="118"/>
  <c r="BI1147" i="118"/>
  <c r="BI1149" i="118"/>
  <c r="BI1151" i="118"/>
  <c r="BI1154" i="118"/>
  <c r="BI1157" i="118"/>
  <c r="BI1175" i="118"/>
  <c r="AE1488" i="118"/>
  <c r="BI1513" i="118"/>
  <c r="D1565" i="118"/>
  <c r="BI1697" i="118"/>
  <c r="BI1965" i="118"/>
  <c r="BI2010" i="118"/>
  <c r="BI2049" i="118"/>
  <c r="BI2131" i="118"/>
  <c r="D2161" i="118"/>
  <c r="H2161" i="118"/>
  <c r="H3115" i="118"/>
  <c r="BI3287" i="118"/>
  <c r="BI1731" i="118"/>
  <c r="P3011" i="118"/>
  <c r="BI1610" i="118"/>
  <c r="BI1820" i="118"/>
  <c r="H3011" i="118"/>
  <c r="H1389" i="118"/>
  <c r="AB1389" i="118" s="1"/>
  <c r="AI1488" i="118"/>
  <c r="BI1540" i="118"/>
  <c r="BI1758" i="118"/>
  <c r="D2632" i="118"/>
  <c r="AB2632" i="118" s="1"/>
  <c r="BI2503" i="118"/>
  <c r="BI2548" i="118"/>
  <c r="BI2616" i="118"/>
  <c r="BI2680" i="118"/>
  <c r="AI3011" i="118"/>
  <c r="BI3079" i="118"/>
  <c r="BI3091" i="118"/>
  <c r="BI3105" i="118"/>
  <c r="P3288" i="118"/>
  <c r="AI3461" i="118"/>
  <c r="AE3461" i="118"/>
  <c r="AE1295" i="118"/>
  <c r="BI1338" i="118"/>
  <c r="BI2253" i="118"/>
  <c r="BI2453" i="118"/>
  <c r="AI2786" i="118"/>
  <c r="BC2786" i="118" s="1"/>
  <c r="AE3011" i="118"/>
  <c r="BC3011" i="118" s="1"/>
  <c r="BI1424" i="118"/>
  <c r="AE2522" i="118"/>
  <c r="BI2792" i="118"/>
  <c r="BI2793" i="118"/>
  <c r="AE2845" i="118"/>
  <c r="BI2865" i="118"/>
  <c r="BI2891" i="118"/>
  <c r="BI2897" i="118"/>
  <c r="BI2964" i="118"/>
  <c r="BI2967" i="118"/>
  <c r="BI2979" i="118"/>
  <c r="BI3031" i="118"/>
  <c r="BI3033" i="118"/>
  <c r="BI3126" i="118"/>
  <c r="H3136" i="118"/>
  <c r="P3136" i="118"/>
  <c r="L3192" i="118"/>
  <c r="H3458" i="118"/>
  <c r="AB3458" i="118" s="1"/>
  <c r="BF3458" i="118" s="1"/>
  <c r="H3478" i="118"/>
  <c r="AB3478" i="118" s="1"/>
  <c r="BI1878" i="118"/>
  <c r="BI1684" i="118"/>
  <c r="AI1738" i="118"/>
  <c r="BI1744" i="118"/>
  <c r="AE1183" i="118"/>
  <c r="BI1469" i="118"/>
  <c r="BI1607" i="118"/>
  <c r="BI1638" i="118"/>
  <c r="BI1811" i="118"/>
  <c r="BI2199" i="118"/>
  <c r="BI2214" i="118"/>
  <c r="BI2429" i="118"/>
  <c r="BI2436" i="118"/>
  <c r="BI2538" i="118"/>
  <c r="BI2625" i="118"/>
  <c r="BI2645" i="118"/>
  <c r="BI2666" i="118"/>
  <c r="BI2672" i="118"/>
  <c r="BI2688" i="118"/>
  <c r="BI2794" i="118"/>
  <c r="AI2845" i="118"/>
  <c r="L3346" i="118"/>
  <c r="BI3470" i="118"/>
  <c r="D3745" i="118"/>
  <c r="D3804" i="118" s="1"/>
  <c r="L3745" i="118"/>
  <c r="L3477" i="118" s="1"/>
  <c r="BI2308" i="118"/>
  <c r="AI2522" i="118"/>
  <c r="BI2773" i="118"/>
  <c r="BI2774" i="118"/>
  <c r="L3136" i="118"/>
  <c r="BI3222" i="118"/>
  <c r="P3192" i="118"/>
  <c r="L3288" i="118"/>
  <c r="BI3325" i="118"/>
  <c r="H3346" i="118"/>
  <c r="BI2273" i="118"/>
  <c r="BI2767" i="118"/>
  <c r="BI2864" i="118"/>
  <c r="BI877" i="118"/>
  <c r="BI2696" i="118"/>
  <c r="BI2565" i="118"/>
  <c r="BI93" i="118"/>
  <c r="BI1096" i="118"/>
  <c r="BI2971" i="118"/>
  <c r="BI876" i="118"/>
  <c r="BI2768" i="118"/>
  <c r="J3191" i="118"/>
  <c r="J3803" i="118" s="1"/>
  <c r="BI1077" i="118"/>
  <c r="BI2697" i="118"/>
  <c r="BI2184" i="118"/>
  <c r="BI785" i="118"/>
  <c r="BI791" i="118"/>
  <c r="BI794" i="118"/>
  <c r="BI798" i="118"/>
  <c r="F3191" i="118"/>
  <c r="F3803" i="118" s="1"/>
  <c r="BI125" i="118"/>
  <c r="BI130" i="118"/>
  <c r="BI135" i="118"/>
  <c r="BI137" i="118"/>
  <c r="BI140" i="118"/>
  <c r="BI143" i="118"/>
  <c r="BI156" i="118"/>
  <c r="BI159" i="118"/>
  <c r="BI161" i="118"/>
  <c r="BI163" i="118"/>
  <c r="BI165" i="118"/>
  <c r="BI167" i="118"/>
  <c r="BI169" i="118"/>
  <c r="BI171" i="118"/>
  <c r="BI173" i="118"/>
  <c r="BI175" i="118"/>
  <c r="BI177" i="118"/>
  <c r="BI179" i="118"/>
  <c r="BI181" i="118"/>
  <c r="BI192" i="118"/>
  <c r="BI194" i="118"/>
  <c r="BI196" i="118"/>
  <c r="BI199" i="118"/>
  <c r="BI291" i="118"/>
  <c r="BI297" i="118"/>
  <c r="BI300" i="118"/>
  <c r="BI302" i="118"/>
  <c r="BI306" i="118"/>
  <c r="BI308" i="118"/>
  <c r="BI310" i="118"/>
  <c r="BI316" i="118"/>
  <c r="BI318" i="118"/>
  <c r="BI321" i="118"/>
  <c r="BI324" i="118"/>
  <c r="BI449" i="118"/>
  <c r="BI453" i="118"/>
  <c r="BI455" i="118"/>
  <c r="BI458" i="118"/>
  <c r="BI475" i="118"/>
  <c r="BI480" i="118"/>
  <c r="BI580" i="118"/>
  <c r="BI679" i="118"/>
  <c r="BI2804" i="118"/>
  <c r="Z3191" i="118"/>
  <c r="Z3803" i="118" s="1"/>
  <c r="BI17" i="118"/>
  <c r="BI19" i="118"/>
  <c r="BI22" i="118"/>
  <c r="R3191" i="118"/>
  <c r="R3803" i="118" s="1"/>
  <c r="AJ3191" i="118"/>
  <c r="AJ3803" i="118" s="1"/>
  <c r="BI3226" i="118"/>
  <c r="BI3372" i="118"/>
  <c r="BI3374" i="118"/>
  <c r="BI3655" i="118"/>
  <c r="BI3657" i="118"/>
  <c r="BI3659" i="118"/>
  <c r="BI3661" i="118"/>
  <c r="BI382" i="118"/>
  <c r="BI385" i="118"/>
  <c r="BI388" i="118"/>
  <c r="BI390" i="118"/>
  <c r="BI392" i="118"/>
  <c r="BI394" i="118"/>
  <c r="BI396" i="118"/>
  <c r="BI399" i="118"/>
  <c r="BI401" i="118"/>
  <c r="BI406" i="118"/>
  <c r="BI409" i="118"/>
  <c r="BI412" i="118"/>
  <c r="BI417" i="118"/>
  <c r="BI419" i="118"/>
  <c r="BI421" i="118"/>
  <c r="BI423" i="118"/>
  <c r="BI427" i="118"/>
  <c r="BI431" i="118"/>
  <c r="BI433" i="118"/>
  <c r="BI582" i="118"/>
  <c r="BI2806" i="118"/>
  <c r="BI2808" i="118"/>
  <c r="BI2810" i="118"/>
  <c r="BI2812" i="118"/>
  <c r="BI2831" i="118"/>
  <c r="BI2833" i="118"/>
  <c r="BI2837" i="118"/>
  <c r="BI2849" i="118"/>
  <c r="BI2851" i="118"/>
  <c r="BI585" i="118"/>
  <c r="BI1388" i="118"/>
  <c r="BI1500" i="118"/>
  <c r="BI2814" i="118"/>
  <c r="BH3496" i="118"/>
  <c r="BK3496" i="118" s="1"/>
  <c r="BI3497" i="118"/>
  <c r="BI3499" i="118"/>
  <c r="BI3501" i="118"/>
  <c r="BI3502" i="118"/>
  <c r="BI3504" i="118"/>
  <c r="BI3506" i="118"/>
  <c r="BI3508" i="118"/>
  <c r="BI3510" i="118"/>
  <c r="BI3527" i="118"/>
  <c r="BI3529" i="118"/>
  <c r="BI3533" i="118"/>
  <c r="E933" i="118"/>
  <c r="I933" i="118"/>
  <c r="M933" i="118"/>
  <c r="Q933" i="118"/>
  <c r="U933" i="118"/>
  <c r="BI1918" i="118"/>
  <c r="BI2125" i="118"/>
  <c r="BI2126" i="118"/>
  <c r="BI2169" i="118"/>
  <c r="BI2171" i="118"/>
  <c r="BI2173" i="118"/>
  <c r="BI2175" i="118"/>
  <c r="BI2177" i="118"/>
  <c r="BI2190" i="118"/>
  <c r="BI2201" i="118"/>
  <c r="BI2208" i="118"/>
  <c r="BI2216" i="118"/>
  <c r="BI2225" i="118"/>
  <c r="Z3477" i="118"/>
  <c r="BI2232" i="118"/>
  <c r="BI2249" i="118"/>
  <c r="BI2385" i="118"/>
  <c r="BI2387" i="118"/>
  <c r="BI2389" i="118"/>
  <c r="BI2402" i="118"/>
  <c r="BI2406" i="118"/>
  <c r="BI2893" i="118"/>
  <c r="BI2894" i="118"/>
  <c r="BI2910" i="118"/>
  <c r="BI2987" i="118"/>
  <c r="BI2989" i="118"/>
  <c r="BI3058" i="118"/>
  <c r="BI3060" i="118"/>
  <c r="I3191" i="118"/>
  <c r="I3803" i="118" s="1"/>
  <c r="K3191" i="118"/>
  <c r="K3803" i="118" s="1"/>
  <c r="N3191" i="118"/>
  <c r="N3803" i="118" s="1"/>
  <c r="Q3191" i="118"/>
  <c r="Q3803" i="118" s="1"/>
  <c r="S3191" i="118"/>
  <c r="S3803" i="118" s="1"/>
  <c r="U3191" i="118"/>
  <c r="U3803" i="118" s="1"/>
  <c r="AA3191" i="118"/>
  <c r="AA3803" i="118" s="1"/>
  <c r="BI3362" i="118"/>
  <c r="BI3416" i="118"/>
  <c r="BI3418" i="118"/>
  <c r="BI3420" i="118"/>
  <c r="F3804" i="118"/>
  <c r="J3804" i="118"/>
  <c r="N3804" i="118"/>
  <c r="R3804" i="118"/>
  <c r="Z3804" i="118"/>
  <c r="AE3804" i="118"/>
  <c r="BI3488" i="118"/>
  <c r="BI3553" i="118"/>
  <c r="BI3555" i="118"/>
  <c r="BI3561" i="118"/>
  <c r="BI3563" i="118"/>
  <c r="BI3590" i="118"/>
  <c r="BI3592" i="118"/>
  <c r="BI3594" i="118"/>
  <c r="BI3596" i="118"/>
  <c r="BI3599" i="118"/>
  <c r="BI3601" i="118"/>
  <c r="BI3610" i="118"/>
  <c r="BI3612" i="118"/>
  <c r="BI3614" i="118"/>
  <c r="BI3616" i="118"/>
  <c r="BI3632" i="118"/>
  <c r="BI3634" i="118"/>
  <c r="BI3670" i="118"/>
  <c r="BI3672" i="118"/>
  <c r="BI3750" i="118"/>
  <c r="BG3813" i="118"/>
  <c r="BI3813" i="118" s="1"/>
  <c r="BG3819" i="118"/>
  <c r="BI3819" i="118" s="1"/>
  <c r="BI1041" i="118"/>
  <c r="BI1055" i="118"/>
  <c r="BI1058" i="118"/>
  <c r="BI1060" i="118"/>
  <c r="BI1062" i="118"/>
  <c r="BI1068" i="118"/>
  <c r="BI1079" i="118"/>
  <c r="BI1081" i="118"/>
  <c r="BI1083" i="118"/>
  <c r="BI1085" i="118"/>
  <c r="BI1087" i="118"/>
  <c r="BI1089" i="118"/>
  <c r="BI1098" i="118"/>
  <c r="BI1110" i="118"/>
  <c r="BI1121" i="118"/>
  <c r="BI1123" i="118"/>
  <c r="BI1126" i="118"/>
  <c r="BI1128" i="118"/>
  <c r="BI1130" i="118"/>
  <c r="BI1140" i="118"/>
  <c r="BI1143" i="118"/>
  <c r="BI3181" i="118"/>
  <c r="BI3183" i="118"/>
  <c r="BI3289" i="118"/>
  <c r="BI3291" i="118"/>
  <c r="BI3535" i="118"/>
  <c r="BI3700" i="118"/>
  <c r="BI3702" i="118"/>
  <c r="BI3703" i="118"/>
  <c r="BI3706" i="118"/>
  <c r="BI3709" i="118"/>
  <c r="BI3730" i="118"/>
  <c r="BI1199" i="118"/>
  <c r="BI1201" i="118"/>
  <c r="BI1215" i="118"/>
  <c r="BI1220" i="118"/>
  <c r="BI1222" i="118"/>
  <c r="BI1224" i="118"/>
  <c r="BI1234" i="118"/>
  <c r="BI1252" i="118"/>
  <c r="BI1254" i="118"/>
  <c r="BI1257" i="118"/>
  <c r="BI1259" i="118"/>
  <c r="BI1261" i="118"/>
  <c r="BI1277" i="118"/>
  <c r="BI1279" i="118"/>
  <c r="BI1281" i="118"/>
  <c r="BI1283" i="118"/>
  <c r="BI1285" i="118"/>
  <c r="BI1304" i="118"/>
  <c r="BI1316" i="118"/>
  <c r="BI1320" i="118"/>
  <c r="BI1323" i="118"/>
  <c r="BI1325" i="118"/>
  <c r="BI1334" i="118"/>
  <c r="BI1346" i="118"/>
  <c r="BI1349" i="118"/>
  <c r="BI1351" i="118"/>
  <c r="BI1353" i="118"/>
  <c r="BI1355" i="118"/>
  <c r="BI1359" i="118"/>
  <c r="BI1361" i="118"/>
  <c r="BI1390" i="118"/>
  <c r="BI1407" i="118"/>
  <c r="BI1413" i="118"/>
  <c r="BI1426" i="118"/>
  <c r="BI1436" i="118"/>
  <c r="BI1438" i="118"/>
  <c r="BI1441" i="118"/>
  <c r="BI1443" i="118"/>
  <c r="BI1445" i="118"/>
  <c r="BI1447" i="118"/>
  <c r="BI1449" i="118"/>
  <c r="BI1451" i="118"/>
  <c r="BI1453" i="118"/>
  <c r="BI1457" i="118"/>
  <c r="BI1461" i="118"/>
  <c r="BI1512" i="118"/>
  <c r="BI1515" i="118"/>
  <c r="BI1517" i="118"/>
  <c r="BI1542" i="118"/>
  <c r="BI1544" i="118"/>
  <c r="BI1550" i="118"/>
  <c r="BI1562" i="118"/>
  <c r="BI1564" i="118"/>
  <c r="BI1576" i="118"/>
  <c r="BI1578" i="118"/>
  <c r="BI1586" i="118"/>
  <c r="BI1594" i="118"/>
  <c r="BI1596" i="118"/>
  <c r="BI1609" i="118"/>
  <c r="BI1612" i="118"/>
  <c r="BI1614" i="118"/>
  <c r="BI1670" i="118"/>
  <c r="BI1677" i="118"/>
  <c r="BI1682" i="118"/>
  <c r="BI1690" i="118"/>
  <c r="BI1693" i="118"/>
  <c r="BI1736" i="118"/>
  <c r="BI1828" i="118"/>
  <c r="BI2540" i="118"/>
  <c r="BI2624" i="118"/>
  <c r="BI2901" i="118"/>
  <c r="BG3809" i="118"/>
  <c r="BI3809" i="118" s="1"/>
  <c r="BI1357" i="118"/>
  <c r="BI1588" i="118"/>
  <c r="BI1849" i="118"/>
  <c r="BI1851" i="118"/>
  <c r="BI1853" i="118"/>
  <c r="BI1855" i="118"/>
  <c r="BI2196" i="118"/>
  <c r="BI2344" i="118"/>
  <c r="BI2556" i="118"/>
  <c r="BI3531" i="118"/>
  <c r="BI845" i="118"/>
  <c r="BI849" i="118"/>
  <c r="BI854" i="118"/>
  <c r="BI858" i="118"/>
  <c r="BI860" i="118"/>
  <c r="BI863" i="118"/>
  <c r="BI867" i="118"/>
  <c r="BI890" i="118"/>
  <c r="BI893" i="118"/>
  <c r="BI895" i="118"/>
  <c r="BI897" i="118"/>
  <c r="BI900" i="118"/>
  <c r="BI902" i="118"/>
  <c r="BI905" i="118"/>
  <c r="BI907" i="118"/>
  <c r="BI910" i="118"/>
  <c r="BI917" i="118"/>
  <c r="BI920" i="118"/>
  <c r="BI3012" i="118"/>
  <c r="BI3025" i="118"/>
  <c r="BI3028" i="118"/>
  <c r="BI3063" i="118"/>
  <c r="BI3201" i="118"/>
  <c r="BI44" i="118"/>
  <c r="BI46" i="118"/>
  <c r="BI48" i="118"/>
  <c r="BI51" i="118"/>
  <c r="BI54" i="118"/>
  <c r="BI59" i="118"/>
  <c r="BI61" i="118"/>
  <c r="BI63" i="118"/>
  <c r="BI65" i="118"/>
  <c r="BI67" i="118"/>
  <c r="BI71" i="118"/>
  <c r="BI73" i="118"/>
  <c r="BI75" i="118"/>
  <c r="BI77" i="118"/>
  <c r="BI81" i="118"/>
  <c r="BI83" i="118"/>
  <c r="BI97" i="118"/>
  <c r="BI100" i="118"/>
  <c r="BI103" i="118"/>
  <c r="BI105" i="118"/>
  <c r="BI107" i="118"/>
  <c r="BI1093" i="118"/>
  <c r="BI1241" i="118"/>
  <c r="BI1570" i="118"/>
  <c r="BI1590" i="118"/>
  <c r="BI1695" i="118"/>
  <c r="BI3310" i="118"/>
  <c r="BI3456" i="118"/>
  <c r="BI134" i="118"/>
  <c r="BI139" i="118"/>
  <c r="BI142" i="118"/>
  <c r="BI146" i="118"/>
  <c r="BI151" i="118"/>
  <c r="BI206" i="118"/>
  <c r="BI210" i="118"/>
  <c r="BI212" i="118"/>
  <c r="BI215" i="118"/>
  <c r="BI217" i="118"/>
  <c r="BI221" i="118"/>
  <c r="BI223" i="118"/>
  <c r="BI225" i="118"/>
  <c r="BI227" i="118"/>
  <c r="BI229" i="118"/>
  <c r="BI290" i="118"/>
  <c r="BI395" i="118"/>
  <c r="BI422" i="118"/>
  <c r="BI424" i="118"/>
  <c r="BI432" i="118"/>
  <c r="BI434" i="118"/>
  <c r="BI441" i="118"/>
  <c r="BI443" i="118"/>
  <c r="BI452" i="118"/>
  <c r="BI497" i="118"/>
  <c r="BI501" i="118"/>
  <c r="BI507" i="118"/>
  <c r="BI552" i="118"/>
  <c r="BI556" i="118"/>
  <c r="BI560" i="118"/>
  <c r="BI1173" i="118"/>
  <c r="BI1503" i="118"/>
  <c r="BI2137" i="118"/>
  <c r="BI2139" i="118"/>
  <c r="BI2142" i="118"/>
  <c r="BI2145" i="118"/>
  <c r="BI2427" i="118"/>
  <c r="BI2895" i="118"/>
  <c r="BI2902" i="118"/>
  <c r="BI2970" i="118"/>
  <c r="BI3490" i="118"/>
  <c r="BI3636" i="118"/>
  <c r="BI3638" i="118"/>
  <c r="BI3642" i="118"/>
  <c r="BI3668" i="118"/>
  <c r="BI3674" i="118"/>
  <c r="BG3811" i="118"/>
  <c r="BI3811" i="118" s="1"/>
  <c r="BI15" i="118"/>
  <c r="BI208" i="118"/>
  <c r="BI322" i="118"/>
  <c r="BI456" i="118"/>
  <c r="BI629" i="118"/>
  <c r="BI636" i="118"/>
  <c r="BI638" i="118"/>
  <c r="BI640" i="118"/>
  <c r="BI715" i="118"/>
  <c r="BI720" i="118"/>
  <c r="BI724" i="118"/>
  <c r="BI726" i="118"/>
  <c r="BI735" i="118"/>
  <c r="BI737" i="118"/>
  <c r="BI740" i="118"/>
  <c r="BI742" i="118"/>
  <c r="BI744" i="118"/>
  <c r="BI746" i="118"/>
  <c r="BI754" i="118"/>
  <c r="BI760" i="118"/>
  <c r="AD933" i="118"/>
  <c r="AF933" i="118"/>
  <c r="AH933" i="118"/>
  <c r="AJ933" i="118"/>
  <c r="BI943" i="118"/>
  <c r="G933" i="118"/>
  <c r="K933" i="118"/>
  <c r="O933" i="118"/>
  <c r="S933" i="118"/>
  <c r="AA933" i="118"/>
  <c r="BI1074" i="118"/>
  <c r="BI1408" i="118"/>
  <c r="BI1892" i="118"/>
  <c r="BI1896" i="118"/>
  <c r="BI1898" i="118"/>
  <c r="BI1900" i="118"/>
  <c r="BI1902" i="118"/>
  <c r="BI1904" i="118"/>
  <c r="BI1907" i="118"/>
  <c r="BI1909" i="118"/>
  <c r="BI102" i="118"/>
  <c r="BI133" i="118"/>
  <c r="BI189" i="118"/>
  <c r="BI438" i="118"/>
  <c r="BI847" i="118"/>
  <c r="BI851" i="118"/>
  <c r="BI1710" i="118"/>
  <c r="BI1763" i="118"/>
  <c r="BI1771" i="118"/>
  <c r="BI1778" i="118"/>
  <c r="BI1780" i="118"/>
  <c r="BI1782" i="118"/>
  <c r="BI1789" i="118"/>
  <c r="BI1791" i="118"/>
  <c r="BI1792" i="118"/>
  <c r="BI1794" i="118"/>
  <c r="BI1807" i="118"/>
  <c r="BI1814" i="118"/>
  <c r="BI3185" i="118"/>
  <c r="BI3424" i="118"/>
  <c r="BI1917" i="118"/>
  <c r="BI1949" i="118"/>
  <c r="BI1987" i="118"/>
  <c r="BI1989" i="118"/>
  <c r="BI2012" i="118"/>
  <c r="BI2014" i="118"/>
  <c r="BI2030" i="118"/>
  <c r="BI2039" i="118"/>
  <c r="BI2041" i="118"/>
  <c r="BI2048" i="118"/>
  <c r="BI2085" i="118"/>
  <c r="BI2092" i="118"/>
  <c r="BI2094" i="118"/>
  <c r="BI2096" i="118"/>
  <c r="BI2098" i="118"/>
  <c r="BI2100" i="118"/>
  <c r="BI2102" i="118"/>
  <c r="BI2104" i="118"/>
  <c r="BI2106" i="118"/>
  <c r="BI2110" i="118"/>
  <c r="BI2112" i="118"/>
  <c r="BI2114" i="118"/>
  <c r="BI2116" i="118"/>
  <c r="BI2118" i="118"/>
  <c r="BI2120" i="118"/>
  <c r="BI2122" i="118"/>
  <c r="BI2124" i="118"/>
  <c r="BI2237" i="118"/>
  <c r="BI2239" i="118"/>
  <c r="BI2310" i="118"/>
  <c r="BI2312" i="118"/>
  <c r="BI2314" i="118"/>
  <c r="BI2323" i="118"/>
  <c r="BI2392" i="118"/>
  <c r="BI2394" i="118"/>
  <c r="BI2410" i="118"/>
  <c r="BI2445" i="118"/>
  <c r="BI2449" i="118"/>
  <c r="BI2452" i="118"/>
  <c r="BH2522" i="118"/>
  <c r="BK2522" i="118" s="1"/>
  <c r="BI2578" i="118"/>
  <c r="BI2580" i="118"/>
  <c r="BI2582" i="118"/>
  <c r="BI2584" i="118"/>
  <c r="BI2586" i="118"/>
  <c r="BI2588" i="118"/>
  <c r="BI2590" i="118"/>
  <c r="BI2592" i="118"/>
  <c r="BI2594" i="118"/>
  <c r="BI2800" i="118"/>
  <c r="BI2818" i="118"/>
  <c r="BI2906" i="118"/>
  <c r="BI3039" i="118"/>
  <c r="BI3492" i="118"/>
  <c r="BI3557" i="118"/>
  <c r="BI3559" i="118"/>
  <c r="BI3565" i="118"/>
  <c r="BI3608" i="118"/>
  <c r="BI3679" i="118"/>
  <c r="BI3683" i="118"/>
  <c r="BG3815" i="118"/>
  <c r="BI3815" i="118" s="1"/>
  <c r="BI123" i="118"/>
  <c r="BI129" i="118"/>
  <c r="BI425" i="118"/>
  <c r="BI85" i="118"/>
  <c r="BI109" i="118"/>
  <c r="BI148" i="118"/>
  <c r="BI183" i="118"/>
  <c r="BI219" i="118"/>
  <c r="BI296" i="118"/>
  <c r="BI298" i="118"/>
  <c r="BI301" i="118"/>
  <c r="BI304" i="118"/>
  <c r="BI307" i="118"/>
  <c r="BI309" i="118"/>
  <c r="BI311" i="118"/>
  <c r="BI317" i="118"/>
  <c r="BI320" i="118"/>
  <c r="BI384" i="118"/>
  <c r="BI389" i="118"/>
  <c r="BI391" i="118"/>
  <c r="BI393" i="118"/>
  <c r="BI398" i="118"/>
  <c r="BI400" i="118"/>
  <c r="BI402" i="118"/>
  <c r="BI407" i="118"/>
  <c r="BI410" i="118"/>
  <c r="BI418" i="118"/>
  <c r="BI420" i="118"/>
  <c r="BI426" i="118"/>
  <c r="BI429" i="118"/>
  <c r="BI454" i="118"/>
  <c r="BI499" i="118"/>
  <c r="BI528" i="118"/>
  <c r="BI1191" i="118"/>
  <c r="BI1250" i="118"/>
  <c r="BI1267" i="118"/>
  <c r="BI1297" i="118"/>
  <c r="BI1363" i="118"/>
  <c r="BI1382" i="118"/>
  <c r="BI1386" i="118"/>
  <c r="BI1419" i="118"/>
  <c r="BI1505" i="118"/>
  <c r="BI1718" i="118"/>
  <c r="BI1727" i="118"/>
  <c r="BI1873" i="118"/>
  <c r="BI1897" i="118"/>
  <c r="BI1899" i="118"/>
  <c r="BI1901" i="118"/>
  <c r="BI1903" i="118"/>
  <c r="BI1908" i="118"/>
  <c r="BI1910" i="118"/>
  <c r="BI2076" i="118"/>
  <c r="BI2147" i="118"/>
  <c r="BI2149" i="118"/>
  <c r="BI2151" i="118"/>
  <c r="BI2153" i="118"/>
  <c r="BI2346" i="118"/>
  <c r="BI2421" i="118"/>
  <c r="BI2424" i="118"/>
  <c r="BI2425" i="118"/>
  <c r="BI442" i="118"/>
  <c r="BI445" i="118"/>
  <c r="BI544" i="118"/>
  <c r="BI546" i="118"/>
  <c r="BI549" i="118"/>
  <c r="BI588" i="118"/>
  <c r="BI591" i="118"/>
  <c r="BI762" i="118"/>
  <c r="BI808" i="118"/>
  <c r="BI811" i="118"/>
  <c r="BI813" i="118"/>
  <c r="BI816" i="118"/>
  <c r="BI818" i="118"/>
  <c r="BI950" i="118"/>
  <c r="BI952" i="118"/>
  <c r="BI955" i="118"/>
  <c r="BI958" i="118"/>
  <c r="BI967" i="118"/>
  <c r="BI974" i="118"/>
  <c r="BI979" i="118"/>
  <c r="BI985" i="118"/>
  <c r="BI988" i="118"/>
  <c r="BI1015" i="118"/>
  <c r="BI1076" i="118"/>
  <c r="BI1095" i="118"/>
  <c r="BI1179" i="118"/>
  <c r="BI1180" i="118"/>
  <c r="BI1182" i="118"/>
  <c r="BI1375" i="118"/>
  <c r="BI1567" i="118"/>
  <c r="BI1573" i="118"/>
  <c r="BI1592" i="118"/>
  <c r="BI1637" i="118"/>
  <c r="BI1645" i="118"/>
  <c r="BI1647" i="118"/>
  <c r="BI1649" i="118"/>
  <c r="BI1651" i="118"/>
  <c r="BI1706" i="118"/>
  <c r="BI1834" i="118"/>
  <c r="BI1841" i="118"/>
  <c r="BI1919" i="118"/>
  <c r="BI1951" i="118"/>
  <c r="BI1953" i="118"/>
  <c r="BI1956" i="118"/>
  <c r="BI1962" i="118"/>
  <c r="BI1969" i="118"/>
  <c r="BI1971" i="118"/>
  <c r="BI1973" i="118"/>
  <c r="BI1977" i="118"/>
  <c r="BI2108" i="118"/>
  <c r="BI2198" i="118"/>
  <c r="BI2213" i="118"/>
  <c r="BI2242" i="118"/>
  <c r="BI2252" i="118"/>
  <c r="BI2316" i="118"/>
  <c r="BI2325" i="118"/>
  <c r="BI2330" i="118"/>
  <c r="BI2677" i="118"/>
  <c r="BI2991" i="118"/>
  <c r="BI3046" i="118"/>
  <c r="BI3348" i="118"/>
  <c r="BI3388" i="118"/>
  <c r="BI3681" i="118"/>
  <c r="BI3711" i="118"/>
  <c r="BI3732" i="118"/>
  <c r="BI3774" i="118"/>
  <c r="BI2524" i="118"/>
  <c r="BI2559" i="118"/>
  <c r="BI2820" i="118"/>
  <c r="BI2822" i="118"/>
  <c r="BI2824" i="118"/>
  <c r="BI2826" i="118"/>
  <c r="BI2828" i="118"/>
  <c r="BI3081" i="118"/>
  <c r="BI3083" i="118"/>
  <c r="BI3085" i="118"/>
  <c r="BI3087" i="118"/>
  <c r="BH3115" i="118"/>
  <c r="BK3115" i="118" s="1"/>
  <c r="BI3142" i="118"/>
  <c r="BI3150" i="118"/>
  <c r="BI3152" i="118"/>
  <c r="BI3162" i="118"/>
  <c r="BI3164" i="118"/>
  <c r="BI3166" i="118"/>
  <c r="BI3168" i="118"/>
  <c r="BI3170" i="118"/>
  <c r="BI3199" i="118"/>
  <c r="BI3302" i="118"/>
  <c r="BI3304" i="118"/>
  <c r="BI3306" i="118"/>
  <c r="BI3308" i="118"/>
  <c r="BI3426" i="118"/>
  <c r="BI3460" i="118"/>
  <c r="F3477" i="118"/>
  <c r="BI3537" i="118"/>
  <c r="BI3640" i="118"/>
  <c r="BI3676" i="118"/>
  <c r="BI3728" i="118"/>
  <c r="BI3753" i="118"/>
  <c r="BG3817" i="118"/>
  <c r="BI3817" i="118" s="1"/>
  <c r="BI69" i="118"/>
  <c r="BI185" i="118"/>
  <c r="BI187" i="118"/>
  <c r="BI25" i="118"/>
  <c r="BI27" i="118"/>
  <c r="BI30" i="118"/>
  <c r="BI40" i="118"/>
  <c r="BI87" i="118"/>
  <c r="BI476" i="118"/>
  <c r="BI478" i="118"/>
  <c r="BI541" i="118"/>
  <c r="BI550" i="118"/>
  <c r="BI551" i="118"/>
  <c r="BI553" i="118"/>
  <c r="BI559" i="118"/>
  <c r="BI748" i="118"/>
  <c r="BI761" i="118"/>
  <c r="BI807" i="118"/>
  <c r="BI809" i="118"/>
  <c r="BI812" i="118"/>
  <c r="BI814" i="118"/>
  <c r="BI817" i="118"/>
  <c r="BI819" i="118"/>
  <c r="BE933" i="118"/>
  <c r="BI1033" i="118"/>
  <c r="BI203" i="118"/>
  <c r="BI325" i="118"/>
  <c r="BI326" i="118"/>
  <c r="BI327" i="118"/>
  <c r="BI328" i="118"/>
  <c r="BI331" i="118"/>
  <c r="BI332" i="118"/>
  <c r="BI333" i="118"/>
  <c r="BI334" i="118"/>
  <c r="BI335" i="118"/>
  <c r="BI336" i="118"/>
  <c r="BI337" i="118"/>
  <c r="BI338" i="118"/>
  <c r="BI339" i="118"/>
  <c r="BI342" i="118"/>
  <c r="BI343" i="118"/>
  <c r="BI344" i="118"/>
  <c r="BI346" i="118"/>
  <c r="BI348" i="118"/>
  <c r="BI351" i="118"/>
  <c r="BI352" i="118"/>
  <c r="BI353" i="118"/>
  <c r="BI354" i="118"/>
  <c r="BI355" i="118"/>
  <c r="BI356" i="118"/>
  <c r="BI357" i="118"/>
  <c r="BI358" i="118"/>
  <c r="BI359" i="118"/>
  <c r="BI361" i="118"/>
  <c r="BI365" i="118"/>
  <c r="BI370" i="118"/>
  <c r="BI371" i="118"/>
  <c r="BI377" i="118"/>
  <c r="BI379" i="118"/>
  <c r="BI464" i="118"/>
  <c r="BI465" i="118"/>
  <c r="BI466" i="118"/>
  <c r="BI467" i="118"/>
  <c r="BI469" i="118"/>
  <c r="BI471" i="118"/>
  <c r="BI472" i="118"/>
  <c r="BI473" i="118"/>
  <c r="BI789" i="118"/>
  <c r="BI793" i="118"/>
  <c r="BI998" i="118"/>
  <c r="BI1003" i="118"/>
  <c r="BI1005" i="118"/>
  <c r="BI1007" i="118"/>
  <c r="BI1031" i="118"/>
  <c r="BI2409" i="118"/>
  <c r="BI2690" i="118"/>
  <c r="BI2699" i="118"/>
  <c r="BI2703" i="118"/>
  <c r="BI2705" i="118"/>
  <c r="BI2707" i="118"/>
  <c r="BI2709" i="118"/>
  <c r="BI2711" i="118"/>
  <c r="BI2713" i="118"/>
  <c r="BI2715" i="118"/>
  <c r="BI2717" i="118"/>
  <c r="BI2719" i="118"/>
  <c r="BI2721" i="118"/>
  <c r="BI2723" i="118"/>
  <c r="BI2725" i="118"/>
  <c r="BI2727" i="118"/>
  <c r="BI2729" i="118"/>
  <c r="BI2731" i="118"/>
  <c r="BI2733" i="118"/>
  <c r="BI2735" i="118"/>
  <c r="BI2737" i="118"/>
  <c r="BI2739" i="118"/>
  <c r="BI2741" i="118"/>
  <c r="BI2743" i="118"/>
  <c r="BI2745" i="118"/>
  <c r="BI2747" i="118"/>
  <c r="BI2749" i="118"/>
  <c r="BI2751" i="118"/>
  <c r="BI2753" i="118"/>
  <c r="BI2755" i="118"/>
  <c r="BI2757" i="118"/>
  <c r="BI2759" i="118"/>
  <c r="BI2762" i="118"/>
  <c r="BI2764" i="118"/>
  <c r="BI2766" i="118"/>
  <c r="BI2770" i="118"/>
  <c r="BI2772" i="118"/>
  <c r="BI2776" i="118"/>
  <c r="BI2777" i="118"/>
  <c r="BI2779" i="118"/>
  <c r="BI2781" i="118"/>
  <c r="BI2783" i="118"/>
  <c r="BI2785" i="118"/>
  <c r="BI483" i="118"/>
  <c r="BI484" i="118"/>
  <c r="BI487" i="118"/>
  <c r="BI488" i="118"/>
  <c r="BI490" i="118"/>
  <c r="BI491" i="118"/>
  <c r="BI493" i="118"/>
  <c r="BI495" i="118"/>
  <c r="BI515" i="118"/>
  <c r="BI518" i="118"/>
  <c r="BI521" i="118"/>
  <c r="BI525" i="118"/>
  <c r="BI535" i="118"/>
  <c r="BI537" i="118"/>
  <c r="BI540" i="118"/>
  <c r="BI566" i="118"/>
  <c r="BI569" i="118"/>
  <c r="BI571" i="118"/>
  <c r="BI573" i="118"/>
  <c r="BI577" i="118"/>
  <c r="BI594" i="118"/>
  <c r="BI596" i="118"/>
  <c r="BI599" i="118"/>
  <c r="BI602" i="118"/>
  <c r="BI604" i="118"/>
  <c r="BI608" i="118"/>
  <c r="BI611" i="118"/>
  <c r="BI616" i="118"/>
  <c r="BI621" i="118"/>
  <c r="BI623" i="118"/>
  <c r="BI625" i="118"/>
  <c r="BI644" i="118"/>
  <c r="BI649" i="118"/>
  <c r="BI654" i="118"/>
  <c r="BI659" i="118"/>
  <c r="BI663" i="118"/>
  <c r="BI667" i="118"/>
  <c r="BI674" i="118"/>
  <c r="BI676" i="118"/>
  <c r="BI682" i="118"/>
  <c r="BI685" i="118"/>
  <c r="BI691" i="118"/>
  <c r="BI705" i="118"/>
  <c r="BI711" i="118"/>
  <c r="BI767" i="118"/>
  <c r="BI768" i="118"/>
  <c r="BI769" i="118"/>
  <c r="BI770" i="118"/>
  <c r="BI804" i="118"/>
  <c r="BI806" i="118"/>
  <c r="BI822" i="118"/>
  <c r="BI824" i="118"/>
  <c r="BI825" i="118"/>
  <c r="BI828" i="118"/>
  <c r="BI829" i="118"/>
  <c r="BI831" i="118"/>
  <c r="BI832" i="118"/>
  <c r="BI833" i="118"/>
  <c r="BI834" i="118"/>
  <c r="BI836" i="118"/>
  <c r="BI837" i="118"/>
  <c r="BI839" i="118"/>
  <c r="BI841" i="118"/>
  <c r="BI843" i="118"/>
  <c r="BI871" i="118"/>
  <c r="BI875" i="118"/>
  <c r="BI882" i="118"/>
  <c r="BI884" i="118"/>
  <c r="BI887" i="118"/>
  <c r="BI936" i="118"/>
  <c r="BI940" i="118"/>
  <c r="BI990" i="118"/>
  <c r="BI994" i="118"/>
  <c r="BI996" i="118"/>
  <c r="BI1013" i="118"/>
  <c r="BI1016" i="118"/>
  <c r="BI1021" i="118"/>
  <c r="BI1022" i="118"/>
  <c r="BI1024" i="118"/>
  <c r="BI1025" i="118"/>
  <c r="BI1026" i="118"/>
  <c r="BI1029" i="118"/>
  <c r="BI1036" i="118"/>
  <c r="BI1038" i="118"/>
  <c r="BI1047" i="118"/>
  <c r="BI1049" i="118"/>
  <c r="BI1051" i="118"/>
  <c r="BI1064" i="118"/>
  <c r="BI1066" i="118"/>
  <c r="BI1102" i="118"/>
  <c r="BI1107" i="118"/>
  <c r="BI1113" i="118"/>
  <c r="BI1176" i="118"/>
  <c r="BI1133" i="118"/>
  <c r="BI1136" i="118"/>
  <c r="BI1145" i="118"/>
  <c r="BI1148" i="118"/>
  <c r="BI1155" i="118"/>
  <c r="BI1165" i="118"/>
  <c r="BI1184" i="118"/>
  <c r="BI1186" i="118"/>
  <c r="BI1193" i="118"/>
  <c r="BI1197" i="118"/>
  <c r="BI1210" i="118"/>
  <c r="BI1212" i="118"/>
  <c r="BI1226" i="118"/>
  <c r="BI1230" i="118"/>
  <c r="BI1236" i="118"/>
  <c r="BI1238" i="118"/>
  <c r="BI1247" i="118"/>
  <c r="BI1263" i="118"/>
  <c r="BI1274" i="118"/>
  <c r="BI1289" i="118"/>
  <c r="BI1291" i="118"/>
  <c r="BI1293" i="118"/>
  <c r="BI1302" i="118"/>
  <c r="BI1308" i="118"/>
  <c r="BI1310" i="118"/>
  <c r="BI1312" i="118"/>
  <c r="BI1340" i="118"/>
  <c r="BI1367" i="118"/>
  <c r="BI1369" i="118"/>
  <c r="BI1373" i="118"/>
  <c r="BI1378" i="118"/>
  <c r="BI1380" i="118"/>
  <c r="BI1384" i="118"/>
  <c r="BI1401" i="118"/>
  <c r="BI1403" i="118"/>
  <c r="BI1405" i="118"/>
  <c r="BI1414" i="118"/>
  <c r="BI1417" i="118"/>
  <c r="BI1455" i="118"/>
  <c r="BI1467" i="118"/>
  <c r="BI1471" i="118"/>
  <c r="BI1474" i="118"/>
  <c r="BI1477" i="118"/>
  <c r="BI1481" i="118"/>
  <c r="BI1485" i="118"/>
  <c r="BI1487" i="118"/>
  <c r="BI1489" i="118"/>
  <c r="BI1495" i="118"/>
  <c r="BI1498" i="118"/>
  <c r="BI1521" i="118"/>
  <c r="BI1524" i="118"/>
  <c r="BI1527" i="118"/>
  <c r="BI1529" i="118"/>
  <c r="BI1531" i="118"/>
  <c r="BI1533" i="118"/>
  <c r="BI1536" i="118"/>
  <c r="BI1538" i="118"/>
  <c r="BI1554" i="118"/>
  <c r="BI1556" i="118"/>
  <c r="BI1558" i="118"/>
  <c r="BI1580" i="118"/>
  <c r="BI1582" i="118"/>
  <c r="BI1598" i="118"/>
  <c r="BI1600" i="118"/>
  <c r="BI1602" i="118"/>
  <c r="BI1604" i="118"/>
  <c r="BI1616" i="118"/>
  <c r="BI1618" i="118"/>
  <c r="BI1619" i="118"/>
  <c r="BI1621" i="118"/>
  <c r="BI1623" i="118"/>
  <c r="BI1625" i="118"/>
  <c r="BI1627" i="118"/>
  <c r="BI1629" i="118"/>
  <c r="BI1655" i="118"/>
  <c r="BI1667" i="118"/>
  <c r="BI1672" i="118"/>
  <c r="BI1700" i="118"/>
  <c r="BI1702" i="118"/>
  <c r="BI1713" i="118"/>
  <c r="BI1715" i="118"/>
  <c r="BI1716" i="118"/>
  <c r="BI1720" i="118"/>
  <c r="BI1721" i="118"/>
  <c r="BI1725" i="118"/>
  <c r="BI1730" i="118"/>
  <c r="BI1735" i="118"/>
  <c r="BI1755" i="118"/>
  <c r="BI1768" i="118"/>
  <c r="BI1786" i="118"/>
  <c r="BI1797" i="118"/>
  <c r="BI1813" i="118"/>
  <c r="BI1816" i="118"/>
  <c r="BI1821" i="118"/>
  <c r="BI1825" i="118"/>
  <c r="BI1838" i="118"/>
  <c r="BI1845" i="118"/>
  <c r="BI1857" i="118"/>
  <c r="BI1859" i="118"/>
  <c r="BI1861" i="118"/>
  <c r="BI1862" i="118"/>
  <c r="BI1883" i="118"/>
  <c r="BI1884" i="118"/>
  <c r="BI1885" i="118"/>
  <c r="BI1886" i="118"/>
  <c r="BI1887" i="118"/>
  <c r="BI1888" i="118"/>
  <c r="BI1912" i="118"/>
  <c r="BI1913" i="118"/>
  <c r="BI1914" i="118"/>
  <c r="BI1915" i="118"/>
  <c r="BI1921" i="118"/>
  <c r="BI1923" i="118"/>
  <c r="BI1925" i="118"/>
  <c r="BI1928" i="118"/>
  <c r="BI1930" i="118"/>
  <c r="BI1932" i="118"/>
  <c r="BI1934" i="118"/>
  <c r="BI1936" i="118"/>
  <c r="BI1938" i="118"/>
  <c r="BI1940" i="118"/>
  <c r="BI1942" i="118"/>
  <c r="BI1944" i="118"/>
  <c r="BI1946" i="118"/>
  <c r="BI1967" i="118"/>
  <c r="BI1981" i="118"/>
  <c r="BI1983" i="118"/>
  <c r="BI1985" i="118"/>
  <c r="BI1993" i="118"/>
  <c r="BI1995" i="118"/>
  <c r="BI1997" i="118"/>
  <c r="BI2018" i="118"/>
  <c r="BI2020" i="118"/>
  <c r="BI2022" i="118"/>
  <c r="BI2024" i="118"/>
  <c r="BI2026" i="118"/>
  <c r="BI2034" i="118"/>
  <c r="BI2036" i="118"/>
  <c r="BI2044" i="118"/>
  <c r="BI2054" i="118"/>
  <c r="BI2056" i="118"/>
  <c r="BI2058" i="118"/>
  <c r="BI2060" i="118"/>
  <c r="BI2062" i="118"/>
  <c r="BI2064" i="118"/>
  <c r="BI2066" i="118"/>
  <c r="BI2068" i="118"/>
  <c r="BI2070" i="118"/>
  <c r="BI2072" i="118"/>
  <c r="BI2074" i="118"/>
  <c r="BI2079" i="118"/>
  <c r="BI2129" i="118"/>
  <c r="BI2134" i="118"/>
  <c r="BI2155" i="118"/>
  <c r="BI2158" i="118"/>
  <c r="BI2160" i="118"/>
  <c r="BI2165" i="118"/>
  <c r="BI2181" i="118"/>
  <c r="BI2186" i="118"/>
  <c r="BI2188" i="118"/>
  <c r="BI2246" i="118"/>
  <c r="BI2266" i="118"/>
  <c r="BI2275" i="118"/>
  <c r="BI2277" i="118"/>
  <c r="BI2279" i="118"/>
  <c r="BI2281" i="118"/>
  <c r="BI2283" i="118"/>
  <c r="BI2285" i="118"/>
  <c r="BI2287" i="118"/>
  <c r="BI2289" i="118"/>
  <c r="BI2290" i="118"/>
  <c r="BI2292" i="118"/>
  <c r="BI2334" i="118"/>
  <c r="BI2336" i="118"/>
  <c r="BI2359" i="118"/>
  <c r="BI2374" i="118"/>
  <c r="BI2376" i="118"/>
  <c r="BI2378" i="118"/>
  <c r="BI2380" i="118"/>
  <c r="BI2382" i="118"/>
  <c r="BI2383" i="118"/>
  <c r="BI2413" i="118"/>
  <c r="BI2415" i="118"/>
  <c r="BI2417" i="118"/>
  <c r="BI2419" i="118"/>
  <c r="BI2435" i="118"/>
  <c r="BI2455" i="118"/>
  <c r="BI2456" i="118"/>
  <c r="BI2460" i="118"/>
  <c r="BI2462" i="118"/>
  <c r="BI2464" i="118"/>
  <c r="BI2466" i="118"/>
  <c r="BI2468" i="118"/>
  <c r="BI2470" i="118"/>
  <c r="BI2472" i="118"/>
  <c r="BI2474" i="118"/>
  <c r="BI2476" i="118"/>
  <c r="BI2478" i="118"/>
  <c r="BI2480" i="118"/>
  <c r="BI2482" i="118"/>
  <c r="BI2497" i="118"/>
  <c r="BI2498" i="118"/>
  <c r="BI2500" i="118"/>
  <c r="BI2505" i="118"/>
  <c r="BI2508" i="118"/>
  <c r="BI2510" i="118"/>
  <c r="BI2512" i="118"/>
  <c r="BI2516" i="118"/>
  <c r="BI2518" i="118"/>
  <c r="BI2520" i="118"/>
  <c r="BI2526" i="118"/>
  <c r="BI2528" i="118"/>
  <c r="BI2534" i="118"/>
  <c r="BI2535" i="118"/>
  <c r="BI2549" i="118"/>
  <c r="BI2612" i="118"/>
  <c r="BI2619" i="118"/>
  <c r="BI2620" i="118"/>
  <c r="BI2652" i="118"/>
  <c r="BI2654" i="118"/>
  <c r="BI2656" i="118"/>
  <c r="BI2681" i="118"/>
  <c r="BI2787" i="118"/>
  <c r="BI2789" i="118"/>
  <c r="BI2859" i="118"/>
  <c r="BI2861" i="118"/>
  <c r="BI2887" i="118"/>
  <c r="BI2962" i="118"/>
  <c r="BI3008" i="118"/>
  <c r="BI3009" i="118"/>
  <c r="BI3062" i="118"/>
  <c r="BH3213" i="118"/>
  <c r="BI2600" i="118"/>
  <c r="BI2606" i="118"/>
  <c r="BI2634" i="118"/>
  <c r="BI2636" i="118"/>
  <c r="BI2642" i="118"/>
  <c r="BI2647" i="118"/>
  <c r="BI2649" i="118"/>
  <c r="BI2665" i="118"/>
  <c r="BI2668" i="118"/>
  <c r="BI2669" i="118"/>
  <c r="BI2671" i="118"/>
  <c r="BI2675" i="118"/>
  <c r="BI2791" i="118"/>
  <c r="BI2803" i="118"/>
  <c r="BI2869" i="118"/>
  <c r="BI2871" i="118"/>
  <c r="BI2874" i="118"/>
  <c r="BI2890" i="118"/>
  <c r="BI2916" i="118"/>
  <c r="BI2973" i="118"/>
  <c r="BI3023" i="118"/>
  <c r="BI3111" i="118"/>
  <c r="BI3156" i="118"/>
  <c r="BH3210" i="118"/>
  <c r="BI3228" i="118"/>
  <c r="T3191" i="118"/>
  <c r="T3803" i="118" s="1"/>
  <c r="BI3294" i="118"/>
  <c r="BI3423" i="118"/>
  <c r="BI3466" i="118"/>
  <c r="BI3473" i="118"/>
  <c r="BI3196" i="118"/>
  <c r="AG3191" i="118"/>
  <c r="AG3803" i="118" s="1"/>
  <c r="BI3366" i="118"/>
  <c r="BI3368" i="118"/>
  <c r="N3477" i="118"/>
  <c r="BI3494" i="118"/>
  <c r="BI3663" i="118"/>
  <c r="BI3665" i="118"/>
  <c r="BI3799" i="118"/>
  <c r="BI24" i="118"/>
  <c r="BI131" i="118"/>
  <c r="BI33" i="118"/>
  <c r="BH10" i="118"/>
  <c r="BI14" i="118"/>
  <c r="BI16" i="118"/>
  <c r="BI18" i="118"/>
  <c r="BI21" i="118"/>
  <c r="BI23" i="118"/>
  <c r="BI26" i="118"/>
  <c r="BI28" i="118"/>
  <c r="BI31" i="118"/>
  <c r="BI36" i="118"/>
  <c r="BI38" i="118"/>
  <c r="BI39" i="118"/>
  <c r="BI41" i="118"/>
  <c r="BI42" i="118"/>
  <c r="BI45" i="118"/>
  <c r="BI47" i="118"/>
  <c r="BI49" i="118"/>
  <c r="BI52" i="118"/>
  <c r="BI57" i="118"/>
  <c r="BI58" i="118"/>
  <c r="BI60" i="118"/>
  <c r="BI62" i="118"/>
  <c r="BI64" i="118"/>
  <c r="BI66" i="118"/>
  <c r="BI68" i="118"/>
  <c r="BI70" i="118"/>
  <c r="BI72" i="118"/>
  <c r="BI74" i="118"/>
  <c r="BI76" i="118"/>
  <c r="BI79" i="118"/>
  <c r="BI84" i="118"/>
  <c r="BI88" i="118"/>
  <c r="BI90" i="118"/>
  <c r="BH91" i="118"/>
  <c r="BI98" i="118"/>
  <c r="BI101" i="118"/>
  <c r="BI104" i="118"/>
  <c r="BI106" i="118"/>
  <c r="BI108" i="118"/>
  <c r="BI110" i="118"/>
  <c r="BI126" i="118"/>
  <c r="BI152" i="118"/>
  <c r="BI687" i="118"/>
  <c r="BI712" i="118"/>
  <c r="BI888" i="118"/>
  <c r="BI951" i="118"/>
  <c r="BI1168" i="118"/>
  <c r="BI1211" i="118"/>
  <c r="BI1239" i="118"/>
  <c r="BI1429" i="118"/>
  <c r="BI154" i="118"/>
  <c r="BI158" i="118"/>
  <c r="BI160" i="118"/>
  <c r="BI162" i="118"/>
  <c r="BI164" i="118"/>
  <c r="BI166" i="118"/>
  <c r="BI168" i="118"/>
  <c r="BI170" i="118"/>
  <c r="BI172" i="118"/>
  <c r="BI174" i="118"/>
  <c r="BI176" i="118"/>
  <c r="BI178" i="118"/>
  <c r="BI180" i="118"/>
  <c r="BI182" i="118"/>
  <c r="BI184" i="118"/>
  <c r="BI186" i="118"/>
  <c r="BI188" i="118"/>
  <c r="BI190" i="118"/>
  <c r="BI193" i="118"/>
  <c r="BI195" i="118"/>
  <c r="BI198" i="118"/>
  <c r="BI202" i="118"/>
  <c r="BI207" i="118"/>
  <c r="BI209" i="118"/>
  <c r="BI211" i="118"/>
  <c r="BI213" i="118"/>
  <c r="BI216" i="118"/>
  <c r="BI218" i="118"/>
  <c r="BI220" i="118"/>
  <c r="BI222" i="118"/>
  <c r="BI224" i="118"/>
  <c r="BI226" i="118"/>
  <c r="BI228" i="118"/>
  <c r="BI460" i="118"/>
  <c r="BI481" i="118"/>
  <c r="BI542" i="118"/>
  <c r="BI766" i="118"/>
  <c r="BI821" i="118"/>
  <c r="BI945" i="118"/>
  <c r="BI1014" i="118"/>
  <c r="BI312" i="118"/>
  <c r="BH446" i="118"/>
  <c r="BI479" i="118"/>
  <c r="BI494" i="118"/>
  <c r="BI496" i="118"/>
  <c r="BI498" i="118"/>
  <c r="BI500" i="118"/>
  <c r="BI505" i="118"/>
  <c r="BI508" i="118"/>
  <c r="BI514" i="118"/>
  <c r="BI517" i="118"/>
  <c r="BI520" i="118"/>
  <c r="BI530" i="118"/>
  <c r="BI533" i="118"/>
  <c r="BI536" i="118"/>
  <c r="BI539" i="118"/>
  <c r="BI543" i="118"/>
  <c r="BI545" i="118"/>
  <c r="BI547" i="118"/>
  <c r="BI568" i="118"/>
  <c r="BI570" i="118"/>
  <c r="BI572" i="118"/>
  <c r="BI576" i="118"/>
  <c r="BI578" i="118"/>
  <c r="BI579" i="118"/>
  <c r="BI581" i="118"/>
  <c r="BI586" i="118"/>
  <c r="BI589" i="118"/>
  <c r="BI593" i="118"/>
  <c r="BI595" i="118"/>
  <c r="BI598" i="118"/>
  <c r="BI601" i="118"/>
  <c r="BI603" i="118"/>
  <c r="BI606" i="118"/>
  <c r="BI607" i="118"/>
  <c r="BI609" i="118"/>
  <c r="BI612" i="118"/>
  <c r="BI618" i="118"/>
  <c r="BI622" i="118"/>
  <c r="BI624" i="118"/>
  <c r="BI628" i="118"/>
  <c r="BI631" i="118"/>
  <c r="BI637" i="118"/>
  <c r="BI639" i="118"/>
  <c r="BI645" i="118"/>
  <c r="BI651" i="118"/>
  <c r="BI653" i="118"/>
  <c r="BI666" i="118"/>
  <c r="BI668" i="118"/>
  <c r="BI671" i="118"/>
  <c r="BI675" i="118"/>
  <c r="BI681" i="118"/>
  <c r="BI683" i="118"/>
  <c r="BI697" i="118"/>
  <c r="BI699" i="118"/>
  <c r="BI704" i="118"/>
  <c r="BI708" i="118"/>
  <c r="BI710" i="118"/>
  <c r="BI713" i="118"/>
  <c r="BI719" i="118"/>
  <c r="BI722" i="118"/>
  <c r="BI725" i="118"/>
  <c r="BI727" i="118"/>
  <c r="BI730" i="118"/>
  <c r="BI736" i="118"/>
  <c r="BI739" i="118"/>
  <c r="BI741" i="118"/>
  <c r="BI743" i="118"/>
  <c r="BI745" i="118"/>
  <c r="BI751" i="118"/>
  <c r="BI795" i="118"/>
  <c r="BI799" i="118"/>
  <c r="BI800" i="118"/>
  <c r="BI805" i="118"/>
  <c r="BI823" i="118"/>
  <c r="BI844" i="118"/>
  <c r="BI846" i="118"/>
  <c r="BI848" i="118"/>
  <c r="BI850" i="118"/>
  <c r="BI852" i="118"/>
  <c r="BI855" i="118"/>
  <c r="BI856" i="118"/>
  <c r="BI859" i="118"/>
  <c r="BI861" i="118"/>
  <c r="BI864" i="118"/>
  <c r="BH868" i="118"/>
  <c r="BI869" i="118"/>
  <c r="BI873" i="118"/>
  <c r="BI878" i="118"/>
  <c r="BI883" i="118"/>
  <c r="BI886" i="118"/>
  <c r="BI889" i="118"/>
  <c r="BI891" i="118"/>
  <c r="BI894" i="118"/>
  <c r="BI896" i="118"/>
  <c r="BI899" i="118"/>
  <c r="BI901" i="118"/>
  <c r="BI904" i="118"/>
  <c r="BI906" i="118"/>
  <c r="BI908" i="118"/>
  <c r="BI911" i="118"/>
  <c r="BI918" i="118"/>
  <c r="BI923" i="118"/>
  <c r="BI930" i="118"/>
  <c r="BH934" i="118"/>
  <c r="BI939" i="118"/>
  <c r="BI942" i="118"/>
  <c r="BI948" i="118"/>
  <c r="BI953" i="118"/>
  <c r="BH954" i="118"/>
  <c r="BI957" i="118"/>
  <c r="BI959" i="118"/>
  <c r="BI962" i="118"/>
  <c r="BI966" i="118"/>
  <c r="BI973" i="118"/>
  <c r="BI975" i="118"/>
  <c r="BI977" i="118"/>
  <c r="BH978" i="118"/>
  <c r="BI984" i="118"/>
  <c r="BI986" i="118"/>
  <c r="BI989" i="118"/>
  <c r="BH997" i="118"/>
  <c r="BI999" i="118"/>
  <c r="BI1002" i="118"/>
  <c r="BI1004" i="118"/>
  <c r="BI1006" i="118"/>
  <c r="BI1010" i="118"/>
  <c r="BI1039" i="118"/>
  <c r="BI1042" i="118"/>
  <c r="BI1044" i="118"/>
  <c r="BI1046" i="118"/>
  <c r="BI1048" i="118"/>
  <c r="BI1050" i="118"/>
  <c r="BI1056" i="118"/>
  <c r="BI1059" i="118"/>
  <c r="BI1061" i="118"/>
  <c r="BI1065" i="118"/>
  <c r="BI1069" i="118"/>
  <c r="BI1071" i="118"/>
  <c r="BI1072" i="118"/>
  <c r="BI1073" i="118"/>
  <c r="BI1075" i="118"/>
  <c r="BI1078" i="118"/>
  <c r="BI1080" i="118"/>
  <c r="BI1082" i="118"/>
  <c r="BI1084" i="118"/>
  <c r="BI1086" i="118"/>
  <c r="BI1088" i="118"/>
  <c r="BI1092" i="118"/>
  <c r="BI1094" i="118"/>
  <c r="BI1097" i="118"/>
  <c r="BI1106" i="118"/>
  <c r="BI1108" i="118"/>
  <c r="BI1109" i="118"/>
  <c r="BI1111" i="118"/>
  <c r="BI1112" i="118"/>
  <c r="BI1114" i="118"/>
  <c r="BI1116" i="118"/>
  <c r="BI1122" i="118"/>
  <c r="BI1124" i="118"/>
  <c r="BI1127" i="118"/>
  <c r="BI1129" i="118"/>
  <c r="BI1131" i="118"/>
  <c r="BI1135" i="118"/>
  <c r="BI1137" i="118"/>
  <c r="BI1139" i="118"/>
  <c r="BI1141" i="118"/>
  <c r="BI1144" i="118"/>
  <c r="BI1150" i="118"/>
  <c r="BI1153" i="118"/>
  <c r="BI1159" i="118"/>
  <c r="BI1167" i="118"/>
  <c r="BI1170" i="118"/>
  <c r="BI1172" i="118"/>
  <c r="BI1174" i="118"/>
  <c r="BI1178" i="118"/>
  <c r="BI1181" i="118"/>
  <c r="BI1185" i="118"/>
  <c r="BI1187" i="118"/>
  <c r="BI1196" i="118"/>
  <c r="BI1200" i="118"/>
  <c r="BI1203" i="118"/>
  <c r="BI1204" i="118"/>
  <c r="BI1206" i="118"/>
  <c r="BI1207" i="118"/>
  <c r="BI1213" i="118"/>
  <c r="BI1214" i="118"/>
  <c r="BI1218" i="118"/>
  <c r="BI1221" i="118"/>
  <c r="BI1223" i="118"/>
  <c r="BI1227" i="118"/>
  <c r="BI1232" i="118"/>
  <c r="BI1233" i="118"/>
  <c r="BI1237" i="118"/>
  <c r="BI1240" i="118"/>
  <c r="BI1242" i="118"/>
  <c r="BI1246" i="118"/>
  <c r="BI1248" i="118"/>
  <c r="BI1249" i="118"/>
  <c r="BI1251" i="118"/>
  <c r="BI1253" i="118"/>
  <c r="BI1255" i="118"/>
  <c r="BI1256" i="118"/>
  <c r="BI1258" i="118"/>
  <c r="BI1260" i="118"/>
  <c r="BI1264" i="118"/>
  <c r="BI1265" i="118"/>
  <c r="BI1266" i="118"/>
  <c r="BI1268" i="118"/>
  <c r="BI1273" i="118"/>
  <c r="BI1275" i="118"/>
  <c r="BI1278" i="118"/>
  <c r="BI1280" i="118"/>
  <c r="BI1282" i="118"/>
  <c r="BI1284" i="118"/>
  <c r="BI1286" i="118"/>
  <c r="BI1288" i="118"/>
  <c r="BI1290" i="118"/>
  <c r="BI1292" i="118"/>
  <c r="BI1294" i="118"/>
  <c r="BH1295" i="118"/>
  <c r="BI1296" i="118"/>
  <c r="BI1305" i="118"/>
  <c r="BI1307" i="118"/>
  <c r="BI1309" i="118"/>
  <c r="BI1311" i="118"/>
  <c r="BI1313" i="118"/>
  <c r="BI1315" i="118"/>
  <c r="BI1319" i="118"/>
  <c r="BI1322" i="118"/>
  <c r="BI1324" i="118"/>
  <c r="BI1328" i="118"/>
  <c r="BI1331" i="118"/>
  <c r="BI1333" i="118"/>
  <c r="BI1335" i="118"/>
  <c r="BI1337" i="118"/>
  <c r="BI1342" i="118"/>
  <c r="BI1345" i="118"/>
  <c r="BI1348" i="118"/>
  <c r="BI1350" i="118"/>
  <c r="BI1352" i="118"/>
  <c r="BI1354" i="118"/>
  <c r="BI1356" i="118"/>
  <c r="BI1358" i="118"/>
  <c r="BI1360" i="118"/>
  <c r="BI1362" i="118"/>
  <c r="BI1364" i="118"/>
  <c r="BI1366" i="118"/>
  <c r="BI1368" i="118"/>
  <c r="BI1372" i="118"/>
  <c r="BI1374" i="118"/>
  <c r="BI1379" i="118"/>
  <c r="BI1391" i="118"/>
  <c r="BI1392" i="118"/>
  <c r="BI1393" i="118"/>
  <c r="BI1398" i="118"/>
  <c r="BI1402" i="118"/>
  <c r="BI1404" i="118"/>
  <c r="BI1411" i="118"/>
  <c r="BI1409" i="118"/>
  <c r="BI1412" i="118"/>
  <c r="BI1420" i="118"/>
  <c r="BI1422" i="118"/>
  <c r="BI1425" i="118"/>
  <c r="BI1427" i="118"/>
  <c r="BI1430" i="118"/>
  <c r="BI1431" i="118"/>
  <c r="BI1434" i="118"/>
  <c r="BI1437" i="118"/>
  <c r="BI1440" i="118"/>
  <c r="BI1442" i="118"/>
  <c r="BI1444" i="118"/>
  <c r="BI1446" i="118"/>
  <c r="BI1448" i="118"/>
  <c r="BI1450" i="118"/>
  <c r="BI1452" i="118"/>
  <c r="BI1460" i="118"/>
  <c r="BI1462" i="118"/>
  <c r="BI1466" i="118"/>
  <c r="BI1470" i="118"/>
  <c r="BI1473" i="118"/>
  <c r="BI1476" i="118"/>
  <c r="BI1478" i="118"/>
  <c r="BI1482" i="118"/>
  <c r="BI1486" i="118"/>
  <c r="BI1497" i="118"/>
  <c r="BI1501" i="118"/>
  <c r="BI1504" i="118"/>
  <c r="BI1509" i="118"/>
  <c r="BI1514" i="118"/>
  <c r="BI1518" i="118"/>
  <c r="BI1519" i="118"/>
  <c r="BI1523" i="118"/>
  <c r="BI1525" i="118"/>
  <c r="BI1528" i="118"/>
  <c r="BI1530" i="118"/>
  <c r="BI1532" i="118"/>
  <c r="BI1534" i="118"/>
  <c r="BI1535" i="118"/>
  <c r="BI1537" i="118"/>
  <c r="BI1539" i="118"/>
  <c r="BI1541" i="118"/>
  <c r="BI1543" i="118"/>
  <c r="BI1545" i="118"/>
  <c r="BI1549" i="118"/>
  <c r="BI1551" i="118"/>
  <c r="BI1552" i="118"/>
  <c r="BI1553" i="118"/>
  <c r="BI1555" i="118"/>
  <c r="BI1557" i="118"/>
  <c r="BI1559" i="118"/>
  <c r="BI1561" i="118"/>
  <c r="BI1563" i="118"/>
  <c r="BI1566" i="118"/>
  <c r="BI1571" i="118"/>
  <c r="BI1743" i="118"/>
  <c r="BI1747" i="118"/>
  <c r="BI1752" i="118"/>
  <c r="BI2166" i="118"/>
  <c r="BH561" i="118"/>
  <c r="BH627" i="118"/>
  <c r="BJ628" i="118" s="1"/>
  <c r="BH765" i="118"/>
  <c r="BH947" i="118"/>
  <c r="BH963" i="118"/>
  <c r="BH976" i="118"/>
  <c r="BH1011" i="118"/>
  <c r="BH1183" i="118"/>
  <c r="BH1389" i="118"/>
  <c r="BH1488" i="118"/>
  <c r="BH1565" i="118"/>
  <c r="BI1830" i="118"/>
  <c r="BI1881" i="118"/>
  <c r="BI1916" i="118"/>
  <c r="BI1975" i="118"/>
  <c r="BI2132" i="118"/>
  <c r="BI2167" i="118"/>
  <c r="BI2202" i="118"/>
  <c r="BI1577" i="118"/>
  <c r="BI1581" i="118"/>
  <c r="BI1585" i="118"/>
  <c r="BI1587" i="118"/>
  <c r="BI1589" i="118"/>
  <c r="BI1591" i="118"/>
  <c r="BI1595" i="118"/>
  <c r="BI1599" i="118"/>
  <c r="BI1601" i="118"/>
  <c r="BI1603" i="118"/>
  <c r="BI1605" i="118"/>
  <c r="BI1608" i="118"/>
  <c r="BI1611" i="118"/>
  <c r="BI1613" i="118"/>
  <c r="BI1617" i="118"/>
  <c r="BI1620" i="118"/>
  <c r="BI1622" i="118"/>
  <c r="BI1624" i="118"/>
  <c r="BI1626" i="118"/>
  <c r="BI1628" i="118"/>
  <c r="BI1631" i="118"/>
  <c r="BI1636" i="118"/>
  <c r="BI1648" i="118"/>
  <c r="BI1650" i="118"/>
  <c r="BI1652" i="118"/>
  <c r="BI1654" i="118"/>
  <c r="BI1657" i="118"/>
  <c r="BI1659" i="118"/>
  <c r="BI1660" i="118"/>
  <c r="BI1662" i="118"/>
  <c r="BI1666" i="118"/>
  <c r="BI1669" i="118"/>
  <c r="BI1673" i="118"/>
  <c r="BI1675" i="118"/>
  <c r="BI1685" i="118"/>
  <c r="BI1687" i="118"/>
  <c r="BI1691" i="118"/>
  <c r="BI1694" i="118"/>
  <c r="BI1696" i="118"/>
  <c r="BI1698" i="118"/>
  <c r="BI1699" i="118"/>
  <c r="BI1701" i="118"/>
  <c r="BI1703" i="118"/>
  <c r="BI1705" i="118"/>
  <c r="BI1722" i="118"/>
  <c r="BI1724" i="118"/>
  <c r="BI1729" i="118"/>
  <c r="BI1734" i="118"/>
  <c r="BI1737" i="118"/>
  <c r="BH1738" i="118"/>
  <c r="BI1739" i="118"/>
  <c r="BI1748" i="118"/>
  <c r="BI1753" i="118"/>
  <c r="BI1760" i="118"/>
  <c r="BI1777" i="118"/>
  <c r="BI1779" i="118"/>
  <c r="BI1781" i="118"/>
  <c r="BI1788" i="118"/>
  <c r="BI1790" i="118"/>
  <c r="BI1793" i="118"/>
  <c r="BI1796" i="118"/>
  <c r="BI1800" i="118"/>
  <c r="BI1808" i="118"/>
  <c r="BI1809" i="118"/>
  <c r="BI1822" i="118"/>
  <c r="BH1824" i="118"/>
  <c r="BI1831" i="118"/>
  <c r="BI1833" i="118"/>
  <c r="BI1837" i="118"/>
  <c r="BI1839" i="118"/>
  <c r="BI1840" i="118"/>
  <c r="BI1842" i="118"/>
  <c r="BI1844" i="118"/>
  <c r="BI1846" i="118"/>
  <c r="BI1848" i="118"/>
  <c r="BI1850" i="118"/>
  <c r="BI1852" i="118"/>
  <c r="BI1854" i="118"/>
  <c r="BI1858" i="118"/>
  <c r="BI1922" i="118"/>
  <c r="BI1924" i="118"/>
  <c r="BI1926" i="118"/>
  <c r="BI1927" i="118"/>
  <c r="BI1929" i="118"/>
  <c r="BI1931" i="118"/>
  <c r="BI1933" i="118"/>
  <c r="BI1935" i="118"/>
  <c r="BI1937" i="118"/>
  <c r="BI1939" i="118"/>
  <c r="BI1941" i="118"/>
  <c r="BI1943" i="118"/>
  <c r="BI1945" i="118"/>
  <c r="BI1947" i="118"/>
  <c r="BI1948" i="118"/>
  <c r="BI1950" i="118"/>
  <c r="BI1952" i="118"/>
  <c r="BI1955" i="118"/>
  <c r="BI1957" i="118"/>
  <c r="BI1961" i="118"/>
  <c r="BI1964" i="118"/>
  <c r="BI1970" i="118"/>
  <c r="BI1972" i="118"/>
  <c r="BI1976" i="118"/>
  <c r="BI1978" i="118"/>
  <c r="BI1980" i="118"/>
  <c r="BI1982" i="118"/>
  <c r="BI1984" i="118"/>
  <c r="BI1988" i="118"/>
  <c r="BI1990" i="118"/>
  <c r="BI1992" i="118"/>
  <c r="BI1994" i="118"/>
  <c r="BI1996" i="118"/>
  <c r="BI2005" i="118"/>
  <c r="BI2007" i="118"/>
  <c r="BI2009" i="118"/>
  <c r="BI2013" i="118"/>
  <c r="BI2015" i="118"/>
  <c r="BI2017" i="118"/>
  <c r="BI2019" i="118"/>
  <c r="BI2021" i="118"/>
  <c r="BI2023" i="118"/>
  <c r="BI2025" i="118"/>
  <c r="BI2031" i="118"/>
  <c r="BI2033" i="118"/>
  <c r="BI2035" i="118"/>
  <c r="BI2038" i="118"/>
  <c r="BI2040" i="118"/>
  <c r="BI2042" i="118"/>
  <c r="BI2043" i="118"/>
  <c r="BI2051" i="118"/>
  <c r="BI2053" i="118"/>
  <c r="BI2055" i="118"/>
  <c r="BI2057" i="118"/>
  <c r="BI2059" i="118"/>
  <c r="BI2061" i="118"/>
  <c r="BI2063" i="118"/>
  <c r="BI2065" i="118"/>
  <c r="BI2067" i="118"/>
  <c r="BI2069" i="118"/>
  <c r="BI2071" i="118"/>
  <c r="BI2073" i="118"/>
  <c r="BI2075" i="118"/>
  <c r="BI2080" i="118"/>
  <c r="BI2084" i="118"/>
  <c r="BI2086" i="118"/>
  <c r="BI2089" i="118"/>
  <c r="BH2090" i="118"/>
  <c r="BI2091" i="118"/>
  <c r="BI2093" i="118"/>
  <c r="BI2095" i="118"/>
  <c r="BI2097" i="118"/>
  <c r="BI2099" i="118"/>
  <c r="BI2101" i="118"/>
  <c r="BI2103" i="118"/>
  <c r="BI2105" i="118"/>
  <c r="BI2107" i="118"/>
  <c r="BI2109" i="118"/>
  <c r="BI2111" i="118"/>
  <c r="BI2113" i="118"/>
  <c r="BI2115" i="118"/>
  <c r="BI2117" i="118"/>
  <c r="BI2119" i="118"/>
  <c r="BI2121" i="118"/>
  <c r="BI2123" i="118"/>
  <c r="BH2127" i="118"/>
  <c r="BI2130" i="118"/>
  <c r="BI2133" i="118"/>
  <c r="BI2136" i="118"/>
  <c r="BI2138" i="118"/>
  <c r="BI2140" i="118"/>
  <c r="BI2144" i="118"/>
  <c r="BI2146" i="118"/>
  <c r="BI2148" i="118"/>
  <c r="BI2150" i="118"/>
  <c r="BI2152" i="118"/>
  <c r="BI2154" i="118"/>
  <c r="BI2156" i="118"/>
  <c r="BI2159" i="118"/>
  <c r="BI2164" i="118"/>
  <c r="BI2170" i="118"/>
  <c r="BI2172" i="118"/>
  <c r="BI2174" i="118"/>
  <c r="BI2176" i="118"/>
  <c r="BI2178" i="118"/>
  <c r="BI2180" i="118"/>
  <c r="BI2185" i="118"/>
  <c r="BI2187" i="118"/>
  <c r="BI2191" i="118"/>
  <c r="BI2192" i="118"/>
  <c r="BI2195" i="118"/>
  <c r="BI2197" i="118"/>
  <c r="BI2200" i="118"/>
  <c r="BI2203" i="118"/>
  <c r="BI2212" i="118"/>
  <c r="BI2215" i="118"/>
  <c r="BI2238" i="118"/>
  <c r="BH1656" i="118"/>
  <c r="BH1826" i="118"/>
  <c r="BH1968" i="118"/>
  <c r="BH2161" i="118"/>
  <c r="BI2254" i="118"/>
  <c r="BI2256" i="118"/>
  <c r="BI2257" i="118"/>
  <c r="BI2261" i="118"/>
  <c r="BI2262" i="118"/>
  <c r="BI2263" i="118"/>
  <c r="BI2268" i="118"/>
  <c r="BI2269" i="118"/>
  <c r="BI2270" i="118"/>
  <c r="BI2271" i="118"/>
  <c r="BI2272" i="118"/>
  <c r="BI2295" i="118"/>
  <c r="BI2296" i="118"/>
  <c r="BI2297" i="118"/>
  <c r="BI2298" i="118"/>
  <c r="BI2300" i="118"/>
  <c r="BI2301" i="118"/>
  <c r="BI2302" i="118"/>
  <c r="BI2303" i="118"/>
  <c r="BI2304" i="118"/>
  <c r="BI2305" i="118"/>
  <c r="BI2306" i="118"/>
  <c r="BI2307" i="118"/>
  <c r="BI2328" i="118"/>
  <c r="BI2338" i="118"/>
  <c r="BI2348" i="118"/>
  <c r="BI2349" i="118"/>
  <c r="BI2350" i="118"/>
  <c r="BI2354" i="118"/>
  <c r="BI2355" i="118"/>
  <c r="BI2356" i="118"/>
  <c r="BI2363" i="118"/>
  <c r="BI2364" i="118"/>
  <c r="H2362" i="118"/>
  <c r="AB2362" i="118" s="1"/>
  <c r="BF2362" i="118" s="1"/>
  <c r="BI2366" i="118"/>
  <c r="BI2367" i="118"/>
  <c r="BI2368" i="118"/>
  <c r="BI2372" i="118"/>
  <c r="BI2401" i="118"/>
  <c r="BI2403" i="118"/>
  <c r="BI2404" i="118"/>
  <c r="BI2408" i="118"/>
  <c r="BI2411" i="118"/>
  <c r="BI2414" i="118"/>
  <c r="BI2416" i="118"/>
  <c r="BI2418" i="118"/>
  <c r="BI2422" i="118"/>
  <c r="BI2428" i="118"/>
  <c r="BI2437" i="118"/>
  <c r="BI2440" i="118"/>
  <c r="BI2444" i="118"/>
  <c r="BI2446" i="118"/>
  <c r="BI2451" i="118"/>
  <c r="BI2461" i="118"/>
  <c r="BI2463" i="118"/>
  <c r="BI2465" i="118"/>
  <c r="BI2467" i="118"/>
  <c r="BI2469" i="118"/>
  <c r="BI2471" i="118"/>
  <c r="BI2473" i="118"/>
  <c r="BI2475" i="118"/>
  <c r="BI2477" i="118"/>
  <c r="BI2479" i="118"/>
  <c r="BI2481" i="118"/>
  <c r="BI2483" i="118"/>
  <c r="BI2484" i="118"/>
  <c r="BI2485" i="118"/>
  <c r="BI2486" i="118"/>
  <c r="BI2487" i="118"/>
  <c r="BI2488" i="118"/>
  <c r="BI2489" i="118"/>
  <c r="BI2490" i="118"/>
  <c r="BI2491" i="118"/>
  <c r="BI2492" i="118"/>
  <c r="BI2493" i="118"/>
  <c r="BI2494" i="118"/>
  <c r="BI2495" i="118"/>
  <c r="BI2532" i="118"/>
  <c r="BI2558" i="118"/>
  <c r="BI2560" i="118"/>
  <c r="BI2570" i="118"/>
  <c r="BI2575" i="118"/>
  <c r="BI2577" i="118"/>
  <c r="BI2579" i="118"/>
  <c r="BI2581" i="118"/>
  <c r="BI2583" i="118"/>
  <c r="BI2585" i="118"/>
  <c r="BI2587" i="118"/>
  <c r="BI2589" i="118"/>
  <c r="BI2591" i="118"/>
  <c r="BI2593" i="118"/>
  <c r="BI2595" i="118"/>
  <c r="BI2597" i="118"/>
  <c r="BI2599" i="118"/>
  <c r="BI2607" i="118"/>
  <c r="BI2618" i="118"/>
  <c r="BI2621" i="118"/>
  <c r="BI2622" i="118"/>
  <c r="BH2632" i="118"/>
  <c r="BI2646" i="118"/>
  <c r="BI2648" i="118"/>
  <c r="BI2650" i="118"/>
  <c r="BI2653" i="118"/>
  <c r="BI2655" i="118"/>
  <c r="BI2657" i="118"/>
  <c r="BI2658" i="118"/>
  <c r="BI2664" i="118"/>
  <c r="BI2689" i="118"/>
  <c r="BI2691" i="118"/>
  <c r="BI2694" i="118"/>
  <c r="BI2700" i="118"/>
  <c r="BI2704" i="118"/>
  <c r="BI2706" i="118"/>
  <c r="BI2708" i="118"/>
  <c r="BI2710" i="118"/>
  <c r="BI2712" i="118"/>
  <c r="BI2714" i="118"/>
  <c r="BI2716" i="118"/>
  <c r="BI2718" i="118"/>
  <c r="BI2720" i="118"/>
  <c r="BI2722" i="118"/>
  <c r="BI2724" i="118"/>
  <c r="BI2726" i="118"/>
  <c r="BI2728" i="118"/>
  <c r="BI2730" i="118"/>
  <c r="BI2732" i="118"/>
  <c r="BI2734" i="118"/>
  <c r="BI2736" i="118"/>
  <c r="BI2738" i="118"/>
  <c r="BI2740" i="118"/>
  <c r="BI2742" i="118"/>
  <c r="BI2744" i="118"/>
  <c r="BI2746" i="118"/>
  <c r="BI2748" i="118"/>
  <c r="BI2750" i="118"/>
  <c r="BI2752" i="118"/>
  <c r="BI2754" i="118"/>
  <c r="BI2756" i="118"/>
  <c r="BI2758" i="118"/>
  <c r="BI2761" i="118"/>
  <c r="BI2763" i="118"/>
  <c r="BI2765" i="118"/>
  <c r="BI2769" i="118"/>
  <c r="BI2771" i="118"/>
  <c r="BI2775" i="118"/>
  <c r="BI2778" i="118"/>
  <c r="BI2780" i="118"/>
  <c r="BI2782" i="118"/>
  <c r="BI2784" i="118"/>
  <c r="BI2788" i="118"/>
  <c r="BI2801" i="118"/>
  <c r="BI2805" i="118"/>
  <c r="BI2807" i="118"/>
  <c r="BI2809" i="118"/>
  <c r="BI2811" i="118"/>
  <c r="BI2813" i="118"/>
  <c r="BI2815" i="118"/>
  <c r="BI2817" i="118"/>
  <c r="BI2819" i="118"/>
  <c r="BI2821" i="118"/>
  <c r="BI2823" i="118"/>
  <c r="BI2825" i="118"/>
  <c r="BI2827" i="118"/>
  <c r="BI2836" i="118"/>
  <c r="BI2274" i="118"/>
  <c r="BI2276" i="118"/>
  <c r="BI2278" i="118"/>
  <c r="BI2280" i="118"/>
  <c r="BI2282" i="118"/>
  <c r="BI2284" i="118"/>
  <c r="BI2286" i="118"/>
  <c r="BI2288" i="118"/>
  <c r="BI2293" i="118"/>
  <c r="BI2291" i="118"/>
  <c r="BI2309" i="118"/>
  <c r="BI2311" i="118"/>
  <c r="BI2313" i="118"/>
  <c r="BI2315" i="118"/>
  <c r="BI2317" i="118"/>
  <c r="BI2319" i="118"/>
  <c r="BI2324" i="118"/>
  <c r="BI2335" i="118"/>
  <c r="BI2341" i="118"/>
  <c r="BI2343" i="118"/>
  <c r="BI2345" i="118"/>
  <c r="BI2358" i="118"/>
  <c r="BI2360" i="118"/>
  <c r="BI2371" i="118"/>
  <c r="BI2373" i="118"/>
  <c r="BI2375" i="118"/>
  <c r="BI2377" i="118"/>
  <c r="BI2379" i="118"/>
  <c r="BI2381" i="118"/>
  <c r="BI2384" i="118"/>
  <c r="BI2386" i="118"/>
  <c r="BI2388" i="118"/>
  <c r="BI2395" i="118"/>
  <c r="BI2454" i="118"/>
  <c r="BI2457" i="118"/>
  <c r="BI2458" i="118"/>
  <c r="BI2499" i="118"/>
  <c r="BI2501" i="118"/>
  <c r="BI2506" i="118"/>
  <c r="BI2509" i="118"/>
  <c r="BI2511" i="118"/>
  <c r="BI2513" i="118"/>
  <c r="BI2517" i="118"/>
  <c r="BI2519" i="118"/>
  <c r="BI2521" i="118"/>
  <c r="BI2523" i="118"/>
  <c r="H2522" i="118"/>
  <c r="AB2522" i="118" s="1"/>
  <c r="BI2529" i="118"/>
  <c r="BI2536" i="118"/>
  <c r="BI2541" i="118"/>
  <c r="BI2543" i="118"/>
  <c r="BI2544" i="118"/>
  <c r="BI2551" i="118"/>
  <c r="BI2552" i="118"/>
  <c r="BI2573" i="118"/>
  <c r="BI2602" i="118"/>
  <c r="BI2603" i="118"/>
  <c r="BI2604" i="118"/>
  <c r="BI2610" i="118"/>
  <c r="BI2615" i="118"/>
  <c r="BI2626" i="118"/>
  <c r="BI2628" i="118"/>
  <c r="BI2629" i="118"/>
  <c r="BI2630" i="118"/>
  <c r="BI2631" i="118"/>
  <c r="BI2633" i="118"/>
  <c r="BI2635" i="118"/>
  <c r="BI2637" i="118"/>
  <c r="BI2643" i="118"/>
  <c r="BI2644" i="118"/>
  <c r="AE2632" i="118"/>
  <c r="BI2670" i="118"/>
  <c r="BI2676" i="118"/>
  <c r="BI2678" i="118"/>
  <c r="BI2682" i="118"/>
  <c r="BI2683" i="118"/>
  <c r="BI2685" i="118"/>
  <c r="BI2795" i="118"/>
  <c r="BI2796" i="118"/>
  <c r="BI2797" i="118"/>
  <c r="BI2798" i="118"/>
  <c r="BI2832" i="118"/>
  <c r="BI2834" i="118"/>
  <c r="BI2838" i="118"/>
  <c r="BI2839" i="118"/>
  <c r="BI2840" i="118"/>
  <c r="BI2841" i="118"/>
  <c r="BI2842" i="118"/>
  <c r="BI2843" i="118"/>
  <c r="BI2844" i="118"/>
  <c r="BH2845" i="118"/>
  <c r="BI2848" i="118"/>
  <c r="BI2850" i="118"/>
  <c r="BI2858" i="118"/>
  <c r="BI2860" i="118"/>
  <c r="BI2862" i="118"/>
  <c r="BI2866" i="118"/>
  <c r="BI2867" i="118"/>
  <c r="BI2876" i="118"/>
  <c r="BI2877" i="118"/>
  <c r="BI2884" i="118"/>
  <c r="BI2904" i="118"/>
  <c r="BI2907" i="118"/>
  <c r="BI2909" i="118"/>
  <c r="BI2911" i="118"/>
  <c r="BI2912" i="118"/>
  <c r="BI2969" i="118"/>
  <c r="BI2986" i="118"/>
  <c r="BI2988" i="118"/>
  <c r="BI2990" i="118"/>
  <c r="BI2992" i="118"/>
  <c r="BI3007" i="118"/>
  <c r="BI3015" i="118"/>
  <c r="BI3017" i="118"/>
  <c r="BI3024" i="118"/>
  <c r="BI3027" i="118"/>
  <c r="BI3030" i="118"/>
  <c r="BI3036" i="118"/>
  <c r="BI3038" i="118"/>
  <c r="BI3040" i="118"/>
  <c r="BI3042" i="118"/>
  <c r="BI3043" i="118"/>
  <c r="BI3045" i="118"/>
  <c r="BI3047" i="118"/>
  <c r="BI3048" i="118"/>
  <c r="BI3049" i="118"/>
  <c r="BI3050" i="118"/>
  <c r="BI3052" i="118"/>
  <c r="BI3053" i="118"/>
  <c r="BI3055" i="118"/>
  <c r="BI3056" i="118"/>
  <c r="BI3066" i="118"/>
  <c r="BI3067" i="118"/>
  <c r="BI3068" i="118"/>
  <c r="BI3069" i="118"/>
  <c r="BI3070" i="118"/>
  <c r="BI3071" i="118"/>
  <c r="BI3072" i="118"/>
  <c r="BI3103" i="118"/>
  <c r="AI3115" i="118"/>
  <c r="BC3115" i="118" s="1"/>
  <c r="D3136" i="118"/>
  <c r="BI3140" i="118"/>
  <c r="BI3143" i="118"/>
  <c r="AI3136" i="118"/>
  <c r="BC3136" i="118" s="1"/>
  <c r="BI3154" i="118"/>
  <c r="BI3158" i="118"/>
  <c r="BI3172" i="118"/>
  <c r="BI3174" i="118"/>
  <c r="BI3182" i="118"/>
  <c r="BI3184" i="118"/>
  <c r="BI3186" i="118"/>
  <c r="BI2846" i="118"/>
  <c r="BI2870" i="118"/>
  <c r="BI2873" i="118"/>
  <c r="BI2886" i="118"/>
  <c r="BI2888" i="118"/>
  <c r="BI2898" i="118"/>
  <c r="BI2917" i="118"/>
  <c r="BI2918" i="118"/>
  <c r="BI2919" i="118"/>
  <c r="BI2923" i="118"/>
  <c r="BI2924" i="118"/>
  <c r="BI2927" i="118"/>
  <c r="BI2929" i="118"/>
  <c r="BI2930" i="118"/>
  <c r="BI2931" i="118"/>
  <c r="BI2932" i="118"/>
  <c r="BI2933" i="118"/>
  <c r="BI2934" i="118"/>
  <c r="BI2935" i="118"/>
  <c r="BI2936" i="118"/>
  <c r="BI2937" i="118"/>
  <c r="BI2938" i="118"/>
  <c r="BI2939" i="118"/>
  <c r="BI2940" i="118"/>
  <c r="BI2941" i="118"/>
  <c r="BI2942" i="118"/>
  <c r="BI2943" i="118"/>
  <c r="BI2944" i="118"/>
  <c r="BI2945" i="118"/>
  <c r="BI2946" i="118"/>
  <c r="BI2947" i="118"/>
  <c r="BI2948" i="118"/>
  <c r="BI2949" i="118"/>
  <c r="BI2950" i="118"/>
  <c r="BI2952" i="118"/>
  <c r="BI2953" i="118"/>
  <c r="BI2954" i="118"/>
  <c r="BI2955" i="118"/>
  <c r="BI2956" i="118"/>
  <c r="BI2957" i="118"/>
  <c r="BI2959" i="118"/>
  <c r="BI2960" i="118"/>
  <c r="BI2961" i="118"/>
  <c r="BI2963" i="118"/>
  <c r="BI2966" i="118"/>
  <c r="BI2972" i="118"/>
  <c r="BI2974" i="118"/>
  <c r="BI2975" i="118"/>
  <c r="BI2976" i="118"/>
  <c r="BI2978" i="118"/>
  <c r="BI2980" i="118"/>
  <c r="BI2983" i="118"/>
  <c r="BI2984" i="118"/>
  <c r="BI2996" i="118"/>
  <c r="BI2997" i="118"/>
  <c r="BI2998" i="118"/>
  <c r="BI2999" i="118"/>
  <c r="BI3000" i="118"/>
  <c r="BI3001" i="118"/>
  <c r="BI3016" i="118"/>
  <c r="BI3018" i="118"/>
  <c r="BI3059" i="118"/>
  <c r="BI3061" i="118"/>
  <c r="BI3080" i="118"/>
  <c r="BI3082" i="118"/>
  <c r="BI3084" i="118"/>
  <c r="BI3086" i="118"/>
  <c r="BI3092" i="118"/>
  <c r="BI3094" i="118"/>
  <c r="BI3101" i="118"/>
  <c r="BI3110" i="118"/>
  <c r="BI3139" i="118"/>
  <c r="BI3148" i="118"/>
  <c r="BI3149" i="118"/>
  <c r="BI3151" i="118"/>
  <c r="BI3153" i="118"/>
  <c r="BI3155" i="118"/>
  <c r="BI3157" i="118"/>
  <c r="BI3159" i="118"/>
  <c r="BI3161" i="118"/>
  <c r="BI3163" i="118"/>
  <c r="BI3165" i="118"/>
  <c r="BI3167" i="118"/>
  <c r="BI3169" i="118"/>
  <c r="BI3171" i="118"/>
  <c r="BI3198" i="118"/>
  <c r="BH3207" i="118"/>
  <c r="BE3192" i="118"/>
  <c r="BI3211" i="118"/>
  <c r="BH3212" i="118"/>
  <c r="BI3256" i="118"/>
  <c r="BI3260" i="118"/>
  <c r="BI3285" i="118"/>
  <c r="BI3293" i="118"/>
  <c r="H3288" i="118"/>
  <c r="BI3296" i="118"/>
  <c r="BI3299" i="118"/>
  <c r="BI3300" i="118"/>
  <c r="BI3313" i="118"/>
  <c r="AI3288" i="118"/>
  <c r="AI3191" i="118" s="1"/>
  <c r="BI3347" i="118"/>
  <c r="D3346" i="118"/>
  <c r="BI3360" i="118"/>
  <c r="BI3367" i="118"/>
  <c r="BI3370" i="118"/>
  <c r="BI3425" i="118"/>
  <c r="BI3431" i="118"/>
  <c r="BI3455" i="118"/>
  <c r="BI3457" i="118"/>
  <c r="BH3458" i="118"/>
  <c r="BK3458" i="118" s="1"/>
  <c r="J3477" i="118"/>
  <c r="R3477" i="118"/>
  <c r="AE3477" i="118"/>
  <c r="BI3487" i="118"/>
  <c r="BI3489" i="118"/>
  <c r="BI3491" i="118"/>
  <c r="BI3493" i="118"/>
  <c r="BI3495" i="118"/>
  <c r="BI3669" i="118"/>
  <c r="BI3671" i="118"/>
  <c r="BI3673" i="118"/>
  <c r="BI3675" i="118"/>
  <c r="BI3678" i="118"/>
  <c r="BI3680" i="118"/>
  <c r="BI3682" i="118"/>
  <c r="BI3684" i="118"/>
  <c r="BI3783" i="118"/>
  <c r="AI3745" i="118"/>
  <c r="AI3477" i="118" s="1"/>
  <c r="BH3796" i="118"/>
  <c r="D3192" i="118"/>
  <c r="H3192" i="118"/>
  <c r="BI3225" i="118"/>
  <c r="BH3255" i="118"/>
  <c r="BI3290" i="118"/>
  <c r="D3288" i="118"/>
  <c r="BI3295" i="118"/>
  <c r="BI3301" i="118"/>
  <c r="BI3303" i="118"/>
  <c r="BI3305" i="118"/>
  <c r="BI3307" i="118"/>
  <c r="BI3311" i="118"/>
  <c r="BI3350" i="118"/>
  <c r="BI3361" i="118"/>
  <c r="BI3363" i="118"/>
  <c r="BI3371" i="118"/>
  <c r="BI3373" i="118"/>
  <c r="BI3375" i="118"/>
  <c r="BI3376" i="118"/>
  <c r="BI3387" i="118"/>
  <c r="BI3417" i="118"/>
  <c r="BI3419" i="118"/>
  <c r="BI3421" i="118"/>
  <c r="BI3459" i="118"/>
  <c r="BI3472" i="118"/>
  <c r="T3804" i="118"/>
  <c r="T3477" i="118"/>
  <c r="AG3804" i="118"/>
  <c r="AG3477" i="118"/>
  <c r="BI3633" i="118"/>
  <c r="BI3635" i="118"/>
  <c r="BI3637" i="118"/>
  <c r="BI3639" i="118"/>
  <c r="BI3641" i="118"/>
  <c r="BI3643" i="118"/>
  <c r="BI3656" i="118"/>
  <c r="BI3658" i="118"/>
  <c r="BI3660" i="118"/>
  <c r="BI3662" i="118"/>
  <c r="BI3664" i="118"/>
  <c r="BI3666" i="118"/>
  <c r="BI3727" i="118"/>
  <c r="BI3731" i="118"/>
  <c r="H3745" i="118"/>
  <c r="P3745" i="118"/>
  <c r="P3477" i="118" s="1"/>
  <c r="BH2390" i="118"/>
  <c r="BH2786" i="118"/>
  <c r="BH2829" i="118"/>
  <c r="BH3011" i="118"/>
  <c r="BI3073" i="118"/>
  <c r="BI3074" i="118"/>
  <c r="BI3075" i="118"/>
  <c r="BI3076" i="118"/>
  <c r="BI3077" i="118"/>
  <c r="BI3078" i="118"/>
  <c r="BI3090" i="118"/>
  <c r="BI3097" i="118"/>
  <c r="BI3114" i="118"/>
  <c r="BI3120" i="118"/>
  <c r="BI3121" i="118"/>
  <c r="BI3123" i="118"/>
  <c r="BI3125" i="118"/>
  <c r="BI3127" i="118"/>
  <c r="BI3128" i="118"/>
  <c r="BI3129" i="118"/>
  <c r="BI3130" i="118"/>
  <c r="BI3131" i="118"/>
  <c r="BI3132" i="118"/>
  <c r="BI3145" i="118"/>
  <c r="BI3146" i="118"/>
  <c r="BI3147" i="118"/>
  <c r="BI3173" i="118"/>
  <c r="BI3175" i="118"/>
  <c r="BI3176" i="118"/>
  <c r="BI3179" i="118"/>
  <c r="BI3188" i="118"/>
  <c r="BI3190" i="118"/>
  <c r="E3191" i="118"/>
  <c r="G3191" i="118"/>
  <c r="G3803" i="118" s="1"/>
  <c r="M3191" i="118"/>
  <c r="M3803" i="118" s="1"/>
  <c r="O3191" i="118"/>
  <c r="O3803" i="118" s="1"/>
  <c r="AD3191" i="118"/>
  <c r="AF3191" i="118"/>
  <c r="AH3191" i="118"/>
  <c r="AH3803" i="118" s="1"/>
  <c r="BI3193" i="118"/>
  <c r="BI3194" i="118"/>
  <c r="BI3208" i="118"/>
  <c r="BI3209" i="118"/>
  <c r="BI3215" i="118"/>
  <c r="BI3216" i="118"/>
  <c r="BI3217" i="118"/>
  <c r="BI3218" i="118"/>
  <c r="BI3219" i="118"/>
  <c r="BI3220" i="118"/>
  <c r="BI3231" i="118"/>
  <c r="BI3232" i="118"/>
  <c r="BI3233" i="118"/>
  <c r="BI3234" i="118"/>
  <c r="BI3236" i="118"/>
  <c r="BI3237" i="118"/>
  <c r="BI3238" i="118"/>
  <c r="BI3239" i="118"/>
  <c r="BI3240" i="118"/>
  <c r="BI3241" i="118"/>
  <c r="BI3242" i="118"/>
  <c r="BI3245" i="118"/>
  <c r="BI3246" i="118"/>
  <c r="BI3248" i="118"/>
  <c r="BI3249" i="118"/>
  <c r="BI3250" i="118"/>
  <c r="BI3251" i="118"/>
  <c r="BI3252" i="118"/>
  <c r="BI3253" i="118"/>
  <c r="BI3257" i="118"/>
  <c r="BI3258" i="118"/>
  <c r="BI3259" i="118"/>
  <c r="BI3261" i="118"/>
  <c r="BI3262" i="118"/>
  <c r="BI3263" i="118"/>
  <c r="BI3264" i="118"/>
  <c r="BI3265" i="118"/>
  <c r="BI3266" i="118"/>
  <c r="D3255" i="118"/>
  <c r="BI3268" i="118"/>
  <c r="BI3269" i="118"/>
  <c r="BI3270" i="118"/>
  <c r="BI3271" i="118"/>
  <c r="BI3272" i="118"/>
  <c r="BI3273" i="118"/>
  <c r="BI3275" i="118"/>
  <c r="BI3277" i="118"/>
  <c r="BI3278" i="118"/>
  <c r="H3255" i="118"/>
  <c r="BI3281" i="118"/>
  <c r="BI3282" i="118"/>
  <c r="BI3283" i="118"/>
  <c r="BI3315" i="118"/>
  <c r="BI3316" i="118"/>
  <c r="BI3317" i="118"/>
  <c r="BI3319" i="118"/>
  <c r="BI3321" i="118"/>
  <c r="BI3322" i="118"/>
  <c r="BI3323" i="118"/>
  <c r="BI3327" i="118"/>
  <c r="BI3328" i="118"/>
  <c r="BI3329" i="118"/>
  <c r="BI3330" i="118"/>
  <c r="BI3331" i="118"/>
  <c r="BH3333" i="118"/>
  <c r="BI3334" i="118"/>
  <c r="BI3335" i="118"/>
  <c r="BI3336" i="118"/>
  <c r="BI3337" i="118"/>
  <c r="BI3338" i="118"/>
  <c r="BI3339" i="118"/>
  <c r="BI3340" i="118"/>
  <c r="BI3341" i="118"/>
  <c r="BI3342" i="118"/>
  <c r="BI3343" i="118"/>
  <c r="BI3344" i="118"/>
  <c r="BI3345" i="118"/>
  <c r="BI3353" i="118"/>
  <c r="BI3354" i="118"/>
  <c r="BI3355" i="118"/>
  <c r="BI3356" i="118"/>
  <c r="BI3357" i="118"/>
  <c r="BI3358" i="118"/>
  <c r="BI3364" i="118"/>
  <c r="BI3378" i="118"/>
  <c r="BI3379" i="118"/>
  <c r="BI3380" i="118"/>
  <c r="BI3381" i="118"/>
  <c r="BI3382" i="118"/>
  <c r="BI3383" i="118"/>
  <c r="BI3384" i="118"/>
  <c r="BI3385" i="118"/>
  <c r="BI3386" i="118"/>
  <c r="BI3390" i="118"/>
  <c r="BI3391" i="118"/>
  <c r="BI3392" i="118"/>
  <c r="BI3393" i="118"/>
  <c r="BI3394" i="118"/>
  <c r="BH3395" i="118"/>
  <c r="BI3396" i="118"/>
  <c r="BI3397" i="118"/>
  <c r="BI3398" i="118"/>
  <c r="BI3399" i="118"/>
  <c r="BI3400" i="118"/>
  <c r="BI3402" i="118"/>
  <c r="BI3403" i="118"/>
  <c r="BI3404" i="118"/>
  <c r="BI3406" i="118"/>
  <c r="BI3407" i="118"/>
  <c r="BI3408" i="118"/>
  <c r="BI3410" i="118"/>
  <c r="BI3411" i="118"/>
  <c r="BI3412" i="118"/>
  <c r="BI3413" i="118"/>
  <c r="BI3432" i="118"/>
  <c r="BI3435" i="118"/>
  <c r="BI3436" i="118"/>
  <c r="BI3437" i="118"/>
  <c r="BI3438" i="118"/>
  <c r="BI3439" i="118"/>
  <c r="BI3440" i="118"/>
  <c r="BI3441" i="118"/>
  <c r="BI3442" i="118"/>
  <c r="BI3443" i="118"/>
  <c r="BI3444" i="118"/>
  <c r="BI3445" i="118"/>
  <c r="BI3446" i="118"/>
  <c r="BI3447" i="118"/>
  <c r="BI3448" i="118"/>
  <c r="BI3449" i="118"/>
  <c r="BI3450" i="118"/>
  <c r="BI3451" i="118"/>
  <c r="BI3452" i="118"/>
  <c r="BI3453" i="118"/>
  <c r="BI3454" i="118"/>
  <c r="BI3462" i="118"/>
  <c r="BI3463" i="118"/>
  <c r="BI3464" i="118"/>
  <c r="BI3467" i="118"/>
  <c r="BI3468" i="118"/>
  <c r="BI3469" i="118"/>
  <c r="BI3475" i="118"/>
  <c r="BI3476" i="118"/>
  <c r="BI3479" i="118"/>
  <c r="BI3480" i="118"/>
  <c r="BI3481" i="118"/>
  <c r="BI3482" i="118"/>
  <c r="BI3483" i="118"/>
  <c r="BI3484" i="118"/>
  <c r="BI3485" i="118"/>
  <c r="BI3486" i="118"/>
  <c r="E3477" i="118"/>
  <c r="G3477" i="118"/>
  <c r="I3477" i="118"/>
  <c r="K3477" i="118"/>
  <c r="M3477" i="118"/>
  <c r="O3477" i="118"/>
  <c r="Q3477" i="118"/>
  <c r="S3477" i="118"/>
  <c r="U3477" i="118"/>
  <c r="AA3477" i="118"/>
  <c r="BE3477" i="118"/>
  <c r="BI3498" i="118"/>
  <c r="BI3500" i="118"/>
  <c r="BI3503" i="118"/>
  <c r="BI3505" i="118"/>
  <c r="BI3507" i="118"/>
  <c r="BI3509" i="118"/>
  <c r="BI3511" i="118"/>
  <c r="BI3526" i="118"/>
  <c r="BI3528" i="118"/>
  <c r="BI3530" i="118"/>
  <c r="BI3532" i="118"/>
  <c r="BI3534" i="118"/>
  <c r="BI3536" i="118"/>
  <c r="BI3538" i="118"/>
  <c r="AD3477" i="118"/>
  <c r="AF3477" i="118"/>
  <c r="AH3477" i="118"/>
  <c r="AJ3477" i="118"/>
  <c r="BH3539" i="118"/>
  <c r="BI3552" i="118"/>
  <c r="BI3554" i="118"/>
  <c r="BI3556" i="118"/>
  <c r="BI3558" i="118"/>
  <c r="BI3560" i="118"/>
  <c r="BI3562" i="118"/>
  <c r="BI3564" i="118"/>
  <c r="BI3566" i="118"/>
  <c r="BI3589" i="118"/>
  <c r="BI3591" i="118"/>
  <c r="BI3593" i="118"/>
  <c r="BI3595" i="118"/>
  <c r="BI3597" i="118"/>
  <c r="BI3598" i="118"/>
  <c r="BI3600" i="118"/>
  <c r="BI3602" i="118"/>
  <c r="BI3607" i="118"/>
  <c r="BI3609" i="118"/>
  <c r="BI3611" i="118"/>
  <c r="BI3613" i="118"/>
  <c r="BI3615" i="118"/>
  <c r="BI3617" i="118"/>
  <c r="BH3618" i="118"/>
  <c r="BI3627" i="118"/>
  <c r="BH3628" i="118"/>
  <c r="BH3631" i="118"/>
  <c r="BH3654" i="118"/>
  <c r="BH3667" i="118"/>
  <c r="BI3699" i="118"/>
  <c r="BI3701" i="118"/>
  <c r="BI3704" i="118"/>
  <c r="BI3708" i="118"/>
  <c r="BI3710" i="118"/>
  <c r="BH3712" i="118"/>
  <c r="BI3754" i="118"/>
  <c r="BI3759" i="118"/>
  <c r="BH3136" i="118"/>
  <c r="BH3230" i="118"/>
  <c r="BH3346" i="118"/>
  <c r="BH3414" i="118"/>
  <c r="BH3430" i="118"/>
  <c r="BH3461" i="118"/>
  <c r="BH3474" i="118"/>
  <c r="E3804" i="118"/>
  <c r="G3804" i="118"/>
  <c r="I3804" i="118"/>
  <c r="K3804" i="118"/>
  <c r="M3804" i="118"/>
  <c r="Q3804" i="118"/>
  <c r="S3804" i="118"/>
  <c r="U3804" i="118"/>
  <c r="AA3804" i="118"/>
  <c r="AD3804" i="118"/>
  <c r="AF3804" i="118"/>
  <c r="AH3804" i="118"/>
  <c r="AJ3804" i="118"/>
  <c r="BE3804" i="118"/>
  <c r="BH3478" i="118"/>
  <c r="BI3513" i="118"/>
  <c r="BI3514" i="118"/>
  <c r="BI3515" i="118"/>
  <c r="BI3516" i="118"/>
  <c r="BI3517" i="118"/>
  <c r="BI3518" i="118"/>
  <c r="BI3519" i="118"/>
  <c r="BI3520" i="118"/>
  <c r="BI3521" i="118"/>
  <c r="BI3522" i="118"/>
  <c r="BI3523" i="118"/>
  <c r="BI3524" i="118"/>
  <c r="BI3540" i="118"/>
  <c r="BI3541" i="118"/>
  <c r="BI3542" i="118"/>
  <c r="BI3543" i="118"/>
  <c r="BI3544" i="118"/>
  <c r="BI3545" i="118"/>
  <c r="BI3546" i="118"/>
  <c r="BI3547" i="118"/>
  <c r="BI3548" i="118"/>
  <c r="BI3549" i="118"/>
  <c r="BI3550" i="118"/>
  <c r="BI3570" i="118"/>
  <c r="BI3571" i="118"/>
  <c r="BI3572" i="118"/>
  <c r="BI3573" i="118"/>
  <c r="BI3574" i="118"/>
  <c r="BI3575" i="118"/>
  <c r="BI3576" i="118"/>
  <c r="BI3577" i="118"/>
  <c r="BI3578" i="118"/>
  <c r="BI3579" i="118"/>
  <c r="BI3580" i="118"/>
  <c r="BI3581" i="118"/>
  <c r="BI3582" i="118"/>
  <c r="BI3583" i="118"/>
  <c r="BI3584" i="118"/>
  <c r="BI3585" i="118"/>
  <c r="BI3586" i="118"/>
  <c r="BI3587" i="118"/>
  <c r="BI3604" i="118"/>
  <c r="BI3605" i="118"/>
  <c r="BI3619" i="118"/>
  <c r="BI3620" i="118"/>
  <c r="BI3621" i="118"/>
  <c r="BI3622" i="118"/>
  <c r="BI3623" i="118"/>
  <c r="BI3624" i="118"/>
  <c r="BI3625" i="118"/>
  <c r="BI3629" i="118"/>
  <c r="BI3630" i="118"/>
  <c r="BI3644" i="118"/>
  <c r="BI3645" i="118"/>
  <c r="BI3646" i="118"/>
  <c r="BI3647" i="118"/>
  <c r="BI3648" i="118"/>
  <c r="BI3649" i="118"/>
  <c r="BI3650" i="118"/>
  <c r="BI3651" i="118"/>
  <c r="BI3653" i="118"/>
  <c r="BI3686" i="118"/>
  <c r="BI3687" i="118"/>
  <c r="BI3688" i="118"/>
  <c r="BI3689" i="118"/>
  <c r="BI3691" i="118"/>
  <c r="BI3692" i="118"/>
  <c r="BI3693" i="118"/>
  <c r="BI3694" i="118"/>
  <c r="BI3695" i="118"/>
  <c r="BI3696" i="118"/>
  <c r="BI3697" i="118"/>
  <c r="BH3724" i="118"/>
  <c r="BI3755" i="118"/>
  <c r="BH3800" i="118"/>
  <c r="BD3820" i="118"/>
  <c r="BH3512" i="118"/>
  <c r="BH3525" i="118"/>
  <c r="BH3551" i="118"/>
  <c r="BH3569" i="118"/>
  <c r="BH3588" i="118"/>
  <c r="BH3603" i="118"/>
  <c r="BH3606" i="118"/>
  <c r="BH3626" i="118"/>
  <c r="BH3652" i="118"/>
  <c r="BH3685" i="118"/>
  <c r="BI3698" i="118"/>
  <c r="BI3713" i="118"/>
  <c r="BI3714" i="118"/>
  <c r="BI3715" i="118"/>
  <c r="BI3716" i="118"/>
  <c r="BI3717" i="118"/>
  <c r="BI3718" i="118"/>
  <c r="BI3719" i="118"/>
  <c r="BI3720" i="118"/>
  <c r="BI3721" i="118"/>
  <c r="BI3722" i="118"/>
  <c r="BI3723" i="118"/>
  <c r="BI3725" i="118"/>
  <c r="BI3734" i="118"/>
  <c r="BI3735" i="118"/>
  <c r="BI3736" i="118"/>
  <c r="BI3737" i="118"/>
  <c r="BI3738" i="118"/>
  <c r="BI3739" i="118"/>
  <c r="BI3741" i="118"/>
  <c r="BI3742" i="118"/>
  <c r="BI3743" i="118"/>
  <c r="BI3744" i="118"/>
  <c r="BI3747" i="118"/>
  <c r="BI3756" i="118"/>
  <c r="BI3757" i="118"/>
  <c r="BI3758" i="118"/>
  <c r="BI3760" i="118"/>
  <c r="BI3765" i="118"/>
  <c r="BI3766" i="118"/>
  <c r="BI3785" i="118"/>
  <c r="BI3786" i="118"/>
  <c r="BI3787" i="118"/>
  <c r="BI3788" i="118"/>
  <c r="BI3791" i="118"/>
  <c r="BI3792" i="118"/>
  <c r="BI3795" i="118"/>
  <c r="BI3797" i="118"/>
  <c r="BI3801" i="118"/>
  <c r="BG3810" i="118"/>
  <c r="BI3810" i="118" s="1"/>
  <c r="BG3812" i="118"/>
  <c r="BI3812" i="118" s="1"/>
  <c r="BG3814" i="118"/>
  <c r="BI3814" i="118" s="1"/>
  <c r="BG3816" i="118"/>
  <c r="BI3816" i="118" s="1"/>
  <c r="BG3818" i="118"/>
  <c r="BI3818" i="118" s="1"/>
  <c r="AC3820" i="118"/>
  <c r="BH3820" i="118"/>
  <c r="BH3726" i="118"/>
  <c r="BH3733" i="118"/>
  <c r="BH3745" i="118"/>
  <c r="BH3798" i="118"/>
  <c r="BG3808" i="118"/>
  <c r="BI3808" i="118" s="1"/>
  <c r="BG114" i="118" l="1"/>
  <c r="BI114" i="118" s="1"/>
  <c r="BG627" i="118"/>
  <c r="BG3011" i="118"/>
  <c r="BG2390" i="118"/>
  <c r="BJ967" i="118"/>
  <c r="BJ966" i="118"/>
  <c r="BL966" i="118" s="1"/>
  <c r="BG1656" i="118"/>
  <c r="BC2632" i="118"/>
  <c r="BF2632" i="118" s="1"/>
  <c r="BF2390" i="118"/>
  <c r="BG1295" i="118"/>
  <c r="BG2522" i="118"/>
  <c r="BG997" i="118"/>
  <c r="BI997" i="118" s="1"/>
  <c r="BG771" i="118"/>
  <c r="BG1011" i="118"/>
  <c r="BG3115" i="118"/>
  <c r="BF2829" i="118"/>
  <c r="BG2786" i="118"/>
  <c r="BG1389" i="118"/>
  <c r="BG91" i="118"/>
  <c r="AB3192" i="118"/>
  <c r="BF3192" i="118" s="1"/>
  <c r="AB3346" i="118"/>
  <c r="BC1295" i="118"/>
  <c r="BF1295" i="118" s="1"/>
  <c r="AB1565" i="118"/>
  <c r="BF1565" i="118" s="1"/>
  <c r="BC1011" i="118"/>
  <c r="AB3230" i="118"/>
  <c r="BF3230" i="118" s="1"/>
  <c r="BF1968" i="118"/>
  <c r="AB1826" i="118"/>
  <c r="BG2161" i="118"/>
  <c r="BG561" i="118"/>
  <c r="BI561" i="118" s="1"/>
  <c r="BG3745" i="118"/>
  <c r="BC1826" i="118"/>
  <c r="BF1826" i="118" s="1"/>
  <c r="AB3255" i="118"/>
  <c r="BF3255" i="118" s="1"/>
  <c r="BD933" i="118"/>
  <c r="AC933" i="118"/>
  <c r="BC3745" i="118"/>
  <c r="BC3804" i="118" s="1"/>
  <c r="AB3288" i="118"/>
  <c r="AB3136" i="118"/>
  <c r="BF3136" i="118" s="1"/>
  <c r="D3477" i="118"/>
  <c r="AB3745" i="118"/>
  <c r="BF3745" i="118" s="1"/>
  <c r="AB2161" i="118"/>
  <c r="AB3115" i="118"/>
  <c r="BF3115" i="118" s="1"/>
  <c r="AB1011" i="118"/>
  <c r="BG1738" i="118"/>
  <c r="BG3136" i="118"/>
  <c r="BG947" i="118"/>
  <c r="BI947" i="118" s="1"/>
  <c r="BG446" i="118"/>
  <c r="BC1183" i="118"/>
  <c r="R3823" i="118"/>
  <c r="R3824" i="118" s="1"/>
  <c r="R3825" i="118" s="1"/>
  <c r="J3823" i="118"/>
  <c r="J3824" i="118" s="1"/>
  <c r="J3825" i="118" s="1"/>
  <c r="BC1488" i="118"/>
  <c r="BF1488" i="118" s="1"/>
  <c r="BC1389" i="118"/>
  <c r="BF1389" i="118" s="1"/>
  <c r="BG1183" i="118"/>
  <c r="BF3478" i="118"/>
  <c r="M3823" i="118"/>
  <c r="M3824" i="118" s="1"/>
  <c r="M3825" i="118" s="1"/>
  <c r="E3803" i="118"/>
  <c r="E3805" i="118" s="1"/>
  <c r="AC3191" i="118"/>
  <c r="U3823" i="118"/>
  <c r="U3824" i="118" s="1"/>
  <c r="U3825" i="118" s="1"/>
  <c r="Q3823" i="118"/>
  <c r="Q3824" i="118" s="1"/>
  <c r="Q3825" i="118" s="1"/>
  <c r="K3823" i="118"/>
  <c r="K3824" i="118" s="1"/>
  <c r="K3825" i="118" s="1"/>
  <c r="Z3823" i="118"/>
  <c r="Z3824" i="118" s="1"/>
  <c r="Z3825" i="118" s="1"/>
  <c r="BC2522" i="118"/>
  <c r="BF2522" i="118" s="1"/>
  <c r="AB3011" i="118"/>
  <c r="BF3011" i="118" s="1"/>
  <c r="AE3191" i="118"/>
  <c r="BC3191" i="118" s="1"/>
  <c r="BC3346" i="118"/>
  <c r="BD3477" i="118"/>
  <c r="AC3477" i="118"/>
  <c r="AF3803" i="118"/>
  <c r="AF3823" i="118" s="1"/>
  <c r="BD3191" i="118"/>
  <c r="O3823" i="118"/>
  <c r="O3824" i="118" s="1"/>
  <c r="O3825" i="118" s="1"/>
  <c r="BC3477" i="118"/>
  <c r="T3823" i="118"/>
  <c r="T3824" i="118" s="1"/>
  <c r="T3825" i="118" s="1"/>
  <c r="AA3823" i="118"/>
  <c r="AA3824" i="118" s="1"/>
  <c r="AA3825" i="118" s="1"/>
  <c r="S3823" i="118"/>
  <c r="S3824" i="118" s="1"/>
  <c r="S3825" i="118" s="1"/>
  <c r="N3823" i="118"/>
  <c r="N3824" i="118" s="1"/>
  <c r="N3825" i="118" s="1"/>
  <c r="BC2845" i="118"/>
  <c r="BF2845" i="118" s="1"/>
  <c r="BC3461" i="118"/>
  <c r="BF3461" i="118" s="1"/>
  <c r="AB1183" i="118"/>
  <c r="BC1738" i="118"/>
  <c r="BC2161" i="118"/>
  <c r="BC1656" i="118"/>
  <c r="AB1738" i="118"/>
  <c r="BC3288" i="118"/>
  <c r="BF2786" i="118"/>
  <c r="G3822" i="118"/>
  <c r="BI2857" i="118"/>
  <c r="AH3822" i="118"/>
  <c r="BG10" i="118"/>
  <c r="BI92" i="118"/>
  <c r="BI3212" i="118"/>
  <c r="BI3210" i="118"/>
  <c r="BI3213" i="118"/>
  <c r="BI3207" i="118"/>
  <c r="BI1000" i="118"/>
  <c r="BJ1000" i="118" s="1"/>
  <c r="BI868" i="118"/>
  <c r="E3822" i="118"/>
  <c r="BI1104" i="118"/>
  <c r="AJ3822" i="118"/>
  <c r="AF3822" i="118"/>
  <c r="I3822" i="118"/>
  <c r="H3802" i="118"/>
  <c r="H3822" i="118" s="1"/>
  <c r="D3802" i="118"/>
  <c r="D3822" i="118" s="1"/>
  <c r="BI2037" i="118"/>
  <c r="BI1998" i="118"/>
  <c r="BI1986" i="118"/>
  <c r="BI2081" i="118"/>
  <c r="BI3761" i="118"/>
  <c r="BI3751" i="118"/>
  <c r="AG3822" i="118"/>
  <c r="BI3779" i="118"/>
  <c r="BI3749" i="118"/>
  <c r="BI3160" i="118"/>
  <c r="BI2868" i="118"/>
  <c r="BI2816" i="118"/>
  <c r="BI3119" i="118"/>
  <c r="BI1020" i="118"/>
  <c r="BI2420" i="118"/>
  <c r="BI3782" i="118"/>
  <c r="BI3776" i="118"/>
  <c r="BI3377" i="118"/>
  <c r="BI3309" i="118"/>
  <c r="BI3021" i="118"/>
  <c r="BI3019" i="118"/>
  <c r="BI2504" i="118"/>
  <c r="BI2496" i="118"/>
  <c r="BI1979" i="118"/>
  <c r="BI2951" i="118"/>
  <c r="BI1920" i="118"/>
  <c r="BI2351" i="118"/>
  <c r="BI1568" i="118"/>
  <c r="BI1856" i="118"/>
  <c r="BI3771" i="118"/>
  <c r="BI3763" i="118"/>
  <c r="BI3465" i="118"/>
  <c r="BI3685" i="118"/>
  <c r="BI2333" i="118"/>
  <c r="BI3794" i="118"/>
  <c r="BI3764" i="118"/>
  <c r="BI3752" i="118"/>
  <c r="BI3013" i="118"/>
  <c r="BI1959" i="118"/>
  <c r="BI1028" i="118"/>
  <c r="BI3784" i="118"/>
  <c r="BI3187" i="118"/>
  <c r="BI2994" i="118"/>
  <c r="BI1742" i="118"/>
  <c r="BI1493" i="118"/>
  <c r="BI1017" i="118"/>
  <c r="BI2258" i="118"/>
  <c r="BI1195" i="118"/>
  <c r="BI3781" i="118"/>
  <c r="BI3777" i="118"/>
  <c r="BI3733" i="118"/>
  <c r="BI3057" i="118"/>
  <c r="BI3020" i="118"/>
  <c r="BI2561" i="118"/>
  <c r="BI3177" i="118"/>
  <c r="BI2922" i="118"/>
  <c r="BI3770" i="118"/>
  <c r="AI3802" i="118"/>
  <c r="AD3803" i="118"/>
  <c r="AD3822" i="118"/>
  <c r="BI94" i="118"/>
  <c r="BI122" i="118"/>
  <c r="AC3802" i="118"/>
  <c r="BI474" i="118"/>
  <c r="AE3802" i="118"/>
  <c r="AE3822" i="118" s="1"/>
  <c r="BH771" i="118"/>
  <c r="BH3802" i="118" s="1"/>
  <c r="BE3802" i="118"/>
  <c r="BE3822" i="118" s="1"/>
  <c r="BI1045" i="118"/>
  <c r="BI1032" i="118"/>
  <c r="BI3769" i="118"/>
  <c r="BI3230" i="118"/>
  <c r="BI2627" i="118"/>
  <c r="BI2564" i="118"/>
  <c r="BI2248" i="118"/>
  <c r="BI1209" i="118"/>
  <c r="BI3099" i="118"/>
  <c r="BI3773" i="118"/>
  <c r="L3804" i="118"/>
  <c r="BI3297" i="118"/>
  <c r="BI3223" i="118"/>
  <c r="BI3200" i="118"/>
  <c r="BI3144" i="118"/>
  <c r="BI3104" i="118"/>
  <c r="BI2863" i="118"/>
  <c r="BI2542" i="118"/>
  <c r="BI2205" i="118"/>
  <c r="BI1889" i="118"/>
  <c r="BI2046" i="118"/>
  <c r="BI1653" i="118"/>
  <c r="BI1321" i="118"/>
  <c r="BI1317" i="118"/>
  <c r="BI2265" i="118"/>
  <c r="BI1843" i="118"/>
  <c r="BI3740" i="118"/>
  <c r="BI3113" i="118"/>
  <c r="BI3089" i="118"/>
  <c r="BI3227" i="118"/>
  <c r="BI2925" i="118"/>
  <c r="BI3203" i="118"/>
  <c r="BI2958" i="118"/>
  <c r="BI2539" i="118"/>
  <c r="BI2550" i="118"/>
  <c r="BI2459" i="118"/>
  <c r="BI2443" i="118"/>
  <c r="BI2430" i="118"/>
  <c r="BI2405" i="118"/>
  <c r="BI2082" i="118"/>
  <c r="BI2078" i="118"/>
  <c r="BI2047" i="118"/>
  <c r="BI2045" i="118"/>
  <c r="BI1815" i="118"/>
  <c r="BI1806" i="118"/>
  <c r="BI1765" i="118"/>
  <c r="BI2168" i="118"/>
  <c r="BI1456" i="118"/>
  <c r="BI1418" i="118"/>
  <c r="BI1329" i="118"/>
  <c r="BI1817" i="118"/>
  <c r="BI1798" i="118"/>
  <c r="BI1759" i="118"/>
  <c r="BI1639" i="118"/>
  <c r="BI1847" i="118"/>
  <c r="BI1464" i="118"/>
  <c r="BI1040" i="118"/>
  <c r="BI1569" i="118"/>
  <c r="BI1490" i="118"/>
  <c r="BI1394" i="118"/>
  <c r="BI1019" i="118"/>
  <c r="L3191" i="118"/>
  <c r="L3803" i="118" s="1"/>
  <c r="BI1954" i="118"/>
  <c r="BI2881" i="118"/>
  <c r="BI2008" i="118"/>
  <c r="BI1583" i="118"/>
  <c r="BI1377" i="118"/>
  <c r="BI2605" i="118"/>
  <c r="BI2502" i="118"/>
  <c r="BI1769" i="118"/>
  <c r="BI1665" i="118"/>
  <c r="BI1709" i="118"/>
  <c r="BI1707" i="118"/>
  <c r="BI1661" i="118"/>
  <c r="BI1547" i="118"/>
  <c r="BI3035" i="118"/>
  <c r="BI2995" i="118"/>
  <c r="BI2835" i="118"/>
  <c r="BI2533" i="118"/>
  <c r="BI2135" i="118"/>
  <c r="BI3037" i="118"/>
  <c r="BI2329" i="118"/>
  <c r="BI2299" i="118"/>
  <c r="BI2259" i="118"/>
  <c r="BI2255" i="118"/>
  <c r="BI2194" i="118"/>
  <c r="BI2179" i="118"/>
  <c r="BI1823" i="118"/>
  <c r="BI1327" i="118"/>
  <c r="BI1301" i="118"/>
  <c r="BI1217" i="118"/>
  <c r="BI1205" i="118"/>
  <c r="BI3780" i="118"/>
  <c r="BI3109" i="118"/>
  <c r="BI2617" i="118"/>
  <c r="BI2611" i="118"/>
  <c r="BI2554" i="118"/>
  <c r="BI2537" i="118"/>
  <c r="BI1974" i="118"/>
  <c r="BI1860" i="118"/>
  <c r="BI527" i="118"/>
  <c r="BI1726" i="118"/>
  <c r="BI1711" i="118"/>
  <c r="BI1597" i="118"/>
  <c r="BI1432" i="118"/>
  <c r="BI1381" i="118"/>
  <c r="BI1370" i="118"/>
  <c r="BI1344" i="118"/>
  <c r="BI1245" i="118"/>
  <c r="BI1228" i="118"/>
  <c r="BI2222" i="118"/>
  <c r="BI2412" i="118"/>
  <c r="BI2339" i="118"/>
  <c r="BI1801" i="118"/>
  <c r="H3477" i="118"/>
  <c r="BI3471" i="118"/>
  <c r="BI3254" i="118"/>
  <c r="BI3014" i="118"/>
  <c r="BI3100" i="118"/>
  <c r="BI3093" i="118"/>
  <c r="BI3065" i="118"/>
  <c r="BI3054" i="118"/>
  <c r="BI3044" i="118"/>
  <c r="BI2968" i="118"/>
  <c r="BI2903" i="118"/>
  <c r="BI2576" i="118"/>
  <c r="BI2218" i="118"/>
  <c r="BI1681" i="118"/>
  <c r="BI1678" i="118"/>
  <c r="BI1671" i="118"/>
  <c r="BI1635" i="118"/>
  <c r="BI1832" i="118"/>
  <c r="BI1719" i="118"/>
  <c r="BI2183" i="118"/>
  <c r="BI1751" i="118"/>
  <c r="BI1663" i="118"/>
  <c r="BI1458" i="118"/>
  <c r="BI1416" i="118"/>
  <c r="BI1396" i="118"/>
  <c r="BI1270" i="118"/>
  <c r="BI1235" i="118"/>
  <c r="BI1399" i="118"/>
  <c r="BI1298" i="118"/>
  <c r="BI96" i="118"/>
  <c r="BI2572" i="118"/>
  <c r="BI1772" i="118"/>
  <c r="BI95" i="118"/>
  <c r="BI2790" i="118"/>
  <c r="BI2566" i="118"/>
  <c r="BI1640" i="118"/>
  <c r="BI1593" i="118"/>
  <c r="BI1574" i="118"/>
  <c r="BI1804" i="118"/>
  <c r="BI1812" i="118"/>
  <c r="BI1733" i="118"/>
  <c r="BI1643" i="118"/>
  <c r="BI1641" i="118"/>
  <c r="BI1632" i="118"/>
  <c r="BI1773" i="118"/>
  <c r="BI1704" i="118"/>
  <c r="BI1674" i="118"/>
  <c r="BI1805" i="118"/>
  <c r="BI1642" i="118"/>
  <c r="BI1499" i="118"/>
  <c r="BI1415" i="118"/>
  <c r="BI1406" i="118"/>
  <c r="BI1100" i="118"/>
  <c r="BI1269" i="118"/>
  <c r="BI1231" i="118"/>
  <c r="BI1169" i="118"/>
  <c r="BI1156" i="118"/>
  <c r="BI1483" i="118"/>
  <c r="BI1341" i="118"/>
  <c r="BI2892" i="118"/>
  <c r="BI2267" i="118"/>
  <c r="BI2799" i="118"/>
  <c r="BI2613" i="118"/>
  <c r="BI2569" i="118"/>
  <c r="BI2264" i="118"/>
  <c r="BI2236" i="118"/>
  <c r="BI2207" i="118"/>
  <c r="BI2206" i="118"/>
  <c r="BI2011" i="118"/>
  <c r="BI1999" i="118"/>
  <c r="BI1756" i="118"/>
  <c r="BI1688" i="118"/>
  <c r="BI2193" i="118"/>
  <c r="BI2052" i="118"/>
  <c r="BI2016" i="118"/>
  <c r="BI2006" i="118"/>
  <c r="BI1749" i="118"/>
  <c r="BI1634" i="118"/>
  <c r="BI1520" i="118"/>
  <c r="BI1484" i="118"/>
  <c r="BI1387" i="118"/>
  <c r="BI1262" i="118"/>
  <c r="BI1105" i="118"/>
  <c r="BI1103" i="118"/>
  <c r="BI1560" i="118"/>
  <c r="BI1018" i="118"/>
  <c r="BI1494" i="118"/>
  <c r="BI1465" i="118"/>
  <c r="BI1287" i="118"/>
  <c r="BI1043" i="118"/>
  <c r="BI111" i="118"/>
  <c r="BI37" i="118"/>
  <c r="BI1803" i="118"/>
  <c r="BI1717" i="118"/>
  <c r="BI1459" i="118"/>
  <c r="BI1171" i="118"/>
  <c r="BI1160" i="118"/>
  <c r="BI1138" i="118"/>
  <c r="BI1761" i="118"/>
  <c r="BI1683" i="118"/>
  <c r="BI3010" i="118"/>
  <c r="BI2993" i="118"/>
  <c r="BI86" i="118"/>
  <c r="BI2882" i="118"/>
  <c r="BI1745" i="118"/>
  <c r="BI1646" i="118"/>
  <c r="BI1799" i="118"/>
  <c r="BI2004" i="118"/>
  <c r="BI1383" i="118"/>
  <c r="BI1276" i="118"/>
  <c r="BI1177" i="118"/>
  <c r="BI1161" i="118"/>
  <c r="BI1708" i="118"/>
  <c r="BI1546" i="118"/>
  <c r="BI1397" i="118"/>
  <c r="BI1336" i="118"/>
  <c r="BI2032" i="118"/>
  <c r="BI1633" i="118"/>
  <c r="BI1463" i="118"/>
  <c r="BI1428" i="118"/>
  <c r="BI1421" i="118"/>
  <c r="BI1101" i="118"/>
  <c r="BI1063" i="118"/>
  <c r="BI1037" i="118"/>
  <c r="BI1339" i="118"/>
  <c r="BI1332" i="118"/>
  <c r="BI1326" i="118"/>
  <c r="BI1318" i="118"/>
  <c r="BI1314" i="118"/>
  <c r="BI2050" i="118"/>
  <c r="BI1991" i="118"/>
  <c r="BI1960" i="118"/>
  <c r="BI1516" i="118"/>
  <c r="BI1152" i="118"/>
  <c r="BI1054" i="118"/>
  <c r="BI1052" i="118"/>
  <c r="BI1035" i="118"/>
  <c r="BI1030" i="118"/>
  <c r="BI1188" i="118"/>
  <c r="BI1680" i="118"/>
  <c r="BI1479" i="118"/>
  <c r="BI1454" i="118"/>
  <c r="BI1400" i="118"/>
  <c r="BI1385" i="118"/>
  <c r="BI1371" i="118"/>
  <c r="BI1306" i="118"/>
  <c r="BI1272" i="118"/>
  <c r="BI1244" i="118"/>
  <c r="BI1198" i="118"/>
  <c r="BI1190" i="118"/>
  <c r="BI592" i="118"/>
  <c r="BI1819" i="118"/>
  <c r="BI3326" i="118"/>
  <c r="BI3098" i="118"/>
  <c r="BI3051" i="118"/>
  <c r="BI3041" i="118"/>
  <c r="BI3034" i="118"/>
  <c r="BI2908" i="118"/>
  <c r="BI2885" i="118"/>
  <c r="BI2878" i="118"/>
  <c r="BI2686" i="118"/>
  <c r="BI2567" i="118"/>
  <c r="BI2342" i="118"/>
  <c r="BI2340" i="118"/>
  <c r="BI2321" i="118"/>
  <c r="BI2318" i="118"/>
  <c r="BI2660" i="118"/>
  <c r="BI2608" i="118"/>
  <c r="BI2598" i="118"/>
  <c r="BI2596" i="118"/>
  <c r="BI2571" i="118"/>
  <c r="BI2553" i="118"/>
  <c r="BI2547" i="118"/>
  <c r="BI2426" i="118"/>
  <c r="BI2322" i="118"/>
  <c r="BI2182" i="118"/>
  <c r="BI1795" i="118"/>
  <c r="BI1762" i="118"/>
  <c r="BI1754" i="118"/>
  <c r="BI1750" i="118"/>
  <c r="BI1689" i="118"/>
  <c r="BI1679" i="118"/>
  <c r="BI1664" i="118"/>
  <c r="BI1579" i="118"/>
  <c r="BI2128" i="118"/>
  <c r="BI1835" i="118"/>
  <c r="BI1810" i="118"/>
  <c r="BI1741" i="118"/>
  <c r="BI1686" i="118"/>
  <c r="BI1746" i="118"/>
  <c r="BI1723" i="118"/>
  <c r="BI1658" i="118"/>
  <c r="BI1584" i="118"/>
  <c r="BI1510" i="118"/>
  <c r="BI1303" i="118"/>
  <c r="BI1229" i="118"/>
  <c r="BI1225" i="118"/>
  <c r="BI1216" i="118"/>
  <c r="BI1132" i="118"/>
  <c r="BI529" i="118"/>
  <c r="BI1491" i="118"/>
  <c r="BI1423" i="118"/>
  <c r="BI345" i="118"/>
  <c r="BI1496" i="118"/>
  <c r="BI1365" i="118"/>
  <c r="BI1343" i="118"/>
  <c r="BI1012" i="118"/>
  <c r="BI701" i="118"/>
  <c r="BI56" i="118"/>
  <c r="BI3102" i="118"/>
  <c r="BI3095" i="118"/>
  <c r="BI2883" i="118"/>
  <c r="BI1714" i="118"/>
  <c r="BI1712" i="118"/>
  <c r="BI1208" i="118"/>
  <c r="P3191" i="118"/>
  <c r="P3803" i="118" s="1"/>
  <c r="BI1507" i="118"/>
  <c r="BI1787" i="118"/>
  <c r="BI2088" i="118"/>
  <c r="BI1757" i="118"/>
  <c r="BI1506" i="118"/>
  <c r="BI1728" i="118"/>
  <c r="BI2077" i="118"/>
  <c r="BI1668" i="118"/>
  <c r="BI1958" i="118"/>
  <c r="BI1376" i="118"/>
  <c r="BI1472" i="118"/>
  <c r="BI3800" i="118"/>
  <c r="BI3525" i="118"/>
  <c r="I3805" i="118"/>
  <c r="BI3606" i="118"/>
  <c r="BI3588" i="118"/>
  <c r="BI3551" i="118"/>
  <c r="N3805" i="118"/>
  <c r="K3805" i="118"/>
  <c r="BI3478" i="118"/>
  <c r="BH933" i="118"/>
  <c r="BK933" i="118" s="1"/>
  <c r="S3805" i="118"/>
  <c r="J3805" i="118"/>
  <c r="BI3626" i="118"/>
  <c r="BI765" i="118"/>
  <c r="Z3805" i="118"/>
  <c r="F3823" i="118"/>
  <c r="BG3820" i="118"/>
  <c r="BI3820" i="118" s="1"/>
  <c r="U3805" i="118"/>
  <c r="Q3805" i="118"/>
  <c r="R3805" i="118"/>
  <c r="F3805" i="118"/>
  <c r="BI3333" i="118"/>
  <c r="BI3798" i="118"/>
  <c r="BI3332" i="118"/>
  <c r="BI3652" i="118"/>
  <c r="AJ3806" i="118"/>
  <c r="AJ3821" i="118" s="1"/>
  <c r="BI3603" i="118"/>
  <c r="BI976" i="118"/>
  <c r="BI3628" i="118"/>
  <c r="BI3618" i="118"/>
  <c r="BI3539" i="118"/>
  <c r="AI3804" i="118"/>
  <c r="BI3796" i="118"/>
  <c r="AA3806" i="118"/>
  <c r="AA3821" i="118" s="1"/>
  <c r="BI3724" i="118"/>
  <c r="BI3712" i="118"/>
  <c r="BI3395" i="118"/>
  <c r="BI2530" i="118"/>
  <c r="BI3474" i="118"/>
  <c r="Z3806" i="118"/>
  <c r="Z3821" i="118" s="1"/>
  <c r="R3806" i="118"/>
  <c r="R3821" i="118" s="1"/>
  <c r="N3806" i="118"/>
  <c r="N3821" i="118" s="1"/>
  <c r="J3806" i="118"/>
  <c r="J3821" i="118" s="1"/>
  <c r="F3822" i="118"/>
  <c r="F3806" i="118"/>
  <c r="F3821" i="118" s="1"/>
  <c r="BI2568" i="118"/>
  <c r="BI954" i="118"/>
  <c r="BI2369" i="118"/>
  <c r="BI978" i="118"/>
  <c r="BI1824" i="118"/>
  <c r="BI963" i="118"/>
  <c r="H3804" i="118"/>
  <c r="AI3803" i="118"/>
  <c r="AG3805" i="118"/>
  <c r="T3806" i="118"/>
  <c r="T3821" i="118" s="1"/>
  <c r="H3191" i="118"/>
  <c r="H3803" i="118" s="1"/>
  <c r="BI2913" i="118"/>
  <c r="BI2853" i="118"/>
  <c r="BI2623" i="118"/>
  <c r="BI2614" i="118"/>
  <c r="BI2609" i="118"/>
  <c r="BI2574" i="118"/>
  <c r="BI2531" i="118"/>
  <c r="BI2337" i="118"/>
  <c r="BI2294" i="118"/>
  <c r="AH3823" i="118"/>
  <c r="AH3805" i="118"/>
  <c r="AH3806" i="118"/>
  <c r="AH3821" i="118" s="1"/>
  <c r="M3805" i="118"/>
  <c r="M3806" i="118"/>
  <c r="M3821" i="118" s="1"/>
  <c r="O3805" i="118"/>
  <c r="O3806" i="118"/>
  <c r="O3821" i="118" s="1"/>
  <c r="G3823" i="118"/>
  <c r="G3805" i="118"/>
  <c r="G3806" i="118"/>
  <c r="G3821" i="118" s="1"/>
  <c r="BK1565" i="118"/>
  <c r="BK1389" i="118"/>
  <c r="BK1011" i="118"/>
  <c r="AJ3805" i="118"/>
  <c r="I3823" i="118"/>
  <c r="BK963" i="118"/>
  <c r="BK627" i="118"/>
  <c r="AG3823" i="118"/>
  <c r="T3805" i="118"/>
  <c r="BK978" i="118"/>
  <c r="BK934" i="118"/>
  <c r="BK446" i="118"/>
  <c r="BI934" i="118"/>
  <c r="U3806" i="118"/>
  <c r="U3821" i="118" s="1"/>
  <c r="S3806" i="118"/>
  <c r="S3821" i="118" s="1"/>
  <c r="Q3806" i="118"/>
  <c r="Q3821" i="118" s="1"/>
  <c r="K3806" i="118"/>
  <c r="K3821" i="118" s="1"/>
  <c r="I3806" i="118"/>
  <c r="I3821" i="118" s="1"/>
  <c r="BK10" i="118"/>
  <c r="AG3806" i="118"/>
  <c r="AG3821" i="118" s="1"/>
  <c r="BK3745" i="118"/>
  <c r="BK3726" i="118"/>
  <c r="BI3778" i="118"/>
  <c r="BK3606" i="118"/>
  <c r="BK3588" i="118"/>
  <c r="BK3551" i="118"/>
  <c r="BK3512" i="118"/>
  <c r="BK3724" i="118"/>
  <c r="BH3804" i="118"/>
  <c r="BL3804" i="118" s="1"/>
  <c r="BK3478" i="118"/>
  <c r="BK3461" i="118"/>
  <c r="BK3414" i="118"/>
  <c r="BK3230" i="118"/>
  <c r="BK3712" i="118"/>
  <c r="BK3654" i="118"/>
  <c r="BK3628" i="118"/>
  <c r="BK3618" i="118"/>
  <c r="BK3539" i="118"/>
  <c r="BK3395" i="118"/>
  <c r="BI3365" i="118"/>
  <c r="BI3359" i="118"/>
  <c r="BI3280" i="118"/>
  <c r="BK2829" i="118"/>
  <c r="BK2390" i="118"/>
  <c r="BI3746" i="118"/>
  <c r="BI3729" i="118"/>
  <c r="P3804" i="118"/>
  <c r="BI3292" i="118"/>
  <c r="BI3229" i="118"/>
  <c r="D3191" i="118"/>
  <c r="BK3796" i="118"/>
  <c r="BI3790" i="118"/>
  <c r="BI3677" i="118"/>
  <c r="BI3512" i="118"/>
  <c r="BI3349" i="118"/>
  <c r="BE3191" i="118"/>
  <c r="BH3192" i="118"/>
  <c r="BI3022" i="118"/>
  <c r="BI2985" i="118"/>
  <c r="BI2899" i="118"/>
  <c r="BI3124" i="118"/>
  <c r="BK2845" i="118"/>
  <c r="BI2651" i="118"/>
  <c r="BI2365" i="118"/>
  <c r="BK2161" i="118"/>
  <c r="BK1826" i="118"/>
  <c r="BK2127" i="118"/>
  <c r="BK2090" i="118"/>
  <c r="BK3733" i="118"/>
  <c r="BI3793" i="118"/>
  <c r="BI3772" i="118"/>
  <c r="BI3768" i="118"/>
  <c r="BI3762" i="118"/>
  <c r="BI3748" i="118"/>
  <c r="BK3685" i="118"/>
  <c r="BK3626" i="118"/>
  <c r="BK3603" i="118"/>
  <c r="BK3569" i="118"/>
  <c r="BK3525" i="118"/>
  <c r="BK3474" i="118"/>
  <c r="BK3430" i="118"/>
  <c r="BK3346" i="118"/>
  <c r="BK3136" i="118"/>
  <c r="BK3667" i="118"/>
  <c r="BK3631" i="118"/>
  <c r="BH3477" i="118"/>
  <c r="BI3496" i="118"/>
  <c r="BK3333" i="118"/>
  <c r="BI3312" i="118"/>
  <c r="BI3267" i="118"/>
  <c r="BI3224" i="118"/>
  <c r="BI3178" i="118"/>
  <c r="BI3137" i="118"/>
  <c r="BK3011" i="118"/>
  <c r="BK2786" i="118"/>
  <c r="BI3654" i="118"/>
  <c r="BI3631" i="118"/>
  <c r="BI3569" i="118"/>
  <c r="BI3458" i="118"/>
  <c r="BI3415" i="118"/>
  <c r="BK3255" i="118"/>
  <c r="BI3206" i="118"/>
  <c r="BI3197" i="118"/>
  <c r="BI3195" i="118"/>
  <c r="BI3389" i="118"/>
  <c r="BI3116" i="118"/>
  <c r="BI3112" i="118"/>
  <c r="BI3088" i="118"/>
  <c r="BI3032" i="118"/>
  <c r="BI2965" i="118"/>
  <c r="BI3789" i="118"/>
  <c r="BI3180" i="118"/>
  <c r="BI3096" i="118"/>
  <c r="BI3064" i="118"/>
  <c r="BI2852" i="118"/>
  <c r="BI2601" i="118"/>
  <c r="BI2527" i="118"/>
  <c r="BI2525" i="118"/>
  <c r="BI2396" i="118"/>
  <c r="BI2250" i="118"/>
  <c r="BI2875" i="118"/>
  <c r="BK2632" i="118"/>
  <c r="BI2353" i="118"/>
  <c r="BI2347" i="118"/>
  <c r="BI2326" i="118"/>
  <c r="BI2247" i="118"/>
  <c r="BK1968" i="118"/>
  <c r="BK1656" i="118"/>
  <c r="BK1824" i="118"/>
  <c r="BK1738" i="118"/>
  <c r="BK1488" i="118"/>
  <c r="BK1183" i="118"/>
  <c r="AJ3823" i="118"/>
  <c r="AA3805" i="118"/>
  <c r="BK976" i="118"/>
  <c r="BK947" i="118"/>
  <c r="BK765" i="118"/>
  <c r="BK561" i="118"/>
  <c r="BK1295" i="118"/>
  <c r="BK997" i="118"/>
  <c r="BK954" i="118"/>
  <c r="BK114" i="118"/>
  <c r="BK91" i="118"/>
  <c r="BG3802" i="118" l="1"/>
  <c r="BF1011" i="118"/>
  <c r="BF3346" i="118"/>
  <c r="AB3804" i="118"/>
  <c r="BF3804" i="118" s="1"/>
  <c r="G3824" i="118"/>
  <c r="G3825" i="118" s="1"/>
  <c r="AE3803" i="118"/>
  <c r="AE3823" i="118" s="1"/>
  <c r="AE3824" i="118" s="1"/>
  <c r="AE3825" i="118" s="1"/>
  <c r="AE3837" i="118" s="1"/>
  <c r="L3823" i="118"/>
  <c r="L3824" i="118" s="1"/>
  <c r="L3825" i="118" s="1"/>
  <c r="BF3288" i="118"/>
  <c r="BF2161" i="118"/>
  <c r="BL3802" i="118"/>
  <c r="AB3477" i="118"/>
  <c r="BF3477" i="118" s="1"/>
  <c r="E3806" i="118"/>
  <c r="E3821" i="118" s="1"/>
  <c r="E3823" i="118"/>
  <c r="E3824" i="118" s="1"/>
  <c r="E3825" i="118" s="1"/>
  <c r="AF3805" i="118"/>
  <c r="AF3806" i="118"/>
  <c r="AF3821" i="118" s="1"/>
  <c r="BG933" i="118"/>
  <c r="BI933" i="118" s="1"/>
  <c r="BF1738" i="118"/>
  <c r="BC3803" i="118"/>
  <c r="BC3823" i="118" s="1"/>
  <c r="BC3824" i="118" s="1"/>
  <c r="BC3825" i="118" s="1"/>
  <c r="D3803" i="118"/>
  <c r="D3805" i="118" s="1"/>
  <c r="AB3191" i="118"/>
  <c r="BF3191" i="118" s="1"/>
  <c r="P3823" i="118"/>
  <c r="P3824" i="118" s="1"/>
  <c r="P3825" i="118" s="1"/>
  <c r="BG3477" i="118"/>
  <c r="BF1656" i="118"/>
  <c r="BG3191" i="118"/>
  <c r="BG3803" i="118" s="1"/>
  <c r="BF1183" i="118"/>
  <c r="AB3803" i="118"/>
  <c r="BI1070" i="118"/>
  <c r="BJ1070" i="118"/>
  <c r="AG3824" i="118"/>
  <c r="AG3825" i="118" s="1"/>
  <c r="AH3824" i="118"/>
  <c r="AH3825" i="118" s="1"/>
  <c r="BK771" i="118"/>
  <c r="AJ3824" i="118"/>
  <c r="AJ3825" i="118" s="1"/>
  <c r="BI771" i="118"/>
  <c r="H3805" i="118"/>
  <c r="AF3824" i="118"/>
  <c r="AF3825" i="118" s="1"/>
  <c r="BO97" i="118"/>
  <c r="AI3822" i="118"/>
  <c r="BM2090" i="118"/>
  <c r="BI2090" i="118"/>
  <c r="BM1000" i="118"/>
  <c r="BK1000" i="118"/>
  <c r="BN1000" i="118" s="1"/>
  <c r="I3824" i="118"/>
  <c r="I3825" i="118" s="1"/>
  <c r="BI3430" i="118"/>
  <c r="AD3805" i="118"/>
  <c r="BH3191" i="118"/>
  <c r="BK3191" i="118" s="1"/>
  <c r="AD3806" i="118"/>
  <c r="AD3821" i="118" s="1"/>
  <c r="AD3823" i="118"/>
  <c r="AD3824" i="118" s="1"/>
  <c r="AD3825" i="118" s="1"/>
  <c r="BD3802" i="118"/>
  <c r="BI627" i="118"/>
  <c r="L3805" i="118"/>
  <c r="L3806" i="118"/>
  <c r="L3821" i="118" s="1"/>
  <c r="F3824" i="118"/>
  <c r="F3825" i="118" s="1"/>
  <c r="BI1488" i="118"/>
  <c r="BK3802" i="118"/>
  <c r="H3806" i="118"/>
  <c r="H3821" i="118" s="1"/>
  <c r="AI3806" i="118"/>
  <c r="AI3821" i="118" s="1"/>
  <c r="AI3805" i="118"/>
  <c r="H3823" i="118"/>
  <c r="H3824" i="118" s="1"/>
  <c r="H3825" i="118" s="1"/>
  <c r="AI3823" i="118"/>
  <c r="BD3803" i="118"/>
  <c r="BD3804" i="118"/>
  <c r="BI2390" i="118"/>
  <c r="BI2632" i="118"/>
  <c r="BI3346" i="118"/>
  <c r="BI3667" i="118"/>
  <c r="BI3136" i="118"/>
  <c r="BK3477" i="118"/>
  <c r="BI2362" i="118"/>
  <c r="BI3011" i="118"/>
  <c r="BK3192" i="118"/>
  <c r="P3806" i="118"/>
  <c r="P3821" i="118" s="1"/>
  <c r="P3805" i="118"/>
  <c r="BI3745" i="118"/>
  <c r="BK3804" i="118"/>
  <c r="BI2829" i="118"/>
  <c r="BI3115" i="118"/>
  <c r="BI3255" i="118"/>
  <c r="BI3288" i="118"/>
  <c r="BI3414" i="118"/>
  <c r="BI3726" i="118"/>
  <c r="BI3461" i="118"/>
  <c r="BI2522" i="118"/>
  <c r="BI2845" i="118"/>
  <c r="BE3803" i="118"/>
  <c r="AC3804" i="118"/>
  <c r="AC3822" i="118"/>
  <c r="AE3805" i="118" l="1"/>
  <c r="AE3806" i="118"/>
  <c r="AE3821" i="118" s="1"/>
  <c r="D3823" i="118"/>
  <c r="D3824" i="118" s="1"/>
  <c r="D3825" i="118" s="1"/>
  <c r="D3806" i="118"/>
  <c r="D3821" i="118" s="1"/>
  <c r="BC3805" i="118"/>
  <c r="BC3806" i="118"/>
  <c r="BC3821" i="118" s="1"/>
  <c r="BF3803" i="118"/>
  <c r="BF3823" i="118" s="1"/>
  <c r="BF3824" i="118" s="1"/>
  <c r="BF3825" i="118" s="1"/>
  <c r="AB3823" i="118"/>
  <c r="AB3824" i="118" s="1"/>
  <c r="AB3825" i="118" s="1"/>
  <c r="AB3805" i="118"/>
  <c r="BF3805" i="118" s="1"/>
  <c r="AB3806" i="118"/>
  <c r="BI1011" i="118"/>
  <c r="AI3824" i="118"/>
  <c r="AI3825" i="118" s="1"/>
  <c r="BH3803" i="118"/>
  <c r="BL3803" i="118" s="1"/>
  <c r="BD3822" i="118"/>
  <c r="BM1826" i="118"/>
  <c r="BI1826" i="118"/>
  <c r="BM1389" i="118"/>
  <c r="BI1389" i="118"/>
  <c r="BM2786" i="118"/>
  <c r="BI2786" i="118"/>
  <c r="BM1295" i="118"/>
  <c r="BI1295" i="118"/>
  <c r="BM1656" i="118"/>
  <c r="BI1656" i="118"/>
  <c r="BM2127" i="118"/>
  <c r="BI2127" i="118"/>
  <c r="BM1738" i="118"/>
  <c r="BI1738" i="118"/>
  <c r="BM3192" i="118"/>
  <c r="BI3192" i="118"/>
  <c r="BM2161" i="118"/>
  <c r="BI2161" i="118"/>
  <c r="BM1565" i="118"/>
  <c r="BI1565" i="118"/>
  <c r="BM1183" i="118"/>
  <c r="BI1183" i="118"/>
  <c r="BM1968" i="118"/>
  <c r="BI1968" i="118"/>
  <c r="BM10" i="118"/>
  <c r="BI10" i="118"/>
  <c r="BI91" i="118"/>
  <c r="BI446" i="118"/>
  <c r="BM114" i="118"/>
  <c r="BM91" i="118"/>
  <c r="BI3802" i="118"/>
  <c r="BM1011" i="118"/>
  <c r="BH3822" i="118"/>
  <c r="BJ3799" i="118"/>
  <c r="AC3803" i="118"/>
  <c r="BE3823" i="118"/>
  <c r="BE3805" i="118"/>
  <c r="BE3806" i="118"/>
  <c r="BM2522" i="118"/>
  <c r="BG3804" i="118"/>
  <c r="BI3804" i="118" s="1"/>
  <c r="BI3477" i="118"/>
  <c r="BM2845" i="118"/>
  <c r="BM3288" i="118"/>
  <c r="BM3255" i="118"/>
  <c r="BM3115" i="118"/>
  <c r="BM2829" i="118"/>
  <c r="BD3823" i="118"/>
  <c r="BD3805" i="118"/>
  <c r="BD3806" i="118"/>
  <c r="BD3821" i="118" s="1"/>
  <c r="BM3011" i="118"/>
  <c r="BM2362" i="118"/>
  <c r="BM3136" i="118"/>
  <c r="BM2632" i="118"/>
  <c r="BM2390" i="118"/>
  <c r="BF3806" i="118" l="1"/>
  <c r="BF3821" i="118" s="1"/>
  <c r="AB3821" i="118"/>
  <c r="BH3805" i="118"/>
  <c r="BL3805" i="118" s="1"/>
  <c r="BH3806" i="118"/>
  <c r="BK3803" i="118"/>
  <c r="BH3823" i="118"/>
  <c r="BD3824" i="118"/>
  <c r="BD3825" i="118" s="1"/>
  <c r="BH3824" i="118"/>
  <c r="BH3825" i="118" s="1"/>
  <c r="BI3803" i="118"/>
  <c r="BI3191" i="118"/>
  <c r="BE3821" i="118"/>
  <c r="BE3824" i="118"/>
  <c r="AC3823" i="118"/>
  <c r="AC3805" i="118"/>
  <c r="AC3806" i="118"/>
  <c r="BG3822" i="118"/>
  <c r="BI3822" i="118" s="1"/>
  <c r="BM3191" i="118"/>
  <c r="BL3806" i="118" l="1"/>
  <c r="BJ3807" i="118"/>
  <c r="BK3805" i="118"/>
  <c r="BH3821" i="118"/>
  <c r="BG3806" i="118"/>
  <c r="BI3806" i="118" s="1"/>
  <c r="BK3806" i="118"/>
  <c r="BG3805" i="118"/>
  <c r="BI3805" i="118" s="1"/>
  <c r="BG3823" i="118"/>
  <c r="BI3823" i="118" s="1"/>
  <c r="AC3821" i="118"/>
  <c r="BE3825" i="118"/>
  <c r="AC3824" i="118"/>
  <c r="BL3807" i="118" l="1"/>
  <c r="BG3824" i="118"/>
  <c r="BI3824" i="118" s="1"/>
  <c r="BG3821" i="118"/>
  <c r="BI3821" i="118" s="1"/>
  <c r="AC3825" i="118"/>
  <c r="BG3825" i="118" l="1"/>
  <c r="BI3825" i="118" s="1"/>
</calcChain>
</file>

<file path=xl/comments1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Author:
UNELI SMO OVDE JAN-MART 2023
</t>
        </r>
      </text>
    </comment>
    <comment ref="C73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07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07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07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095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  <comment ref="I269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PREBACIJLA ODOZGO SA OPERACIJA</t>
        </r>
      </text>
    </comment>
    <comment ref="U269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PREBACILA ODOZGO SA OPERACIJA</t>
        </r>
      </text>
    </comment>
    <comment ref="AA269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SAM PREBACILA400 SA OPERACIJA A NA OPERACIJAMA SAM OSTAVILA 73 ČISTO DA IMA MAKAR NEŠTO ZBOG PLANA</t>
        </r>
      </text>
    </comment>
    <comment ref="BE281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OSTAVILI SMO KAO I PRETHODNE GODINE PLAN
</t>
        </r>
      </text>
    </comment>
    <comment ref="I331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PREBACILA SA OPERACIJA</t>
        </r>
      </text>
    </comment>
    <comment ref="U331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PREBACILA  SA OPERACIJA</t>
        </r>
      </text>
    </comment>
    <comment ref="AA331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OVDE SAM PREBACILA 500+300 A OSTAVILA SAM NA OPERACIJAMA 39 ČISTO DA IMA NEŠTO ZBOG PLANA</t>
        </r>
      </text>
    </comment>
    <comment ref="U33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PREBACENO OVDE SA OPERACIJA HITNA TRAUMA</t>
        </r>
      </text>
    </comment>
    <comment ref="AA33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OVO SAM PREBACILA SA OPERACIJA OVDE </t>
        </r>
      </text>
    </comment>
  </commentList>
</comments>
</file>

<file path=xl/sharedStrings.xml><?xml version="1.0" encoding="utf-8"?>
<sst xmlns="http://schemas.openxmlformats.org/spreadsheetml/2006/main" count="8071" uniqueCount="3203">
  <si>
    <t>ОРГАНИЗАЦИОНА ЈЕДИНИЦА</t>
  </si>
  <si>
    <t>ЗДАВСТВЕНЕ УСЛУГЕ - РФЗО</t>
  </si>
  <si>
    <t>Р.бр.</t>
  </si>
  <si>
    <t>ШИФРА УСЛУГЕ</t>
  </si>
  <si>
    <t>НАЗИВ УСЛУГЕ</t>
  </si>
  <si>
    <t>Број услуга</t>
  </si>
  <si>
    <t>30478-07</t>
  </si>
  <si>
    <t>41881-00</t>
  </si>
  <si>
    <t>OTVORENA TRAHEOSTOMIJA, PRIVREMENA</t>
  </si>
  <si>
    <t>30445-00</t>
  </si>
  <si>
    <t xml:space="preserve">LAPARASKOPSKA HOLECISTEKTOMIJA </t>
  </si>
  <si>
    <t>52420-00</t>
  </si>
  <si>
    <t>31423-00</t>
  </si>
  <si>
    <t>37011-00</t>
  </si>
  <si>
    <t>37219-00</t>
  </si>
  <si>
    <t>34509-01</t>
  </si>
  <si>
    <t>36561-00</t>
  </si>
  <si>
    <t>ZATVORENA BIOPSIJA BUBREGA</t>
  </si>
  <si>
    <t>30223-00</t>
  </si>
  <si>
    <t>INCIZIJA I DRENAŽA HEMATOMA KOŽE I POTKOŽNOG TKIVA</t>
  </si>
  <si>
    <t>41881-01</t>
  </si>
  <si>
    <t>16511-00</t>
  </si>
  <si>
    <t>PRIMENA SERKLAŽA NA GRLIĆ MATERICE</t>
  </si>
  <si>
    <t>16520-02</t>
  </si>
  <si>
    <t>ELEKTIVNI CARSKI REZ SA REZOM NA DONJEM SEGMENTU MATERICE</t>
  </si>
  <si>
    <t>16520-03</t>
  </si>
  <si>
    <t>30373-00</t>
  </si>
  <si>
    <t>EKSPLORATIVNA LAPARATOMIJA</t>
  </si>
  <si>
    <t>30378-00</t>
  </si>
  <si>
    <t>ODVAJANJE ABDOMINALNIH PRIRASLICA</t>
  </si>
  <si>
    <t>30390-00</t>
  </si>
  <si>
    <t>LAPAROSKOPIJA</t>
  </si>
  <si>
    <t>30393-00</t>
  </si>
  <si>
    <t>LAPARASKOPSKO ODVAJANJE ABOMINALNIH PRIRASLICA</t>
  </si>
  <si>
    <t>30571-00</t>
  </si>
  <si>
    <t>APENDEKTOMIJA</t>
  </si>
  <si>
    <t>32003-00</t>
  </si>
  <si>
    <t>35513-00</t>
  </si>
  <si>
    <t>LEČENJE CISTE BARTOLINIJEVE ŽLEZDE</t>
  </si>
  <si>
    <t>35539-03</t>
  </si>
  <si>
    <t>BIOPSIJA VAGINE</t>
  </si>
  <si>
    <t>35568-00</t>
  </si>
  <si>
    <t>SARKOSPINOZNA KOLOPEKSIJA</t>
  </si>
  <si>
    <t>REPARACIJA ZADNJEG  DELA VAGINE, VAGINALNI PRISTUP</t>
  </si>
  <si>
    <t>35571-00</t>
  </si>
  <si>
    <t>35572-00</t>
  </si>
  <si>
    <t>KOLPOTOMIJA</t>
  </si>
  <si>
    <t>35573-00</t>
  </si>
  <si>
    <t>REPARACIJA PREDNJEG DELA VAGINE, VAGINALNI PRISTUP</t>
  </si>
  <si>
    <t>35608-02</t>
  </si>
  <si>
    <t>BIOPSIJA GRLIĆA MATERICE</t>
  </si>
  <si>
    <t>35611-00</t>
  </si>
  <si>
    <t>POLIPEKTOMIJA GRLIĆA MATERICE</t>
  </si>
  <si>
    <t>35618-00</t>
  </si>
  <si>
    <t>KONCIZIJA GRLIĆA MATERICE</t>
  </si>
  <si>
    <t>35618-03</t>
  </si>
  <si>
    <t>OSTALE PROCEDURE NA GRLIĆU MATERICE</t>
  </si>
  <si>
    <t>35638-04</t>
  </si>
  <si>
    <t>LAPARASKOPSKA OVARIJALNA CISTEKTOMIJA, JEDNOSTRANA</t>
  </si>
  <si>
    <t>35640-00</t>
  </si>
  <si>
    <t>DILATACIJA CERVIKALNOG KANALA I KIRETAŽA MATERICE</t>
  </si>
  <si>
    <t>35640-01</t>
  </si>
  <si>
    <t>35640-03</t>
  </si>
  <si>
    <t>35649-03</t>
  </si>
  <si>
    <t>MIOMEKTOMIJA LAPARATOMIJA</t>
  </si>
  <si>
    <t>35653-01</t>
  </si>
  <si>
    <t>TOTALNA KLASIČNA ABDOMINALNA HISTEREKTOMIJA</t>
  </si>
  <si>
    <t>35653-04</t>
  </si>
  <si>
    <t>KLASIČNA HISTEREKTOMIJA SA ADNEKSEKTOMIJOM</t>
  </si>
  <si>
    <t>35657-00</t>
  </si>
  <si>
    <t>VAGINALNA HISTEREKTOMIJA</t>
  </si>
  <si>
    <t>35664-00</t>
  </si>
  <si>
    <t>35667-00</t>
  </si>
  <si>
    <t>RADIKALNA ABDOMINALNA HISTEREKTOMIJA</t>
  </si>
  <si>
    <t>35677-04</t>
  </si>
  <si>
    <t>35713-04</t>
  </si>
  <si>
    <t>35713-05</t>
  </si>
  <si>
    <t>KLINASTA RESEKCIJA JAJNIKA (LAPARATOMIJA)</t>
  </si>
  <si>
    <t>35713-07</t>
  </si>
  <si>
    <t xml:space="preserve">OVARIEKTOMIJA, JEDNOSTRANA </t>
  </si>
  <si>
    <t>35713-09</t>
  </si>
  <si>
    <t>35713-11</t>
  </si>
  <si>
    <t>35717-00</t>
  </si>
  <si>
    <t>OVARIJALNA CISTEKTOMIJA OBOSTRANA</t>
  </si>
  <si>
    <t>37004-03</t>
  </si>
  <si>
    <t>37607-00</t>
  </si>
  <si>
    <t>59712-00</t>
  </si>
  <si>
    <t>90440-00</t>
  </si>
  <si>
    <t>EKCIZIJA LEZIJA VULVE</t>
  </si>
  <si>
    <t>90446-00</t>
  </si>
  <si>
    <t>90449-00</t>
  </si>
  <si>
    <t>OSTALE REPARACIJE VAGINE</t>
  </si>
  <si>
    <t>90467-00</t>
  </si>
  <si>
    <t>90483-00</t>
  </si>
  <si>
    <t>96189-00</t>
  </si>
  <si>
    <t>OMENTEKTOMIJA</t>
  </si>
  <si>
    <t>16520-00</t>
  </si>
  <si>
    <t>ELEKTIVNI KLASIČNI CARSKI REZ</t>
  </si>
  <si>
    <t>16520-01</t>
  </si>
  <si>
    <t>HITNA KLASIČNI CARSKI REZ</t>
  </si>
  <si>
    <t>HITNI CARSKI REZ SA REZOM NA DONJEM SEGMENTU MATERICE</t>
  </si>
  <si>
    <t>SUKCIONA KIRETAŽA MATERICE</t>
  </si>
  <si>
    <t>90468-00</t>
  </si>
  <si>
    <t>90469-00</t>
  </si>
  <si>
    <t>DOVRŠAVANJE POROĐAJA VAKUM EKSTRAKCIJOM</t>
  </si>
  <si>
    <t>90470-01</t>
  </si>
  <si>
    <t>KARLIČNI POROĐAJ UZ RUČNU POMOĆ</t>
  </si>
  <si>
    <t>90482-00</t>
  </si>
  <si>
    <t>MANUELNA EKSTRAKCIJA POSTELJICE</t>
  </si>
  <si>
    <t>30023-00</t>
  </si>
  <si>
    <t>EKSCIZIJSKI DEBRIDMAN MEKOG TKIVA</t>
  </si>
  <si>
    <t>30023-01</t>
  </si>
  <si>
    <t>30075-16</t>
  </si>
  <si>
    <t>BIOPSIJA PANKREASA</t>
  </si>
  <si>
    <t>30296-01</t>
  </si>
  <si>
    <t>TOTALNA TIROIDEKTOMIJA</t>
  </si>
  <si>
    <t>30375-03</t>
  </si>
  <si>
    <t>ENTEROTOMIJA TANGOG CREVA</t>
  </si>
  <si>
    <t>30375-04</t>
  </si>
  <si>
    <t>DRUGA KOLOSTOMA</t>
  </si>
  <si>
    <t>30375-06</t>
  </si>
  <si>
    <t xml:space="preserve">GASTROTOMIJA </t>
  </si>
  <si>
    <t>30375-07</t>
  </si>
  <si>
    <t>30375-09</t>
  </si>
  <si>
    <t>EKSCIZIJA MEKELOVOG DIVERTIKULUMA</t>
  </si>
  <si>
    <t>30375-10</t>
  </si>
  <si>
    <t>ŠAV PERFORIRANOG ULKUSA</t>
  </si>
  <si>
    <t>30375-13</t>
  </si>
  <si>
    <t>PILOROPLASTIKA</t>
  </si>
  <si>
    <t>30375-24</t>
  </si>
  <si>
    <t xml:space="preserve">ŠAV TANKOG CREVA </t>
  </si>
  <si>
    <t>30392-00</t>
  </si>
  <si>
    <t>30402-00</t>
  </si>
  <si>
    <t>DRENAŽA RETROPERITONELANOG APSCESA</t>
  </si>
  <si>
    <t>30403-00</t>
  </si>
  <si>
    <t>30403-01</t>
  </si>
  <si>
    <t xml:space="preserve">REPARACIJA OSTALIH KILA TRBUŠNOG ZIDA </t>
  </si>
  <si>
    <t>30405-01</t>
  </si>
  <si>
    <t>30411-00</t>
  </si>
  <si>
    <t>INTRAOPERATIVNA BIOPSIJA JETRE</t>
  </si>
  <si>
    <t>30414-00</t>
  </si>
  <si>
    <t>30415-00</t>
  </si>
  <si>
    <t>SEGMENTNA RESEKCIJA JETRE</t>
  </si>
  <si>
    <t>30439-00</t>
  </si>
  <si>
    <t>INTRAOPERATIVNA HOLANGIOGRAFIJA</t>
  </si>
  <si>
    <t>30443-00</t>
  </si>
  <si>
    <t xml:space="preserve">HOLECISTEKTOMIJA </t>
  </si>
  <si>
    <t>30454-00</t>
  </si>
  <si>
    <t>HOLEDOHOTOMIJA</t>
  </si>
  <si>
    <t>30454-01</t>
  </si>
  <si>
    <t>HOLECISTEKTOMIJA SA HOLEDOHOTOMIJOM</t>
  </si>
  <si>
    <t>30455-00</t>
  </si>
  <si>
    <t>30460-03</t>
  </si>
  <si>
    <t>30460-08</t>
  </si>
  <si>
    <t>30512-00</t>
  </si>
  <si>
    <t>GASTRIČNI BAJ PAS</t>
  </si>
  <si>
    <t>30515-00</t>
  </si>
  <si>
    <t>GASTRO-ENTEROSTOMIJA</t>
  </si>
  <si>
    <t>30515-01</t>
  </si>
  <si>
    <t>30515-02</t>
  </si>
  <si>
    <t>30521-00</t>
  </si>
  <si>
    <t>TOTALNA GASTREKTOMIJA</t>
  </si>
  <si>
    <t>30523-00</t>
  </si>
  <si>
    <t>SUPTOTALNA GASTREKTOMIJA</t>
  </si>
  <si>
    <t>30562-01</t>
  </si>
  <si>
    <t>30562-02</t>
  </si>
  <si>
    <t>ZATVARANJE PETLJE KOLOSTOME</t>
  </si>
  <si>
    <t>30565-00</t>
  </si>
  <si>
    <t>RESEKCIJA TANKOG CREVA SA FORMIRANJEM STOME</t>
  </si>
  <si>
    <t>30566-00</t>
  </si>
  <si>
    <t>RESEKCIJA TANKOG CREVA SA ANASTOMOZOM</t>
  </si>
  <si>
    <t>30597-00</t>
  </si>
  <si>
    <t>SPLENEKTOMIJA</t>
  </si>
  <si>
    <t>30614-00</t>
  </si>
  <si>
    <t>REPARACIJA FEMORALNE HERNIJE, JEDNOSTRANO</t>
  </si>
  <si>
    <t>30614-02</t>
  </si>
  <si>
    <t>30614-03</t>
  </si>
  <si>
    <t>REPARACIJA INGVINALNE HERNIJE, OBOSTRANO</t>
  </si>
  <si>
    <t>30615-00</t>
  </si>
  <si>
    <t>30617-00</t>
  </si>
  <si>
    <t>REPARACIJA UMBILIKALNE HERNIJE</t>
  </si>
  <si>
    <t>30617-01</t>
  </si>
  <si>
    <t>REPARACIJA EPIGASTRIČNE HERNIJE</t>
  </si>
  <si>
    <t>30617-02</t>
  </si>
  <si>
    <t>REPARACIJA HERNIJE BELE LINIJE</t>
  </si>
  <si>
    <t>30631-00</t>
  </si>
  <si>
    <t>30635-00</t>
  </si>
  <si>
    <t>30641-00</t>
  </si>
  <si>
    <t>ORHIDEKTOMIJA, JEDNOSTRANA</t>
  </si>
  <si>
    <t>30676-01</t>
  </si>
  <si>
    <t>31205-00</t>
  </si>
  <si>
    <t>EKSCIZIJA LEZIJE (A) NA KOŽI I POTKOŽNOM TKIVU OSTALIH OBLASTI</t>
  </si>
  <si>
    <t>31235-00</t>
  </si>
  <si>
    <t>31235-03</t>
  </si>
  <si>
    <t>31350-00</t>
  </si>
  <si>
    <t>EKSCIZIJA LEZIJE MEKOG TKIVA, NEKLASIFIKOVANA NA DRUGOM MESTU</t>
  </si>
  <si>
    <t>31462-00</t>
  </si>
  <si>
    <t>31500-00</t>
  </si>
  <si>
    <t>EKCIZIJA LEZIJA NA DOJKAMA</t>
  </si>
  <si>
    <t>31518-00</t>
  </si>
  <si>
    <t>JEDNOSTAVNA MASTEKTOMIJA JEDNOSTRANA</t>
  </si>
  <si>
    <t>32000-00</t>
  </si>
  <si>
    <t>32000-01</t>
  </si>
  <si>
    <t>DESNA HEMIKOLEKTOMIJA SA FORMIRANJEM STOME</t>
  </si>
  <si>
    <t>32003-01</t>
  </si>
  <si>
    <t>DESNA HEMIKOLEKTOMIJA SA ANASTOMOZOM</t>
  </si>
  <si>
    <t>32006-00</t>
  </si>
  <si>
    <t>LEVA HEMIKOLEKTOMIJA SA ANASTEMOZOM</t>
  </si>
  <si>
    <t>32024-00</t>
  </si>
  <si>
    <t>32025-00</t>
  </si>
  <si>
    <t>32026-00</t>
  </si>
  <si>
    <t>32030-00</t>
  </si>
  <si>
    <t>32033-00</t>
  </si>
  <si>
    <t>32039-00</t>
  </si>
  <si>
    <t>32138-00</t>
  </si>
  <si>
    <t>HEMOROIDEKTOMIJA</t>
  </si>
  <si>
    <t>32142-01</t>
  </si>
  <si>
    <t>EKSCIZIJA ANALNOG POLIPA</t>
  </si>
  <si>
    <t>32159-00</t>
  </si>
  <si>
    <t>32174-02</t>
  </si>
  <si>
    <t>DRENAŽA ISHIOREKTALNOG APSCESA</t>
  </si>
  <si>
    <t>32504-01</t>
  </si>
  <si>
    <t>PREKID VIŠESTRUKIH PRITOKA VARIKOZNIH VENA</t>
  </si>
  <si>
    <t>32508-00</t>
  </si>
  <si>
    <t>PREKID SAFENO-FEMORALNOG SPOJA VARIOKOZNIH VENA</t>
  </si>
  <si>
    <t>32708-00</t>
  </si>
  <si>
    <t>32751-00</t>
  </si>
  <si>
    <t>33115-00</t>
  </si>
  <si>
    <t>33500-00</t>
  </si>
  <si>
    <t>KAROTIDNA ENDARTEREKTOMIJA</t>
  </si>
  <si>
    <t>33806-12</t>
  </si>
  <si>
    <t>ARTERIOVENSKA ANASTOMOZA GORNJIH UDOVA</t>
  </si>
  <si>
    <t>34518-00</t>
  </si>
  <si>
    <t>KOREKCIJA STENOZE ARTERIOVENSKE FISTULE</t>
  </si>
  <si>
    <t>35677-05</t>
  </si>
  <si>
    <t>SALPINGEKTOMIJA SA UKLANJANJEM TRUDNOĆE U JAJOVODU</t>
  </si>
  <si>
    <t>OVARIJALNA CISTEKTOMIJA, JEDNOSTRANA</t>
  </si>
  <si>
    <t>36516-01</t>
  </si>
  <si>
    <t>NEFREKTOMIJA JEDNOSTRANA - OTVORENA HIRURGIJA (PRIMARNI RAD)</t>
  </si>
  <si>
    <t>37000-01</t>
  </si>
  <si>
    <t>PARCIJALNA EKSCIZIJA MOKRAĆNE BEŠIKE (PARCIJALNA CESTEKTOMIJA) OTVORENA HIRURGIJA</t>
  </si>
  <si>
    <t>37008-01</t>
  </si>
  <si>
    <t>CISTOTOMIJA SA PLASIRANJEM SUPRAUBIČNOG KATETERA-OTVORENA HIRURGIJA</t>
  </si>
  <si>
    <t>44338-00</t>
  </si>
  <si>
    <t>AMPUTACIJA PRSTA NA NOZI</t>
  </si>
  <si>
    <t>44358-00</t>
  </si>
  <si>
    <t>AMPUTACIJA PRSTA NA NOZI SA METATARZALNOM KOSTI</t>
  </si>
  <si>
    <t>44364-01</t>
  </si>
  <si>
    <t>TRANSMETATARZALNA AMPUTACIJA</t>
  </si>
  <si>
    <t>44367-00</t>
  </si>
  <si>
    <t>AMPUTACIJA IZNAD LINIJE KOLENA</t>
  </si>
  <si>
    <t>44367-02</t>
  </si>
  <si>
    <t>AMPUTACIJA ISPOD KOLENA</t>
  </si>
  <si>
    <t>44376-00</t>
  </si>
  <si>
    <t>AMPUTACIJA AMPUTACIJSKOG PATRLJKA</t>
  </si>
  <si>
    <t>46465-00</t>
  </si>
  <si>
    <t>AMPUTACIJA PRSTA</t>
  </si>
  <si>
    <t>47906-00</t>
  </si>
  <si>
    <t>OBRADA NOKTA NA PRSTU STOPALA</t>
  </si>
  <si>
    <t>47906-01</t>
  </si>
  <si>
    <t>47915-00</t>
  </si>
  <si>
    <t>KLINASTA RESEKCIJA URASLOG NOKTA NA PRSTU STOPALA</t>
  </si>
  <si>
    <t>90071-00</t>
  </si>
  <si>
    <t>90304-00</t>
  </si>
  <si>
    <t>OSTALE REPARACIJE NA ŽELUDCU</t>
  </si>
  <si>
    <t>90338-00</t>
  </si>
  <si>
    <t>INCIZIJA REKTUMA ILI ANUSA</t>
  </si>
  <si>
    <t>39712-00</t>
  </si>
  <si>
    <t>UKLANJANJE LEZIJE CEREBRALNIH MENINGA</t>
  </si>
  <si>
    <t>41671-00</t>
  </si>
  <si>
    <t>SUBMUKOZNA RESEKCIJA NOSNE PREGRADE</t>
  </si>
  <si>
    <t>47522-00</t>
  </si>
  <si>
    <t>48636-00</t>
  </si>
  <si>
    <t>PERKUTANA LUMBALNA DISKEKTOMIJA</t>
  </si>
  <si>
    <t>92506-10</t>
  </si>
  <si>
    <t>NEUROAKSIJALNA BLOKADA TOKOM TRUDOVA, ASA 10</t>
  </si>
  <si>
    <t>92506-19</t>
  </si>
  <si>
    <t>30075-10</t>
  </si>
  <si>
    <t>BIOPSIJA MOKRAĆNE BEŠIKE</t>
  </si>
  <si>
    <t>LAPARASKOPIJA</t>
  </si>
  <si>
    <t>30641-01</t>
  </si>
  <si>
    <t>30644-03</t>
  </si>
  <si>
    <t>LIGATURA (PODVEZIVANJE) SPERMATIČNE VRPCE</t>
  </si>
  <si>
    <t>30653-00</t>
  </si>
  <si>
    <t>CIRKUMCIZIJA (OBREZIVANJE) MUŠKARCA</t>
  </si>
  <si>
    <t>31230-05</t>
  </si>
  <si>
    <t>36516-00</t>
  </si>
  <si>
    <t>36528-01</t>
  </si>
  <si>
    <t>36531-01</t>
  </si>
  <si>
    <t>NEFROURETEREKTOMIJA (NEFREKTOMIJA SA TOTALNOM URETEREKTOMIJOM) OTVORENA HIRURGIJA</t>
  </si>
  <si>
    <t>36537-00</t>
  </si>
  <si>
    <t>36803-02</t>
  </si>
  <si>
    <t>36815-00</t>
  </si>
  <si>
    <t>ENDOSKOPSKO UNIŠTAVAJE KONDILOMA PENISA</t>
  </si>
  <si>
    <t>36833-00</t>
  </si>
  <si>
    <t>36833-01</t>
  </si>
  <si>
    <t>36836-00</t>
  </si>
  <si>
    <t>ENDOSKOPSKA BIOPSIJA MOKRAĆNE BEŠIKE</t>
  </si>
  <si>
    <t>36840-02</t>
  </si>
  <si>
    <r>
      <t xml:space="preserve">ENDOSKOPSKA RESEKCIJA POJEDINAČNE LEZIJE MOKRAĆNE BEŠIKE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2CM ILI TKIVA MOKRAĆNE BEŠIKE</t>
    </r>
  </si>
  <si>
    <t>36845-04</t>
  </si>
  <si>
    <t>36845-05</t>
  </si>
  <si>
    <t>36845-07</t>
  </si>
  <si>
    <t>ENDOSKOPSKA ELEKTROKAUTERIZACIJA MULTIPLIH PROMENA</t>
  </si>
  <si>
    <t>36863-00</t>
  </si>
  <si>
    <t>37008-03</t>
  </si>
  <si>
    <t>CISTOLITOTOMIJA - OTVORENA HIRURGIJA</t>
  </si>
  <si>
    <t>37014-00</t>
  </si>
  <si>
    <t>TOTALNA EKSCIZIJA MOKRAĆNE BEŠIKE - OTVORENA HIRURGIJA</t>
  </si>
  <si>
    <t>37200-03</t>
  </si>
  <si>
    <t>SUBRAPUBIČNA PROSTATEKTOMIJA</t>
  </si>
  <si>
    <t>37203-00</t>
  </si>
  <si>
    <t>TRANSURETRALNA RESEKCIJA PROSTATE (TURP)</t>
  </si>
  <si>
    <t>37209-00</t>
  </si>
  <si>
    <t>RADIKALNA PROSTATEKTOMIJA</t>
  </si>
  <si>
    <t>37210-00</t>
  </si>
  <si>
    <t>RADIKALNA PROSTATEKTOMIJA SA REKONSTRUKCIJOM VRATA</t>
  </si>
  <si>
    <t>37435-00</t>
  </si>
  <si>
    <t>PLASTIKA FRENULUMA (FRENULOTOMIJA)</t>
  </si>
  <si>
    <t>37601-02</t>
  </si>
  <si>
    <t>EKSCIZIJA CISTE EPIDIDIMISA, JEDNOSTRANA</t>
  </si>
  <si>
    <t>EKCIZIJA LEZIJE (A)NA KOŽI I POTKOŽNOM TKIVU OSTALIH OBLASTI NA GLAVI</t>
  </si>
  <si>
    <t>33116-00</t>
  </si>
  <si>
    <t>ENDOVASKULARNA REPARACIJA ANEURIZME</t>
  </si>
  <si>
    <t>34528-02</t>
  </si>
  <si>
    <t>INSERCIJA VASKULARNOG PRISTUPNOG UREĐAJA</t>
  </si>
  <si>
    <t>35412-00</t>
  </si>
  <si>
    <t>39015-00</t>
  </si>
  <si>
    <t>SPOLJAŠNJA DRENAŽA LIKVORA</t>
  </si>
  <si>
    <t>39331-01</t>
  </si>
  <si>
    <t>DEKOMPRESIJA NERVA MEDIJANUSA KOD SINDROMA KARPALNOG KANALA</t>
  </si>
  <si>
    <t>39603-00</t>
  </si>
  <si>
    <t>UKLANJANJE INTRAKRANIJALGNOG HEMATOMA PUTEM OSTEOPLASTIČNE KRANIOTOMIJE</t>
  </si>
  <si>
    <t>39603-01</t>
  </si>
  <si>
    <t>39709-00</t>
  </si>
  <si>
    <t>UKLANJANJE LEZIJE CEREBROMA</t>
  </si>
  <si>
    <t>39709-02</t>
  </si>
  <si>
    <t>UKLANJANJE LEZIJE CEREBELUMA</t>
  </si>
  <si>
    <t>39721-00</t>
  </si>
  <si>
    <t>40003-02</t>
  </si>
  <si>
    <t>40300-00</t>
  </si>
  <si>
    <t>DISKEKTOMIJA, JEDAN NIVO</t>
  </si>
  <si>
    <t>40309-00</t>
  </si>
  <si>
    <t>UKLANJANJE EKSTRADURALNIH SPINALNIH LEZIJA</t>
  </si>
  <si>
    <t>40312-00</t>
  </si>
  <si>
    <t xml:space="preserve">UKLANJANJE SPINALNIH INTRADURALNIH LEZIJA </t>
  </si>
  <si>
    <t>40330-00</t>
  </si>
  <si>
    <t>SPINALNA RIZOLIZA</t>
  </si>
  <si>
    <t>90024-00</t>
  </si>
  <si>
    <t>DEKOMPRESIJA KIČMENOG KANALA U LUMBALNOM DELU, JEDAN NIVO</t>
  </si>
  <si>
    <t>90024-01</t>
  </si>
  <si>
    <t>30111-00</t>
  </si>
  <si>
    <t>EKSCIZIJA VELIKE BURZE</t>
  </si>
  <si>
    <t>47384-02</t>
  </si>
  <si>
    <t>47384-03</t>
  </si>
  <si>
    <t>OTVORENA REPOZICIJA PRELOMA TELA ULNE SA UNUTRAŠNJOM FIKSACIJOM</t>
  </si>
  <si>
    <t>47399-01</t>
  </si>
  <si>
    <t xml:space="preserve">OTVORENA REPOZICIJA PRELOMA OLEKRANONA SA  UNUTRAŠNJOM FIKSACIJOM </t>
  </si>
  <si>
    <t>47429-00</t>
  </si>
  <si>
    <t>47429-01</t>
  </si>
  <si>
    <t>OTVORENA REPOZICIJA PRELOMA PROKSIMALNOG DELA</t>
  </si>
  <si>
    <t>47516-01</t>
  </si>
  <si>
    <t>47519-00</t>
  </si>
  <si>
    <t>47528-01</t>
  </si>
  <si>
    <t>OTVORENA REPOZICIJA PRELOMA FEMURA SA UNUTRAŠNJOM FIKSACIJOM</t>
  </si>
  <si>
    <t>47585-00</t>
  </si>
  <si>
    <t>OTVORENA REPOZICIJA I UNUTRAŠNJA FIKSACIJA PRELOMA PATELE</t>
  </si>
  <si>
    <t>47600-01</t>
  </si>
  <si>
    <t>OTVORENA REPOZICIJA PRELOMA SKOČNOG ZGLOBA SA UNUTRAŠNJOM FIKSACIJOM SINDESMOZE, FIBULE ILI MALEOLUSA</t>
  </si>
  <si>
    <t>47603-01</t>
  </si>
  <si>
    <t xml:space="preserve">ODSTRANJENJE KLINA, ZAVRTNJA ILI ŽICE IZ KOSTI </t>
  </si>
  <si>
    <t>47927-01</t>
  </si>
  <si>
    <t>47930-01</t>
  </si>
  <si>
    <t>49315-00</t>
  </si>
  <si>
    <t>49318-00</t>
  </si>
  <si>
    <t>POTPUNA ARTROPLASITKA ZGLOBA KUKA, JEDNOSTRANA</t>
  </si>
  <si>
    <t>49500-02</t>
  </si>
  <si>
    <t>ODSTRANJENJE SLOBODNIH ZGLOBNIH TELA IZ KOLENA</t>
  </si>
  <si>
    <t>49557-00</t>
  </si>
  <si>
    <t>ARTROSKOPIJA KOLENA</t>
  </si>
  <si>
    <t>49718-00</t>
  </si>
  <si>
    <t>OSTALE REPOZICIJE TETIVE U PODRUČJU SKOČNOG ZGLOBA</t>
  </si>
  <si>
    <t>49718-01</t>
  </si>
  <si>
    <t>REPARACIJA AHILOVE TETIVE</t>
  </si>
  <si>
    <t>49833-00</t>
  </si>
  <si>
    <t>ISPRAVLJANJE HALUX VALGUS-A OSTEOTOMIJOM PRVE METATARZALNE KOSTI, JEDNOSTRANO</t>
  </si>
  <si>
    <t>49836-00</t>
  </si>
  <si>
    <t>ISPRAVLJANJE HALUX VALVUS-A OSTEOTOMIJOM PRVE METATARZALNE KOSTI, OBOSTRANO</t>
  </si>
  <si>
    <t>50300-00</t>
  </si>
  <si>
    <t>TRANSARTIKULARNA FIKSACIJA</t>
  </si>
  <si>
    <t>52102-00</t>
  </si>
  <si>
    <t>30075-22</t>
  </si>
  <si>
    <t>30075-23</t>
  </si>
  <si>
    <t>BIOPSIJA USNE ŠUPLJINE</t>
  </si>
  <si>
    <t>30253-00</t>
  </si>
  <si>
    <t xml:space="preserve">PARCIJALNA EKSCIZIJA PAROTIDNE ZLEZDE </t>
  </si>
  <si>
    <t>30256-00</t>
  </si>
  <si>
    <t>ESCIZIJA SUBMANDIBULARNE ŽLEZDE</t>
  </si>
  <si>
    <t>30259-00</t>
  </si>
  <si>
    <t>ESCIZIJA SUBLINGVALNE ŽLEZDE</t>
  </si>
  <si>
    <t>30272-00</t>
  </si>
  <si>
    <t>PARCIJALNA EKSCIZIJA JEZIKA</t>
  </si>
  <si>
    <t>30275-00</t>
  </si>
  <si>
    <t>RADIKALNA EKSCIZIJA INTRAORALNE LEZIJE</t>
  </si>
  <si>
    <t>30278-00</t>
  </si>
  <si>
    <t>30283-00</t>
  </si>
  <si>
    <t>EKCIZIJA CISTE U USTIMA</t>
  </si>
  <si>
    <t>30306-01</t>
  </si>
  <si>
    <t>TOTALNA TIROIDNA LOBEKTOMIJA, JEDNOSTRANA</t>
  </si>
  <si>
    <t>30313-00</t>
  </si>
  <si>
    <t>30314-00</t>
  </si>
  <si>
    <t>GASTROSTOMIJA</t>
  </si>
  <si>
    <t>31230-01</t>
  </si>
  <si>
    <t>31230-03</t>
  </si>
  <si>
    <t>EKSCIZIJA LEZIJE(A)NA KOŽI I POTKOŽNOM TKIVU USNE</t>
  </si>
  <si>
    <t>31235-01</t>
  </si>
  <si>
    <t>41632-00</t>
  </si>
  <si>
    <t>MIRINGOTOMIJA SA INSERCIJOM TUBE, JEDNOSTRANA</t>
  </si>
  <si>
    <t>41632-01</t>
  </si>
  <si>
    <t>MIRINGOTOMIJA SA INSEKSIJOM TUBE, OBOSTRANA</t>
  </si>
  <si>
    <t>41668-00</t>
  </si>
  <si>
    <t>ENDONAZALNA OPERACIJA NAZALNIH POLIPA</t>
  </si>
  <si>
    <t>41671-02</t>
  </si>
  <si>
    <t>FUNKCIONALNA SEPTOPLASTIKA</t>
  </si>
  <si>
    <t>41710-00</t>
  </si>
  <si>
    <t>RADIKALNA OPERACIJA MAKSILARNOG SINUSA, JEDNOSTRANO</t>
  </si>
  <si>
    <t>41716-02</t>
  </si>
  <si>
    <t>ENDONAZALNA OPERACIJA MAKSILARNOG SINUSA RG DONJA</t>
  </si>
  <si>
    <t>41764-01</t>
  </si>
  <si>
    <t>41786-00</t>
  </si>
  <si>
    <t>UVULOPALATOFARINGOPLASTIKA</t>
  </si>
  <si>
    <t>41787-00</t>
  </si>
  <si>
    <t>UVULEKTOMIJA SA PARCIJALNOM PALATEKTOMIJOM</t>
  </si>
  <si>
    <t>41789-00</t>
  </si>
  <si>
    <t>TONZILEKTOMIJA BEZ ADENOIDEKTOMIJE</t>
  </si>
  <si>
    <t>41789-01</t>
  </si>
  <si>
    <t xml:space="preserve">TONZILEKTOMIJA SA ADENOIDEKTOMIJOM </t>
  </si>
  <si>
    <t>41797-00</t>
  </si>
  <si>
    <t>41801-00</t>
  </si>
  <si>
    <t>ADENOIDEPTOMIJA BEZ TONZILEKTOMIJE</t>
  </si>
  <si>
    <t>41807-00</t>
  </si>
  <si>
    <t>41810-01</t>
  </si>
  <si>
    <t>UVULEKTOMIJA</t>
  </si>
  <si>
    <t>41834-00</t>
  </si>
  <si>
    <t>TOTALNA LARINGEGTOMIJA</t>
  </si>
  <si>
    <t>41840-00</t>
  </si>
  <si>
    <t>SUPRAGLOTIČKA LARINETOMIJA</t>
  </si>
  <si>
    <t>41852-00</t>
  </si>
  <si>
    <t xml:space="preserve">LARINGOSKOPIJA SA UKLANJANJEM LEZIJA </t>
  </si>
  <si>
    <t>41864-00</t>
  </si>
  <si>
    <t>MIKROLARINGOSKOPIJA SA UKLANJANJEM LEZIJE</t>
  </si>
  <si>
    <t>41876-01</t>
  </si>
  <si>
    <t>LARINGOFISURA SA HORDEKTOMIJOM</t>
  </si>
  <si>
    <t>42650-00</t>
  </si>
  <si>
    <t>45206-00</t>
  </si>
  <si>
    <t>JEDNOSTAVAN I MALI LOKALNI REŽANJ KOŽE OČNOG KAPKA</t>
  </si>
  <si>
    <t>45206-01</t>
  </si>
  <si>
    <t>JEDNOSTAVAN I MALI LOKALNI REŽANJ KOŽE NOSA</t>
  </si>
  <si>
    <t>45206-03</t>
  </si>
  <si>
    <t>45206-04</t>
  </si>
  <si>
    <t>45206-09</t>
  </si>
  <si>
    <t>45659-00</t>
  </si>
  <si>
    <t>KOREKCIJA KLEMPAVOG UVA</t>
  </si>
  <si>
    <t>45665-00</t>
  </si>
  <si>
    <t>KLINASTA EKSCIZIJA USNE PUNE DEBLJINE</t>
  </si>
  <si>
    <t>45665-02</t>
  </si>
  <si>
    <t>90141-01</t>
  </si>
  <si>
    <t>EKCIZIJA OSTALIH LEZIJA U USTIMA</t>
  </si>
  <si>
    <t>97322-00</t>
  </si>
  <si>
    <t>УКУПНО</t>
  </si>
  <si>
    <t>СТАЦИОНАР</t>
  </si>
  <si>
    <t>АМБУЛАНТА</t>
  </si>
  <si>
    <t>30075-01</t>
  </si>
  <si>
    <t>BIOPSIJA MEKOG TKIVA</t>
  </si>
  <si>
    <t>30223-01</t>
  </si>
  <si>
    <t>INCIZIJA I DRENAŽA APSCESA KOŽE I POTKOŽNOG TKIVA</t>
  </si>
  <si>
    <t>30406-00</t>
  </si>
  <si>
    <t>ABDOMINALNA PARACENTEZA</t>
  </si>
  <si>
    <t>30075-00</t>
  </si>
  <si>
    <t>BIOPSIJA LIMFNOG ČVORA</t>
  </si>
  <si>
    <t>13109-00</t>
  </si>
  <si>
    <t>30075-37</t>
  </si>
  <si>
    <t>BIOPSIJA PERITONEUMA</t>
  </si>
  <si>
    <t>30394-00</t>
  </si>
  <si>
    <t>30396-00</t>
  </si>
  <si>
    <t>DEBRIDMAN I LAVAŽA PERITONEALNE ŠUPLJINE</t>
  </si>
  <si>
    <t>32005-01</t>
  </si>
  <si>
    <t>PROŠIRENA DESNA HEMIKOLEKTOMIJA SA ANASTOMOZOM</t>
  </si>
  <si>
    <t>35570-00</t>
  </si>
  <si>
    <t>35647-00</t>
  </si>
  <si>
    <t>35717-04</t>
  </si>
  <si>
    <t>SALPINGOVARIEKTOMIJA, OBOSTRANA</t>
  </si>
  <si>
    <t>90472-00</t>
  </si>
  <si>
    <t>EPIZIOTOMIJA</t>
  </si>
  <si>
    <t>30029-00</t>
  </si>
  <si>
    <t>30061-00</t>
  </si>
  <si>
    <t>30071-00</t>
  </si>
  <si>
    <t>BIOPSIJA KOŽE I POTKOŽNOG TKIVA</t>
  </si>
  <si>
    <t>30394-01</t>
  </si>
  <si>
    <t>30403-03</t>
  </si>
  <si>
    <t>30505-00</t>
  </si>
  <si>
    <t>30562-00</t>
  </si>
  <si>
    <t>30572-00</t>
  </si>
  <si>
    <t>LAPARASKOPSKA APENDEKTOMIJA</t>
  </si>
  <si>
    <t>31551-00</t>
  </si>
  <si>
    <t>INCIZIJA I DRENAŽA DOJKE</t>
  </si>
  <si>
    <t>32004-00</t>
  </si>
  <si>
    <t>SUBTOTALNA KOLEKTOMIJA SA FORMIRANJEM STOME</t>
  </si>
  <si>
    <t>32006-01</t>
  </si>
  <si>
    <t>LEVA HEMIKOLEKTOMIJA SA FORMIRANJEM STOME</t>
  </si>
  <si>
    <t>38806-00</t>
  </si>
  <si>
    <t>PLASIRANJE DRENA KROZ MEĐUREBARNI PROSTOR</t>
  </si>
  <si>
    <t>90665-00</t>
  </si>
  <si>
    <t>OBRADA KOŽE I POTKOŽNOG TKIVA SA EKSCIZIJOM</t>
  </si>
  <si>
    <t>30385-00</t>
  </si>
  <si>
    <t>35599-00</t>
  </si>
  <si>
    <t>SLING PROCEDURE KOD STRES INKONTINENCIJE KOD ŽENA</t>
  </si>
  <si>
    <t>36656-00</t>
  </si>
  <si>
    <t>URETEROSKOPIJA</t>
  </si>
  <si>
    <t>36840-03</t>
  </si>
  <si>
    <t>39009-00</t>
  </si>
  <si>
    <t>EVAKUACIJA SUBDURALNOG HEMATOMA</t>
  </si>
  <si>
    <t>46363-00</t>
  </si>
  <si>
    <t>OPUŠTANJE TETIVNE OVOJNICE ŠAKE</t>
  </si>
  <si>
    <t>47566-01</t>
  </si>
  <si>
    <t>90531-00</t>
  </si>
  <si>
    <t>TRAKCIJA, NEKLASIFIKOVANA NA DRUGOM MESTU</t>
  </si>
  <si>
    <t>30075-24</t>
  </si>
  <si>
    <t>BIOPSIJA MEKOG NEPCA</t>
  </si>
  <si>
    <t>30266-02</t>
  </si>
  <si>
    <t>41716-03</t>
  </si>
  <si>
    <t>ENDONAZALNA OPERACIJA POLIPA MAKSILARNOG SINUSA</t>
  </si>
  <si>
    <t>41737-06</t>
  </si>
  <si>
    <t>ENDONAZALNA OPERACIJA POLIPA ETMOIDALNOG SINUSA</t>
  </si>
  <si>
    <t>41837-00</t>
  </si>
  <si>
    <t>HEMILARINGEKTOMIJA</t>
  </si>
  <si>
    <t>45638-00</t>
  </si>
  <si>
    <t>TOTALNA RINOPLASTIKA</t>
  </si>
  <si>
    <t>OPERACIJE  HITNA HIRURŠKA PRIJEMNA - URGENTNA STANJA</t>
  </si>
  <si>
    <t>URGENTNA STANJA - HIRURGIJA</t>
  </si>
  <si>
    <t>30032-00</t>
  </si>
  <si>
    <t>30223-03</t>
  </si>
  <si>
    <t>INCIZIJA I DRENAŽA APSCESA MEKOG TKIVA</t>
  </si>
  <si>
    <t>URGENTNA STANJA - UROLOGIJA</t>
  </si>
  <si>
    <t>URGENTNA STANJA - NEUROHIRURGIJA</t>
  </si>
  <si>
    <t>URGENTNA STANJA - TRAUMATOLOGIJA</t>
  </si>
  <si>
    <t>URGENTNA STANJA - BARO MEDICINA</t>
  </si>
  <si>
    <t>URGENTNA STANJA - ORL</t>
  </si>
  <si>
    <t>URGENTNA STANJA - MFH</t>
  </si>
  <si>
    <t>009219</t>
  </si>
  <si>
    <t>11512-00</t>
  </si>
  <si>
    <t>11600-02</t>
  </si>
  <si>
    <t>PRAĆENJE CENTRALNOG VENSKOG PRITISKA</t>
  </si>
  <si>
    <t>11600-03</t>
  </si>
  <si>
    <t>PRAĆENJE SISTEMSKOG ARTERIJSKOG PRITISKA</t>
  </si>
  <si>
    <t>11700-00</t>
  </si>
  <si>
    <t>OSTALE ELEKTROKARDIOGRAFIJE (EKG)</t>
  </si>
  <si>
    <t>11709-00</t>
  </si>
  <si>
    <t>HOLTER AMBULANTNO KONTINUIRANO EKG SNIMANJE</t>
  </si>
  <si>
    <t>11712-00</t>
  </si>
  <si>
    <t>KARDIOVASKULARNI STRES TEST - TEST OPTEREĆENJA</t>
  </si>
  <si>
    <t>11713-00</t>
  </si>
  <si>
    <t>SNIMANJE PROSEČNOG SIGNALA EKG-a</t>
  </si>
  <si>
    <t>13400-00</t>
  </si>
  <si>
    <t>KARDIOVERZIJA</t>
  </si>
  <si>
    <t>13706-02</t>
  </si>
  <si>
    <t>TRANSFUZIJA ERITROCITA</t>
  </si>
  <si>
    <t>13815-00</t>
  </si>
  <si>
    <t>CENTRALNA VENSKA KATETERIZACIJA</t>
  </si>
  <si>
    <t>13815-01</t>
  </si>
  <si>
    <t>PETKUTANA CENTRALNA VENSKA KATETERIZACIJA</t>
  </si>
  <si>
    <t>13839-00</t>
  </si>
  <si>
    <t>VAĐENJE KRVI U DIJAGNOSTIČKE SVRHE</t>
  </si>
  <si>
    <t>13842-00</t>
  </si>
  <si>
    <t>INTRAARTERIJSKA KANILACIJA ZA GASNU ANALIZU KRVI</t>
  </si>
  <si>
    <t>13882-00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</si>
  <si>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</si>
  <si>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13882-01</t>
  </si>
  <si>
    <t>13882-02</t>
  </si>
  <si>
    <t>13942-02</t>
  </si>
  <si>
    <t>ODRŽAVANJE UREĐAJA ZA DAVANJE LEKA</t>
  </si>
  <si>
    <t>18262-01</t>
  </si>
  <si>
    <t>22007-00</t>
  </si>
  <si>
    <t>ENDOTRAHEALNA INTUBACIJA, JEDNOLUMENSKI TUBUS</t>
  </si>
  <si>
    <t>22007-01</t>
  </si>
  <si>
    <t>30055-00</t>
  </si>
  <si>
    <t>PREVIJANJE RANE</t>
  </si>
  <si>
    <t>30473-00</t>
  </si>
  <si>
    <t>30473-01</t>
  </si>
  <si>
    <t>PANENDOSKOPIJA DO DUODENUMA SA BIOPSIJOM</t>
  </si>
  <si>
    <t>32090-00</t>
  </si>
  <si>
    <t>32090-01</t>
  </si>
  <si>
    <t>FIBEROPTIČKA KOLONOSKOPIJA DO CEKUMA SA BIOPSIJOM</t>
  </si>
  <si>
    <t>32171-00</t>
  </si>
  <si>
    <t>34530-05</t>
  </si>
  <si>
    <t>UKLANJANJE VASKULARNOG PRISTUPNOG UREĐAJA</t>
  </si>
  <si>
    <t>36800-00</t>
  </si>
  <si>
    <t>KATETERIZACIJA MOKRAĆNE BEŠIKE</t>
  </si>
  <si>
    <t>38200-00</t>
  </si>
  <si>
    <t>KATETERIZACIJA DESNE STRANE SRCA</t>
  </si>
  <si>
    <t>38215-00</t>
  </si>
  <si>
    <t>KORONARNA ANGIOGRAFIJA(KORONAROGRAFIJA)</t>
  </si>
  <si>
    <t>38256-00</t>
  </si>
  <si>
    <t>38256-01</t>
  </si>
  <si>
    <t>IMPLANTACIJA PRIVREMENE ENDOMENSKE ELEKTRODE U KOMORU</t>
  </si>
  <si>
    <t>38300-00</t>
  </si>
  <si>
    <t>PERKUTANA TRANSLUMINALNA ANGIOPLASTIKA BALONOM JEDNE KORONARNE ARTERIJE</t>
  </si>
  <si>
    <t>38303-00</t>
  </si>
  <si>
    <t>PERKUTANA TRANSLUMINALNA ANGIOPLASTIKA BALONOM DVE ILI VIŠE KORONARNIH ARTERIJA</t>
  </si>
  <si>
    <t>38306-00</t>
  </si>
  <si>
    <t>PERKUTANA INSERCIJA JEDNOG TRANASLUMINALNOG STENTA U POJEDINAČNU KORONARNU ARTERIJU</t>
  </si>
  <si>
    <t>38306-01</t>
  </si>
  <si>
    <t>PERKUTANA INSERCIJA DVA ILI VIŠE TRANASLUMINALNA  STENTA U POJEDINAČNU KORONARNU ARTERIJU</t>
  </si>
  <si>
    <t>38306-02</t>
  </si>
  <si>
    <t>PERKUTANA INSERCIJA DVA ILI VIŠE TRANASLUMINALNA  STENTA U VIŠESTRUKE  KORONARNE  ARTERIJE</t>
  </si>
  <si>
    <t>38350-00</t>
  </si>
  <si>
    <t>38359-00</t>
  </si>
  <si>
    <t>PERIKARDIOCENTEZA</t>
  </si>
  <si>
    <t>38362-00</t>
  </si>
  <si>
    <t>PERKUTANA INSERCIJA INTRA-AORTNE BALON PUMPE</t>
  </si>
  <si>
    <t>38748-01</t>
  </si>
  <si>
    <t>PERKUTANA TRANASLUMINALNA ABLACIJA SEPTALNOG DELA MIOKARDA</t>
  </si>
  <si>
    <t>38800-00</t>
  </si>
  <si>
    <t>DIJAGNOSTIČKA TORAKOCENTEZA</t>
  </si>
  <si>
    <t>38803-00</t>
  </si>
  <si>
    <t>TERAPIJSKA TORAKOCENTEZA</t>
  </si>
  <si>
    <t>50115-00</t>
  </si>
  <si>
    <t>MANIPULACIJA/MOBILIZACIJA ZGLOBOVA, NEKLASIFIKOVANA NA DRUGOM MESTU</t>
  </si>
  <si>
    <t>90220-00</t>
  </si>
  <si>
    <t>KATETERIZACIJA/KANILACIJA OSTALILH VENA</t>
  </si>
  <si>
    <t>92036-00</t>
  </si>
  <si>
    <t>PLASIRANJE NAZOGASTIČNE SONDE</t>
  </si>
  <si>
    <t>92043-00</t>
  </si>
  <si>
    <t>PRIMENA LEKA ZA RESPIRATORNI SISTEM POMOĆU NEBULIZATORA</t>
  </si>
  <si>
    <t>92044-00</t>
  </si>
  <si>
    <t>OSTALE TERAPIJE  OBOGAĆIVANJE KISEONIKA/OM</t>
  </si>
  <si>
    <t>92052-00</t>
  </si>
  <si>
    <t>KARDIOPULMUNALNA REANIMACIJA</t>
  </si>
  <si>
    <t>92053-00</t>
  </si>
  <si>
    <t>ZATVORENA MASAŽA SRCA</t>
  </si>
  <si>
    <t>92055-00</t>
  </si>
  <si>
    <t xml:space="preserve">OSTALE KONVERZIJE SRČANOG RITMA </t>
  </si>
  <si>
    <t>92056-00</t>
  </si>
  <si>
    <t>92058-01</t>
  </si>
  <si>
    <t>92062-00</t>
  </si>
  <si>
    <t>TRANSFUZIJA KRVNIH KOMPONENETI I DERIVATA</t>
  </si>
  <si>
    <t>92063-00</t>
  </si>
  <si>
    <t>TRANSFUZIJA PLAZMA EKSPANDERA</t>
  </si>
  <si>
    <t>92100-00</t>
  </si>
  <si>
    <t>ISPIRANJE URETEROSTOME ILI URETERALNOG KATETERA</t>
  </si>
  <si>
    <t>92209-00</t>
  </si>
  <si>
    <t>92500-00</t>
  </si>
  <si>
    <t>92515-10</t>
  </si>
  <si>
    <t>96037-00</t>
  </si>
  <si>
    <t>OSTALE PROCENE, KONSULTACIJE ILI EVALUACIJE</t>
  </si>
  <si>
    <t>96066-00</t>
  </si>
  <si>
    <t>96139-00</t>
  </si>
  <si>
    <t>96197-09</t>
  </si>
  <si>
    <t>96199-02</t>
  </si>
  <si>
    <t>96199-08</t>
  </si>
  <si>
    <t>INTRAVENSKO DAVANJE FARMAKOLOŠKOG SREDSTVA, ELEKTROLIT</t>
  </si>
  <si>
    <t>96199-09</t>
  </si>
  <si>
    <t>96200-01</t>
  </si>
  <si>
    <t>96200-06</t>
  </si>
  <si>
    <t>96200-09</t>
  </si>
  <si>
    <t>96209-00</t>
  </si>
  <si>
    <t>PUNJENJE UREĐAJA ZA DAVANJE LEKA, ANTINEOPLASTIČNO SREDSTVO</t>
  </si>
  <si>
    <t>96209-09</t>
  </si>
  <si>
    <t>11000-00</t>
  </si>
  <si>
    <t>ELEKTROENCEFALOGRAFIJA (EEG)</t>
  </si>
  <si>
    <t>11503-10</t>
  </si>
  <si>
    <t>MERENJE RAZMENE GASOVA</t>
  </si>
  <si>
    <t>11900-00</t>
  </si>
  <si>
    <t>MERENJE PROTOKA URINA</t>
  </si>
  <si>
    <t>12000-00</t>
  </si>
  <si>
    <t>12203-00</t>
  </si>
  <si>
    <t>POLISOMNOGRAFIJA</t>
  </si>
  <si>
    <t>12306-00</t>
  </si>
  <si>
    <t>13750-02</t>
  </si>
  <si>
    <t>TERAPIJSKA ERITROFEREZA</t>
  </si>
  <si>
    <t>PERKUTANA CENTRALNA VENSKA KATETERIZACIJA</t>
  </si>
  <si>
    <t>VADJENJE KRVI U DIJAGNOSTIČKE SVRHE</t>
  </si>
  <si>
    <t>30084-00</t>
  </si>
  <si>
    <t>PERKUTANA BIOPSIJA KOŠTANE SRŽI, IGLOM (metoda Jamashidi)</t>
  </si>
  <si>
    <t>30087-00</t>
  </si>
  <si>
    <t>ASPIRACIONA PUNKCIJA KOŠTANE SRŽI</t>
  </si>
  <si>
    <t>FIBEROPTIČKA KOLONOSKOPIJA DO CEKUMA</t>
  </si>
  <si>
    <t>35506-02</t>
  </si>
  <si>
    <t>41892-00</t>
  </si>
  <si>
    <t>BRONHOSKOPIJA SA BIOPSIJOM (RIGIDNA)</t>
  </si>
  <si>
    <t>41898-00</t>
  </si>
  <si>
    <t>FIBEROPTIČKA BRONHOSKOPIJA</t>
  </si>
  <si>
    <t>41898-01</t>
  </si>
  <si>
    <t>FIBEROPTIČKA BRONHOSKOPIJA SA BIOPSIJOM</t>
  </si>
  <si>
    <t>APLIKACIJA LEKA U NOS</t>
  </si>
  <si>
    <t>90022-00</t>
  </si>
  <si>
    <t>OSTALE TERAPIJE OBOGAĆIVANJA KISEONIKA/OM</t>
  </si>
  <si>
    <t>TRANSFUZIJA KRVNIH KOMPONENTI I DERIVATA</t>
  </si>
  <si>
    <t>92076-00</t>
  </si>
  <si>
    <t>UKLANJANJE IMPAKTIRANOG FECESA</t>
  </si>
  <si>
    <t>92101-00</t>
  </si>
  <si>
    <t>92209-01</t>
  </si>
  <si>
    <t>92209-02</t>
  </si>
  <si>
    <t>92513-10</t>
  </si>
  <si>
    <t>96203-00</t>
  </si>
  <si>
    <t>130207</t>
  </si>
  <si>
    <t>UZIMANJE MATERIJALA SA KOŽE I VIDLJIVIH SLUZOKOŽA ZA MIKROLOŠKI, BAKTERIOLOŠKI I CITOLOŠKI PREGLED</t>
  </si>
  <si>
    <t>13706-03</t>
  </si>
  <si>
    <t>TRANSFUZIJA TROMBOCITA</t>
  </si>
  <si>
    <t>13750-00</t>
  </si>
  <si>
    <t>TERAPIJSKA PLAZMAFEREZA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</si>
  <si>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</si>
  <si>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30409-00</t>
  </si>
  <si>
    <t xml:space="preserve">PANENDOSKOPIJA DO DUODENUMA </t>
  </si>
  <si>
    <t>30484-00</t>
  </si>
  <si>
    <t>ENDOSKOPSKA RETROGRADNA HOLANGIOPANKREATOGRAFIJA (ERPC)</t>
  </si>
  <si>
    <t>30485-01</t>
  </si>
  <si>
    <t>32084-00</t>
  </si>
  <si>
    <t>32093-00</t>
  </si>
  <si>
    <t>90297-02</t>
  </si>
  <si>
    <t>90686-01</t>
  </si>
  <si>
    <t>OBRADA KOŽE I POTKOŽNOG TKIVA BEZ EKSCIZIJE</t>
  </si>
  <si>
    <t>ODRŽAVANJE KATETERA, PLASIRANOG RADI ADMINISTRACIJE LEKA</t>
  </si>
  <si>
    <t>92514-10</t>
  </si>
  <si>
    <t>92514-39</t>
  </si>
  <si>
    <t>92514-40</t>
  </si>
  <si>
    <t>92514-49</t>
  </si>
  <si>
    <t>SEDACIJA, ASA 10</t>
  </si>
  <si>
    <t>92515-19</t>
  </si>
  <si>
    <t>SEDACIJA, ASA 19</t>
  </si>
  <si>
    <t>92515-20</t>
  </si>
  <si>
    <t>SEDACIJA, ASA 20</t>
  </si>
  <si>
    <t>92515-29</t>
  </si>
  <si>
    <t>SEDACIJA, ASA 29</t>
  </si>
  <si>
    <t>92515-39</t>
  </si>
  <si>
    <t>SEDACIJA, ASA 39</t>
  </si>
  <si>
    <t>92515-40</t>
  </si>
  <si>
    <t>SEDACIJA ASA 40</t>
  </si>
  <si>
    <t>92515-49</t>
  </si>
  <si>
    <t>92518-01</t>
  </si>
  <si>
    <t>96191-00</t>
  </si>
  <si>
    <t>96197-01</t>
  </si>
  <si>
    <t>96199-00</t>
  </si>
  <si>
    <t>INTRAVENSKO DAVANJE FARMAKOLOŠKOG SREDSTVA, DRUGO I NEKLASIFIKOVANO SREDSTVO</t>
  </si>
  <si>
    <t>96205-09</t>
  </si>
  <si>
    <t>NEKI DRUGI NAČIN DAVANJA FARMAKOLOŠKOG SREDSTVA, DRUGO I NEKLASIFIKOVANO FARMAKOLOŠKO SREDSTVO</t>
  </si>
  <si>
    <t>TRANSFUZIJA ERITROCIJA</t>
  </si>
  <si>
    <t>13706-05</t>
  </si>
  <si>
    <t>TRANSFUZIJA GAMA GLOBULINA</t>
  </si>
  <si>
    <t>13757-00</t>
  </si>
  <si>
    <t>TERAPIJSKA VENESEKCIJA</t>
  </si>
  <si>
    <t>30329-00</t>
  </si>
  <si>
    <t>EKSCIZIJA LIMFNOG ČVORA PREPONE</t>
  </si>
  <si>
    <t>30332-00</t>
  </si>
  <si>
    <t>EKSCIZIJA LIMFNOG ČVORA AKSILE</t>
  </si>
  <si>
    <t>ANOREKTALNI PREGLED</t>
  </si>
  <si>
    <t>36800-01</t>
  </si>
  <si>
    <t>39000-00</t>
  </si>
  <si>
    <t>LUMBALNA PUNKCIJA</t>
  </si>
  <si>
    <t>41650-01</t>
  </si>
  <si>
    <t>INSPEKCIJA BUBNE OPNE, OBOSTRANO</t>
  </si>
  <si>
    <t>41653-00</t>
  </si>
  <si>
    <t>PREDNJA RINOSKOPIJA I/ILI ZADNJA RINOSKOPIJA</t>
  </si>
  <si>
    <t>41849-00</t>
  </si>
  <si>
    <t>92001-00</t>
  </si>
  <si>
    <t>OPŠTI FIZIKALNI PREGLED</t>
  </si>
  <si>
    <t>92030-00</t>
  </si>
  <si>
    <t>RETAMPONADA NOSA</t>
  </si>
  <si>
    <t>92031-00</t>
  </si>
  <si>
    <t>DETAMPONADA NOSA</t>
  </si>
  <si>
    <t>92037-00</t>
  </si>
  <si>
    <t>ISPIRANJE NAZOGASTIČNE SONDE</t>
  </si>
  <si>
    <t>92049-00</t>
  </si>
  <si>
    <t>92061-00</t>
  </si>
  <si>
    <t>INFILTRACIJA LOKALNOG ANESTETIKA, ASA 10</t>
  </si>
  <si>
    <t>92514-29</t>
  </si>
  <si>
    <t>96171-00</t>
  </si>
  <si>
    <t>PRATNJA ILI TRANSPORT KLIJENATA</t>
  </si>
  <si>
    <t>INTRAVENSKO DAVANJE FARMAKOLOŠKOG SREDSTVA, ANTINEOPLASTIČNO SREDSTVO</t>
  </si>
  <si>
    <t>INTRAVENSKO DAVANJE FARMAKOLOŠKOG SREDSTVA,ANTI-INFEKTIVNO SREDSTVO</t>
  </si>
  <si>
    <t>96199-03</t>
  </si>
  <si>
    <t>INTRAVENSKO DAVANJE FARMAKOLOŠKOG SREDSTVA, STEROID</t>
  </si>
  <si>
    <t>96199-04</t>
  </si>
  <si>
    <t xml:space="preserve">INTRAVENSKO DAVANJE FARMAKOLOŠKOG SREDSTVA, ANTIDOT  </t>
  </si>
  <si>
    <t>96200-00</t>
  </si>
  <si>
    <t>96202-02</t>
  </si>
  <si>
    <t>96202-09</t>
  </si>
  <si>
    <t>96203-01</t>
  </si>
  <si>
    <t>96203-02</t>
  </si>
  <si>
    <t>96203-03</t>
  </si>
  <si>
    <t>96203-09</t>
  </si>
  <si>
    <t>96205-00</t>
  </si>
  <si>
    <t>PUNJENJE UREĐAJA ZA DAVANJE LEKA, DRUGO I NEKLASIFIKOVANO FARMAKOLOŠKO SREDSTVO</t>
  </si>
  <si>
    <t>11312-00</t>
  </si>
  <si>
    <t>41647-01</t>
  </si>
  <si>
    <t>90660-00</t>
  </si>
  <si>
    <t>92016-00</t>
  </si>
  <si>
    <t>95550-11</t>
  </si>
  <si>
    <t>UDRUŽENE ZDRAVSTVENE PROCEDURE, DRUGO</t>
  </si>
  <si>
    <t>96197-02</t>
  </si>
  <si>
    <t>96197-06</t>
  </si>
  <si>
    <t>INTRAMUSKULARNO DAVANJE FARMAKOLOŠKOG SREDSTVA, INSULIN</t>
  </si>
  <si>
    <t>96199-01</t>
  </si>
  <si>
    <t>INTRAVENSKO DAVANJE FARMAKOLOŠKOG SREDSTVA, TROMBOLITIČKO SREDSTVO</t>
  </si>
  <si>
    <t>96199-06</t>
  </si>
  <si>
    <t>241027</t>
  </si>
  <si>
    <t>11324-00</t>
  </si>
  <si>
    <t>TIMPANOMETRIJA STANDARDNIM PROBNIM TONOM</t>
  </si>
  <si>
    <t>13706-01</t>
  </si>
  <si>
    <t>TRANSFUZIJA PUNE KRVI</t>
  </si>
  <si>
    <t>14200-00</t>
  </si>
  <si>
    <t>GASTRIČNA LAVAŽA</t>
  </si>
  <si>
    <t>90119-00</t>
  </si>
  <si>
    <t>OTOSKOPIJA</t>
  </si>
  <si>
    <t>92500-02</t>
  </si>
  <si>
    <t xml:space="preserve">HITNA PREOPERATIVNA ANESTEZIOLOŠKA PROCENA </t>
  </si>
  <si>
    <t>92511-29</t>
  </si>
  <si>
    <t>92513-29</t>
  </si>
  <si>
    <t>92513-30</t>
  </si>
  <si>
    <t>92513-39</t>
  </si>
  <si>
    <t>INTRAVENSKA POST-PROCEDURALNA INFUZIJA ANALGETIKA</t>
  </si>
  <si>
    <t>96052-00</t>
  </si>
  <si>
    <t>96157-00</t>
  </si>
  <si>
    <t>DRENAŽA RESPIRATORNOG SISTEMA BEZ INCIZIJE</t>
  </si>
  <si>
    <t>96206-09</t>
  </si>
  <si>
    <t>NENAZNAČEN NAČIN DAVANJA FARMAKOLOŠKOG SREDSTVA, DRUGO I NEKLASIFIKOVANO FARMAKOLOŠKO SREDSTVO</t>
  </si>
  <si>
    <t>34530-04</t>
  </si>
  <si>
    <t>UKLANJANJE VENSKOG KATETERA</t>
  </si>
  <si>
    <t xml:space="preserve">KATETERIZACIJA MOKRAĆNE BEŠIKE </t>
  </si>
  <si>
    <t>92035-00</t>
  </si>
  <si>
    <t>DRUGE INTUBACIJE RESPIRATORNOG TRAKTA</t>
  </si>
  <si>
    <t>11324-01</t>
  </si>
  <si>
    <t>TIMPANOMETRIJA VISOKO FREKVENTNIM PROBNIM TONOM</t>
  </si>
  <si>
    <t>92078-00</t>
  </si>
  <si>
    <t>ZAMENA (NAZO-)GASTRIČNE SONDE ILI CEVI EZOFAGASTOME</t>
  </si>
  <si>
    <t>92118-00</t>
  </si>
  <si>
    <t>92194-00</t>
  </si>
  <si>
    <t>OBDUKCIJA</t>
  </si>
  <si>
    <t>96053-00</t>
  </si>
  <si>
    <t>TEST OPADANJA AKUSTIČNOG REFLEKSA</t>
  </si>
  <si>
    <t>96124-00</t>
  </si>
  <si>
    <t>TERAPIJA ZGLOBA KUKA VEŽBANJEM</t>
  </si>
  <si>
    <t>96197-03</t>
  </si>
  <si>
    <t>INTRAMUSKULARNO DAVANJE FARMAKOLOŠKOG SREDSTVA, STEROIDI</t>
  </si>
  <si>
    <t>OSTALE USLUGE TBC</t>
  </si>
  <si>
    <t>ISPIRANJE OSTALIH TRAJNIH KATETERA MOKRAĆNE BEŠIKE</t>
  </si>
  <si>
    <t>250107</t>
  </si>
  <si>
    <t>16514-00</t>
  </si>
  <si>
    <t>INTERNI CTG MONITORING PLODA</t>
  </si>
  <si>
    <t>16514-01</t>
  </si>
  <si>
    <t>EKSTERNI CTG  MONITORING FETUSA</t>
  </si>
  <si>
    <t>16564-00</t>
  </si>
  <si>
    <t>30026-00</t>
  </si>
  <si>
    <t>REPARACIJA RANE NA KOŽI POTKOŽNOM TKIVU OSTALIH OBLASTI, POVRŠINSKA</t>
  </si>
  <si>
    <t>30195-05</t>
  </si>
  <si>
    <t>35500-00</t>
  </si>
  <si>
    <t>GINEKOLOŠKI PREGLED</t>
  </si>
  <si>
    <t>35503-00</t>
  </si>
  <si>
    <t>UBACIVANJE INTRAUTERINOG UREĐAJA (IUD)</t>
  </si>
  <si>
    <t>35507-01</t>
  </si>
  <si>
    <t>DESTRUKCIJA BRADAVICA VULVE</t>
  </si>
  <si>
    <t>35520-00</t>
  </si>
  <si>
    <t>35608-00</t>
  </si>
  <si>
    <t>KAUTERIZACIJA PROMENA NA GRLIĆU MATERICE</t>
  </si>
  <si>
    <t>35615-00</t>
  </si>
  <si>
    <t>35640-02</t>
  </si>
  <si>
    <t>35643-03</t>
  </si>
  <si>
    <t>DILATACIJA I EVAKUACIJA SADRŽAJA MATERICE</t>
  </si>
  <si>
    <t>36812-00</t>
  </si>
  <si>
    <t>CISTOSKOPIJA</t>
  </si>
  <si>
    <t>36821-01</t>
  </si>
  <si>
    <t>HISTEROSALPINGOGRAFIJA</t>
  </si>
  <si>
    <t>90438-00</t>
  </si>
  <si>
    <t>OSTALE PROCEDURE NA VAGINI</t>
  </si>
  <si>
    <t>90462-00</t>
  </si>
  <si>
    <t>INDUKCIJA POBAČAJA PROSTAGLANDINSKOM VAGINALETOM</t>
  </si>
  <si>
    <t>90466-00</t>
  </si>
  <si>
    <t>AKTIVNO VOĐENJE POROĐAJA PRIMENOM LEKOVA</t>
  </si>
  <si>
    <t>90466-01</t>
  </si>
  <si>
    <t>AKTIVNO VOĐENJE POROĐAJA AKUŠERSKIM INTERVENCIJAMA</t>
  </si>
  <si>
    <t>90479-00</t>
  </si>
  <si>
    <t>SUTURA LACERACIJE VAGINE NAKON POROĐAJA</t>
  </si>
  <si>
    <t>92103-00</t>
  </si>
  <si>
    <t>VAGINALNO ISPIRANJE</t>
  </si>
  <si>
    <t>92104-00</t>
  </si>
  <si>
    <t>VAGINALNA ŠTRAJFNA</t>
  </si>
  <si>
    <t>92110-00</t>
  </si>
  <si>
    <t>ZAMENA ŠTRAJFNE ILI DRENA VAGINE ILI VULVE</t>
  </si>
  <si>
    <t>92112-00</t>
  </si>
  <si>
    <t>UKLANJANJE ŠTRAJFNE VAGINE ILI VULVE</t>
  </si>
  <si>
    <t>92114-00</t>
  </si>
  <si>
    <t>92130-00</t>
  </si>
  <si>
    <t>92200-00</t>
  </si>
  <si>
    <t>UKLANJANJE ŠAVOVA, NEKLASIFIKOVANIH NA DRUGOM MESTU</t>
  </si>
  <si>
    <t>92203-00</t>
  </si>
  <si>
    <t>EKSTRAKCIJA MLEKA IZ DOJKE U LAKTACIJI</t>
  </si>
  <si>
    <t>92513-19</t>
  </si>
  <si>
    <t>92513-20</t>
  </si>
  <si>
    <t>92513-49</t>
  </si>
  <si>
    <t>92514-19</t>
  </si>
  <si>
    <t>96197-00</t>
  </si>
  <si>
    <t>96197-07</t>
  </si>
  <si>
    <t>96197-08</t>
  </si>
  <si>
    <t>96199-07</t>
  </si>
  <si>
    <t>13312-00</t>
  </si>
  <si>
    <t>VAĐENJE KRVI NOVOROĐENČETA U DIJAGNOSTIČKE SVRHE</t>
  </si>
  <si>
    <t>16571-00</t>
  </si>
  <si>
    <t>SUTURA RUPTURE GRLIĆA MATERICE NAKON POROĐAJA</t>
  </si>
  <si>
    <t>90465-00</t>
  </si>
  <si>
    <t>INDUKCIJA POROĐAJA OKSITOCINOM</t>
  </si>
  <si>
    <t>90465-01</t>
  </si>
  <si>
    <t>INDUKCIJA POROĐAJA PROSTAGLANDINOM</t>
  </si>
  <si>
    <t>90466-02</t>
  </si>
  <si>
    <t>VOĐENJE POROĐAJA MEDIKAMENTIMA I AKUŠERSKIM INTERVENCIJAMA</t>
  </si>
  <si>
    <t>90481-00</t>
  </si>
  <si>
    <t>POSTPARTALNA MANUELNA REVIZIJA MTERIČNE ŠUPLJINE</t>
  </si>
  <si>
    <t>90484-00</t>
  </si>
  <si>
    <t>EVAKUACIJA HEMATOMA PERINEUMA NAKON POROĐAJA INCIZIJOM</t>
  </si>
  <si>
    <t>92145-00</t>
  </si>
  <si>
    <t>VAKCINACIJA PROTIV TUBERKULOZE</t>
  </si>
  <si>
    <t>92168-00</t>
  </si>
  <si>
    <t>VAKCINACIJA PROTIV HEPATITISA B</t>
  </si>
  <si>
    <t>92204-00</t>
  </si>
  <si>
    <t>NEINVAZIVNI DIJAGNOSTIČKI TESTOVI, MERENJA ILI ISTRAŽIVANJA, NEKVALIFIKOVANA NA DRUGOM MESTU</t>
  </si>
  <si>
    <t>92507-10</t>
  </si>
  <si>
    <t>92508-10</t>
  </si>
  <si>
    <t>92508-20</t>
  </si>
  <si>
    <t>92508-29</t>
  </si>
  <si>
    <t>92514-20</t>
  </si>
  <si>
    <t>96200-02</t>
  </si>
  <si>
    <t>13300-02</t>
  </si>
  <si>
    <t>UMBILIKALNA VENSKA KATETERIZACIJA/KANILACIJA KOD NOVOROĐENČETA</t>
  </si>
  <si>
    <t xml:space="preserve">PREVIJANJE RANE </t>
  </si>
  <si>
    <t>90677-00</t>
  </si>
  <si>
    <t>OSTALE PROCEDURE FOTOTERAPIJE , NA KOŽI</t>
  </si>
  <si>
    <t>92178-00</t>
  </si>
  <si>
    <t>TERAPIJA TOPLOTOM</t>
  </si>
  <si>
    <t>260076</t>
  </si>
  <si>
    <t>UZORKOVANJE I SLANJE MATERIJALA ZA LABORATORIJSKO ISPITIVANJE</t>
  </si>
  <si>
    <t>310049</t>
  </si>
  <si>
    <t>ANTROPOMETRIJA LONGITUDINALNIH MERA</t>
  </si>
  <si>
    <t>11503-12</t>
  </si>
  <si>
    <t>MERENJE TOTALNOG PLUĆNOG VOLUMENA</t>
  </si>
  <si>
    <r>
      <t xml:space="preserve">TEST KOŽNE OSETLJIVOSTI SA </t>
    </r>
    <r>
      <rPr>
        <u/>
        <sz val="8"/>
        <rFont val="Times New Roman"/>
        <family val="1"/>
        <charset val="238"/>
      </rPr>
      <t xml:space="preserve">&lt; 20 </t>
    </r>
    <r>
      <rPr>
        <sz val="8"/>
        <rFont val="Times New Roman"/>
        <family val="1"/>
        <charset val="238"/>
      </rPr>
      <t>ALERGENA</t>
    </r>
  </si>
  <si>
    <t>92029-00</t>
  </si>
  <si>
    <t>LAVAŽA NOSNICA</t>
  </si>
  <si>
    <t>PRAG AKUSTIČNOG REFLEKSA</t>
  </si>
  <si>
    <t>INTRAMUSKULARNO DAVANJE FARMAKOLOŠKOG SREDSTVA, TROMBOLITIČKO SREDSTVO</t>
  </si>
  <si>
    <t>PERKUTANA VENSKA CENTRALNA KATETERIZACIJA</t>
  </si>
  <si>
    <t>REPARACIJA RANE NA KOŽI I POTKOŽNOM TKIVU OSTALIH OBLASTI, POVRŠINSKA</t>
  </si>
  <si>
    <t>30064-00</t>
  </si>
  <si>
    <t>UKLANJANJE STRANOG TELA IZ KOŽE I POTKOŽNOG TKIVA  INCIZIJOM</t>
  </si>
  <si>
    <t>30094-00</t>
  </si>
  <si>
    <t>PERKUTANA BIOPSIJA MEKIH TKIVA (IGLOM)</t>
  </si>
  <si>
    <t>30223-02</t>
  </si>
  <si>
    <t>30224-01</t>
  </si>
  <si>
    <t>PERKUTANA DRENAŽA INTRA-ABDOMINALNOG APSCESA, HEMATOMA ILI CISTE</t>
  </si>
  <si>
    <t>30375-01</t>
  </si>
  <si>
    <t>OSTALE ENTEROSTOMIJE</t>
  </si>
  <si>
    <t>30375-28</t>
  </si>
  <si>
    <t>PRIVREMENA KOLOSTOMA</t>
  </si>
  <si>
    <t>31533-00</t>
  </si>
  <si>
    <t>BIOPSIJA DOJKE IGLOM</t>
  </si>
  <si>
    <t>32009-00</t>
  </si>
  <si>
    <t>TOTALNA KOLEKTOMIJA SA ILEOSTOMOM</t>
  </si>
  <si>
    <t>32075-00</t>
  </si>
  <si>
    <t>32099-00</t>
  </si>
  <si>
    <t>32132-00</t>
  </si>
  <si>
    <t>SKLEROTERAPIJA HEMOROIDA</t>
  </si>
  <si>
    <t>32174-01</t>
  </si>
  <si>
    <t>34106-09</t>
  </si>
  <si>
    <t>EKSPLORACIJA OSTALIH VENA</t>
  </si>
  <si>
    <t>37315-00</t>
  </si>
  <si>
    <t>47451-00</t>
  </si>
  <si>
    <t>47597-00</t>
  </si>
  <si>
    <t>47948-00</t>
  </si>
  <si>
    <t>ODSTRANJENJE SREDSTVA ZA IMOBILIZACIJU</t>
  </si>
  <si>
    <t>49854-00</t>
  </si>
  <si>
    <t>50124-01</t>
  </si>
  <si>
    <t>90344-00</t>
  </si>
  <si>
    <t>90344-01</t>
  </si>
  <si>
    <t>90563-00</t>
  </si>
  <si>
    <t>PRIMENA SREDSTVA U KOŽI I POTKOŽNOM TKIVU</t>
  </si>
  <si>
    <t>90661-00</t>
  </si>
  <si>
    <t>OSTALE INCIZIJE KOŽE I POTKOŽNOG TKIVA</t>
  </si>
  <si>
    <t>92138-00</t>
  </si>
  <si>
    <t>UKLANJANJE STRANOG TELA SA GLAVE ILI VRATA BEZ INCIZIJE</t>
  </si>
  <si>
    <t>92508-39</t>
  </si>
  <si>
    <t>92510-10</t>
  </si>
  <si>
    <t>REGIONALNA BLOKADA, NERVA STABLA ASA 10</t>
  </si>
  <si>
    <t>92511-39</t>
  </si>
  <si>
    <t>92512-39</t>
  </si>
  <si>
    <t>INFILTRACIJA LOKALNOG ANESTETIKA, ASA 19</t>
  </si>
  <si>
    <t>INFILTRACIJA LOKALNOG ANESTETIKA, ASA 39</t>
  </si>
  <si>
    <t>92514-30</t>
  </si>
  <si>
    <t>92514-50</t>
  </si>
  <si>
    <t>92515-30</t>
  </si>
  <si>
    <t xml:space="preserve">PREVENTIVNO SAVETOVANJE ILI PODUČAVANJE </t>
  </si>
  <si>
    <t>97011-00</t>
  </si>
  <si>
    <t>SVEOBUHVATNI ORALNI PREGLED</t>
  </si>
  <si>
    <t>18216-00</t>
  </si>
  <si>
    <t>EPIDURALNA INFUZIJA LOKALNOG ANESTETIKA</t>
  </si>
  <si>
    <t>18216-27</t>
  </si>
  <si>
    <t>EPIDURALNA INJEKCIJA LOKALNOG ANESTETIKA</t>
  </si>
  <si>
    <t>39133-01</t>
  </si>
  <si>
    <t>UKLANJANJE KATETERA IZ KIČMENOG PROSTORA</t>
  </si>
  <si>
    <t>47048-00</t>
  </si>
  <si>
    <t>92025-00</t>
  </si>
  <si>
    <t>ISPIRANJE OKA</t>
  </si>
  <si>
    <t>92041-00</t>
  </si>
  <si>
    <t>92060-00</t>
  </si>
  <si>
    <t>92064-00</t>
  </si>
  <si>
    <t>92507-19</t>
  </si>
  <si>
    <t>92507-20</t>
  </si>
  <si>
    <t>92508-19</t>
  </si>
  <si>
    <t>92508-30</t>
  </si>
  <si>
    <t>92508-40</t>
  </si>
  <si>
    <t>92508-49</t>
  </si>
  <si>
    <t>92509-29</t>
  </si>
  <si>
    <t>92509-39</t>
  </si>
  <si>
    <t>92511-19</t>
  </si>
  <si>
    <t>92512-19</t>
  </si>
  <si>
    <t>92512-29</t>
  </si>
  <si>
    <t>OPŠTA ANESTEZIJA ASA 50</t>
  </si>
  <si>
    <t>92514-59</t>
  </si>
  <si>
    <t>OPŠTA ANESTEZIJA ASA 59</t>
  </si>
  <si>
    <t>SEDACIJA, ASA 30</t>
  </si>
  <si>
    <t>SEDACIJA, ASA 40</t>
  </si>
  <si>
    <t xml:space="preserve">MERENJE PROTOKA URINA </t>
  </si>
  <si>
    <t>31205-01</t>
  </si>
  <si>
    <t>EKSCIZIJA ČIRA NA KOŽI I POTKOŽNOM TKIVU</t>
  </si>
  <si>
    <t>36652-00</t>
  </si>
  <si>
    <t>RETROGRADNA URETERORENOSKOPIJA</t>
  </si>
  <si>
    <t>36812-01</t>
  </si>
  <si>
    <t xml:space="preserve">CISTOSKOPIJA KROZ ARTEFICIJALNU STOMU </t>
  </si>
  <si>
    <t>36818-00</t>
  </si>
  <si>
    <t>ENDOSKOPSKA KATETERIZACIJA URETERA SA RETROGRADNOM URETEROPIJELOGRAFIJOM (CHEVASSU) - JEDNOSTRANA</t>
  </si>
  <si>
    <t>36821-03</t>
  </si>
  <si>
    <t>36824-00</t>
  </si>
  <si>
    <t>36842-00</t>
  </si>
  <si>
    <t>36845-06</t>
  </si>
  <si>
    <t>36851-00</t>
  </si>
  <si>
    <t>ENDOSKOPSKO DAVANJE LEKOVA U ZID MOKRAĆNE BEŠIKE</t>
  </si>
  <si>
    <t>37303-00</t>
  </si>
  <si>
    <t>DILATACIJA STENOZE URETRE (BUŽIRANJE)</t>
  </si>
  <si>
    <t>47579-00</t>
  </si>
  <si>
    <t>IMOBILIZACIJA PRELOMA PATELE</t>
  </si>
  <si>
    <t>PROCENA OPŠTEG IZGLEDA OKA I ADNEKSA</t>
  </si>
  <si>
    <t>92195-00</t>
  </si>
  <si>
    <t>UZIMANJE MATERJALA SA KOŽE I VIDLJIVIH SLUZOKOŽA ZA MIKROLOŠKI,BAKTERIOLOŠKI I CITOLOŠKI PREGLED</t>
  </si>
  <si>
    <t>36516-06</t>
  </si>
  <si>
    <t>36519-01</t>
  </si>
  <si>
    <t>90013-00</t>
  </si>
  <si>
    <t>BIOPSIJA NERVA</t>
  </si>
  <si>
    <t>90204-00</t>
  </si>
  <si>
    <t>UKLANJANJE DONORSKOG SRCA ZA TRANSPLANTACIJU</t>
  </si>
  <si>
    <t>92046-00</t>
  </si>
  <si>
    <t>ZAMENA KANILE ZA TRAHEOSTOMIJU</t>
  </si>
  <si>
    <t>KARDIOPULMONALNA REANIMACIJA</t>
  </si>
  <si>
    <t>30052-02</t>
  </si>
  <si>
    <t>REPARACIJA RANE NA USNI</t>
  </si>
  <si>
    <t>47009-00</t>
  </si>
  <si>
    <t>ZATVORENA REPOZICIJA ISČAŠENJA RAMENA</t>
  </si>
  <si>
    <t>ZATVORENA REPOZICIJA IŠČAŠENJA ZGLOBA KUKA</t>
  </si>
  <si>
    <t>47054-00</t>
  </si>
  <si>
    <t>47063-00</t>
  </si>
  <si>
    <t>47324-00</t>
  </si>
  <si>
    <t>47336-00</t>
  </si>
  <si>
    <t>ZATVORENA REPOZICIJA PRELOMA METAKARPUSA</t>
  </si>
  <si>
    <t>47348-00</t>
  </si>
  <si>
    <t>47360-00</t>
  </si>
  <si>
    <t>IMOBILIZACIJA PRELOMA DISTALNOG DELA RADIJUSA</t>
  </si>
  <si>
    <t>47363-01</t>
  </si>
  <si>
    <t>ZATVORENA REPOZICIJA PRELOMA DISTALNOG DELA ULNE</t>
  </si>
  <si>
    <t>47387-00</t>
  </si>
  <si>
    <t>47396-00</t>
  </si>
  <si>
    <t>ZATVORENA REPOZICIJA PRELOMA OLEKRANONA</t>
  </si>
  <si>
    <t>47444-00</t>
  </si>
  <si>
    <t xml:space="preserve">IMOBILIZACIJA PRELOMA TELA HUMERUSA </t>
  </si>
  <si>
    <t>47462-00</t>
  </si>
  <si>
    <t>ZATVORENA REPOZICIJA PRELOMA KLJUČNE KOSTI</t>
  </si>
  <si>
    <t>47495-00</t>
  </si>
  <si>
    <t>TRAKCIJA ZBOG PRELOMA ACETABULUMA</t>
  </si>
  <si>
    <t xml:space="preserve">ZATVORENA REPOZICIJA PRELOMA SKOČNOG ZGLOBA  </t>
  </si>
  <si>
    <t>49721-00</t>
  </si>
  <si>
    <t>50124-00</t>
  </si>
  <si>
    <t>50352-00</t>
  </si>
  <si>
    <t>IMOBILIZACIJA IŠČAŠENOG ZGLOBA KUKA</t>
  </si>
  <si>
    <t>90582-01</t>
  </si>
  <si>
    <t>90595-00</t>
  </si>
  <si>
    <t>92510-29</t>
  </si>
  <si>
    <t>REGIONALNA BLOKADA, NERVA DONJEG EKSTREMITETA, ASA</t>
  </si>
  <si>
    <t>INFILTRACIJA LOKALNOG ANESTETIKA, ASA 29</t>
  </si>
  <si>
    <t>OPŠTA ANESTEZIJA, ASA 39</t>
  </si>
  <si>
    <t>96095-00</t>
  </si>
  <si>
    <t>96123-00</t>
  </si>
  <si>
    <t>SUBKUTANO DAVANJE FARMAKOLOŠKOG SREDSTVA, TROMBOLITIČKO SREDSTVO</t>
  </si>
  <si>
    <t>SUBKUTANO DAVANJE FARMAKOLOŠKOG SREDSTVA, INSULIN</t>
  </si>
  <si>
    <t>AUDIOMETRIJA, VAZDUŠNA I KOŠTANA SPROVODLJIVOST, STANDARDNA TEHNIKA</t>
  </si>
  <si>
    <t>30035-00</t>
  </si>
  <si>
    <t>30061-01</t>
  </si>
  <si>
    <t>31230-00</t>
  </si>
  <si>
    <t>41500-00</t>
  </si>
  <si>
    <t>41626-00</t>
  </si>
  <si>
    <t>MIRINOGOTOMIJA, JEDNOSTRANA</t>
  </si>
  <si>
    <t>41626-01</t>
  </si>
  <si>
    <t>MIRINGOTOMIJA, DVOSTRANA</t>
  </si>
  <si>
    <t>41647-00</t>
  </si>
  <si>
    <t>TOALETA UVA DVOSTRANO</t>
  </si>
  <si>
    <t>41650-00</t>
  </si>
  <si>
    <t>INSPEKCIJA BUBNE OPNE, JEDNOSTRANA</t>
  </si>
  <si>
    <t>41659-00</t>
  </si>
  <si>
    <t>41677-00</t>
  </si>
  <si>
    <t>HEMOSTAZA EPISTAKSE PREDNJOM TAMPONADOM ILI KAUTERIZACIJOM</t>
  </si>
  <si>
    <t>41761-00</t>
  </si>
  <si>
    <t>PREGLED NOSNE ŠUPLJINE I/ILI POSTNAZALNOG PROSTORA SA BIOPSIJOM</t>
  </si>
  <si>
    <t>SINUSOSKOPIJA</t>
  </si>
  <si>
    <t>41816-00</t>
  </si>
  <si>
    <t>41825-00</t>
  </si>
  <si>
    <t>EKSTRAKCIJA STRANOG TELA IZ JEDNJAKA RIGIDNIM ENDOSKOPOM</t>
  </si>
  <si>
    <t xml:space="preserve">LARINGOSKOPIJA  </t>
  </si>
  <si>
    <t>41855-00</t>
  </si>
  <si>
    <t>MIKROLARINGOSKPIJA</t>
  </si>
  <si>
    <t>45676-00</t>
  </si>
  <si>
    <t>OSTALE REPARACIJE U USNOJ ŠUPLJINI</t>
  </si>
  <si>
    <t>47738-00</t>
  </si>
  <si>
    <t>ZATVORENA REPOZICIJA PRELOMA NOSNE KOSTI</t>
  </si>
  <si>
    <t>MANIPULACIJA/MOBILIZACIJA ZGLOBOVA, NEKVALIFIKOVANA NA DRUGOM MESTU.</t>
  </si>
  <si>
    <t>53410-00</t>
  </si>
  <si>
    <t>90111-00</t>
  </si>
  <si>
    <t>OSTALE PROCEDURE NA SPOLJAŠNJEM UVU</t>
  </si>
  <si>
    <t>90143-00</t>
  </si>
  <si>
    <t>OSTALE PROCEDURE U USTIMA</t>
  </si>
  <si>
    <t>92027-00</t>
  </si>
  <si>
    <t>TAMPONADA SPOLJAŠNJEG SLUŠNOG KANALA</t>
  </si>
  <si>
    <t xml:space="preserve">TONOMETRIJA </t>
  </si>
  <si>
    <t>92509-19</t>
  </si>
  <si>
    <t>96024-00</t>
  </si>
  <si>
    <t>PROCENA POTREBE ZA UREĐAJEM ILI OPREMOM KOJA SLUŽI KAO POMOĆ</t>
  </si>
  <si>
    <t>96038-00</t>
  </si>
  <si>
    <t>MERENJE OŠTRINE VIDA</t>
  </si>
  <si>
    <t>96156-00</t>
  </si>
  <si>
    <t>TERAPIJSKO ZATVARANJE OKA ZAVOJEM</t>
  </si>
  <si>
    <t>96215-00</t>
  </si>
  <si>
    <t>INCIZIJA I DRENAŽA LEZIJA U UŠNOJ ŠUPLJINI</t>
  </si>
  <si>
    <t>241025</t>
  </si>
  <si>
    <t>PRILAGOĐAVANJE DOZA LEKA NA OSNOVU LABORATORIJSKIH PARAMETRA (BIOHEMIJSKI PARAMETRI, NIVO LEKA U KRVI, STANJE PAIJENTA...) (USLUGU OBAVLJA SPECIJALISTA)</t>
  </si>
  <si>
    <t>241026</t>
  </si>
  <si>
    <t>PROVERA MOGUĆIH INTERREAKCIJA MEĐU PRIMENJENIM LEKOVIMA</t>
  </si>
  <si>
    <t>241028</t>
  </si>
  <si>
    <t>PRAĆENJE POTENCIJALNO NEŽELJENE REAKCIJE NA LEK</t>
  </si>
  <si>
    <t>241032</t>
  </si>
  <si>
    <t>PRAĆENJE SPROVOĐENJA UTRVRĐENIH TERAPIJSKIH PROTOKOLA LEČENJEM</t>
  </si>
  <si>
    <t>241036</t>
  </si>
  <si>
    <t>REKONSTRUISANJE CITOTOKSIČNOG LEKA POD KONTROLISANIM USLOVIMA</t>
  </si>
  <si>
    <t>270102</t>
  </si>
  <si>
    <t xml:space="preserve">TERAPIJSKA ERITROFEREZA </t>
  </si>
  <si>
    <t>ENDOTRAHEALNA INTUBACIJA JEDNOLUMENSKI TUBUS</t>
  </si>
  <si>
    <t xml:space="preserve">DIJAGNOSTIČKA TORAKOCENTEZA </t>
  </si>
  <si>
    <t>TRANSFUZIJA FAKTORA KOAGULACIJE</t>
  </si>
  <si>
    <t>UKLANJANJE IPLAKTIRANOG FECESA</t>
  </si>
  <si>
    <t>92099-00</t>
  </si>
  <si>
    <t>ISPIRANJE NEFROSTOME ILI PIJELOSTOME</t>
  </si>
  <si>
    <t>OPŠTA ANESTEZIJA, ASA 30</t>
  </si>
  <si>
    <t>96072-00</t>
  </si>
  <si>
    <t>INTRAVENSKO DAVANJE FARMAKOLOŠKOG SREDSTVA, HRANLJIVA SUPSTANCA</t>
  </si>
  <si>
    <t>INTRAVENSKO DAVANJE FARMAKOLOŠKOG SREDSTVA, DRUGO I NEKLASIFIKOVANO FARMAKOLOŠKO SREDSTVO</t>
  </si>
  <si>
    <t>SUBKUTANO DAVANJE FARMAKOLOŠKOG SREDSTVA, DRUGO I NEKLASIFIKOVANO FARMAKOLOŠKO SREDSTVO</t>
  </si>
  <si>
    <t>96201-00</t>
  </si>
  <si>
    <t>INTRAKAVITARNO DAVANJE FARMAKOLOŠKOG SREDSTVA, ANTINEOPLASTIČNO SREDSTVO</t>
  </si>
  <si>
    <t>96202-07</t>
  </si>
  <si>
    <t>ORALNO DAVANJE FARMAKOLOŠKOG SREDSTVA, TROMBOLITIČKO SREDSTVO</t>
  </si>
  <si>
    <t>ORALNO DAVANJE FARMAKOLOŠKOG SREDSTVA, ANTI-INFEKTIVNO SREDSTVO</t>
  </si>
  <si>
    <t>96203-06</t>
  </si>
  <si>
    <t>96203-07</t>
  </si>
  <si>
    <t>ORALNO DAVANJE FARMAKOLOŠKOG SREDSTVA, HRANLJIVA STUBSTANCA</t>
  </si>
  <si>
    <t>96203-08</t>
  </si>
  <si>
    <t>96206-00</t>
  </si>
  <si>
    <t>96129-00</t>
  </si>
  <si>
    <t>TERAPIJA CELOG TELA VEŽBANJEM</t>
  </si>
  <si>
    <t>OSTALE USLUGE HITNA INTERNA PRIJEMNA - URGENTNA STANJA</t>
  </si>
  <si>
    <t>92042-00</t>
  </si>
  <si>
    <t>INTERVENSKO DAVANJE FARMAKOLOŠKOG SREDSTVA, ELEKTROLIT</t>
  </si>
  <si>
    <t>OSTALE USLUGE HITNA HIRURŠKA PRIJEMNA - URGENTNA STANJA</t>
  </si>
  <si>
    <t>11615-00</t>
  </si>
  <si>
    <t>MERENJE PERIFERNE TEMPERATURE (NA PRSTU)</t>
  </si>
  <si>
    <t>ZATVORENA REPOZICIJA PRELOMA KORPUSA</t>
  </si>
  <si>
    <t xml:space="preserve">VAĐENJE KRVI U DIJAGNOSTIČKE SVRHE  </t>
  </si>
  <si>
    <t>TOALETA UVA, JEDNOSTRANO</t>
  </si>
  <si>
    <t>KAUTERIZACIJA PROŠIRENIH VENA NOSNOG KAVUMA</t>
  </si>
  <si>
    <t>OSTALE USLUGE DERMATOVENEROLOGIJA</t>
  </si>
  <si>
    <t>1</t>
  </si>
  <si>
    <t>2</t>
  </si>
  <si>
    <t>3</t>
  </si>
  <si>
    <t>4</t>
  </si>
  <si>
    <t>5</t>
  </si>
  <si>
    <t>6</t>
  </si>
  <si>
    <t>30186-00</t>
  </si>
  <si>
    <t>UKLANJANJE BRADAVICA SA TABANA</t>
  </si>
  <si>
    <t>7</t>
  </si>
  <si>
    <t>30186-01</t>
  </si>
  <si>
    <t>UKLANJANJE BRADAVICA SA DLANA</t>
  </si>
  <si>
    <t>8</t>
  </si>
  <si>
    <t>9</t>
  </si>
  <si>
    <t>10</t>
  </si>
  <si>
    <t>11</t>
  </si>
  <si>
    <t>12</t>
  </si>
  <si>
    <t>13</t>
  </si>
  <si>
    <t>KRIO TERAPIJA LEZIJA NA KOŽI, VIŠESTRUKE LEZIJE</t>
  </si>
  <si>
    <t>14</t>
  </si>
  <si>
    <t>15</t>
  </si>
  <si>
    <t>30195-07</t>
  </si>
  <si>
    <t>45024-00</t>
  </si>
  <si>
    <t>96076-00</t>
  </si>
  <si>
    <t>SAVETOVANJE ILI PODUČAVANJE O ODRŽAVANJU ZDRAVLJA</t>
  </si>
  <si>
    <t>OSTALE USLUGE OFTALMOLOGIJA</t>
  </si>
  <si>
    <t>30061-02</t>
  </si>
  <si>
    <t>UKLANJANJE POVRŠINSKOG STRANOG TELA SA ROŽNJAČE</t>
  </si>
  <si>
    <t>PREGLED/PROCENA PREDNJEG SEGMENTA, KONJUNKTIVA</t>
  </si>
  <si>
    <t>PREGLED/PROCENA PREDNJEG SEGMENTA, ROŽNJAČA</t>
  </si>
  <si>
    <t>PREGLED/PROCENA PREDNJEG SEGMENTA, PREDNJA KOMORA</t>
  </si>
  <si>
    <t>PREGLED/PROCENA PREDNJEG SEGMENTA, DUŽICA</t>
  </si>
  <si>
    <t>OSTALE USLUGE OSTEODENZITOMETRIJA</t>
  </si>
  <si>
    <t xml:space="preserve">USLUGE FIZIKALNE </t>
  </si>
  <si>
    <t>600103</t>
  </si>
  <si>
    <t>POZICIONIRANJE</t>
  </si>
  <si>
    <t>600112</t>
  </si>
  <si>
    <t>AKTIVNE VEŽBE SA POMAGALIMA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</si>
  <si>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</si>
  <si>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</si>
  <si>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</si>
  <si>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</si>
  <si>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</si>
  <si>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</si>
  <si>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600312</t>
  </si>
  <si>
    <t>HOD PO RAVNOM</t>
  </si>
  <si>
    <t>600349</t>
  </si>
  <si>
    <t>PREVENCIJA DEKUBITUSA U REHABILITACIJI</t>
  </si>
  <si>
    <t>600803</t>
  </si>
  <si>
    <t>96118-00</t>
  </si>
  <si>
    <t>TERAPIJA RAMENOG ZGLOBA VEŽBANJEM</t>
  </si>
  <si>
    <t>96119-00</t>
  </si>
  <si>
    <t>TERAPIJA GRUDNIH ILI TRBUŠNIH MIŠIĆA VEŽBANJEM</t>
  </si>
  <si>
    <t>96120-00</t>
  </si>
  <si>
    <t>TERAPIJA MIŠIĆA LEĐA ILI VRATA VEŽBANJEM</t>
  </si>
  <si>
    <t>96130-00</t>
  </si>
  <si>
    <t>UVEŽBAVANJE VEŠTINA U AKTIVNOSTIMA POVEZANIM SA POLOŽAJEM TELA/MOBILNOŠĆU/POKRETOM</t>
  </si>
  <si>
    <t>96131-00</t>
  </si>
  <si>
    <t>UVEŽBAVANJE VEŠTINA U AKTIVNOSTIMA POVEZANIM SA PREMEŠTANJEM</t>
  </si>
  <si>
    <t>96138-00</t>
  </si>
  <si>
    <t>96159-00</t>
  </si>
  <si>
    <t>600345</t>
  </si>
  <si>
    <t>96126-00</t>
  </si>
  <si>
    <t>TERAPIJA MIŠIĆA NOGU VEŽBANJEM</t>
  </si>
  <si>
    <t>VEŽBE RALAKSACIJE</t>
  </si>
  <si>
    <t>96155-00</t>
  </si>
  <si>
    <t>600011</t>
  </si>
  <si>
    <t>ELEKTROSTIMULACIJA</t>
  </si>
  <si>
    <t>600113</t>
  </si>
  <si>
    <t>600348</t>
  </si>
  <si>
    <t>96128-00</t>
  </si>
  <si>
    <t>TERAPIJA MIŠIĆA STOPALA, NOŽNOG ZGLOBA ILI ZGLOBOVA PRSTIJU VEŽBANJEM</t>
  </si>
  <si>
    <t>96142-00</t>
  </si>
  <si>
    <t>UVEŽBAVANJE VEŠTINA KORIŠĆENJA UREĐAJA ILI OPREME ZA POMOĆ</t>
  </si>
  <si>
    <t>600173</t>
  </si>
  <si>
    <t>VEŽBE PACIJENATA SA PARAPLEGIJOM ILI HEMIPLEGIJOM</t>
  </si>
  <si>
    <t>96115-00</t>
  </si>
  <si>
    <t>TERAPIJA MIŠIĆA LICA/TEMPOROMANDIBULARNOG ZGLOBA VEŽBANJEM</t>
  </si>
  <si>
    <t>600111</t>
  </si>
  <si>
    <t>VEŽBE HODA U RAZBOJU</t>
  </si>
  <si>
    <t>600114</t>
  </si>
  <si>
    <t>KOREKTIVNE VEZBE PRED OGLEDALOM</t>
  </si>
  <si>
    <t>600115</t>
  </si>
  <si>
    <t>600116</t>
  </si>
  <si>
    <t>VEŽBE ZA REUMATOIDNI ARTRITIS</t>
  </si>
  <si>
    <t xml:space="preserve">TERAPIJA GRUDNIH ILI TRBUŠNIH MIŠIĆA VEŽBANJEM  </t>
  </si>
  <si>
    <t>96121-00</t>
  </si>
  <si>
    <t>TERAPIJA MIŠIĆA RUKU VEŽBANJEM</t>
  </si>
  <si>
    <t>96122-00</t>
  </si>
  <si>
    <t>96162-00</t>
  </si>
  <si>
    <t>USLUGE FIZIKALNE -  TBC</t>
  </si>
  <si>
    <t>USLUGE FIZIKALNE - INTENZIVNA NEGA</t>
  </si>
  <si>
    <t>TERAPIJA LAKATNOG ZGLOBA VEŽBANJEM</t>
  </si>
  <si>
    <t>INDIVIDUALNI RAD SA GERIJATRIJSKIM ORTOPEDSKIM BOLESNICIMA</t>
  </si>
  <si>
    <t>600016</t>
  </si>
  <si>
    <t>600023</t>
  </si>
  <si>
    <t>ELEKTROMAGNETNO POLJE</t>
  </si>
  <si>
    <t>600117</t>
  </si>
  <si>
    <t>ELEKTROFOREZA LEKA</t>
  </si>
  <si>
    <t>600012</t>
  </si>
  <si>
    <t>INTERFERENTNE STRUJE</t>
  </si>
  <si>
    <t>600015</t>
  </si>
  <si>
    <t>STABILNA GALVANIZACIJA</t>
  </si>
  <si>
    <t>AKTIVNE VEZBE SA POMAGALIMA</t>
  </si>
  <si>
    <t>VEZBE ZA REUMATOIDNI ARTRITIS</t>
  </si>
  <si>
    <t>VEZBE ZA M.BEHTREW</t>
  </si>
  <si>
    <t>VEZBE RELAKSACIJE</t>
  </si>
  <si>
    <t>96127-00</t>
  </si>
  <si>
    <t>TERAPIJA ZGLOBA KOLENA VEŽBANJEM</t>
  </si>
  <si>
    <t>TERAPIJA STIMULACIJOM, NEKVALIFIKOVANA NA DRUGOM MESTU</t>
  </si>
  <si>
    <t>USLUGE FIZIKALNA -  HITNA INTERNA PRIJEMNA - URGENTNA STANJA</t>
  </si>
  <si>
    <t>УКУПАН ЗБИР</t>
  </si>
  <si>
    <t xml:space="preserve"> УСЛУГЕ ОРГАНИЗОВАНОГ СКРИНИНГА РАКА **</t>
  </si>
  <si>
    <t>CORE биопсија дојке</t>
  </si>
  <si>
    <t>31548-00</t>
  </si>
  <si>
    <t>SVAB биопсија дојке</t>
  </si>
  <si>
    <t>31500-01</t>
  </si>
  <si>
    <t>Отворена биопсија дојке</t>
  </si>
  <si>
    <t>Циљана биопсија дојке  или ендоцервикална киретажа</t>
  </si>
  <si>
    <t>35618-01</t>
  </si>
  <si>
    <t>Конусна биопсија ласером</t>
  </si>
  <si>
    <t>Фибероптичка колоноскопија до цекума; дуга колоноскопија</t>
  </si>
  <si>
    <t>Фибероптичка колоноскопија до цекума са биопсијом; колоноскопија до цекума са вишеструким биопсијама; дуга колоноскопија са биопсијом</t>
  </si>
  <si>
    <t xml:space="preserve"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 </t>
  </si>
  <si>
    <t>Ендоскопска мукозна ресекција дебелог црева</t>
  </si>
  <si>
    <t>Фибероптичка колоноскопија до хепатичке флексуре, флексибилна сигмоидоскопија, кратка колоноскопија</t>
  </si>
  <si>
    <t>32084-01</t>
  </si>
  <si>
    <t xml:space="preserve"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 </t>
  </si>
  <si>
    <t>32087-00</t>
  </si>
  <si>
    <t xml:space="preserve">Фибероптичка колоноскопија до хепатичке флексуре са полипектомијом; колоноскопија до хепатичке флексуре са вишеструком полипектомијом; флексибилна сигмоидоскопија са полипектомијом; кратка колоноскопија са полипектомијом </t>
  </si>
  <si>
    <t xml:space="preserve">СВЕ УСЛУГЕ УКУПНО </t>
  </si>
  <si>
    <t>ZA NAS - ZBIR OPERACIJA</t>
  </si>
  <si>
    <t>ZA NAS - ZBIR OSTALE USLUGE+FIZIKALNE</t>
  </si>
  <si>
    <t>ZA NAS - ZBIR OPERACIJA+OSTALE USLUGE+FIZIKALNE</t>
  </si>
  <si>
    <t>ZA NAS - ZBIR OPERACIJE+OSTALE USLUGE+FIZIKALNE+SKRINING</t>
  </si>
  <si>
    <t xml:space="preserve"> *  Наводе се све остале здравствене услуге осим операција, тј. дијагностичке и терапијске здравствене услуге и интервенције</t>
  </si>
  <si>
    <t xml:space="preserve">** Услуге се планирају за организовани скрининг: карцинома дојке, карцинома грлића материце и колоректалног карцинома са ознаком                               </t>
  </si>
  <si>
    <t xml:space="preserve">      атрибута 24 и називом атрибута "организовани скрининг"</t>
  </si>
  <si>
    <t>НАПОМЕНА: РАЗЛОГ ЗА ПРИВРЕМЕНУ ОБУСТАВУ ПРИЈЕМА ПАЦИЈЕНАТА НА ОДСЕКУ ТБЦ ЈЕ ТЕХНИЧКО ХАВАРИСАЊЕ ОБЈЕКТА И НЕПОСТОЈАЊЕ УСЛОВА ЗА СМЕШТАЈ И ЛЕЧЕЊЕ ПАЦИЈЕНАТА У ТАКВИМ ОКОЛНОСТИМА. ПРЕТХОДНИМ ДОПИСИМА ОБАВЕШТЕНИ СУ НАДЛЕЖНИ:МИНИСТАРСТВО ЗДРАВЉА РС, СЕКРЕТАРИЈАТ ЗА ЗДРАВСТВО И ГРАДСКИ ЗАВОД ЗА ЈАВНО ЗДРАВЉЕ БЕОГРАД. ЗАПОСЛЕНИ У ОВОМ ОДСЕКУ СУ АНГАЖОВАНИ У ОКВИРУ МАТИЧНЕ СЛУЖБЕ ПУЛМОЛОГИЈЕ ГДЕ И ДАЉЕ ОБАВЉАЈУ ДИЈАГНОСТИКУ, АМБУЛАНТНО ПОЛИКЛИНИЧКИ РАД И ЛЕЧЕЊЕ ОВИХ БОЛЕСНИКА</t>
  </si>
  <si>
    <t>MIOMEKTOMIJA LAPARATOMIJOM</t>
  </si>
  <si>
    <t>NEUROAKSIJALNA BLOKADA TOKOM TRUDOVA, ASA 19</t>
  </si>
  <si>
    <t>DILATACIJA GRLICA MATERICE</t>
  </si>
  <si>
    <t>47916-00</t>
  </si>
  <si>
    <t>PARCIJALNA RESEKCIJA UASLOG NOKTA NA PRSTU STOPALA</t>
  </si>
  <si>
    <t>30503-01</t>
  </si>
  <si>
    <t>30562-03</t>
  </si>
  <si>
    <t>ZATVARANJE KOLONOSTOME SA USPOSTAVLJANJEM KONTINUITETA CREVA</t>
  </si>
  <si>
    <t>32105-00</t>
  </si>
  <si>
    <t>DRENAŽA PERIANALNOG APSCESA</t>
  </si>
  <si>
    <t>90959-00</t>
  </si>
  <si>
    <t>EKSCIZIJA OSTALIH LEZIJA DEBELOG CREVA</t>
  </si>
  <si>
    <t>OTVORENA TRAHEOSTOMIJA, STALNA</t>
  </si>
  <si>
    <t>41689-01</t>
  </si>
  <si>
    <t>PARCIJALNA MUKOTOMIJA, OBOSTRANA</t>
  </si>
  <si>
    <t>41716-01</t>
  </si>
  <si>
    <t>ENDONAZALNA OPERACIJA MAKSILARNOG SINUSA DONJA MEATOTOMIJA, JEDNOSTRANA</t>
  </si>
  <si>
    <t>46494-00</t>
  </si>
  <si>
    <t>EKSCIZIJA GANGLIONA ŠAKE</t>
  </si>
  <si>
    <t>47450-01</t>
  </si>
  <si>
    <t>47576-00</t>
  </si>
  <si>
    <t>49560-00</t>
  </si>
  <si>
    <t>ARTROSKOPSKO ODSTRANJENJE SLOBODNIH/LABAVIH TELA IZ KOLENA</t>
  </si>
  <si>
    <t>UŠIVANJE TETIVE, NEKASIFIKOVANO NA DRUGOM MESTU</t>
  </si>
  <si>
    <t>OSTALI POSTUPCI NA MUSKULOSKELETNOM SISTEMU, NEKLASIFIKOVANI NA DRUGOM MESTU</t>
  </si>
  <si>
    <t>IMOBILIZACIJA PRELOMA FIBULE</t>
  </si>
  <si>
    <t>EKSCIZIJA LEZIJE(A) NA KOŽI I POTKOŽNOM TKIVU VRATA</t>
  </si>
  <si>
    <t>36600-02</t>
  </si>
  <si>
    <t>FORMIRANJE NEKONTINENTNOG URINARNOG REZERVOARA - NEKONTINENTA UROSTOMA</t>
  </si>
  <si>
    <t>36652-01</t>
  </si>
  <si>
    <t>36656-01</t>
  </si>
  <si>
    <t>90282-02</t>
  </si>
  <si>
    <t>RADIKALNA EKSCIZIJA LIMFNIH ČVOROVA NA DRUGOM MESTU</t>
  </si>
  <si>
    <t>EKSCIZIJSKI DEBRIDMAN MEKOG TKIVA KOJI ZAHVATA KOST ILI HRSKAVICU</t>
  </si>
  <si>
    <t>TERAPEUTSKA MASAŽA ILI MANIPULACIJA VEZIVNOG / MEKOG TKIVA, NEKALSIFIKOVANOG NA DRUGOM MESTU</t>
  </si>
  <si>
    <t>PREOPERATIVNI I RANI REHABILITACIONI TRETMAN BOLESNIKA SA MALIGNOM BOLEŠĆU</t>
  </si>
  <si>
    <t>30478-04</t>
  </si>
  <si>
    <t>PANENDOSKOPUJA DO DUODENUMA SA EKSCIZIJOM LEZIJA</t>
  </si>
  <si>
    <t xml:space="preserve">KARDIOVERZIJA </t>
  </si>
  <si>
    <t>96173-00</t>
  </si>
  <si>
    <t>SUBKUTANO DAVANJE FARMAKOLOŠKOG SREDSTVA, ANTINEOPLASTIČNO SREDSTVO</t>
  </si>
  <si>
    <t>96200-08</t>
  </si>
  <si>
    <t>ORALNO DAVANJE FARMAKOLOŠKOG SREDSTVA, INSULIN</t>
  </si>
  <si>
    <t>INTRAMUSKULARNO DAVANJE FARMAKOLOŠKOG SREDSTVA, ELEKTROLIT</t>
  </si>
  <si>
    <t>96200-03</t>
  </si>
  <si>
    <t>SUBKTANO DAVANJE FARMAKOLOŠKOG SREDSTVA, ELEKTROLIT</t>
  </si>
  <si>
    <t>TRANSFUZIJA AUTOLOGNE KRVI</t>
  </si>
  <si>
    <t>NEUROAKSIJALNA BLOKADA, ASA 19</t>
  </si>
  <si>
    <t>NEURAKCIJALNA BLOKADA, ASA 40</t>
  </si>
  <si>
    <t>92512-49</t>
  </si>
  <si>
    <t>INFILTRACIJA LOKALNOG ANESTETIKA, ASA 20</t>
  </si>
  <si>
    <t>INFILTRACIJA LOKALNOG ANESTETIKA, ASA 30</t>
  </si>
  <si>
    <t>SEDACIJA ACA 40</t>
  </si>
  <si>
    <t>INTRAMUSKULARNO DAVANJE FARMAKOLOŠKOG SREDSTVA, HRANJLJIVA SUBSTANCA</t>
  </si>
  <si>
    <t>ORALNO DAVANJE FARMAKOLOŠKOG SREDSTVA, ANTINEOPLASTIČKO SREDSTVO</t>
  </si>
  <si>
    <t>243008</t>
  </si>
  <si>
    <t>IZRADA INFUZIJE OD 500 ML, JEDNA DOZA</t>
  </si>
  <si>
    <t>INTRAVENSKO DAVANJE FARMAKOLOŠKOG SREDSTVA,INSULIN</t>
  </si>
  <si>
    <t>OPŠTA ANESTEZIJA, ASA 49</t>
  </si>
  <si>
    <t>ORALNO DAVANJE FARMAKOLOŠKOG SREDSTVA ELEKTROLIT</t>
  </si>
  <si>
    <t>SUBKUTANO DAVANJE FARMAKOLOŠKOG SREDSTVA, STEROID</t>
  </si>
  <si>
    <t>ENTERALNO DAVANJE FARRMAKOLOŠKOG SREDSTVA, HRANLJIVA SUPSTANCA</t>
  </si>
  <si>
    <t>ODRĐAVANJE KATETERA, PLASIRANOG RADI ADMINISTRACIJE LEKA</t>
  </si>
  <si>
    <t>NEUROAKSIJALNA BLOKADA, ASA 29</t>
  </si>
  <si>
    <t>DAVANJE INJEKCIJE  U TERAPIJSKE / DIJAGNOSTIČKE SVRHE</t>
  </si>
  <si>
    <t>NEURAKSIJALNA BLOKADA, ASA 39</t>
  </si>
  <si>
    <t>92141-00</t>
  </si>
  <si>
    <t>92506-20</t>
  </si>
  <si>
    <t>92506-29</t>
  </si>
  <si>
    <t>92507-29</t>
  </si>
  <si>
    <t>30094-10</t>
  </si>
  <si>
    <t>PERKUTANA (POMOĆU IGLE) BIOPSIJA TIROIDNE ŽLEZDE</t>
  </si>
  <si>
    <t>INTRAMUSKULARNO DAVANJE FARMAKOLOŠKOG SREDSTVA, DRUGO I NENAZNAČENO FARMAKOLOŠKO SREDSTVO</t>
  </si>
  <si>
    <t>35608-01</t>
  </si>
  <si>
    <t>OSTALE PROCEDURE DESTRUKCIJE PROMENA NA GRLIĆU MATERICE</t>
  </si>
  <si>
    <t>UKLANJANJE DRENA IZ TRBUHA</t>
  </si>
  <si>
    <t>DRENAŽA RESPIRATORNOG SISTEMA, BEZ INCIZIJE</t>
  </si>
  <si>
    <t>30216-02</t>
  </si>
  <si>
    <t>OSTALE ASPIRACIJE IZ KOŽE I POTKOŽNOG TKIVA</t>
  </si>
  <si>
    <t>30336-00</t>
  </si>
  <si>
    <t>RADIKLANA EKSCIZIJA LIMFNIH ČVOROVA AKSILE</t>
  </si>
  <si>
    <t>32177-00</t>
  </si>
  <si>
    <t>REGIONALNA BLOKADA, NERVA GLAVE ILI VRATA, ASA 39</t>
  </si>
  <si>
    <t>38612-00</t>
  </si>
  <si>
    <t>UKLANJANJE INTR-AORTNE BALON PUMPE</t>
  </si>
  <si>
    <t>90202-00</t>
  </si>
  <si>
    <t>IMPLANTACIJA PRIVREMENE EPIKARDIJALNE ELEKTRODE PEJSMEJKER</t>
  </si>
  <si>
    <t>13818-00</t>
  </si>
  <si>
    <t>NEMEHANIČKA METODA REANIMACIJE/OŽIVLJAVANJA</t>
  </si>
  <si>
    <t>UGRADNJA I FIKSACIJA PEBIVAJUĆEG PERITONEALNOG KATETERA RADI DUGOROČNE PERITONEALNE DIJALIZE</t>
  </si>
  <si>
    <t>47540-00</t>
  </si>
  <si>
    <t>PRIMENA ZAVOJA KUKA</t>
  </si>
  <si>
    <t>47594-00</t>
  </si>
  <si>
    <t>IMOBILIZACIJA PRELOMA SKOČNOG ZGOBA, NEKLASIFIKOVANO NA DRUGOM MESTU</t>
  </si>
  <si>
    <t>ZBRINJAVANJE OSTALIH VRSTA INTUBACIJA RESPIRATORNOG TRAKTA</t>
  </si>
  <si>
    <t>DRENAŽA  RESPIRATORNOG SISTEMA BEZ INCIZIJE</t>
  </si>
  <si>
    <t>90470-00</t>
  </si>
  <si>
    <t>SPONTANI KARLIČNI PORODJAJ</t>
  </si>
  <si>
    <t>30589-00</t>
  </si>
  <si>
    <t>PANKREATIKOJEJUNOSTOMIJA</t>
  </si>
  <si>
    <t>32708-01</t>
  </si>
  <si>
    <t>PLANTARNA FASCIOTOMIJA</t>
  </si>
  <si>
    <t>90323-00</t>
  </si>
  <si>
    <t>OSTALE PROCEDURE NA ŽUČNOM TRAKTU</t>
  </si>
  <si>
    <t>90430-00</t>
  </si>
  <si>
    <t>OSTALE REPARACIJE JAJNIKA</t>
  </si>
  <si>
    <t>47753-00</t>
  </si>
  <si>
    <t>600081</t>
  </si>
  <si>
    <t>APLIKACIJA PO SEGMENTU</t>
  </si>
  <si>
    <t>33815-04</t>
  </si>
  <si>
    <t>16564-01</t>
  </si>
  <si>
    <t>30075-14</t>
  </si>
  <si>
    <t>BIOPSIJA DEBELOG CREVA</t>
  </si>
  <si>
    <t>600347</t>
  </si>
  <si>
    <t>OBUKA AKTU GUTANJA KOD CENTRALNIH LEZIJA I STANJA POSLE ORL OPERACIJA</t>
  </si>
  <si>
    <t>ABRAZIVNA TERAPIJA KOŽE NA DVE ILI VIŠE ESTETSKIH OBLASTI LICA</t>
  </si>
  <si>
    <t>36528-00</t>
  </si>
  <si>
    <t>BIOPSIJA VULVE</t>
  </si>
  <si>
    <t>35661-00</t>
  </si>
  <si>
    <t>RADIKALNA HISTEREKTOMIJA SA DISEKCIJOM RETROPERITONEALNIH LIMFNIH NODUSA</t>
  </si>
  <si>
    <t>90321-00</t>
  </si>
  <si>
    <t>OSTALE POPRAVKE BILIJARNOG TRAKTA</t>
  </si>
  <si>
    <t>NEURAKCIJALNA BLOKADA, ASA 49</t>
  </si>
  <si>
    <t>ENTERALNO DAVANJE FARMAKOLOŠKOG SREDSTV A, HRANLJIVA SUPSTANCA</t>
  </si>
  <si>
    <t>RUTINSKA PREOPERTIVNA ANESTEZIOLOŠKA PROCENA</t>
  </si>
  <si>
    <t>95550-05</t>
  </si>
  <si>
    <t>UDRUŽENE ZDRAVSTVENE PROCEDURE, PATOLOGIJA GOVORA</t>
  </si>
  <si>
    <t>30375-25</t>
  </si>
  <si>
    <t>ŠAV LACERACIJE DEBELOG CREVA</t>
  </si>
  <si>
    <t>30614-01</t>
  </si>
  <si>
    <t>REPARACIJA FEMORALNE HERNIJE, OBOSTRANO</t>
  </si>
  <si>
    <t>44367-01</t>
  </si>
  <si>
    <t>DEZARTIKULACIJA U KOLENU</t>
  </si>
  <si>
    <t>47933-01</t>
  </si>
  <si>
    <t>ABLACIJA EGZOSTOZE KOSTI STOPALA</t>
  </si>
  <si>
    <t>DRENAŽA RETROPERITONEALNOG APSCESA</t>
  </si>
  <si>
    <t>UZORKOVANJE  I SLANJE MATERIJALA ZA LABORATORIJSKO ISPITIVANJE</t>
  </si>
  <si>
    <t>UZORKOVANJE I SLANJE MATRIJALA ZA LABORATORIJSKO ISPITIVANJE</t>
  </si>
  <si>
    <t>NEUROAKSIJALNA BLOKADA, ASA 30</t>
  </si>
  <si>
    <t>260100</t>
  </si>
  <si>
    <t>DEZINFEKCIJA TEKSTILNIH, KOŽNIH GUMENIH I PLASTIČNIH MATERIJA</t>
  </si>
  <si>
    <t>DEZINFEKCIJA TEKSTILNIH, KOŽNIH , GUMENIH I PLASTIČNIH MATERIJA</t>
  </si>
  <si>
    <t>DEZINFEKCIJA TEKSTILNIH, KOŽNIH, GUMENIH I PLASTIČNIH MATERIJA</t>
  </si>
  <si>
    <t>NEUROAKSIJALNA BLOKADA TOKOM TRUDOVA, ASA 29</t>
  </si>
  <si>
    <t>BIOPSIJA DUGOKOG TKIVA DOJKE</t>
  </si>
  <si>
    <t>REPARACIJA PEDNJEG DELA VAGINE, VAGINALNI PRISTUP</t>
  </si>
  <si>
    <t>30405-00</t>
  </si>
  <si>
    <t>30460-07</t>
  </si>
  <si>
    <t>HEPATIKOENTEROSTOMIJA</t>
  </si>
  <si>
    <t>30509-00</t>
  </si>
  <si>
    <t>KONNTRLA KRVARENJA IZ PEPTIČKOG ULKUSA RESEKCIJOM ŽELUDCA</t>
  </si>
  <si>
    <t>47531-00</t>
  </si>
  <si>
    <t>ELEKTROFEREZA LEKA</t>
  </si>
  <si>
    <t>260103</t>
  </si>
  <si>
    <t>DEZINFEKCIJA KARANTINSKIH PROSTORA</t>
  </si>
  <si>
    <t>270107</t>
  </si>
  <si>
    <t>92102-00</t>
  </si>
  <si>
    <t>ISPIRANJE CISTOSTOME</t>
  </si>
  <si>
    <t>INTRAMUSKULARNO DAVANJE FARMAKOLOŠKOG SREDSTVA, ANTI INFEKTIVNO SREDSTVO</t>
  </si>
  <si>
    <t>35717-03</t>
  </si>
  <si>
    <t>OTVORENA REPOZICIJA PRELOMA TELA TIBIJE SA UNUTRAŠNJOM FIKSACIJOM</t>
  </si>
  <si>
    <t>600001</t>
  </si>
  <si>
    <t>SPECIJALISTIČKI PREGLED FIZIJATRA</t>
  </si>
  <si>
    <t>96201-07</t>
  </si>
  <si>
    <t>INTRAKAVITARNO DAVANJE FARMAKOLOŠKOG SREDSTVA, HRANLJIVA SUPSTANCA</t>
  </si>
  <si>
    <t>OPŠTA ANESTEZIJA, ASA 40</t>
  </si>
  <si>
    <t>DILATACIJA ANUSA</t>
  </si>
  <si>
    <t>34112-01</t>
  </si>
  <si>
    <t>EKSCIZIJA ILI LIGATURA KOPLEKSNE ARTERIOVENSKE FISTULE NA UDOVIMA</t>
  </si>
  <si>
    <t>30058-01</t>
  </si>
  <si>
    <t>KONTROLA POSTOPERATIVNE HEMORAGIJE, NEKLASIFIKOVANA NA DRUGO MESTU</t>
  </si>
  <si>
    <t>40300-01</t>
  </si>
  <si>
    <t>DISKEKTOMIJA, DVA ILI VIŠE NIVOA</t>
  </si>
  <si>
    <t>OBUKA ZAŠTITNIM POKRETIMA I POLOŽAJIMA TELA KOD DISKOPATIČARA</t>
  </si>
  <si>
    <t>92513-90</t>
  </si>
  <si>
    <t>INFILTRACIJA LOKALNOG ANESTETIKA, ASA 90</t>
  </si>
  <si>
    <t>96198-00</t>
  </si>
  <si>
    <t>35565-00</t>
  </si>
  <si>
    <t>VAGINALNA REKONSTRUKCIJA</t>
  </si>
  <si>
    <t>90582-02</t>
  </si>
  <si>
    <t>90465-02</t>
  </si>
  <si>
    <t>OSTALE VRSTE INDUKCIJE POROĐAJA FARAKOLOŠKIM SREDSTVOM</t>
  </si>
  <si>
    <t>92510-19</t>
  </si>
  <si>
    <t>ISPIRANJE, KATETERA, NEKLASIFIKOVANO NA DRUGOM MESTU</t>
  </si>
  <si>
    <t>32162-01</t>
  </si>
  <si>
    <t>33848-00</t>
  </si>
  <si>
    <t>KONTROLA POSTOPERATIVNOG KRVARENJA ILI TROMBOZE U EKSTREMITETU POSLE VASKULARNE PROCEDURE</t>
  </si>
  <si>
    <t>47366-02</t>
  </si>
  <si>
    <t>OTVORENA REPOZICIJA PRELOMA DISTALNOG DELA  RADIJUSA UNUTRAŠNJOM FIKSACIJOM</t>
  </si>
  <si>
    <t>13110-00</t>
  </si>
  <si>
    <t>UKLANJANJE PREBIVAJUĆEG PERITONEALNOG KATETERA RADI PERITONEALNE DIJALIZE</t>
  </si>
  <si>
    <r>
      <t xml:space="preserve">HIPERBARIČNA TERAPIJA 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</si>
  <si>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49518-00</t>
  </si>
  <si>
    <t>IMPLEMENTACIJA TOTALNE PROTEZE KOLENA, JEDNOSTRANA</t>
  </si>
  <si>
    <t>38353-00</t>
  </si>
  <si>
    <t>UGRADNJA PEJSMEJKERA (VR,DR,CRT.PM)</t>
  </si>
  <si>
    <t>38350-01</t>
  </si>
  <si>
    <t>ZAMENA PERMANENTNE ENDOVENSKE ELEKTRODE ZA PEJSMEJKER</t>
  </si>
  <si>
    <t>90203-00</t>
  </si>
  <si>
    <t>REPOZICIJA ELEKTRODE PEJSMEJKERA</t>
  </si>
  <si>
    <t>UGRADNJA ELEKTRODE U LEVU PRETKOMORU, DESNU PRETKOMORU, LEVU KOMORU</t>
  </si>
  <si>
    <t>ТАБЕЛА 13</t>
  </si>
  <si>
    <t>%</t>
  </si>
  <si>
    <t xml:space="preserve">НАПОМЕНА:У ТАБЕЛИ СУ ИСПЛАНИРАНЕ НОВЕ УСЛУГЕ ЗА КОЈЕ ЈЕ НАШ ЦЕНТАР ДОБИО ОДОБРЕЊЕ ОД МИНИСТАРСТВА ЗДРАВЉА ЗА КОРИШЋЕЊЕ  НОВЕ ЗДРАВСТВЕНЕ ТЕХНОЛОГИЈЕ У ПРУЖАЊУ ЗДРАВСТВЕНЕ ЗАШТИТЕ.(38350-00,38350-01,38353-00,90203-00,49518-00; 92060-00) </t>
  </si>
  <si>
    <t>ЗДРАВСТВЕНА УСТАНОВА : КЛИНИЧКО БОЛНИЧКИ  ЦЕНТАР ЗЕМУН</t>
  </si>
  <si>
    <t>35638-09</t>
  </si>
  <si>
    <t>LAPARASKOPSKA SALPINGEKTOMIJA, JEDNOSTRANA</t>
  </si>
  <si>
    <t>35623-00</t>
  </si>
  <si>
    <t>90452-00</t>
  </si>
  <si>
    <t>UKLANJANJE OSTALIH LEZIJA MATERICE</t>
  </si>
  <si>
    <t>30405-03</t>
  </si>
  <si>
    <t>REPARACIJA OSTALIH KILA TRBUŠNOG ZIDA SA TRANSPOZICIJOM MIŠIĆA</t>
  </si>
  <si>
    <t>30460-04</t>
  </si>
  <si>
    <t>HOLEDOHOJEJUNOSTOMIJA</t>
  </si>
  <si>
    <t>40600-03</t>
  </si>
  <si>
    <t>DRUGA KRANIOPLASTIKA</t>
  </si>
  <si>
    <t>47927-00</t>
  </si>
  <si>
    <t>ODSTRANJENJE KLINA, ZAVRTNJA ILI ŽICE, NEKLASIFIKOVANO NA DRUGOM MESTU</t>
  </si>
  <si>
    <t>48948-00</t>
  </si>
  <si>
    <t>ARTROSKOPSKI DEBRIDMAN RAMENA</t>
  </si>
  <si>
    <t>30583-00</t>
  </si>
  <si>
    <t>DISTALNA PANKREATEKTOMIJA</t>
  </si>
  <si>
    <t>92519-19</t>
  </si>
  <si>
    <t>INTRAVENSKA REGIONALNA ANESTEZIJA ASA 19</t>
  </si>
  <si>
    <t>96205-02</t>
  </si>
  <si>
    <t>NEKI DRUGI NAČIN DAVANJA FARMAKOLOŠKOG SREDSTVA, ANTINEOPLASTIČKO SREDSTVO</t>
  </si>
  <si>
    <t>NEKI DRUGI NAČIN DAVANJA FARMAKOLOŠKOG SREDSTVA, ANTI-INFEKTIVNO  SREDSTVO</t>
  </si>
  <si>
    <t>96136-00</t>
  </si>
  <si>
    <t>UVEŽBAVANJE VEŠTINA TEČNOG GOVORA</t>
  </si>
  <si>
    <t>96202-08</t>
  </si>
  <si>
    <t>ENTERALNO DAVANJE FARMAKOLOŠKOG SREDSTVA, ELEKTROLIT</t>
  </si>
  <si>
    <t>59739-03</t>
  </si>
  <si>
    <t>OSTALE SINOGRAFIJE</t>
  </si>
  <si>
    <t>35649-01</t>
  </si>
  <si>
    <t>LAPARASKOPSKA MIOMEKTOMIJA</t>
  </si>
  <si>
    <t>35713-03</t>
  </si>
  <si>
    <t>ELEKTROKAUTERIZACIJA JAJNIKA (DRILING,LAPAROTOMIJA)</t>
  </si>
  <si>
    <t>EKSCIZIJA LEZIJE(A) NA KOŽI I POTKOŽNOM TKIVU GENITALIJA</t>
  </si>
  <si>
    <t>47981-01</t>
  </si>
  <si>
    <t>DEKOPRESIJSKA FASCIOTOMIJA LISTA</t>
  </si>
  <si>
    <t>30250-00</t>
  </si>
  <si>
    <t xml:space="preserve">TOTALNA EKSCIZIJA PAROTIDNE ŽLEZDE SA OČUVANJEM FACIJALNOG NERVA </t>
  </si>
  <si>
    <t>47639-01</t>
  </si>
  <si>
    <t>OTVORNA REPOZICIJA PRELOMA METATRZUSA SA UNUTRAŠNJOM FIKSACIJOM</t>
  </si>
  <si>
    <t>41683-00</t>
  </si>
  <si>
    <t>41764-00</t>
  </si>
  <si>
    <t>ENDOSKOPIJA NOSA</t>
  </si>
  <si>
    <t>37000-00</t>
  </si>
  <si>
    <t>37327-00</t>
  </si>
  <si>
    <t>92109-00</t>
  </si>
  <si>
    <t>ZAMENA OSTALIH VAGINALNIG PESERA</t>
  </si>
  <si>
    <t>OPŠTA ANESTEZIJA, ASA 29</t>
  </si>
  <si>
    <t>18216-15</t>
  </si>
  <si>
    <t>KAUDALNA INFUZIJA OSTALIH ILI KOMBINOVANIH TERAPEUTSKIH SUPSTANCI</t>
  </si>
  <si>
    <t>TESTIRANJE OPSEGA POKRETA/MIŠIĆA SPECIJALIZOVANOM OPREMOM</t>
  </si>
  <si>
    <t>90131-00</t>
  </si>
  <si>
    <t>LOKALNA EKSCIZIJA OSTALIH ENDONAZALNIH LEZIJA</t>
  </si>
  <si>
    <t>90762-00</t>
  </si>
  <si>
    <r>
      <t>POSTUPAK ODRŽAVANJA KONTIUIRANE VENTILATORNE PODRŠKE,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</si>
  <si>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30581-00</t>
  </si>
  <si>
    <t>EKSPLORACIJA DUODENUMA</t>
  </si>
  <si>
    <t>30584-00</t>
  </si>
  <si>
    <t>SALPINGEKTOMIJA, JEDNOSTRANA</t>
  </si>
  <si>
    <t>90375-00</t>
  </si>
  <si>
    <t>PLASIRANJE INTRA-ABDOMINALNE TAMPONADE</t>
  </si>
  <si>
    <t>32090-02</t>
  </si>
  <si>
    <t>SUTURA POVREDA PERINEUMA PRVOG ILI DRUGOG STEPENA</t>
  </si>
  <si>
    <t>TRANSFUZIJA OSTALIH KRVNIH DERIVATA</t>
  </si>
  <si>
    <t>18216-06</t>
  </si>
  <si>
    <t>EPIDURALNA INFUZIJA OSTALIH ILI KOMBINOVANIH TERAPEUTSKIH SUPSTANCI</t>
  </si>
  <si>
    <t>60000-00</t>
  </si>
  <si>
    <t>DIGITALNO SUPTRAKCIONA ANGIOGRAFIJA GLAVE ILI VRATA, TRI ILI MANJE NIZOVA PRIKUPLJANJA PODATAKA</t>
  </si>
  <si>
    <t>30094-09</t>
  </si>
  <si>
    <t>PERKUTANA BIOPSIJA IGLOM PLJUVAČNIH ŽLEZDA ILI KANALA</t>
  </si>
  <si>
    <t>90720-00</t>
  </si>
  <si>
    <t>OSTALE PROCEDURE NA DOJKAMA</t>
  </si>
  <si>
    <t>IMOBILIZACIJA PRELOMA TELA RADIJUSA I ULNE</t>
  </si>
  <si>
    <t>DIJADINAMIČKE STRUJE</t>
  </si>
  <si>
    <t>35637-08</t>
  </si>
  <si>
    <t>LAPARASKOPSKA ELEKTROKAUTERIZACIJA JAJNIKA, DRILING OVARIJUMA</t>
  </si>
  <si>
    <t>39600-00</t>
  </si>
  <si>
    <t>DRENAŽA INTRAKRANIJALNE HEMORAGIJE</t>
  </si>
  <si>
    <t>45825-01</t>
  </si>
  <si>
    <t>EKSTRIPACIJA KOŠTANIH TUMORA VILICE</t>
  </si>
  <si>
    <t xml:space="preserve"> </t>
  </si>
  <si>
    <t>49503-04</t>
  </si>
  <si>
    <t>PATELEKTOMIJA</t>
  </si>
  <si>
    <t>90589-01</t>
  </si>
  <si>
    <t>30075-27</t>
  </si>
  <si>
    <t>BIOPSIJA PROMENE NA PENISU</t>
  </si>
  <si>
    <t>36857-00</t>
  </si>
  <si>
    <t>ENDOSKOPSKA EKSTRAKCIJA KALKULUSA IZ URETERA (BEZ URETEROSKOPIJE)</t>
  </si>
  <si>
    <t>37402-00</t>
  </si>
  <si>
    <t>PARCIJALNA AMPUTACIJA PENISA</t>
  </si>
  <si>
    <t>30335-00</t>
  </si>
  <si>
    <t>30609-02</t>
  </si>
  <si>
    <t>33806-09</t>
  </si>
  <si>
    <t>36624-00</t>
  </si>
  <si>
    <t>REGIONALNA EKSCIZIJASA LIMFNIH ČVOROVA AKSILE</t>
  </si>
  <si>
    <t>LAPARASKOPSKA REPARACIJA INGVINALNE HERNIJE, JEDNOSTRANO</t>
  </si>
  <si>
    <t>96206-02</t>
  </si>
  <si>
    <t>POSTUPAK ODRŽAVANJA KONTINUIRANE VENTILATORNE PODRŠKE  &gt;24 SATA I &lt; 96 SATI</t>
  </si>
  <si>
    <t>92148-00</t>
  </si>
  <si>
    <t>DAVANJE TOKSOIDA TETANUSA</t>
  </si>
  <si>
    <t>REGIONALNA BLOKADA, NERVA GORNJEG EKSTREMITETA, ASA 29</t>
  </si>
  <si>
    <t>96201-09</t>
  </si>
  <si>
    <t>96202-06</t>
  </si>
  <si>
    <t>ASPIRACIJA MEKOG TKIVA, NEKLASIFIKOVANA NA DRUGOM MESTU</t>
  </si>
  <si>
    <t>30518-01</t>
  </si>
  <si>
    <t>PARCIJALAN DISTALNA GASTREKTOMIJA SA GASTROJEJUNALNOM ANASTOMOZOM</t>
  </si>
  <si>
    <t>33806-10</t>
  </si>
  <si>
    <t>EMBOLEKTOMIJA ILI TROMBEKTOMIJA POPLITEALNE ARTERIJE</t>
  </si>
  <si>
    <t>INCIZIJAI DRENAŽA APSCESA KOŽE I POTKOŽNOG TKIVA</t>
  </si>
  <si>
    <t>31435-00</t>
  </si>
  <si>
    <t>UKLANJANJE KALKULUSA IZ PLJUVAČNIH ŽLEZDA ILI KANILA</t>
  </si>
  <si>
    <t>600123</t>
  </si>
  <si>
    <t>INDIVIDUALNI RAD SA DECOM (JUVENILNI ARTRITIS, CEREBRALA I SL.)</t>
  </si>
  <si>
    <t>600014</t>
  </si>
  <si>
    <t>TRANSCEREBRALNA ELEKTROFEREZA</t>
  </si>
  <si>
    <t>96197-04</t>
  </si>
  <si>
    <t>OSTALE PROMENE, KONSULTAIJE ILI EVAKUACIJE</t>
  </si>
  <si>
    <t>EMBOLEKTOMIJA ILI TROMBEKTOMIJA FEMORALNE ARTERIJE</t>
  </si>
  <si>
    <t>35703-00</t>
  </si>
  <si>
    <t>TEST PROHODNOSTI JAJOVODA</t>
  </si>
  <si>
    <t>REPARACIJA LIGAMENTA, NEKLASIFIKOVANA NA DRUGOM MESTU</t>
  </si>
  <si>
    <t>96205-06</t>
  </si>
  <si>
    <t>35688-02</t>
  </si>
  <si>
    <t>STERILIZACIJA OTVORENIM ABOMINALNIM PRISTUPOM</t>
  </si>
  <si>
    <t>EKSCIZIJA LEZIJE(A) NA KOŽI I POTKOŽNOM TKIVU NOGE</t>
  </si>
  <si>
    <t>35673-02</t>
  </si>
  <si>
    <t>VAGINALNA HISTEREKTOMIJA SA UKLANJANJEM ADNEKSA</t>
  </si>
  <si>
    <t>35729-01</t>
  </si>
  <si>
    <t>TRANSPOZICIJA JAJNIKA</t>
  </si>
  <si>
    <t>46531-00</t>
  </si>
  <si>
    <t>PARCIJALNA RESEKCIJA URASLOG NOKTA NA PRSTU ŠAKE</t>
  </si>
  <si>
    <t>30375-29</t>
  </si>
  <si>
    <t>UŠIVANJE MIŠIĆA ILI FASCIJE, NEKLASIFIKOVANO NA DRUGOM MESTU</t>
  </si>
  <si>
    <t>30099-00</t>
  </si>
  <si>
    <t>EKSCIZIJA SINUSA NA KOŽI I POTKOŽNOM TKIVU</t>
  </si>
  <si>
    <t>VEŽBE DISANJA U LEČENJU BOLESTI RESPI8RATORNOG SISTEMA</t>
  </si>
  <si>
    <t>600027</t>
  </si>
  <si>
    <t>INFRAZVUK</t>
  </si>
  <si>
    <t>243016</t>
  </si>
  <si>
    <t>PRIPREMA, SUŠENJE I STERILIZACIJA PRIORA I POSUĐA</t>
  </si>
  <si>
    <t>260094</t>
  </si>
  <si>
    <t>260095</t>
  </si>
  <si>
    <t>30068-00</t>
  </si>
  <si>
    <t>ODSTRANJENJE STRANOGA TELA IZ MEKOG TKIVA, NEKLASIFIKOVANO NA DRUGOM MESTU</t>
  </si>
  <si>
    <t>96205-07</t>
  </si>
  <si>
    <t>NEKI DRUGI NAČIN DAVANJA FARMAKOLOŠKOG SREDSTVA, HRANLJIVA SUPSTANCA</t>
  </si>
  <si>
    <t>INTRAMUSKULARNO DAVANJE FARMAKOLOŠKOG SRDSTVA, ANDIDOT</t>
  </si>
  <si>
    <t>41889-00</t>
  </si>
  <si>
    <t xml:space="preserve">BRONHOSKOPIJA  </t>
  </si>
  <si>
    <t>96201-08</t>
  </si>
  <si>
    <t>INTRAKAVITARNO DAVANJE FARMAKOLOŠKOG SREDSTVA, ELEKTROLIT</t>
  </si>
  <si>
    <t>46375-00</t>
  </si>
  <si>
    <t>96039-00</t>
  </si>
  <si>
    <t>TEST KONTRASTNE OSETLJIVOSTI</t>
  </si>
  <si>
    <t>34130-00</t>
  </si>
  <si>
    <t>ZATVARANJE HIRURŠKI OBLIKOVANE ARTERIOVENSKE FISTULE</t>
  </si>
  <si>
    <t>30416-00</t>
  </si>
  <si>
    <t>LAPARASKOPSKA MARSUPIJALIZACIJA CISTE JETRE</t>
  </si>
  <si>
    <t>30520-00</t>
  </si>
  <si>
    <t>LOKALNA EKSSCIZIJA LEZIJE ŽELUDCA</t>
  </si>
  <si>
    <t>41881-02</t>
  </si>
  <si>
    <t>REVIZIJA TRAHEOSTOME</t>
  </si>
  <si>
    <t>36564-01</t>
  </si>
  <si>
    <t>90403-00</t>
  </si>
  <si>
    <t>LOKALNA EKSCIZIJA LEZIJE NA PENISU</t>
  </si>
  <si>
    <t>260101</t>
  </si>
  <si>
    <t>DEZINFEKCIJA ROBE I POSTELJINE</t>
  </si>
  <si>
    <t>OPŠTA ANESTEZIJA, ASA 19</t>
  </si>
  <si>
    <t>37300-00</t>
  </si>
  <si>
    <t>PLASIRANJE URETRALNE SONDE</t>
  </si>
  <si>
    <t>96201-03</t>
  </si>
  <si>
    <t>INTRAKAVITARNO DAVANJE FARMAKOLOŠKOG SREDSTVA, STEROID</t>
  </si>
  <si>
    <t>INTRAKAVITARNO DAVANJE FARMAKOLOŠKOG SREDSTVA, DRUGO I NEKLASIFIKOVANO FARMAKOLOŠKO SREDSTVO</t>
  </si>
  <si>
    <t>92509-10</t>
  </si>
  <si>
    <t>REGIONALNA BLOKADA, NERVA GORNJEG EKSTREMITTA, ASA 19</t>
  </si>
  <si>
    <t>11332-00</t>
  </si>
  <si>
    <t>ISPITIVANJE OTOAKUSTIČKE EMISIJE IZVZVANE KLIKOM (TEOAE)</t>
  </si>
  <si>
    <t>59970-02</t>
  </si>
  <si>
    <t>CEREBRALNA ANGIOGRAFIJA</t>
  </si>
  <si>
    <r>
      <t xml:space="preserve">HIPERBARIČNA TERAPIJA KISEONIKOM,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90 MINUTA</t>
    </r>
  </si>
  <si>
    <t>TERAPIJA MIŠIĆA RUKU, RUČNOG ZGLOBA ILI ZGLOBOVA PRSTIJU VEŽBANJEM</t>
  </si>
  <si>
    <t>NENAZNAČEN NAČIN DAVANJA FARMAKOLOŠKOG SREDSTVA, ANTI-INFEKTIVNO SREDSTVO</t>
  </si>
  <si>
    <t>35595-01</t>
  </si>
  <si>
    <t>REPARACIJA KARLIČNOG DNA ABDOMINALNIM PRISTUPOM</t>
  </si>
  <si>
    <t>46516-01</t>
  </si>
  <si>
    <t>UKLANJANJE NOKTA NA PRSTU ŠAKE</t>
  </si>
  <si>
    <t>30587-00</t>
  </si>
  <si>
    <t>SALPINGEKTOMIJA, OBOSTRANA</t>
  </si>
  <si>
    <t>36558-01</t>
  </si>
  <si>
    <t>REIMPLANTACIJA URETERA U MOKRAĆNU BEŠIKU (JEDNOSTRANA)</t>
  </si>
  <si>
    <t>92035-01</t>
  </si>
  <si>
    <t>41737-00</t>
  </si>
  <si>
    <t>OSTALE ENDONAZALNE PROCEDURE NA FRONTALNOM SINUSU</t>
  </si>
  <si>
    <t>47786-00</t>
  </si>
  <si>
    <t>OTVORENA REPOZICIJA PRELOMA MAKSILE SA UNUTRAŠNJOM FIKSACIJOM</t>
  </si>
  <si>
    <t>INCIZIJA I DRENAŽA HEMTOMA KOŽE I POTKOŽNOG TKIVA</t>
  </si>
  <si>
    <t>HOLECISTEKTOMIJA</t>
  </si>
  <si>
    <t>36540-00</t>
  </si>
  <si>
    <t>600169</t>
  </si>
  <si>
    <t>FUNKCIONALNA RADNA TERAPIJA - GRUPNA</t>
  </si>
  <si>
    <t>600124</t>
  </si>
  <si>
    <t>ULANJANJE OSTALIH VAGINALNIH PESARA</t>
  </si>
  <si>
    <t>18216-28</t>
  </si>
  <si>
    <t>32153-00</t>
  </si>
  <si>
    <t>13300-00</t>
  </si>
  <si>
    <t>KATETERIZACIJA/KANILACIJA OSTALIH VENA NOVOROĐENČETA</t>
  </si>
  <si>
    <t>AUDIOMETRIJJA, ELEKTRIČNOM AUDITORNIM ODGOVOROM MOŽDANOG STABLA</t>
  </si>
  <si>
    <t>INTRATEKALNO DAVANJE FARMAKOLOŠKOG SREDSTVA, ANTINEOPLASTIČKO SREDSTVO</t>
  </si>
  <si>
    <t>INSPEKCIJA BUBNE OPNE, JEDNOSTRANO</t>
  </si>
  <si>
    <t>41895-00</t>
  </si>
  <si>
    <t>BRONHOSKOPIJA SA UKLANJANJEM STRANOG TELA (RIGIDNA)</t>
  </si>
  <si>
    <t>47741-00</t>
  </si>
  <si>
    <t>OTVORENA REPOZICIJA PRELOMA NOSNE KOSTI</t>
  </si>
  <si>
    <t>96098-00</t>
  </si>
  <si>
    <t>PARENTERALNA NUTRITIVNA PODRŠKA</t>
  </si>
  <si>
    <t>PRIMENA DRUGOG TERAPEUTSKOG SREDSTVA U ANOREKTALNOM PODRUČJU</t>
  </si>
  <si>
    <t>NEUROAKSIJALNA BLOKADA, ASA 20</t>
  </si>
  <si>
    <t>30315-01</t>
  </si>
  <si>
    <t>TOTALNA PARATIROIDEKTOMIJA</t>
  </si>
  <si>
    <t>30375-02</t>
  </si>
  <si>
    <t>KOLOTOMIJA</t>
  </si>
  <si>
    <t>30375-14</t>
  </si>
  <si>
    <t>30450-00</t>
  </si>
  <si>
    <t>31423-01</t>
  </si>
  <si>
    <t>45221-01</t>
  </si>
  <si>
    <t>MALI DIREKTNO UDALJENI REŽANJ KOŽE, PRVI STADIJUM</t>
  </si>
  <si>
    <t>50130-00</t>
  </si>
  <si>
    <t>PRIMENA SPOLJAŠNJEG FIKSATORA, NEKLASIFIKOVANA NA DRUGOM MESTU</t>
  </si>
  <si>
    <t>37200-04</t>
  </si>
  <si>
    <t>RETROPUBIČNA PROSTATEKTOMIJA</t>
  </si>
  <si>
    <t>38424-02</t>
  </si>
  <si>
    <t>PLEURODEZA</t>
  </si>
  <si>
    <t>EKSTRAKCIJA ŽUČNIH KAMENACA POMOĆU METODA VIZUELIZACIJE</t>
  </si>
  <si>
    <t>35638-12</t>
  </si>
  <si>
    <t>90582-00</t>
  </si>
  <si>
    <t>Incizija i drenaža pankreasa</t>
  </si>
  <si>
    <t>Regionalna ekscizija limfnih čvorova na vratu</t>
  </si>
  <si>
    <t>47566-02</t>
  </si>
  <si>
    <t>90135-00</t>
  </si>
  <si>
    <t>11919-00</t>
  </si>
  <si>
    <t>ZATVORENA REPOZICIJA UNUTARZGLOBNOG PRELOMA TELA TIBIJE SA UNUTRAŠNJOM FIKSACIJOM</t>
  </si>
  <si>
    <t>EKSCIZIJA LEZI8JA NA JEZIKU</t>
  </si>
  <si>
    <t>Privremena kolostoma</t>
  </si>
  <si>
    <t>Privremena ileostoma</t>
  </si>
  <si>
    <t>30545-01</t>
  </si>
  <si>
    <t>Ezofagektomija abdominalnom i torakalnom mobilizacijom, sa torakalnom anastomozom koristeći Roux-en-Y rekonstrukciju</t>
  </si>
  <si>
    <t>30562-05</t>
  </si>
  <si>
    <t>Zatvaranje ostalih stoma debelog creva</t>
  </si>
  <si>
    <t>30593-00</t>
  </si>
  <si>
    <t>Pankreatektomija</t>
  </si>
  <si>
    <t>Radikalna ekscizija limfnih čvorova vrata</t>
  </si>
  <si>
    <t>45227-00</t>
  </si>
  <si>
    <t>Indirektni udaljeni režanj kože, oblikovanje tubirane peteljke (pedikule)</t>
  </si>
  <si>
    <t>45233-00</t>
  </si>
  <si>
    <t>Indirektni udaljeni režanj kože, priprema, transfer i povezivanje za intermedijalnu oblast</t>
  </si>
  <si>
    <t>U8184901</t>
  </si>
  <si>
    <t>Oksimetrija</t>
  </si>
  <si>
    <t>U1150371</t>
  </si>
  <si>
    <t>Inhalacioni provokacioni testovi – specifičnim alergenima</t>
  </si>
  <si>
    <t>U8184900</t>
  </si>
  <si>
    <t>Bronhodilatatorni test</t>
  </si>
  <si>
    <t>U8183342</t>
  </si>
  <si>
    <t>Intervencija uz upotrebu dijagnostičkih oftamoloških lekova</t>
  </si>
  <si>
    <t>U8185805</t>
  </si>
  <si>
    <t>Glukagonski test</t>
  </si>
  <si>
    <t>U8183230</t>
  </si>
  <si>
    <t>U8183271</t>
  </si>
  <si>
    <t>Pregled/procena zadnjeg segmenta</t>
  </si>
  <si>
    <t>U8188000</t>
  </si>
  <si>
    <t>Tretman Bioptron lampom</t>
  </si>
  <si>
    <t>U8183601</t>
  </si>
  <si>
    <t>Procentualni gubitak sluha po Fauleru (Fowler)</t>
  </si>
  <si>
    <t>U8183603</t>
  </si>
  <si>
    <t>Ispitivanje sluha zvučnim viljuškama</t>
  </si>
  <si>
    <t>U8188702</t>
  </si>
  <si>
    <t>Aplikacija leka u nos</t>
  </si>
  <si>
    <t>U9601201</t>
  </si>
  <si>
    <t>Defektološka anamneza i observacija</t>
  </si>
  <si>
    <t>U8188706</t>
  </si>
  <si>
    <t>Kauterizacija proširenih vena nosnog kavuma</t>
  </si>
  <si>
    <t>U8183260</t>
  </si>
  <si>
    <t>Pregled/procena očne duplje</t>
  </si>
  <si>
    <t>U8183261</t>
  </si>
  <si>
    <t>Pregled/procena očnog kapka</t>
  </si>
  <si>
    <t>U8183262</t>
  </si>
  <si>
    <t>Pregled/procena očne jabučice</t>
  </si>
  <si>
    <t>U8183263</t>
  </si>
  <si>
    <t>Pregled/procena suznog filma</t>
  </si>
  <si>
    <t>U8183264</t>
  </si>
  <si>
    <t>U8183265</t>
  </si>
  <si>
    <t>U8183266</t>
  </si>
  <si>
    <t>U8183267</t>
  </si>
  <si>
    <t>U8183268</t>
  </si>
  <si>
    <t>U8183269</t>
  </si>
  <si>
    <t>Pregled/procena prednjeg segmenta, ostalo</t>
  </si>
  <si>
    <t>U8183272</t>
  </si>
  <si>
    <t>Merenje/procena intra-okularnog pritiska</t>
  </si>
  <si>
    <t>U8183273</t>
  </si>
  <si>
    <t>Pregled/procena zenice, izgled</t>
  </si>
  <si>
    <t>U8183274</t>
  </si>
  <si>
    <t>Pregled/procena zenice, reakcije</t>
  </si>
  <si>
    <t>U8183301</t>
  </si>
  <si>
    <t>Oftalmološka optička intervencija, recept, naočare</t>
  </si>
  <si>
    <t>U8183343</t>
  </si>
  <si>
    <t>Intervencija uz upotrebu terapeutskih oftamoloških lekova1833</t>
  </si>
  <si>
    <t>41737-09</t>
  </si>
  <si>
    <t>REPARACIJA I REKONSTRUKCIJA FRONTALNOG SINUSA</t>
  </si>
  <si>
    <t>35637-06</t>
  </si>
  <si>
    <t>BIOPSIJA JAJNIKA</t>
  </si>
  <si>
    <t>35637-07</t>
  </si>
  <si>
    <t>30563-01</t>
  </si>
  <si>
    <t>39330-00</t>
  </si>
  <si>
    <t>OTVORENA NEUROLIZA PERIFERNOG NERVA, NIJE NAVEDENA NA DRUGOM MESTU</t>
  </si>
  <si>
    <t>46372-00</t>
  </si>
  <si>
    <t>47975-01</t>
  </si>
  <si>
    <t>REPARACIJA RANE NA KOŽI I POTKOŽNOM TKIVU OSTALIH OBLASTI, KOJA UKLJUČUJE MEKO TKIVO</t>
  </si>
  <si>
    <t>35527-00</t>
  </si>
  <si>
    <t>ELEKTROKAUTERIZACIJA KARUNKULA URETRE</t>
  </si>
  <si>
    <t>37008-02</t>
  </si>
  <si>
    <t>CISTOLITOTOMIJA - LAPARASKOPSKA</t>
  </si>
  <si>
    <t>SUTURA POVREDA REKTUMA I/ILI ANALNOG SFINKTERA BEZ POVREDE PERINEUMA</t>
  </si>
  <si>
    <t>90480-01</t>
  </si>
  <si>
    <t>30476-02</t>
  </si>
  <si>
    <t xml:space="preserve">DAVANJE ANESTETIČKOG SREDSTVA OKO DRUGIH PERIFERNIH NERAVA </t>
  </si>
  <si>
    <t>96201-02</t>
  </si>
  <si>
    <t>INTRAKAVITARNO DAVANJE FARMAKOLOŠKOG SREDSTVA, ANTI-INFEKTIVNO SREDSTVO</t>
  </si>
  <si>
    <t>ENTERALNO DAVANJE FARMAKOLOŠKOG SREDSTVA, ANTI-INFEKTIVNO SREDSTVO</t>
  </si>
  <si>
    <t>INTRAMUSKULARNO DAVANJE FAARMAKOLOŠKOG SREDSTVA, ANTI-INFEKTIVNO SREDSTVO</t>
  </si>
  <si>
    <t>NEKI DRUGI NAČIN DAVANJA FARMAKOLOŠKOG SREDSTVA, INSULIN</t>
  </si>
  <si>
    <t>PREGLED NOVORODJENČETA</t>
  </si>
  <si>
    <t>18274-02</t>
  </si>
  <si>
    <t>DAVANJE ANESTETIČKOG SREDSTVA OKO PARAVERTIBRALNOG LUMBALNOG NERVA</t>
  </si>
  <si>
    <t>41689-00</t>
  </si>
  <si>
    <t>30484-01</t>
  </si>
  <si>
    <t>ENDOSKOPSKA RETROGRADNA HOLANGIOGRAFIJA (ERC)</t>
  </si>
  <si>
    <t xml:space="preserve">ISPIRANJE OKA </t>
  </si>
  <si>
    <t>60000-01</t>
  </si>
  <si>
    <t>DIGITALNO SUPTRAKCIONA ANGIOGRAFIJA GLAVE ILI VRATA SA AORTOGRAFIJOM LUKA, TRI ILI MANJE NIZOVA PRIKUPLJANJA</t>
  </si>
  <si>
    <t>ZATVORENA REPOZICIJA IŠČAŠENJA SKOČNOG ZGLOBA</t>
  </si>
  <si>
    <t>ASPIRACIJA ZGLOBA ILI NEKE DRUGE SINOVIJSKE ŠUPLJINE, NEKLSIFIKOVANA NA DRUGOM MESTU</t>
  </si>
  <si>
    <t>36800-02</t>
  </si>
  <si>
    <t>ZAMENA SUPRAPUBIČNOG KATETERA (CISTOSTOMASKOG)</t>
  </si>
  <si>
    <t>NEUROAKSIJALNA BLOKADA, ASA 10</t>
  </si>
  <si>
    <t>96206-06</t>
  </si>
  <si>
    <t>NENAZNAČEN NAČIN DAVANJA FARMAKOLOŠKOG SREDSTVA, INSULIN</t>
  </si>
  <si>
    <t>260010</t>
  </si>
  <si>
    <t>EPIDEMIOLOŠKA OBRADA PRIJAVE ZARAZNE BOLESTI</t>
  </si>
  <si>
    <t>241024</t>
  </si>
  <si>
    <t>600002</t>
  </si>
  <si>
    <t>SPECIJALISTIČKI PREGLED FIZIJATRA-KONTROLNI</t>
  </si>
  <si>
    <t>600021</t>
  </si>
  <si>
    <t>SUBAKVALNI ULTRAZVUK</t>
  </si>
  <si>
    <t>U8185900</t>
  </si>
  <si>
    <t>MERENJE INTRAABDOMINALNOG PRITISKA</t>
  </si>
  <si>
    <t>U9200101</t>
  </si>
  <si>
    <t>30606-01</t>
  </si>
  <si>
    <t>PREŠIVANJE VARIKOZITETA ŽELUDCA</t>
  </si>
  <si>
    <t>41644-00</t>
  </si>
  <si>
    <t>EKSCIZIJA IVICE PERFORIRANE BUBNE OPNE</t>
  </si>
  <si>
    <t>PERKUTANA NEFROSTOMIJA (PCN)</t>
  </si>
  <si>
    <t>U9011801</t>
  </si>
  <si>
    <t>35680-01</t>
  </si>
  <si>
    <t>REKONSTRUKCIJA MATERICE I POTPORNIH STRUKTURA</t>
  </si>
  <si>
    <t>35688-04</t>
  </si>
  <si>
    <t>30375-17</t>
  </si>
  <si>
    <t>90675-00</t>
  </si>
  <si>
    <t>OSTALE REPARACIJE KOŽE I POTKOŽNOG TKIVA</t>
  </si>
  <si>
    <t>41716-04</t>
  </si>
  <si>
    <t>OSTALE ENDONAZALNE PROCEDURE NA MAKSILARNOM SINUSU</t>
  </si>
  <si>
    <t>41737-01</t>
  </si>
  <si>
    <t>OSTALE ENDONAZALNE PROCEDURE NA ETMOIDALNOM SINUSU</t>
  </si>
  <si>
    <t>41787-01</t>
  </si>
  <si>
    <t>UVULEKTOMIJA SA PARCIJALNOM PALATEKTOMIJOM I TONZILEKTOMIJOM</t>
  </si>
  <si>
    <t>90132-00</t>
  </si>
  <si>
    <t>OSTALE REKONSTRUKCIJE NOSA</t>
  </si>
  <si>
    <t>47018-01</t>
  </si>
  <si>
    <t>47639-00</t>
  </si>
  <si>
    <t>OTVORENA REPOZICIJA PRELOMA METATARZUSA</t>
  </si>
  <si>
    <t>UŠIVANJE LIGAMENTA, NEKLASIFIKOVANO NA DRUGOM MESTU</t>
  </si>
  <si>
    <t>HOLEDOHODUODENOSTOMIJA</t>
  </si>
  <si>
    <t>30581-01</t>
  </si>
  <si>
    <t>47336-01</t>
  </si>
  <si>
    <t>90470-03</t>
  </si>
  <si>
    <t>EKSTRAKCIJA PLODA ZA KARLICU</t>
  </si>
  <si>
    <t>SEDACIJA,ASA 49</t>
  </si>
  <si>
    <t>92077-00</t>
  </si>
  <si>
    <t>OSTALA ISPIRANJA REKTUMA</t>
  </si>
  <si>
    <t>96152-00</t>
  </si>
  <si>
    <t>BIOFIDBEK</t>
  </si>
  <si>
    <t>KONTINUIRANO MERENJE ODNOSA IZMEĐU PROTOKA I VOLUMENA TOKOM IZDISAJA ILI UDISAJA</t>
  </si>
  <si>
    <t>PREGLED/PROCENA PRDNJEG SEGMENTA, SOČIVO</t>
  </si>
  <si>
    <t>90485-00</t>
  </si>
  <si>
    <t>30586-01</t>
  </si>
  <si>
    <t>ANASTOMOZA PANKREASA SA ŽELUDCEM</t>
  </si>
  <si>
    <t>40333-00</t>
  </si>
  <si>
    <t>CERVIKALNA DISKEKTOMIJA, JEDAN NIVO</t>
  </si>
  <si>
    <t>41737-03</t>
  </si>
  <si>
    <t>ETMOIDEKTOMIJA, OBOSTRANA</t>
  </si>
  <si>
    <t>RADIKALNA EKSCIZIJA RETROPERITONEALNIH LIMFNIH ČVOROVA</t>
  </si>
  <si>
    <t>30090-00</t>
  </si>
  <si>
    <t>PERKUTANA BIOPSIJA PLEURE IGLOM</t>
  </si>
  <si>
    <t>96206-07</t>
  </si>
  <si>
    <t>96206-08</t>
  </si>
  <si>
    <t>NENAZNAČEN NAČIN DAVANJA FARMAKOLOŠKOG SREDSTVA, HRANLJIVA SUPSTANCA</t>
  </si>
  <si>
    <t>NENAZNAČEN NAČIN DAVANJA FARMAKOLOŠKOG SREDSTVA, ELEKTROLIT</t>
  </si>
  <si>
    <t>34512-00</t>
  </si>
  <si>
    <t>30375-26</t>
  </si>
  <si>
    <t>HOLECISTOTOMIJA</t>
  </si>
  <si>
    <t>30563-02</t>
  </si>
  <si>
    <t>REPARACIJA PARASTOMALNE KILE</t>
  </si>
  <si>
    <t>32103-00</t>
  </si>
  <si>
    <t>33806-02</t>
  </si>
  <si>
    <t>EMBOLEKTOMIJA ILI TROMBEKTOMIJA RADIJALNE ARTERIJE</t>
  </si>
  <si>
    <t>90337-00</t>
  </si>
  <si>
    <t>OSTALI POSTUPCI POSTAVLJANJA  STENTA</t>
  </si>
  <si>
    <t>37212-00</t>
  </si>
  <si>
    <t>BIOPSIJA PROSTATE</t>
  </si>
  <si>
    <t>40332-00</t>
  </si>
  <si>
    <t>90330-00</t>
  </si>
  <si>
    <t>REVIZIJA ŠANTA CEREBROSPINALNE TEČNOSTI NA PERITONEUMU</t>
  </si>
  <si>
    <t>REPARACIJA RANE NA KOŽI I POTKOŽNOM TKIVU LICA ILI VRATA POVRŠINSKA</t>
  </si>
  <si>
    <t>JEDNOSTAVAN MALI  LOKALNI REŽANJ KOŽE UVA</t>
  </si>
  <si>
    <t>45723-00</t>
  </si>
  <si>
    <t>OSTEOTOMIJA (KORTIKOTOMIJA) MANDIUBLE UNUTRAŠNOM FIKSACIJOM</t>
  </si>
  <si>
    <t>EKCZIJA LEZIJE MEKOG TKIVA, NEKLASIFIKOVANA NA DRUGOM MESTU</t>
  </si>
  <si>
    <t>HIRURŠKO UKLANJANJE JEDNOG ZUBA KOJE NE ZAHTEVA UKLANJANJE KOSTI ILI RAZDVAJANJE ZUBA</t>
  </si>
  <si>
    <t>35303-06</t>
  </si>
  <si>
    <t>PERKUTANA TRANSLUMINALNA ANGIOPLASTIKA BALONOM</t>
  </si>
  <si>
    <t>TRSTIRANJE OPSEGA POKRETA MIŠIĆA SPECIJALIZOVANOM OPREMOM</t>
  </si>
  <si>
    <t>UKLANJANJE KATETERA URETEROME ILI URETERALNOG KATETERA</t>
  </si>
  <si>
    <t>TESTIRANJE OPSEGA POKRETA MIŠIĆA SPECIJALIZOVANOM OPREMOM</t>
  </si>
  <si>
    <t>35614-00</t>
  </si>
  <si>
    <t>KOLPOSKOPIJA</t>
  </si>
  <si>
    <t>92107-00</t>
  </si>
  <si>
    <t>PLASIRANJE OSTALIH VAGINALNIH PESERA</t>
  </si>
  <si>
    <t>41704-00</t>
  </si>
  <si>
    <t>92507-30</t>
  </si>
  <si>
    <t>92507-39</t>
  </si>
  <si>
    <t>92507-40</t>
  </si>
  <si>
    <t>30207-00</t>
  </si>
  <si>
    <t>PRIMENA SREDSTVA U LEZIJAMA NA KOŽI</t>
  </si>
  <si>
    <t>TOALETA UVA, DVOSTRANO</t>
  </si>
  <si>
    <t>96020-00</t>
  </si>
  <si>
    <t>PROCENA INTEGRITETA KOŽE</t>
  </si>
  <si>
    <t>30224-02</t>
  </si>
  <si>
    <t>PERKUTANA DRENAŽA RETROPERITONEALNOG APCESA</t>
  </si>
  <si>
    <t>30440-01</t>
  </si>
  <si>
    <t>PERKUTANA BILIJARNA DRENAŽA</t>
  </si>
  <si>
    <t>90392-00</t>
  </si>
  <si>
    <t>KONTROLA POSTOPERATIVNOG KRVARENJA IZ PROSTATE</t>
  </si>
  <si>
    <t>INTRAMUSKULARNO DAVANJE FARMAKOLOŠKOG SREDSTVA, ANTINEOPLASTIČNO SREDSTVO</t>
  </si>
  <si>
    <t>37604-06</t>
  </si>
  <si>
    <t>INCIZIJA TESTISA</t>
  </si>
  <si>
    <t>NEUROAKSIJALNA BLOKADA TOKOM TRUDOVA I POROĐAJA, ASA 30</t>
  </si>
  <si>
    <t>96196-08</t>
  </si>
  <si>
    <t>18216-29</t>
  </si>
  <si>
    <t>KAUDALNA INJEKCIJA LOKALNOG ANESTETIKA</t>
  </si>
  <si>
    <t>90028-00</t>
  </si>
  <si>
    <t>EPIDURALNA INJEKCIJA STEROIDA</t>
  </si>
  <si>
    <t>47342-01</t>
  </si>
  <si>
    <t>59970-00</t>
  </si>
  <si>
    <t>ANGIOGRAFIJA NEKLASIFIKOVANA NA DRUGOM MESTU</t>
  </si>
  <si>
    <t>90141-00</t>
  </si>
  <si>
    <t>OSTALE INCIJIJE KOŽE I POTKOŽNOG TKIVA</t>
  </si>
  <si>
    <t>96202-00</t>
  </si>
  <si>
    <t>U8183800</t>
  </si>
  <si>
    <t>PONIJATRIJSKI PREGLED BOLESNIKA</t>
  </si>
  <si>
    <t>U8183803</t>
  </si>
  <si>
    <t>ISPITIVANJE GOVORNOG STATUSA I GLASA BATERIJOM TESTOVA</t>
  </si>
  <si>
    <t>U8184502</t>
  </si>
  <si>
    <t>POZICIONIRAJUĆI TEST</t>
  </si>
  <si>
    <t>U8184503</t>
  </si>
  <si>
    <t>U8184504</t>
  </si>
  <si>
    <t>U8184505</t>
  </si>
  <si>
    <t>U8184506</t>
  </si>
  <si>
    <t>U8187400</t>
  </si>
  <si>
    <t>REHABILITACIONI TRETMAN DISFONIJA</t>
  </si>
  <si>
    <t>U8187403</t>
  </si>
  <si>
    <t>FONIJATRIJSKE VEŽBE - VEŽBE DISANJA</t>
  </si>
  <si>
    <t>U8187404</t>
  </si>
  <si>
    <t>U8187405</t>
  </si>
  <si>
    <t>U8187406</t>
  </si>
  <si>
    <t>FONIJATRIJSKE VEŽBE - VEŽBE RELAKSACIJE</t>
  </si>
  <si>
    <t>FONIJATRIJSKE VEŽBE - VEŽBE POSTAVLJANJA GLASA</t>
  </si>
  <si>
    <t>VEŽBE FONACIJE</t>
  </si>
  <si>
    <t>U9011802</t>
  </si>
  <si>
    <t>REPOZICIONI MANEVAR ZA LEČENJE BENIGNOG PAROKSIZMALNOG</t>
  </si>
  <si>
    <t>ZATVORENA REPOZICIJA IŠČAŠENJA ZGLOBOVA KOLENA</t>
  </si>
  <si>
    <t>DAVANJE INJEKCIJE U TERAPIJSKE / DIJAGNOSTIČKE SVRHE</t>
  </si>
  <si>
    <t>IZRADA INDIVIDUALNIH IZVEŠTAJA (IZVEŠTAJ O HOSPITALIZACIJI)</t>
  </si>
  <si>
    <t>IZRADA INDIVIDUALNIH IZVEŠTAJA  (IZVEŠTAJ O HOSPITALIZACIJI)</t>
  </si>
  <si>
    <t>009005</t>
  </si>
  <si>
    <t>SPECIJALISTIČKI PREGLED</t>
  </si>
  <si>
    <t>REPARACIJA RANE NA KOŽI I POTKOŽNOM TKIVU LICA ILI VRATA, POVRŠINSKA</t>
  </si>
  <si>
    <t>47024-02</t>
  </si>
  <si>
    <t>ZATVORENA REPOZICIJA IŠČAŠENJA DISTALNOG RADIO-ULNARNOG ZGLOBA</t>
  </si>
  <si>
    <t>41828-00</t>
  </si>
  <si>
    <t>NEENDOSKOPSKA DILATACIJA JEDNJAKA</t>
  </si>
  <si>
    <t>97044-00</t>
  </si>
  <si>
    <t>11718-00</t>
  </si>
  <si>
    <t>TESTIRANJE OSTALIH UGRADNIH PEJSMEJKERA</t>
  </si>
  <si>
    <t>11721-03</t>
  </si>
  <si>
    <t>TESTIRANJE ATRIOVENTRIKULARNOG SEKVENCIJALNOG, VISOKO OSETLJIVOG ILI ANTITAHIKARDIJALNOG SRČANOG PEJSMEJKERA</t>
  </si>
  <si>
    <t>OSTALE PROCENE, KONSULATCIJE ILI EVALUACIJE</t>
  </si>
  <si>
    <t>30478-10</t>
  </si>
  <si>
    <t>DEZINFEKICJA ROBE I POSTELJINE</t>
  </si>
  <si>
    <t>46396-03</t>
  </si>
  <si>
    <t>OSTEKTOMIJA METAKARPALNE KOSTI</t>
  </si>
  <si>
    <t>47006-00</t>
  </si>
  <si>
    <t>OTVORENA REPOZICIJA IŠČAŠENJA KLJUČNE KOSTI</t>
  </si>
  <si>
    <t>97963-00</t>
  </si>
  <si>
    <t>KLINIČKA OKLUZALNA ANALIZA KOJA OBUHVATA MIŠIĆNU I ZGLOBNU PULPACIJU</t>
  </si>
  <si>
    <t>039334</t>
  </si>
  <si>
    <t>PREGLED NEUROHIRURGA</t>
  </si>
  <si>
    <t>18266-01</t>
  </si>
  <si>
    <t>DAVANJE ANESTETIČKOG SREDSTVA OKO RADIJALNOG NERVA</t>
  </si>
  <si>
    <t>18270-00</t>
  </si>
  <si>
    <t>DAVANJE ANESTETIČKOG SREDSTVA OKO FEMORALNOG NERVA</t>
  </si>
  <si>
    <t>96196-09</t>
  </si>
  <si>
    <t>INTRA-ARTERIJSKO DAVANJE FARMAKOLOŠKOG SREDSTVA, DRUGO I NEKLASIFIKOVANO SREDSTVO</t>
  </si>
  <si>
    <t>47900-00</t>
  </si>
  <si>
    <t>ASPIRACIJA KOŠTANE CISTE</t>
  </si>
  <si>
    <t>47024-00</t>
  </si>
  <si>
    <t>ZATVORENA REPOZICIJA IŠČAŠENJA PROKSIMALNOG RADIO-ULNARNOG ZGLOBA</t>
  </si>
  <si>
    <t>47030-00</t>
  </si>
  <si>
    <t>ZATVORENA REPOZICIJA IŠČAŠENJA KARPUSA</t>
  </si>
  <si>
    <t>47030-02</t>
  </si>
  <si>
    <t>ZATVORENA REPOZICIJA IŠČAŠENJA KARPOMETAKARPALNOG ZGLOBA</t>
  </si>
  <si>
    <t>ZATVORENA REPOZICIJA PRELOMA PROKSIMALNOG ČLANKA PRSTA NA RUCI</t>
  </si>
  <si>
    <t>ODSTRANJENJE IGLE, ZAVRTNJA ILI ŽICE IZ MAKSILE, MANDIBULE ILI ZIGOMATIČNE KOSTI</t>
  </si>
  <si>
    <t>11012-00</t>
  </si>
  <si>
    <t>ELEKTROMIOGRAFIJA (EMG)</t>
  </si>
  <si>
    <t>11614-00</t>
  </si>
  <si>
    <t>PREGLED I SNIMANJE (SONOGRAFIJA) INTRAKRANIJALNE ARTERIJSKE  CIRKULACIJE KORIŠĆENJEM TRANSKRANIJALNOG DOPLERA</t>
  </si>
  <si>
    <t>41764-02</t>
  </si>
  <si>
    <t>41764-03</t>
  </si>
  <si>
    <t>FIBEROPTIČKI PREGLED FARINKSA</t>
  </si>
  <si>
    <t>FIBEROPTIČKA LARINGOSKOPIJA</t>
  </si>
  <si>
    <t>53403-00</t>
  </si>
  <si>
    <t>IMOBILIZACIJA PRELOMA MANDIBULE BEZ POSTAVLJANJA SPLINTA</t>
  </si>
  <si>
    <t>90118-00</t>
  </si>
  <si>
    <t>OSTALE PROCEDURE NA UNUTRAŠNJEM UVU</t>
  </si>
  <si>
    <t>241012</t>
  </si>
  <si>
    <t>IZDAVANJE LEKOVA NA NALOG ZA PROPISIVANJE I IZDAVANJE LEKOVA SA LISTE LEKOVA POD POSEBNIM REŽIMOM IZDAVANJA I NA NALOG ZA PROPISIVANJE I IZDAVANJE LEKOVA KOJI SE NE NALAZE NA LISTI LEKOVA - OBRAZAC N1</t>
  </si>
  <si>
    <t>38353-01</t>
  </si>
  <si>
    <t>ZAMENA PEJSMEJKERA</t>
  </si>
  <si>
    <t>38390-02</t>
  </si>
  <si>
    <t>IMPLANTACIJA PERMANENTNE ENDOVENSKE ELEKTRODE DEFIBRILATORA U OSTALE SRČANE ŠUPLJINE</t>
  </si>
  <si>
    <t>38393-00</t>
  </si>
  <si>
    <t>INPLANTACIJA DEFIBRILATORA</t>
  </si>
  <si>
    <t>90203-04</t>
  </si>
  <si>
    <t>UKLANJANJE PRIVREMENE ENDOVENSKE ELEKTRODE PEJSMEJKERA</t>
  </si>
  <si>
    <t>90203-05</t>
  </si>
  <si>
    <t>PODEŠAVANJE PEJSMEJKERA</t>
  </si>
  <si>
    <t>90203-06</t>
  </si>
  <si>
    <t>PODEŠAVANJE DEFIBRILATORA</t>
  </si>
  <si>
    <t>OSTALA SAVETOVANJA ILI PODUČAVANJA</t>
  </si>
  <si>
    <t>46420-00</t>
  </si>
  <si>
    <t>PRIMARNA REPARACIJA TETIVE EKSTENZORA ŠAKE</t>
  </si>
  <si>
    <t>OTVORENA REPOZICIJA IŠČAŠENJA DISTALNOG RADIO-ULNARNOG ZGLOBA</t>
  </si>
  <si>
    <t>ZATVORENA REPOZICIJA PRELOMA METAKARPUSA SA UNUTRAŠNJOM FIKSACIJOM</t>
  </si>
  <si>
    <t>47363-00</t>
  </si>
  <si>
    <t>ZATVORENA REPOZICIJA PRELOMA DISTALNOG DELA RADIJUSA</t>
  </si>
  <si>
    <t>47426-00</t>
  </si>
  <si>
    <t>ZATVORENA REPOZICIJA PRELOMA PROKSIMALOG DELA HUMERUSA</t>
  </si>
  <si>
    <t>47465-01</t>
  </si>
  <si>
    <t>OTVORENA REPOZICIJA PRELOMA KLJUČNE KOSTI SA UNUTRAŠNJOM FIKSACIJOM</t>
  </si>
  <si>
    <t>UNUTRAŠNJA FIKSACIJA PRELOMA TROHANTERNOG ILI SUBKAPITANOG DELA FEMURA</t>
  </si>
  <si>
    <r>
      <rPr>
        <b/>
        <i/>
        <sz val="7"/>
        <color indexed="8"/>
        <rFont val="Times New Roman"/>
        <family val="1"/>
        <charset val="238"/>
      </rPr>
      <t xml:space="preserve">НАПОМЕНА </t>
    </r>
    <r>
      <rPr>
        <i/>
        <sz val="7"/>
        <color indexed="8"/>
        <rFont val="Times New Roman"/>
        <family val="1"/>
        <charset val="238"/>
      </rPr>
      <t>: ПО УПУТСТВУ ГРАДСКОГ ЗАВОДА УСЛУГЕ ФИЗИКАЛНЕ МЕДИЦИНЕ КОЈЕ СУ СЕ ДО САДА НАЛАЗИЛЕ НА СТАЦИОНАРНИМ ОДЕЉЕЊИМА, САДА СУ ИЗДВОЈЕНЕ И ГРУПИСАНЕ  ПРЕМА МЕСТУ ПРУЖАЊА УСЛУГЕ.</t>
    </r>
  </si>
  <si>
    <t>47534-00</t>
  </si>
  <si>
    <t>UNUTRAŠNJA FIKSACIJA UNUTARZGLOBNOG PRELOMA KODILA FEMURA</t>
  </si>
  <si>
    <t>47555-01</t>
  </si>
  <si>
    <t>ZATVORENA REPOZICIJA PRELOMA MEDIJALNOG I LATERALNOG KONDILA TIBIJE SA UNUTRAŠNJOM FIKSACIJOM</t>
  </si>
  <si>
    <t>47566-00</t>
  </si>
  <si>
    <t>ZATVORENA REPOZICIJA PRELOMA TELA TIBIJE SA UNUTRAŠNJOM FISACIJOM</t>
  </si>
  <si>
    <t>47600-00</t>
  </si>
  <si>
    <t>ZATVORENA REPOZICIJA PRELOMA SKOČNOG ZGLOBA SA UNUTRAŠNJOM FIKSACIJOM RAZMAKNUĆA FIBULE ILI MALEOLUSA</t>
  </si>
  <si>
    <t>49724-01</t>
  </si>
  <si>
    <t>REKONSTRUKCIJA AHILOVE  TETIVE</t>
  </si>
  <si>
    <t>49821-00</t>
  </si>
  <si>
    <t>ISPRAVLJANJE HALUX VALGUS-A  ILI HALUX RIGIDUS-A POMOĆU ARTROPLASTIKE, JEDNOSTRANO</t>
  </si>
  <si>
    <t>ZATVORENA REPOZICIJA IŠČAŠENJA LAKTA SA UNUTRAŠNOM FIKSACIJOM</t>
  </si>
  <si>
    <t>47360-01</t>
  </si>
  <si>
    <t>32075-01</t>
  </si>
  <si>
    <t>RIGIDNA SIGMOIDOSKOPIJA SA BIOPSIJOM</t>
  </si>
  <si>
    <t>13939-02</t>
  </si>
  <si>
    <t>ODRŽAVANJE UREĐAJA ZA VASKULARNI PRISTUP</t>
  </si>
  <si>
    <t>13300-01</t>
  </si>
  <si>
    <t>KATETERIZACIJA/KANILACIJA PREKO SKALPA KOD  NOVOROĐENČETA</t>
  </si>
  <si>
    <t>009214</t>
  </si>
  <si>
    <t>POVRŠINSKA LOKALNA ANESTEZIJA</t>
  </si>
  <si>
    <t>96202-01</t>
  </si>
  <si>
    <t>ENTERALNO DAVANJE FARMAKOLOŠKOG SREDSTVA, TROMBOLITIČKO SREDSTVO</t>
  </si>
  <si>
    <t>ENTERALNO DAVANJE FARMAKOLOŠKOG SREDSTVA, INSULIN</t>
  </si>
  <si>
    <t>ORALNO DAVANJE FARMAKOLOŠKOG SREDSTVA, STEROID</t>
  </si>
  <si>
    <t>009144</t>
  </si>
  <si>
    <t>REVIZIJA SINUSA- CALDEWELL - LUC</t>
  </si>
  <si>
    <t>009160</t>
  </si>
  <si>
    <t>ZAUSTAVLJANJE KRVARENJA</t>
  </si>
  <si>
    <t>009162</t>
  </si>
  <si>
    <t>PRIMARNA PLASTIKA OAK</t>
  </si>
  <si>
    <t>009177</t>
  </si>
  <si>
    <t>BIOPSIJA</t>
  </si>
  <si>
    <t>009181</t>
  </si>
  <si>
    <t>MALIGNI TUMORI USNE - CQUOT, WCQUOT, EKSCIZIJA</t>
  </si>
  <si>
    <t>009215</t>
  </si>
  <si>
    <t>INFILTRACIONA ANESTEZIJA</t>
  </si>
  <si>
    <t>30266-00</t>
  </si>
  <si>
    <t>INCIZIJA PLJUVAČNIH ŽLEZDA ILI KANILA</t>
  </si>
  <si>
    <t>UKLANJANJE KALKULUSA IZ PLJUVAČNIH ŽLEZDA ILI KANALA</t>
  </si>
  <si>
    <t>31409-00</t>
  </si>
  <si>
    <t>EKSCIZIJA PARAFARINGEALNE LEZIJE CERVIKALNIM PRISTUPOM</t>
  </si>
  <si>
    <t>39300-00</t>
  </si>
  <si>
    <t>PRIMARNA REPARACIJA NERVA</t>
  </si>
  <si>
    <t>41671-03</t>
  </si>
  <si>
    <t>PARCIJALNA TURBINEKTOMIJA, JEDNOSTRANA</t>
  </si>
  <si>
    <t>41716-05</t>
  </si>
  <si>
    <t>BIOPSIJA IZ MAKSILARNOG SINUSA</t>
  </si>
  <si>
    <t>41722-00</t>
  </si>
  <si>
    <t xml:space="preserve">ZATVARANJE OROANTRALNE FISTULE  </t>
  </si>
  <si>
    <t>41737-02</t>
  </si>
  <si>
    <t>ETMOIDEKTOMIJA, JEDNOSTRANA</t>
  </si>
  <si>
    <t>45233-01</t>
  </si>
  <si>
    <t>45506-00</t>
  </si>
  <si>
    <t>REVIZIJA OŽILJAKA NA LICU DUŽINE 3 CM I MANJE</t>
  </si>
  <si>
    <t>45563-00</t>
  </si>
  <si>
    <t>OSTRVSKI REŽANJ SA VASKULARNIM PEDIKULOM</t>
  </si>
  <si>
    <t>45590-00</t>
  </si>
  <si>
    <t>REKONSTRUKCIJA ORBITALNE ŠUPLJINE</t>
  </si>
  <si>
    <t>45590-01</t>
  </si>
  <si>
    <t>REKONSTRUKCIJA ORBITALNE ŠUPLJINE SA IMPLANTATOM</t>
  </si>
  <si>
    <t>45632-00</t>
  </si>
  <si>
    <t>45635-00</t>
  </si>
  <si>
    <t>RINOPLASTIKA SA KOREKCIJOM KOŠTANOG LUKA</t>
  </si>
  <si>
    <t>47765-00</t>
  </si>
  <si>
    <t>OTOVRENA REPOZICIJA PRELOMA ZIGOMATIČNE KOSTI SA SPOLJAŠNJOM FIKSACIJOM, 1 MESTO</t>
  </si>
  <si>
    <t>REGIONALNA BLOKADA, NERVA GLAVE ILI VRATA, ASA 19</t>
  </si>
  <si>
    <t>92511-10</t>
  </si>
  <si>
    <t>REGIONALNA BLOKADA, NERVA GORNJEG EKSTREMITTA, ASA 10</t>
  </si>
  <si>
    <t>REGIONALNA BLOKADA NERVA DONJEG EKSTREMITETA ASA 29</t>
  </si>
  <si>
    <t>35638-05</t>
  </si>
  <si>
    <t>37221-00</t>
  </si>
  <si>
    <t>ENDOSKOPSKA DRENAŽA APSCESA PROSTATE</t>
  </si>
  <si>
    <t>90331-00</t>
  </si>
  <si>
    <t>OSTALE PROCEDURE NA ABDOMENU, PERITONEUMU I OMENTUMU</t>
  </si>
  <si>
    <t>30478-00</t>
  </si>
  <si>
    <t>PANENDOSKOPIJA DO DUODENUMA SA ODSTRANJENJEM STRANOG TELA</t>
  </si>
  <si>
    <t>ENDOSKOPSKA PRIMENA AGENSA U LEZIJU ŽELUDCA ILI DUODENUMA</t>
  </si>
  <si>
    <t>13109-01</t>
  </si>
  <si>
    <t>ZAMENA PREBIVAJUĆEG PERITONEALNOG KATETERA RADI PERITONEALNE DIJALIZE</t>
  </si>
  <si>
    <t>30165-00</t>
  </si>
  <si>
    <t>LIPEKTOMIJA PREDNJEG TRBUŠNOG ZIDA</t>
  </si>
  <si>
    <t>30375-08</t>
  </si>
  <si>
    <t>REPOZICIJA INVAGINACIJE TANKOG CREVA</t>
  </si>
  <si>
    <t>30436-00</t>
  </si>
  <si>
    <t>30482-00</t>
  </si>
  <si>
    <t>32005-00</t>
  </si>
  <si>
    <t>SUBTOTALNA KOLEKTOMIJA SA ANASTOMOZOM</t>
  </si>
  <si>
    <t>32142-00</t>
  </si>
  <si>
    <t>EKSCIZIJA ANALNOG KOŽNOG NABORA</t>
  </si>
  <si>
    <t>33142-00</t>
  </si>
  <si>
    <t>REPARACIJA LAŽNE ANEURIZME FEMORALNE ARTERIJE</t>
  </si>
  <si>
    <t>33812-04</t>
  </si>
  <si>
    <t>TROMBEKTOMIJA OSTALIH VELIKIH VENA</t>
  </si>
  <si>
    <t xml:space="preserve">RADIKALNA NEFREKTOMIJA </t>
  </si>
  <si>
    <t>RADIKALNA NEFREKTOMIJA</t>
  </si>
  <si>
    <t>43807-00</t>
  </si>
  <si>
    <t>DUODENODUODENOSTOMIJA</t>
  </si>
  <si>
    <t>46480-00</t>
  </si>
  <si>
    <t>AMPUTACIJA PRSTA KOJA UKLJUČUJE METAKARPALNU KOST</t>
  </si>
  <si>
    <t>47918-00</t>
  </si>
  <si>
    <t>RADIKALNA EKSCIZIJA LEŽIŠTA URASLOG NOKTA NA PRSTU STOPALA</t>
  </si>
  <si>
    <t>90305-00</t>
  </si>
  <si>
    <t>OSTALE PROCEDURE NA ŽELUDCU</t>
  </si>
  <si>
    <t>90351-00</t>
  </si>
  <si>
    <t>UKLANJANJE PRIVREMENOG KATETERA ZA PERITONEALNU DIJALIZU</t>
  </si>
  <si>
    <t>90450-02</t>
  </si>
  <si>
    <t>TOTALNA KARLIČNA EGZENTERCIJA</t>
  </si>
  <si>
    <t>90547-00</t>
  </si>
  <si>
    <t>90603-19</t>
  </si>
  <si>
    <t>SEKVESTREKTOMIJA METATARZUSA</t>
  </si>
  <si>
    <t>90952-00</t>
  </si>
  <si>
    <t>INCIZIJA TRBUŠNOG ZIDA</t>
  </si>
  <si>
    <t>600022</t>
  </si>
  <si>
    <t>SONOFOREZA</t>
  </si>
  <si>
    <t>35309-07</t>
  </si>
  <si>
    <t>PERKUTANA TRANSLUMINALNA ANGIOPLASTIKA BALONOM SA STENTOM, VIŠE STENTOVA</t>
  </si>
  <si>
    <t>38312-01</t>
  </si>
  <si>
    <r>
      <t>PERKUTANA TRANSLUMINALNA KORONARNA ROTACIONA ATEREKTOMIJA (PTCRA), JEDNA ARTERIJA SA INSERCIJOM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>2 STENTA</t>
    </r>
  </si>
  <si>
    <t>ENTERALNO DAVANJE FARMAKOLOŠKOG SREDSTVA, ANTINEOPLASTIČNO SREDSTVO</t>
  </si>
  <si>
    <t>36522-01</t>
  </si>
  <si>
    <t>PARCIJALNA NEFREKTOMIJA</t>
  </si>
  <si>
    <r>
      <t>ENDOSKOPSKA ELEKTROKAUTERIZACIJA JEDNE PROMENE MOKRAĆNE BEŠIKE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 CM</t>
    </r>
  </si>
  <si>
    <t>39700-00</t>
  </si>
  <si>
    <t>EKSCIZIJA LOBANJSKE LEZIJE</t>
  </si>
  <si>
    <t>39712-04</t>
  </si>
  <si>
    <t>UKLANJANJE OSTALIH INTRAKRANIJALNIH LEZIJA</t>
  </si>
  <si>
    <t>90009-00</t>
  </si>
  <si>
    <t>POSTOPERATIVNO PONOVNO OTVARANJE MESTA UČINJENE LAMINOTOMIJE ILI LAMINEKTOMIJE</t>
  </si>
  <si>
    <t>13020-00</t>
  </si>
  <si>
    <r>
      <t xml:space="preserve">HIPERBARIČNA TERAPIJA  KISEONIKOM, &lt; 90 MINUTA I </t>
    </r>
    <r>
      <rPr>
        <u/>
        <sz val="8"/>
        <rFont val="Times New Roman"/>
        <family val="1"/>
        <charset val="238"/>
      </rPr>
      <t xml:space="preserve">&lt; </t>
    </r>
    <r>
      <rPr>
        <sz val="8"/>
        <rFont val="Times New Roman"/>
        <family val="1"/>
        <charset val="238"/>
      </rPr>
      <t xml:space="preserve"> 3 SATA</t>
    </r>
  </si>
  <si>
    <t>930001</t>
  </si>
  <si>
    <t>BRIS NOSA</t>
  </si>
  <si>
    <t>96090-00</t>
  </si>
  <si>
    <t>30440-00</t>
  </si>
  <si>
    <t>PERKUTANA TRANSHEPATIČKA HOLANGIOGRAFIJA (PTC)</t>
  </si>
  <si>
    <t>930222</t>
  </si>
  <si>
    <t>ODREĐIVANJE RH FENOTIPA-C.D.E.C/E</t>
  </si>
  <si>
    <t>930223</t>
  </si>
  <si>
    <t>DIR.COOMBS-OV TEST</t>
  </si>
  <si>
    <t>930228</t>
  </si>
  <si>
    <t>IDENTIFIKACIJA ANTITELA</t>
  </si>
  <si>
    <t>96049-00</t>
  </si>
  <si>
    <t>TEST FUZIJE REČI</t>
  </si>
  <si>
    <t>22008-01</t>
  </si>
  <si>
    <t>UDRUŽENE ZDRAVSTVENE PROCEDURE, DIJETETIKA</t>
  </si>
  <si>
    <t>95550-00</t>
  </si>
  <si>
    <t>ENTERALNO DAVANJE FARMAKOLOŠKOG SREDSTVA, DRUGO I NEKLASIFIKOVANO FARMAKOLOŠKO SREDSTVO</t>
  </si>
  <si>
    <t>41656-00</t>
  </si>
  <si>
    <t>ZAUSTAVLJANJE KRVARENJA IZ ZADNJEG DELA NOSA TAMPONADOM I/ILI KAUTERIZACIJOM</t>
  </si>
  <si>
    <t>90133-00</t>
  </si>
  <si>
    <t>OSTALE PROCEDURE NA NOSU</t>
  </si>
  <si>
    <t>47027-02</t>
  </si>
  <si>
    <t>OTVORENA REPOZICIJA PRELOMA METAKARPUSA SA UNUTRAŠNJOM FIKSACIJOM</t>
  </si>
  <si>
    <t>REPARACIJA RANE NA KOŽI I POTKOŽNOM TKIVU LICA ILI VRATA, KOJA UKLJUČUJE MEKO TKIVO</t>
  </si>
  <si>
    <t>009161</t>
  </si>
  <si>
    <t>ZAUSTAVLJANJE KRVARENJA HIRURŠKIM PUTEM</t>
  </si>
  <si>
    <t>47566-04</t>
  </si>
  <si>
    <t>ZATVORENA REPOZICIJA FRAKTURE FIBULE SA UNUTRAŠNJOM FIKSACIJOM</t>
  </si>
  <si>
    <t>930220</t>
  </si>
  <si>
    <t>UZIMANJE UZORKA</t>
  </si>
  <si>
    <t>EKCIZIJSKI DEBRIDMAN MEKOG TKIVA</t>
  </si>
  <si>
    <t>009164</t>
  </si>
  <si>
    <t>PRIMARNA OBRADA RANE - INTRAORALNO</t>
  </si>
  <si>
    <t>11727-00</t>
  </si>
  <si>
    <t>TESTIRANJE UGRAĐENOG SRČANOG DEFIBRILATORA</t>
  </si>
  <si>
    <t>NEUROAKSIJALAN BLOKADA TOKOM TRUDOVA I POROĐAJA, ASA 10</t>
  </si>
  <si>
    <t>OPŠTA ANESTEZIJA, ASA 20</t>
  </si>
  <si>
    <t>OSTALE PROCENE KONSULTACIJE ILI EVALUACIJE</t>
  </si>
  <si>
    <t>PACIJENTI</t>
  </si>
  <si>
    <t>47453-00</t>
  </si>
  <si>
    <t>IMOBILIZACIJA PRELOMA DISTALNOG DELA JUMRERUSA</t>
  </si>
  <si>
    <t>UKLANJANJE STRANOG RELA IZ KOŽE I POTKOŽNOG TKIVA BEZ INCIZIJE</t>
  </si>
  <si>
    <t>IMOBILIZACIJA PRELOMA DISTALNOG DELA HUMERUSA</t>
  </si>
  <si>
    <t>93341-01</t>
  </si>
  <si>
    <t>ELEKTOKONVULZIVNA TERAPIJA (EKT), I TRETMAN</t>
  </si>
  <si>
    <t>ZATVORENA REPOZICIJA PRELOMA KARPUSA</t>
  </si>
  <si>
    <t>90765-00</t>
  </si>
  <si>
    <t>IZRADA I PODEŠAVANJE UREĐAJA ZA IMOBILIZACIJU, JEDNOSTAVNA</t>
  </si>
  <si>
    <t>11503-04</t>
  </si>
  <si>
    <t>90144-00</t>
  </si>
  <si>
    <t>EKSCIZIJA LEZIJA NA TONZILAMA I ADENOIDIMA</t>
  </si>
  <si>
    <t>96154-00</t>
  </si>
  <si>
    <t>NENAZNAČEN NAČIN DAVANJA FARMAKOLOŠKOG SREDSTVA, ANTINEOPLASTIČNO  SREDSTVO</t>
  </si>
  <si>
    <t>930002</t>
  </si>
  <si>
    <t>BRIS ŽDRELA</t>
  </si>
  <si>
    <t>930012</t>
  </si>
  <si>
    <t>BRIS RANE</t>
  </si>
  <si>
    <t>47426-01</t>
  </si>
  <si>
    <t>ZATVORENA REPOZICIJA PELOMA PROKSIMALNOG DELA HUMERUSA SA UNUTRAŠNJOM FIKSACIJOM</t>
  </si>
  <si>
    <t>47456-00</t>
  </si>
  <si>
    <t>ZATVORENA REPOZICIJA PRELOMA DISTALNOG DELA HUMERUSA</t>
  </si>
  <si>
    <t>47498-00</t>
  </si>
  <si>
    <t>UNUTRAŠNJA FIKSACIJA PRELOMA ACETABULUMA</t>
  </si>
  <si>
    <t>48406-02</t>
  </si>
  <si>
    <t>OSTEOTOMIJA RADIJUSA</t>
  </si>
  <si>
    <t>48406-03</t>
  </si>
  <si>
    <t>OSTEKTOMIJA RADIJUSA</t>
  </si>
  <si>
    <t>48409-04</t>
  </si>
  <si>
    <t>OSTEOTOMIJA ULNE SA UNUTRAŠNJOM FIKSACIJOM</t>
  </si>
  <si>
    <t>48424-01</t>
  </si>
  <si>
    <t>OSTEOTOMIA PROKSIMALNOG FEMURA</t>
  </si>
  <si>
    <t>48912-00</t>
  </si>
  <si>
    <t>ARTROTOMIJA RAMENA</t>
  </si>
  <si>
    <t>48930-00</t>
  </si>
  <si>
    <t>STABILIZACIJA RAMENA</t>
  </si>
  <si>
    <t>49558-00</t>
  </si>
  <si>
    <t>ARTROPLASTIKA TOALETA ZGLOBA KOLENA</t>
  </si>
  <si>
    <t>90533-00</t>
  </si>
  <si>
    <t>OSTALE REPARACIJE RAMENA</t>
  </si>
  <si>
    <t>930072</t>
  </si>
  <si>
    <t>930073</t>
  </si>
  <si>
    <t>HEMOKULTURA AEROBNO</t>
  </si>
  <si>
    <t>HEMOKULTURA ANAEROBNO</t>
  </si>
  <si>
    <t>OPTIČKA URETROTOMIJA</t>
  </si>
  <si>
    <t>NEKI DRUGI NAČIN DAVANJA FARMAKOLOŠKOG SREDSTVA, ANTINEOPLASTIČNO SREDSTVO</t>
  </si>
  <si>
    <t>INTRAMUSKULARNO DAVANJE FARMAKOLOŠGKOG SREDSTVA, INSULIN</t>
  </si>
  <si>
    <t>92176-00</t>
  </si>
  <si>
    <t>930503</t>
  </si>
  <si>
    <t>SZP SVEŽA ZAMRZNUTA PLAZMA</t>
  </si>
  <si>
    <t>36854-02</t>
  </si>
  <si>
    <t>009171</t>
  </si>
  <si>
    <t>ZBRINJAVANJE PRELOMA VILICE METODOM ŽIČANE IMOBILIZACIJE</t>
  </si>
  <si>
    <t>009178</t>
  </si>
  <si>
    <t>EKSCIZIJA BENIGNIH/MALIGNIH KOŽNIH TUMORA SA DIREKTNOM SUTUROM M.F.REGIJA</t>
  </si>
  <si>
    <t>009179</t>
  </si>
  <si>
    <t>EKSCIZIJA BENIGNIH/MALIGNIH KOŽNIH TUMORA SA REKONSTRUKCIJOM DEFEKTA  M.F.REGIJA</t>
  </si>
  <si>
    <t>009187</t>
  </si>
  <si>
    <t>EKSTRAORALNA INCIZIJA APSCESA</t>
  </si>
  <si>
    <t>30052-04</t>
  </si>
  <si>
    <t>ZATVARANJE FISTULE U USNOJ ŠUPLJINI</t>
  </si>
  <si>
    <t>EKSCIZIJA LEZIJE(A) NA KOŽI I POTKOŽNOM TKIVU NOSA</t>
  </si>
  <si>
    <t>41686-00</t>
  </si>
  <si>
    <t>HIRURŠKI PRELOM NOSNE ŠKOLJKE, JEDNOSTRANI</t>
  </si>
  <si>
    <t>42536-04</t>
  </si>
  <si>
    <t>EGZENTERACIJA ORBIRE SA UKLANJANJEM SUSEDNIH STRUKTURA</t>
  </si>
  <si>
    <t>45562-01</t>
  </si>
  <si>
    <t>INERVISANI SLOBODNI REŽANJ</t>
  </si>
  <si>
    <t>45623-05</t>
  </si>
  <si>
    <t>KOREKCIJA PTOZE NA OČNOM KAPKU OSTALIM TEHNIKAMA</t>
  </si>
  <si>
    <t>45645-00</t>
  </si>
  <si>
    <t>ZATVORENA REPARACIJA BOANALNE ATREZIJE</t>
  </si>
  <si>
    <t>47768-00</t>
  </si>
  <si>
    <t>OTVORENA REPOZICIJA PRELOMA ZIGOMASTIČNE KOSTI SA SPOLJAŠNJOM FIKSACIOJOM, 2 MESTA</t>
  </si>
  <si>
    <t>53425-00</t>
  </si>
  <si>
    <t>OTVORENA REPOZICIJA KOMPLIKOVANOG PRELOMA MANDIBULE</t>
  </si>
  <si>
    <t>90138-00</t>
  </si>
  <si>
    <t>EKSCIZIJA LEZIJA NA JEZIKU</t>
  </si>
  <si>
    <t>OSTALE PROCEDURE NA NEPCU</t>
  </si>
  <si>
    <t>90143-01</t>
  </si>
  <si>
    <t>NEUROAKSIJALNA BLOKADA TOKOM TRUDOVA I POROĐAJA ASA 39</t>
  </si>
  <si>
    <t>NEUROAKSIJALNA BLOKADA TOKOM TRUDOVA I POROĐAJA ASA 40</t>
  </si>
  <si>
    <t>NEUROAKSIJALNA BLOKADA TOKOM TRUDOVA I POROĐAJA ASA 59</t>
  </si>
  <si>
    <t>92507-59</t>
  </si>
  <si>
    <t>92511-49</t>
  </si>
  <si>
    <t>REGIONALNA BLOKADA, NERVA GORNJEG EKSTREMITETA, ASA 39</t>
  </si>
  <si>
    <t>REGIONALNA BLOKADA, NERVA GORNJEG EKSTREMITETA, ASA 49</t>
  </si>
  <si>
    <t>35506-00</t>
  </si>
  <si>
    <t>ZAMENA INTTRAUTERINOG ULOŠKA (IUD)</t>
  </si>
  <si>
    <t>35670-00</t>
  </si>
  <si>
    <t>ABDOMINALNA HISTEREKTOMIJA SA PELVIČNOM LIMFONODEKTOMIJOM</t>
  </si>
  <si>
    <t>260005</t>
  </si>
  <si>
    <t>PRIJAVA O MOGUČNOSTI INFEKCIJE VIRUSOM BESNILA</t>
  </si>
  <si>
    <t>30177-00</t>
  </si>
  <si>
    <t>LIPEKTOMIJA PREDNJEG TRBUŠNOG ZIDA, RADIKALNA</t>
  </si>
  <si>
    <t>30382-03</t>
  </si>
  <si>
    <t>PERKUTANA REPARACIJA ENTEROKUTNE FISTULE DEBELOG CREVA</t>
  </si>
  <si>
    <t>30563-00</t>
  </si>
  <si>
    <t>REVIZIJA STOME TANKOG CREVA</t>
  </si>
  <si>
    <t>30580-00</t>
  </si>
  <si>
    <t>EKSCIZIJA LEZIJE DUODENUMA</t>
  </si>
  <si>
    <t>32108-00</t>
  </si>
  <si>
    <t>TRANSSFINKTERIČNA EKSCIZIJA LEZIJE ILI TKIVA REKTUMA</t>
  </si>
  <si>
    <t>32166-00</t>
  </si>
  <si>
    <t>UGRADNJA ANALNOG SETONA</t>
  </si>
  <si>
    <t>32742-00</t>
  </si>
  <si>
    <t>32754-00</t>
  </si>
  <si>
    <t>33118-00</t>
  </si>
  <si>
    <t>ZAMENA INFRARENALNE ANEURIZME ABDOMINALNE AORTE SA BIFURKACIONIM GRAFTOM NA ILIJAČNIM ARTERIJAMA</t>
  </si>
  <si>
    <t>33806-11</t>
  </si>
  <si>
    <t>DIREKTNO ZATVARANJE FEMORALNE ARTERIJE</t>
  </si>
  <si>
    <t>LAPARASKOPSA OVARIJALNA CISTEREKTOMIJA, OBOSTRANA</t>
  </si>
  <si>
    <t>43810-00</t>
  </si>
  <si>
    <t>REPARACIJA TANKOG CREVA SA JEDNOM ANASTOMOZOM</t>
  </si>
  <si>
    <t>90376-02</t>
  </si>
  <si>
    <t>UKLANJANJE PERITONEALNOG PRISTUPNOG UREĐAJA</t>
  </si>
  <si>
    <t>35307-00</t>
  </si>
  <si>
    <t>930003</t>
  </si>
  <si>
    <t>BRIS USNE DUPLJE JEZIKA</t>
  </si>
  <si>
    <t>35523-00</t>
  </si>
  <si>
    <t>EKSCIZIJA KARUNKULA URETRE</t>
  </si>
  <si>
    <t>36500-01</t>
  </si>
  <si>
    <t>TOTALNA ADRENALEKTOMIJA, JEDNOSTRANA</t>
  </si>
  <si>
    <t>36519-03</t>
  </si>
  <si>
    <t>NEFREKTOMIJA PRETHODNO OPERISANOG BUBREGA</t>
  </si>
  <si>
    <t>36588-01</t>
  </si>
  <si>
    <t>37008-05</t>
  </si>
  <si>
    <t>UKLANJANJE STRANOG TELA IZ MOKRAĆNE BEŠIKE</t>
  </si>
  <si>
    <t>90173-00</t>
  </si>
  <si>
    <t>ODSTRANJENJE LEZIJE POVRŠINSKOG PERIFERNOG NERVA</t>
  </si>
  <si>
    <t>39324-02</t>
  </si>
  <si>
    <t>39609-01</t>
  </si>
  <si>
    <t>ELEVACIJA SLOŽENE FRAKTURE LOBANJE</t>
  </si>
  <si>
    <t>39712-03</t>
  </si>
  <si>
    <t>UKLANJANJE LEZIJE MOŽDANIH OVOJNICA</t>
  </si>
  <si>
    <t>39900-00</t>
  </si>
  <si>
    <t>DRENAŽA INTRAKRANIJALNE INFEKCIJE</t>
  </si>
  <si>
    <t>40334-00</t>
  </si>
  <si>
    <t>DEKOMPRESIJA KIČMENE MOŽDINE U VRATNOM DELU, DVA ILI VIŠE NIVOA</t>
  </si>
  <si>
    <t>90031-00</t>
  </si>
  <si>
    <t>INCIZIJA I DRENAŽA KIČMENOG KANALA U LUMBALNOM DELU, DVA ILI VIŠE NIVOA</t>
  </si>
  <si>
    <t>Epiduralna injekcija opioida</t>
  </si>
  <si>
    <t>OSTALE INCIZIJE I DRENAŽE KOŽE I POTKOŽNOG TKIVA</t>
  </si>
  <si>
    <t>EKSPLORACIJA PANKREASA</t>
  </si>
  <si>
    <t>AORTNO-FEMORALNI BAJPAS SINTETIČKIM MATERJALOM</t>
  </si>
  <si>
    <t>EKSCIJIZA CISTE BUBREGA</t>
  </si>
  <si>
    <t xml:space="preserve">PERKUTANA CISTOTOMIJA </t>
  </si>
  <si>
    <t>KLINASTA EKSCIZIJA UVA PUNE DEBLJINE</t>
  </si>
  <si>
    <t>IMOBILIZACIJA PRELOMA DISTALNOG DELA ULNE</t>
  </si>
  <si>
    <t xml:space="preserve">LOKALNA EKSCIZIJA ILI DESTRUKCIJA LEZIJA NA TVRDOM NEPCU </t>
  </si>
  <si>
    <t>KONTINUIRANA NEGATIVNIM PRITISKOM (KVNP)</t>
  </si>
  <si>
    <t>INFILTRACIJA LOKALNOG ANESTETIKA, ASA 49</t>
  </si>
  <si>
    <t>INSTALACIJA LEKA KROZ BUBNU OPNU U BUBNU DUPLJU</t>
  </si>
  <si>
    <t>VESTIBULOOKULARNI TESTOVI: "HEAD IMPULSE" I "HEAD SHAKING"</t>
  </si>
  <si>
    <t>TEST SPONTANOG NISTAGMUSA SA FENZELOVIM NAOČARIMA I FIKSACIONOG NISTAGMUSA</t>
  </si>
  <si>
    <t>VESTIBULASPINALNI TESTOVI - ROMBERGOV (ROMBERB) "PAST POINTING"</t>
  </si>
  <si>
    <t>TEST SUBJEKTIVNOG VIZUELNOG VERTIKALNOG (ILI HORIZONTALNOG)</t>
  </si>
  <si>
    <t>STOMATOLOŠKO NEINVANZIVNO UZIMANJE UZORAKA ZA PATOLOŠKI PREGLED</t>
  </si>
  <si>
    <t>ORALNO DAVNJE FAMAKOLOŠKOG SREDSTVA, DRUGO I NEKLASIFIKOVANO FARMAKOLOŠKO SREDSTVO</t>
  </si>
  <si>
    <t>SUBKUTANO DAVANJE FARMAKOLOŠKOG SREDSTVA, ANTI-INFEKTIVNO SREDSTVO</t>
  </si>
  <si>
    <t>TERAPIJA KARDIORESPIRATORNOG/KARDIOVASKULARNOG SISTEMA VEŽBANJEM</t>
  </si>
  <si>
    <t>SAVETOVANJE ILI PODUČAVANJE O PROPISANIM/SAMOIZABRANIM LEKOVIMA</t>
  </si>
  <si>
    <t>OPŠTA ANESTEZIJA, ASA 10</t>
  </si>
  <si>
    <t>REGIONALNA BLOKADA, NERVA DONJEG EKSTREMITETA, ASA 19</t>
  </si>
  <si>
    <t>REGIONALNA BLOKADA NERVA STABLA, ASA 29</t>
  </si>
  <si>
    <t>REGIONALNA BLOKADA NERVA STABLA, ASA 19</t>
  </si>
  <si>
    <t>REGIONALNA BLOKADA, NERAVA GLAVE ILI VRATA, ASA 29</t>
  </si>
  <si>
    <t>REGIONALNA BLOKADA, NERVA GLAVE ILI VRATA, ASA 10</t>
  </si>
  <si>
    <t>NEUROAKSIJALNA BLOKADA TOKOM TRUDOVA, ASA 20</t>
  </si>
  <si>
    <t>NEUROAKSIJALNA BLOKADA TOKOM TRUDOVA I POROĐAJA, ASA 19</t>
  </si>
  <si>
    <r>
      <t xml:space="preserve">POSTUPAK ODRŽAVANJA NEINVAZIVNE VENTILATORNE PODRŠKE, 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</si>
  <si>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POSTUPAK ODRŽAVANJA NEINVAZIVNE VENTILATORNE PODRŠKE,  &gt; 24 SATI I &lt; 96 SATI</t>
  </si>
  <si>
    <r>
      <t xml:space="preserve">POSTUPAK ODRŽAVANJA NEINVAZIVNE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</si>
  <si>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PASIVNA IMUNIZACIJA HEPATITIS B IMUNOGLOBULINOM</t>
  </si>
  <si>
    <t>PAPANIKOLAU TEST</t>
  </si>
  <si>
    <t>POSMATRANJE EFEKTIVNOG RADA SRCA ILI KRVNOG PROTOKA, NEKLASIFIKOVANO NA DRUGOM MESTU</t>
  </si>
  <si>
    <t>UKLANJANJE CEVČICE  NAKON TORAKOTOMIJE ILI DRENA PLEURALNE ŠUPLJINE</t>
  </si>
  <si>
    <t>REKONSTRUKCIJA MIŠIĆA ILI FASCIJE ŠAKE, NEKLASIFIKOVANA NA DRUGOM MESTU</t>
  </si>
  <si>
    <t>OSTALE SUTURE LACERACIJA ILI RUPTURA BEZ POVREDA PERINEUMA</t>
  </si>
  <si>
    <t>DOVRŠAVANJE POROĐAJA NISKIM ( IZLAZNIM ) FORCEPSOM</t>
  </si>
  <si>
    <t>SPONTANI POROĐAJ KOD TEMENOG STAVA</t>
  </si>
  <si>
    <t>OSTALE INCIIJE NA VULVI I PERINEUMU</t>
  </si>
  <si>
    <t>OSTALE REPARACIJE PLUĆA ILI PLEURE</t>
  </si>
  <si>
    <t>REVIZIJA OPERATIVNE RANE NA PREDNJEM SEGMENTU -  NEKLASIFIKOVANA NA DRUGOM MESTU</t>
  </si>
  <si>
    <t>DEKOMPRESIJA KIČMENOG KANALA U LUMBALNOM DELU, DVA ILI VIŠE NIVOA</t>
  </si>
  <si>
    <t>VEŽBE NA SPRAVAMA ILI ERGOBICIKLU</t>
  </si>
  <si>
    <t>VEŽBE PO ALLAN BURGER-U (ALLAN BURGER)</t>
  </si>
  <si>
    <t>IMOBILIZACIJA FRAKTURE ZIGOMATIČNE KOSTI; ZATVORENA REPOZICIJA FRAKTURE ZIGOMASTIČNE KOSTI</t>
  </si>
  <si>
    <t xml:space="preserve">SPOLJAŠNJA FIKSACIJA MANDIBULE POMOĆU INTERMAKSILARNE FIKSACIJE ŽICOM NAKON REKONSTRUKCIJE </t>
  </si>
  <si>
    <t>IMOBILIZACIJA  AHILOVE TETIVE</t>
  </si>
  <si>
    <t xml:space="preserve">DELIMIČNA ARTROPLASTIKA ZGLOBA KUKA  </t>
  </si>
  <si>
    <t>DEKOMPRESIJSKA FASCIOTOMIJA LISTA ZBOG AKUTNOG KOMPARTMAN SINDROMA</t>
  </si>
  <si>
    <t xml:space="preserve">ODSTRANJENJE PLOČE, ŠIPKE  ILI KLINA IZ FEMURA </t>
  </si>
  <si>
    <t>UKLANJANJE NOKTA NA PRSTA STOPALA</t>
  </si>
  <si>
    <t>ZATVORENA REPOZICIJA PRELOMA MAKSILE SA SPOLJAŠNJOM FIKSACIJOM</t>
  </si>
  <si>
    <t>OTVORENA REPOZICIJA PRELOMA SKOČNOG ZGLOBA SA UNUTRAŠNJOM FIKSACIJOM, DVE ILI VIŠE RAZMAKNUĆA, FIBULE  ILI MALEOLUSA</t>
  </si>
  <si>
    <t>ZATVORENA REPOZICIJA PRELOMA FEMURA SA UNUTRAŠNJOM FIKSACIJOM</t>
  </si>
  <si>
    <t xml:space="preserve">HEMIJARTROPLASTIKA KUKA </t>
  </si>
  <si>
    <t>ZATVORENA REPOZICIJA PRELOMA FEMURA</t>
  </si>
  <si>
    <t>ZATVORENA REPOZICIJA PRELOMA TELA HUMERUSA NA UNUTRAŠNJOM FIKSACIJOM</t>
  </si>
  <si>
    <t>OTVORENA REPOZICIJA PRELOMA TELA HUMERUSA SA UNUTRAŠNJOM FIKSACIJOM</t>
  </si>
  <si>
    <t>OTVORENA REPOZICIJA PRELOMA PROKSIMALNOG DELA HUMERUSA</t>
  </si>
  <si>
    <t>OTVORENA REPOZICIJA PRELOMA TELA RADIJUSA SA UNUTRAŠNJOM FIKSACIJOM</t>
  </si>
  <si>
    <t>PALMARNA FASCIEKTOMIJA ZBOG DIPITERENOVE KONTRAKTURE KOJA ZAHVATA 2 PRSTA</t>
  </si>
  <si>
    <t>PALMARNA FASCIEKTOMIJA ZBOG DIPITERENOVE KONTRAKTURE KOJA ZAHVATA 1 PRST</t>
  </si>
  <si>
    <t>RINOPLASTIKA SA KOREKCIJOM HRSKAVICE</t>
  </si>
  <si>
    <t>INDIREKTNI UDALJENI REŽANJ KOŽE, PRIPREMA, TRANSFER I POVEZIVANJA ZA FINALNU OBLAST</t>
  </si>
  <si>
    <t>JEDNOSTAVAN I MALI LOKALNI REŽANJ KOŽE VRATA</t>
  </si>
  <si>
    <t>UKLANJANJE DUBINSKOG STRANOG TELA IZ ROŽNJAČE</t>
  </si>
  <si>
    <t>RIGIDNA EZOFAGOSKOPIJA</t>
  </si>
  <si>
    <t>ZAUSTAVLJANJE HEMORAGIJE POSLE TONZILEKTOMIJE I ADEIDENOKTOMIJE</t>
  </si>
  <si>
    <t>ASPIRACIJA I LAVAŽA NAZALNIH SINUSA KROZ PRIRODNA UŠĆA</t>
  </si>
  <si>
    <t>RAZDVAJANJE ADHEZIJA U NOSU</t>
  </si>
  <si>
    <t>SEPTOPLASTIKA SA SUBMUKOZNOM RESEKCIJOM NOSNE PREGRADE</t>
  </si>
  <si>
    <t>DEKOMPRESIJA KIČMENE MOŽDINE U VRATNOM DELU SA ANTERIORNOM FUZIJOM, NIVO 1</t>
  </si>
  <si>
    <t>INSEKCIJA VENTRIKULOPERITONEALNOG ŠANTA</t>
  </si>
  <si>
    <t>POSTOPERATIVNO PONOVNO OTVARANJE MESTA UČINJENE KRANIOTOMIJE ILI KRANIEKTOMIJE</t>
  </si>
  <si>
    <t>UKLANJANJE INTRAKRANIJALNOG HEMATOMA KRANIEKTOMIJOM</t>
  </si>
  <si>
    <t>IMPLANTACIJA PRIVREMENE ENDOVENSKE ELEKTRODE U PREDKOMORU</t>
  </si>
  <si>
    <t xml:space="preserve">TRANSREKTELNA BIOPSIJA PROSTATE IGLOM </t>
  </si>
  <si>
    <t xml:space="preserve">REPARACIJA RUPTURE MOKRAĆNE BEŠIKE </t>
  </si>
  <si>
    <t>LITOLAPAKSIJA MOKRAĆNE BEŠIKE</t>
  </si>
  <si>
    <t>LAPARASKOPSKA PARCIJALNA EKSCIZIJA MOKRAĆNE BEŠIKE</t>
  </si>
  <si>
    <t>ENDOSKOPSKA RESEKCIJA VRATA MOKRAĆNE BEŠIKE</t>
  </si>
  <si>
    <t>ENDOSKOPSKA DESTRUKCIJA JEDNE PROMENE MOKRAĆNE BEŠIKE &gt; 2CM</t>
  </si>
  <si>
    <t>ENDOSKOPSKA RESEKCIJA MULTIPLIH LEZIJA MOKRAĆNE BEŠIKE</t>
  </si>
  <si>
    <t xml:space="preserve">ENDOSKOPSKA RESEKCIJA POJEDINAČNE LEZIJE MOKRAĆNE BEŠIKE PROMERA &gt; 2CM </t>
  </si>
  <si>
    <t>ENDOSKOPSKO ISPIRANJE KRVNIH UGRUŠAKA IZ MOKRAĆNE BEŠIKE</t>
  </si>
  <si>
    <t>ENDOSKOPSKO UKLANJANJE URETERALNOG STENTA</t>
  </si>
  <si>
    <t>ENDOSKOPSKO UKLANJANJE STRANOG TELA IZ MOKRAĆNE BEŠIKE</t>
  </si>
  <si>
    <t>ENDOSKOPSKA ZAMENA URETERALNOG STENTA</t>
  </si>
  <si>
    <t>ENDOSKOPSKA KATETERIZACIJA URETERA, JEDNOSTRANA</t>
  </si>
  <si>
    <t>ENDOSKOPSKO PLASIRANJE URETERALNOG STENTA</t>
  </si>
  <si>
    <t>ENDOSKOPSKA MANIPULACIJA KALKULUSA U URETERU (URETERORENOSKOPSKI)</t>
  </si>
  <si>
    <t xml:space="preserve">ZAMENA STALNOG URINARTNOG KATETERA </t>
  </si>
  <si>
    <t>RETROGRADNA URETERORENOSKOPIJA SA FRAGMENTACIJOM I EKSTRAKCIJOM RENALNOG KAMENA</t>
  </si>
  <si>
    <t>RETROGRADNA URETERORENOSKOPIJA SA  MANIPULACIJOM KALKULUSA U BUBREG</t>
  </si>
  <si>
    <t>RETROGRADNA URETERORENOSKOPIJA SA FRAGMENTACIJOM KAMENA U BUBREGU</t>
  </si>
  <si>
    <t xml:space="preserve">PIJELOPLASTIKA </t>
  </si>
  <si>
    <t>LAPARASKOPSKA REPARACIJA UDVOJENOG URETERA</t>
  </si>
  <si>
    <r>
      <t xml:space="preserve">NEFROLITOTOMIJA SA ODSTRANJENJEM </t>
    </r>
    <r>
      <rPr>
        <u/>
        <sz val="8"/>
        <rFont val="Times New Roman"/>
        <family val="1"/>
        <charset val="238"/>
      </rPr>
      <t xml:space="preserve"> &lt;  </t>
    </r>
    <r>
      <rPr>
        <sz val="8"/>
        <rFont val="Times New Roman"/>
        <family val="1"/>
        <charset val="238"/>
      </rPr>
      <t>2 KALKULUSA</t>
    </r>
  </si>
  <si>
    <t>Laparoskopska radikalna nefrektomija</t>
  </si>
  <si>
    <t xml:space="preserve">NEFREKTOMIJA  TRANSPLANTIRANOG BUBREGA </t>
  </si>
  <si>
    <t>NEFREKTOMIJA ZA TRANSPLANTACIJU, KADAVER</t>
  </si>
  <si>
    <t>Laparoskopska nefrektomija, jednostrana</t>
  </si>
  <si>
    <t>SALPINGOOVARIEKTOMIJA, JEDNOSTRANA</t>
  </si>
  <si>
    <t xml:space="preserve">ELEKTRODESTRUKCIJA JAJOVODA </t>
  </si>
  <si>
    <t xml:space="preserve">SALPINGOTOMIJA SA UKLANJANJEM TRUDNOĆE U JAJOVODU </t>
  </si>
  <si>
    <t>RADIKALNA HISTREKTOMIJA SA LIMFONODEKTOMIJOM NODUSA MALE KARLICE</t>
  </si>
  <si>
    <t xml:space="preserve">ŠIROKA EKSCIZIJA  ZONE TRANSFORMACIJE  OMČICOM </t>
  </si>
  <si>
    <t>KIRETAŽA MATERICE BEZ DILATACJE CERVIKALNOG KANALA</t>
  </si>
  <si>
    <t>LAPARASKOPSKA INCIZIJA CISTE ILI APSCESA JAJNIKA</t>
  </si>
  <si>
    <t>MIOMEKTOMIJA MATERICE HISTEROSKOPIJOM</t>
  </si>
  <si>
    <t>LEČENJE APSCESA BARTOLINIJEVE ŽLEZDE</t>
  </si>
  <si>
    <t>UKLANJANJE INTRAUTERINOG ULOŠKA</t>
  </si>
  <si>
    <t xml:space="preserve">ENDOVASKULARNA  OKLUZIJA CEREBRALNE ANEURIZME ILI ARTERIOVENSKE  MALFORMACIJE </t>
  </si>
  <si>
    <t>PERKUTANA TRANSLUMINALNA ANDIOPLASTIKA JEDNE KAROTIDNE ARTERIJE, JEDAN STENT</t>
  </si>
  <si>
    <t>EMBOLEKTOMIJA ILI TROMBEKTOMIJA GRAFTA BAJPASA ARTERIJE EKSTREMITETA</t>
  </si>
  <si>
    <t>EMBOLEKTOMIJA ILI TROMBEKTOMIJA TRIBIJALNE ARTERIJE</t>
  </si>
  <si>
    <t>FEMORALNO-POLITEALNI BAJPAS POMOĆU KOMPOZITNOG GRAFTA, ANASTOMOZA IZNAD KOLENA</t>
  </si>
  <si>
    <t>ZAMENA INFRARENALNE ANEURIZME ABDOMINALNE AORTE POMOĆU CERVASTOG GRAFTA</t>
  </si>
  <si>
    <t>FEMORALNO-POPLITEALNI BAJPAS SINTETIČKIM MATERIJALOM, ANASTOMOZA IZNAD KOLENA</t>
  </si>
  <si>
    <t>AORTNO-FEMORALNO-FEMORALNI BAJPAS SINTETIČKIM MATERJALOM</t>
  </si>
  <si>
    <t>FEMORALNO-POPLITEALNI BAJPAS POMOĆU VENE, ANASTOMOZA ISPOD KOLENA</t>
  </si>
  <si>
    <t>ODSTRANJENJE ANALNE BRADAVICE</t>
  </si>
  <si>
    <t>UGRADNJA SETONA ZA  ANALNU FISTULU KOJA ZAHVATA GORNJU POLOVINU ANALNOG SVINKTERA</t>
  </si>
  <si>
    <t>EKSCIZIJA ANALNE FISTULE KOJA ZAHVATA DONJU POLOVINU ANALNOG SVINKTERA</t>
  </si>
  <si>
    <t>PERIANALNA EKSCIZIJA PUNE DEBLJINE ANOREKTALNE LEZIJE ILI TKIVA</t>
  </si>
  <si>
    <t>PERIANALNA EKSCIZIJA LEZIJE ILI TKIVA REKTUMA STEREOSKOPSKOM REKTOSKOPIJOM</t>
  </si>
  <si>
    <t xml:space="preserve">PERINEALNA SUBMUKOZNA EKSCIZIJA LEZIJE ILI TKIVA REKTUMA  </t>
  </si>
  <si>
    <t>FIBEROPTIČKA KOLONOSKOPIJA DO CEKUMA SA POLIPEKTOMIJOM</t>
  </si>
  <si>
    <t>FIBEROPTIČKA KOLONOSKOPIJA DO CEKUMA SA PRIMENOM MASTILA ZA OBELEŽAVANJE</t>
  </si>
  <si>
    <t>RIGIDNA REKTOSIGMOIDOSKOPIJA</t>
  </si>
  <si>
    <t>USPOSTAVLJANJE KONTINUITETA CREVA NAKON HARTMANOVE (HARTMANN) OPERACIJE</t>
  </si>
  <si>
    <t>ABDOMINOPERINEALNA PROKTEKTOMIJA</t>
  </si>
  <si>
    <t>REKTOSIGMOIDEKTOMIJA SA FORMIRANJEM STOME</t>
  </si>
  <si>
    <t>NISKA PREDNJA RESEKCIJA REKTUMA</t>
  </si>
  <si>
    <t>ULTRA NISKA PREDNJA RESEKCIJA REKTUMA</t>
  </si>
  <si>
    <t>VISOKA PREDNJA RESEKCIJA REKTUMA</t>
  </si>
  <si>
    <t>OGRANIČENA RESEKCIJA DEBELOG CREVA SA ANASTOMOZOM</t>
  </si>
  <si>
    <t>OGRANIČENA RESEKCIJA DEBELOG CREVA SA FORMIRANJEM STOME</t>
  </si>
  <si>
    <t>UGRADNJA KATETERA ZA "FEEDING" JEJENUNOSTOMIJU</t>
  </si>
  <si>
    <t>Ekscizija  limfnog čvora vrata</t>
  </si>
  <si>
    <t>EKSCIZIJA LEZIJE NA KOŽI I POTKOŽNOM TKIVU OČNOG KAPKA</t>
  </si>
  <si>
    <t>EKSCIZIJA LEZIJE(A)  NA KOŽI I POTKOŽNOM TKIVU OSTALIH OBLASTI</t>
  </si>
  <si>
    <t>EKSIZIJA PILONOIDALNOG SINUSA ILI CISTE</t>
  </si>
  <si>
    <t xml:space="preserve">OPERACIJA VARIKOCELE </t>
  </si>
  <si>
    <t xml:space="preserve">EKSCIZIJA  HIDROCELE </t>
  </si>
  <si>
    <t>REPARACIJA INKARCERIRANE, STRANGULISANE I OPSTRUKTIVNE HERNIJE</t>
  </si>
  <si>
    <t>REPARACIJA INGVINALNE HERNIJE, JEDNOSTRANO</t>
  </si>
  <si>
    <t>ANASTOMOZA PANKERASA SA ROUX-EN Y VIJUGOM JEJUNUMA</t>
  </si>
  <si>
    <t>DUODENOPANKREATEKTOMIJA SA FORMIRANJEM STOME</t>
  </si>
  <si>
    <t>REVIZIJA STOME DEBELOG CREVA</t>
  </si>
  <si>
    <t>ZATVARANJE BIPOLARNE ILEOSTOMIJE</t>
  </si>
  <si>
    <t>ZATVARANJE ILEOSTOME SA USPOSTAVLJANJEM KONTINUITETA CREVA, BEZ RESEKCIJE</t>
  </si>
  <si>
    <t>ENTEROKOLOSTOMIJA</t>
  </si>
  <si>
    <t>ENTEROENTEROSTOMIJA</t>
  </si>
  <si>
    <t>PARCIJALNA GASTREKTOMIJA SA GASTROJEJUNALNOM ANASTOMOZOM NAKON PRETHODNOG OPERATIVNOG LEČENJA PEPTIČKOG ULKUSA</t>
  </si>
  <si>
    <t>KONTROLA KRVARENJA ČIRA NA ŽELUDCU</t>
  </si>
  <si>
    <t xml:space="preserve">ENDOSKOPSKA SFINKTEROTOMIJA SA EKSTRAKCIJOM KALKULUSA IZ ZAJEDNIČKOG ŽUČNOG KANALA </t>
  </si>
  <si>
    <t>PONOVNA UGRADNJA KATETERA PERKUTANE EDOSKOPSKE GASTROSTOME (PEG)</t>
  </si>
  <si>
    <t>ENDOSKOPSKA RETROGRADNA HOLANGIOPANKREATOGRAFIJA (ERCP)</t>
  </si>
  <si>
    <t>EZOFAGOSKOPIJA SA EKSTRAKCIJOM STRANOG TELA</t>
  </si>
  <si>
    <t>ENDOSKOPSKO POVEZIVANJE (BENDIRANJE) VARIKOZITETA JEDNJAKA</t>
  </si>
  <si>
    <t>BILIO-DIGESTIVNI BAJPAS POMOĆU ROUKS-EN-Y VIJUGE HOLECISTOJEJUNOSTOMIJA</t>
  </si>
  <si>
    <t>HOLECISTEKTOMIJA SA HOLEDOHOTOMIJOM I BILIO-DIGESTIVNOM ANASTOMOZOM</t>
  </si>
  <si>
    <t>EVAKUACIJA HIDATIDNE CISTE JETRE SA OMENTOPLASTIKOM ILI MIJELOPLASTIKOM</t>
  </si>
  <si>
    <t>EKSCIZIJA PROMENE  JETRE</t>
  </si>
  <si>
    <t>PERKUTANA (ZATVORENA) BIOPSIJA JETRE</t>
  </si>
  <si>
    <t xml:space="preserve">REPARACIJA INCIZIONE KILE SA TRANSPOZICIJOM MIŠIĆA </t>
  </si>
  <si>
    <t>REPARACIJA INCIZIONE KILE SA PROTSKIM MATERIJALOM</t>
  </si>
  <si>
    <t>PONOVNO ZATVARNJE POSTOPERATIVNE DISRUPCIJE TRBUŠNOG ZIDA</t>
  </si>
  <si>
    <t xml:space="preserve">REPARACIJA INCIZIONE KILE </t>
  </si>
  <si>
    <t>LAPARASKOPSKA DRENAŽA INTRA-ABDOMINALNOG APSESA, HEMATOMA ILI CISTE</t>
  </si>
  <si>
    <t>DRENAŽA INTRA-ABDOMINALNOG APSCESA, HEMATOMA ILI CISTE</t>
  </si>
  <si>
    <t>ODKLANJANJE NAJVEĆEG DELA  INTRAABROMINALNIH LEZIJA (DEBULKING)</t>
  </si>
  <si>
    <t>POSTOPERATIVNA RELAPAROTOMIJA</t>
  </si>
  <si>
    <t xml:space="preserve">REDUKCIJA VOLVULUSA DEBELOG CREVA </t>
  </si>
  <si>
    <t>EKSCIZIJA TIREOGLOSALNE CISTE</t>
  </si>
  <si>
    <t>RADIKALNA EKSCIZIJA TIREOGLOSALNE CISTE ILI FISTULE</t>
  </si>
  <si>
    <t>LINGVALNA FRENEKTOMIJA</t>
  </si>
  <si>
    <t>ELEKTROTERAPIJA LEZIJA NA KOŽI, VIŠESTRUKE LEZIJE</t>
  </si>
  <si>
    <t>BIOPSIJA PLJUVAČNE ŽLEZDE ILI KANALA</t>
  </si>
  <si>
    <t>IZRADA PREDLOGA/PRIMERA ISHRANE ZA RAZLIČITA PATOLOŠKA STANJA (LISTA NAMIRNICA I PRIMER JELOVNIKA ZA JEDAN DAN)</t>
  </si>
  <si>
    <t>ODREĐIVANJE ANTROPOMETRIJSKIH INDEKSA KOD ISPITIVANJA UHRANJENOSTI POJEDINACA: INDEKS UHRANJENOSTI (INDEKS TELESNE MASE) OMN, IZRAČUNAVANJE</t>
  </si>
  <si>
    <t>DEZINFEKCIJA SANITARNIG ČVORA: PO OBJEKTU</t>
  </si>
  <si>
    <t>DEZINFEKCIJA SANITARNOG ČVORA:: PO KABINI</t>
  </si>
  <si>
    <t>PRAĆENJE TERAPIJSKOG DAVANJA LEKA (USLUGU OBAVLJA SPECIJALISTA)</t>
  </si>
  <si>
    <t>KONSULTACIJA SA LEKARIMA VEZANA ZA FARMAKOTERAPIJU (USLUGU OBAVLJA SPECIJALISTA)</t>
  </si>
  <si>
    <t>ODRŽAVANJE ENDOTRAHEALNE INTUBACIJE, DVOLUMENSKI TUBUS</t>
  </si>
  <si>
    <t>ODRŽAVANJE  ENDOTRAHEALNE INTUBACIJE, JEDNOLUMENSKI TUBUS</t>
  </si>
  <si>
    <t>POSTPARTALNA EVAKUACIJA SADRŽAJA MATERICE SUKCIONOM KIRETAŽOM</t>
  </si>
  <si>
    <t>POSPATALNA EVAKUACIJA SADRŽAJA MATERICE DILETACIJOM CERVIKALNOG KANALA I KIRETAŽOM</t>
  </si>
  <si>
    <t xml:space="preserve">UMETANJE BALONSKOG KATETERA U DESNI DEO SRCA ZBOG PRAĆENJA </t>
  </si>
  <si>
    <t>DENZITOMETRIJA KOSTIJU UPOTREBOM RENTGENSKE APSORCIOMETRIJE DUALNE ENERGIJE</t>
  </si>
  <si>
    <t>CISTOMETOGRAFIJA SA KONTRASTNOM MIKCIONOM CISTORETROGRAFIJOM</t>
  </si>
  <si>
    <t>TEST OPTEREĆENJA U SVRHU  PROCENE RESIRATORNOG STATUSA</t>
  </si>
  <si>
    <t>UKLANJANJE STRANOG TELA IZ KOŽE I POTKOŽNOG TKIVA BEZ INCIZIJE</t>
  </si>
  <si>
    <t>930013</t>
  </si>
  <si>
    <t>PUNKTAT</t>
  </si>
  <si>
    <t>UKLANJANJE STRANOG TELA IZ SPOLJAŠNJEG SLUŠNOG KANALA BEZ INCIZIJE</t>
  </si>
  <si>
    <t>TRANSFUZIJA KRVNIH KOMPPONENTI I DERIVATA</t>
  </si>
  <si>
    <t>600170</t>
  </si>
  <si>
    <t>PREBACIVANJE DOMINANTNOG NA NEOŠTEĆEN EKSTREMITET</t>
  </si>
  <si>
    <t xml:space="preserve">INTRAMUSKULARNO DAVANJE FARMAKOLOŠKOG SREDSTVA, STEROID </t>
  </si>
  <si>
    <t>039358</t>
  </si>
  <si>
    <t>PROSTIGMINSKI TEST</t>
  </si>
  <si>
    <t>45660-00</t>
  </si>
  <si>
    <t>REKONSTRUKCIJA SPOLJAŠNJEG UVA, PRAVI STADIJUM</t>
  </si>
  <si>
    <t>INTRAMUSKULARNO DAVANJE FARMAKOLOŠKOG SREDSTVA, ANTIDOT</t>
  </si>
  <si>
    <t>38213-00</t>
  </si>
  <si>
    <t>ELEKTOFIZIOLOŠKO ISPITIVANJE SRCA ZBOG  TESTIRANJA PRETHODNO INSERTOVANOG DEFIBRILATORA</t>
  </si>
  <si>
    <t>INTRQAVENSKO DAVANJE FARMAKOLOŠKOG SREDSRVA, ANTI-INFEKTIVNO SREDSTVO</t>
  </si>
  <si>
    <t>009127</t>
  </si>
  <si>
    <t>VAĐENJE ZUBA</t>
  </si>
  <si>
    <t>009180</t>
  </si>
  <si>
    <t>UKLANJAJE TUMORA SLUZOKOŽE USNE DUPLJE</t>
  </si>
  <si>
    <t>PRAĆENJE CENTRALNOG VENSKOG  PRITISKA</t>
  </si>
  <si>
    <t>92508-59</t>
  </si>
  <si>
    <t>NEURAKCIJALNA BLOKADA, ASA 59</t>
  </si>
  <si>
    <t>35618-04</t>
  </si>
  <si>
    <t>AMPUTACIJA GRLIĆA MATERICE</t>
  </si>
  <si>
    <t>35713-02</t>
  </si>
  <si>
    <t>INCIZIJA CISTE ILI APCESA JAJNIKA</t>
  </si>
  <si>
    <t>35713-12</t>
  </si>
  <si>
    <t xml:space="preserve">SALPINGOTOMIJA  </t>
  </si>
  <si>
    <t>009150</t>
  </si>
  <si>
    <t>NEKRETOMIJA PO SEANSI</t>
  </si>
  <si>
    <t>009242</t>
  </si>
  <si>
    <t>UKLANJANJE KRUSTA, POKROVA BULA ILI NEKROTIČNIH NASLAGA</t>
  </si>
  <si>
    <t>30382-02</t>
  </si>
  <si>
    <t>RADIKALNA REPARACIJA ENTEROKUTANE FISTULE DEBELOG CREVA</t>
  </si>
  <si>
    <t>30422-00</t>
  </si>
  <si>
    <t>REPARAIJA POVRŠINSKE TRAUMATSKE LACERACIJE JETRE</t>
  </si>
  <si>
    <t>30452-00</t>
  </si>
  <si>
    <t>REPARACIJA DUBOKE, MULTIPLE TRAUMATSKE LACERACIJE JETRE</t>
  </si>
  <si>
    <t>32507-00</t>
  </si>
  <si>
    <t>SUBFASCIJALNI PREKID JEDNE ILI VIŠE PERFORATNIH VARIKOZNIH VENA</t>
  </si>
  <si>
    <t>32703-00</t>
  </si>
  <si>
    <t>RESEKCIJA KAROTIDNE ARTERIJE SA REANASTOMOZOM</t>
  </si>
  <si>
    <t>33070-00</t>
  </si>
  <si>
    <t>REPARACIJA NEURIZME U EKSTREMITETIMA</t>
  </si>
  <si>
    <t>33815-02</t>
  </si>
  <si>
    <t>DIREKTNO ZATVARANJE RADIJALNE ARTERIJE</t>
  </si>
  <si>
    <t>33827-00</t>
  </si>
  <si>
    <t>REPARACIJA KAROTIDNE ARTERIJE DIREKTNOM ANASTOMOZOM</t>
  </si>
  <si>
    <t>34100-00</t>
  </si>
  <si>
    <t>EKSPLORACIJA KAROTIDNE ARTERIJE</t>
  </si>
  <si>
    <t>KONSTRUKCIJA ARTERIOVENSKE FISTULE SA VENSKIM GRAFTOM</t>
  </si>
  <si>
    <t>LAPAROSKOPSKA SALPINGOOVARIEKTOMIJA, OBOSTRANA</t>
  </si>
  <si>
    <t>RADIKALNA HISTEREKTOMIJA SA LIMFONODEKTOMIJOM NODUSA MALE KARLICE</t>
  </si>
  <si>
    <t>INSERCIJA VENTRIKULOPERITONEALNOG ŠANTA</t>
  </si>
  <si>
    <t>44328-01</t>
  </si>
  <si>
    <t>AMPUTACIJA KROZ NADLAKTICU</t>
  </si>
  <si>
    <t>90325-00</t>
  </si>
  <si>
    <t>OSTALE REPARACIJE NA PANKREASU</t>
  </si>
  <si>
    <t>90328-01</t>
  </si>
  <si>
    <t>EKSCIZIJA LEZIJE PERITONEALNOG TKIVA SA RESEKCIJOM CREVA</t>
  </si>
  <si>
    <t>90329-03</t>
  </si>
  <si>
    <t>OSTALE REPARACIJE NA MEZENTERIJUMU</t>
  </si>
  <si>
    <t>90340-00</t>
  </si>
  <si>
    <t>ZATVARANJE FISTULA TANKOG CREVA</t>
  </si>
  <si>
    <t>90450-01</t>
  </si>
  <si>
    <t>ZADNJA KARLIČNA EGZENTERACIJA</t>
  </si>
  <si>
    <t>90951-00</t>
  </si>
  <si>
    <t>FIKSACIJA DEBELOG CREVA</t>
  </si>
  <si>
    <t>600101</t>
  </si>
  <si>
    <t>EKSTENZIJA KIČMENOG STUBA</t>
  </si>
  <si>
    <t>96092-00</t>
  </si>
  <si>
    <t>PRIMENA, NAMEŠTANJE, PRILAGOĐAVANJE ILI ZAMENA POMAGALA ILI UREĐAJA ZA PRILAGOĐAVANJE</t>
  </si>
  <si>
    <t>TERAPIJSKI ULTRAZVUK</t>
  </si>
  <si>
    <t>96190-01</t>
  </si>
  <si>
    <t>ZAMENA NAZOFARINGEALNOG APARATA</t>
  </si>
  <si>
    <t>OSTALE PROCENE, KONSULTAQCIJE ILI EVALUACIJE</t>
  </si>
  <si>
    <t>35307-01</t>
  </si>
  <si>
    <t>PERKUTANA TRANSLUMINALNA ANGIOPLASTIKA JEDNE KAROTIDNE ARTERIJE, VIŠE STENTOVA</t>
  </si>
  <si>
    <t>38312-00</t>
  </si>
  <si>
    <t>PERKUTANA TRANSLUMINALNA KORONARNA ROTACIONA ATEREKTOMIJA (PTCRA), JEDNA ARTERIJA SA INSERCIJOM JEDNOG STENTA</t>
  </si>
  <si>
    <t>59970-04</t>
  </si>
  <si>
    <t>OSTALE ARTERIOGRAFIJE</t>
  </si>
  <si>
    <t>ENTERALNO DAVANJE FARMAKOLOŠKOG SREDSTVA, HRANLJIVA SUPSTANCA</t>
  </si>
  <si>
    <t>930011</t>
  </si>
  <si>
    <t>URINOKULTURA</t>
  </si>
  <si>
    <t>30644-01</t>
  </si>
  <si>
    <t>EKSPLORACIJA SPREMATIČNE VRPCE</t>
  </si>
  <si>
    <t>30644-04</t>
  </si>
  <si>
    <t>BIOPSIJA TESTISA, JEDNOSTRANA</t>
  </si>
  <si>
    <t>36615-01</t>
  </si>
  <si>
    <t>URETEROLIZA</t>
  </si>
  <si>
    <t>37020-01</t>
  </si>
  <si>
    <t>EKSCIZIJA DIVERTIKULUMA MOKRAĆNE BEŠIKE</t>
  </si>
  <si>
    <t>37604-05</t>
  </si>
  <si>
    <t>EKSPLORACIJASKROTALNOG SADRŽAJA SA FIKSACIJOM TESTISA, OBOSTRANA</t>
  </si>
  <si>
    <t>90282-00</t>
  </si>
  <si>
    <t>EKSCIZIJA LIMFNOG ČVORA NA DRUGOM MESTU</t>
  </si>
  <si>
    <t>90399-00</t>
  </si>
  <si>
    <t>REDUKCIJA TOROZIJE TESTISA ILI SEMENE VRPCE</t>
  </si>
  <si>
    <t>90402-01</t>
  </si>
  <si>
    <t>UKLANJANJE ADHEZIJA PREPUCIJUMA I GLANUSA PENISA</t>
  </si>
  <si>
    <t>009010</t>
  </si>
  <si>
    <t>INDIVIDUALNI ZDRAVSTVENO VASPITNI RAD U ORDINACIJI/MOTIVACIJA I OBUČAVANJE U OIDRŽAVANJU ORALNE HIGIJENE</t>
  </si>
  <si>
    <t>INTRAMUSKULARNO DAVANJE FARMAKOLOŠKOG SREDSTVA,ANTINEOPLASTIČNO SREDSTVO</t>
  </si>
  <si>
    <t>930004</t>
  </si>
  <si>
    <t>SPUTUM</t>
  </si>
  <si>
    <t>930014</t>
  </si>
  <si>
    <t>PLEURALNI PUNKATAT</t>
  </si>
  <si>
    <t>HEMOKULTURA-AEROBNO</t>
  </si>
  <si>
    <t>HEMOKULTURA - ANAEROBNO</t>
  </si>
  <si>
    <t>96205-01</t>
  </si>
  <si>
    <t>NEKI DRUGI NAČIN DAVANJA FARMAKOLOŠKOG SREDSTVA, TROMBOLITIČKO SREDSTVO</t>
  </si>
  <si>
    <t>600055</t>
  </si>
  <si>
    <t>C02 KUPKA</t>
  </si>
  <si>
    <t>OSTALE PROCENE, ONSULTACIJE ILOI EVALUACIJE</t>
  </si>
  <si>
    <t>41880-00</t>
  </si>
  <si>
    <t>PERKUTANA TRAHEOSTOMIJA</t>
  </si>
  <si>
    <t>36803-01</t>
  </si>
  <si>
    <t>ENDOSKOPSKA DILATACIJA URETERA</t>
  </si>
  <si>
    <t>36821-00</t>
  </si>
  <si>
    <t>ENDOSKOPSKA BIOPSIJA PIJELONA (BRUSH)</t>
  </si>
  <si>
    <t>DAVANJE ANESTETIČKOG SRDSTVA OKO ILIOINGVINALNOG NERVA</t>
  </si>
  <si>
    <t>REGIONALNA BLOKOADA NERVA DONJEG EKSTREMITETA ASA 49</t>
  </si>
  <si>
    <t>План за 2023. годину</t>
  </si>
  <si>
    <t>IZVRŠENJE 2019</t>
  </si>
  <si>
    <t>2355</t>
  </si>
  <si>
    <t>План за 2023.  годину рађен је на бази фактурисане реализације  за период  01.01.2022 - 31.10.2022.године, пројектовано на 12 месеци.</t>
  </si>
  <si>
    <t>KOLIČINA</t>
  </si>
  <si>
    <t xml:space="preserve">ЈАНУАР </t>
  </si>
  <si>
    <t>ФЕБРУАР</t>
  </si>
  <si>
    <t>АПРИЛ</t>
  </si>
  <si>
    <t>МАЈ</t>
  </si>
  <si>
    <t>ЈУН</t>
  </si>
  <si>
    <t>ЈУЛ</t>
  </si>
  <si>
    <t>АВГУСТ</t>
  </si>
  <si>
    <t>СЕПТЕМБАР</t>
  </si>
  <si>
    <t>ОКТОБАР</t>
  </si>
  <si>
    <t>НОВЕМБАР</t>
  </si>
  <si>
    <t>ДЕЦЕМБАР</t>
  </si>
  <si>
    <t xml:space="preserve">ЈАНУАР  </t>
  </si>
  <si>
    <t>OPERACIJE SLUŽBA ZA GINEKOLOGIJU</t>
  </si>
  <si>
    <t>OPERACIJE SLUŽBA ZA  AKUŠERSTVO</t>
  </si>
  <si>
    <t>OPERACIJE SLUŽBA OPŠTE HIRURGIJE</t>
  </si>
  <si>
    <t>OPERACIJE SLUŽBA UROLOGIJE</t>
  </si>
  <si>
    <t>OPERACIJE SLUŽBA NEUROHIRURGIJE</t>
  </si>
  <si>
    <t>OPERACIJE SLUŽBA ZA ORTOPEDIJU SA TRAUMATOLOGIJOM</t>
  </si>
  <si>
    <t>OPERACIJE SLUŽBA BARO MEDICINE</t>
  </si>
  <si>
    <t>OPERACIJE SLUŽBA ZA OTORINOLARINGOLOGIJU SA MAKSILOFACIJALNOM HIRURGIJOM - ORL SA MFH</t>
  </si>
  <si>
    <t>OSTALE USLUGE SLUŽBA KARDIOLOGIJE</t>
  </si>
  <si>
    <t xml:space="preserve">OSTALE USLUGE SLUŽBA PULMOLOGIJE SA PNEUMOFTIZIOLOGIJOM </t>
  </si>
  <si>
    <t>OSTALE USLUGE SLUŽBA GASTROENTEROLOGIJE SA HEPATOLOGIJOM</t>
  </si>
  <si>
    <t>OSTALE USLUGE SLUŽBA  HEMATOLOGIJE</t>
  </si>
  <si>
    <t>OSTALE USLUGE SLUŽBA ENDOKRINOLOGIJE</t>
  </si>
  <si>
    <t>OSTALE USLUGE SLUŽBA NEFROLOGIJE</t>
  </si>
  <si>
    <t>OSTALE USLUGE SLUŽBA INTERNISTIČKE GERIJATRIJE</t>
  </si>
  <si>
    <t>OSTALE USLUGE BOLNICA ZA  NEUROLOGIJU</t>
  </si>
  <si>
    <t>OSTALE USLUGE SLUŽBA ZA  GINEKOLOGIJU</t>
  </si>
  <si>
    <t>OSTALE USLUGE SLUŽBA ZA AKUŠERSTVO</t>
  </si>
  <si>
    <t>OSTALE USLUGE SLUŽBA ZA  NEONATOLOGIJU</t>
  </si>
  <si>
    <t>OSTALE USLUGE BOLNICA ZA PEDIJATRIJU</t>
  </si>
  <si>
    <t>OSTALE USLUGE SLUŽBA OPŠTE HIRURGIJE</t>
  </si>
  <si>
    <t>OSTALE USLUGE SLUŽBA UROLOGIJE</t>
  </si>
  <si>
    <t>OSTALE USLUGE SLUŽBA  NEUROHIRURGIJE</t>
  </si>
  <si>
    <t>OSTALE USLUGE SLUŽBA ORTOPEDIJE SA TRAUMATOLOGIJOM</t>
  </si>
  <si>
    <t>OSTALE USLUGE SLUŽBA BARO MEDICINE</t>
  </si>
  <si>
    <t>OSTALE USLUGE SLUŽBA ZA RADIOLOŠKU DIJAGNOSTIKU</t>
  </si>
  <si>
    <t>OSTALE USLUGE SLUŽBA ZA OTORINOLARINGOLOGIJU SA MAKSILOFACIJALNOM HIRURGIJOM - ORL SA MFH</t>
  </si>
  <si>
    <t>OSTALE USLUGE BOLNICA ZA ONKOLOGIJU</t>
  </si>
  <si>
    <t>OSTALE USLUGE SLUŽBA ZA FIZIKALNU MEDICINU I REHABILITACIJU</t>
  </si>
  <si>
    <t>OSTALE USLUGE KABINET ZA  DERMATOVENEROLOGIJU</t>
  </si>
  <si>
    <t>OSTALE USLUGE KABINET ZA OFTALMOLOGIJU</t>
  </si>
  <si>
    <t>OSTALE USLUGE SLUŽBA TRANSFUZIOLOGIJE</t>
  </si>
  <si>
    <t>OSTALE USLUGE SLUŽBA ZA LABORATORIJSKU DIJAGNOSTIKU</t>
  </si>
  <si>
    <t>USLUGE FIZIKALNE - SLUŽBA KARDIOLOGIJE</t>
  </si>
  <si>
    <t>USLUGE FIZIKALNE - SLUŽBA PULMOLOGIJE SA PNEUMOFTIZIOLOGIJOM</t>
  </si>
  <si>
    <t>USLUGE FIZIKALNE -  SLUŽBA GASTROENTEROLOGIJE SA HEPATOLOGIJOM</t>
  </si>
  <si>
    <t>USLUGE FIZIKALNE -  SLUŽBA HEMATOLOGIJE</t>
  </si>
  <si>
    <t>USLUGE FIZIKALNE - SLUŽBA  ENDOKRINOLOGIJE</t>
  </si>
  <si>
    <t>USLUGE FIZIKLANE -  SLUŽBA NEFROLOGIJE</t>
  </si>
  <si>
    <t>USLUGE FIZIKALNE - SLUŽBA INTERNISTIČKE GERIJATRIJE</t>
  </si>
  <si>
    <t>USLUGE FIZIKALNE - BOLNICA ZA  NEUROLOGIJU</t>
  </si>
  <si>
    <t>USLUGE FIZIKALNE -  SLUŽBA ZA GINEKOLOGIJU</t>
  </si>
  <si>
    <t>USLUGE FIZIKALNE - SLUŽBA ZA AKUŠERSTVO</t>
  </si>
  <si>
    <t>USLUGE FIZIKALNE -  SLUŽBA ZA NEONATOLOGIJU</t>
  </si>
  <si>
    <t>USLUGE FIZIKALNE -  BOLNICA ZA  PEDIJATRIJU</t>
  </si>
  <si>
    <t>USLUGE FIZIKALNE - SLUŽBA OPŠTE  HIRURGIJE</t>
  </si>
  <si>
    <t>USLUGE FIZIKALNE - SLUŽBA UROLOGIJE</t>
  </si>
  <si>
    <t>USLUGE FIZIKALNE - SLUŽBA NEUROHIRURGIJE</t>
  </si>
  <si>
    <t>USLUGE FIZIKALNE - SLUŽBA ORTOPEDIJE SA TRAUMATOLOGIJOM</t>
  </si>
  <si>
    <t>USLUGE FIZIKALNE - SLUŽBA BARO MEDICINE</t>
  </si>
  <si>
    <t xml:space="preserve">USLUGE FIZIKALNE - SLUŽBA ZA  RADIOLOŠKU DIJAGNOSTIKU </t>
  </si>
  <si>
    <t xml:space="preserve">USLUGE FIZIKALNE -  SLUŽBA ZA OTORINOLARINGOLOGIJU SA MAKSILOFACIJALNOM HIRURGIJOM </t>
  </si>
  <si>
    <t>USLUGE FIZIKALNE - BOLNICA ZA  ONKOLOGIJU</t>
  </si>
  <si>
    <t xml:space="preserve"> USLUGE FIZIKALNE - SLUŽBA ZA FIZIKALNU MEDICINU I REHABILITACIJU</t>
  </si>
  <si>
    <t>FEBRUAR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</si>
  <si>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</si>
  <si>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</si>
  <si>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</si>
  <si>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</si>
  <si>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</si>
  <si>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</si>
  <si>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</si>
  <si>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</si>
  <si>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</si>
  <si>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JANUAR -МАРТ</t>
  </si>
  <si>
    <t>JANUAR -MART</t>
  </si>
  <si>
    <t>UKUPAN BROJ PACIJENATAAMBULANTA</t>
  </si>
  <si>
    <t>UKUPNO PACIJENATA STADIONAR</t>
  </si>
  <si>
    <t>UKUPNO AMBULANTA+STACIONAR PACIJENTI</t>
  </si>
  <si>
    <t>REPARACIJA  RANE NA USNI</t>
  </si>
  <si>
    <t>PRIMENA SREDSTVA U ZGLOB ILI NEKU DRUGU SINOVIJSKU ŠUPLJINU, NEKLASIFIKOVANA NA DRUGOM MESTU</t>
  </si>
  <si>
    <t>OTVORENA REPOZICIJA ISČAĆENJA KLJUČNE KOSTI</t>
  </si>
  <si>
    <t>EVAKUACIJA SUBDURALNOG HEMATOMA, DRENAŽA POSTAVLJENA KROZ FONTANELU</t>
  </si>
  <si>
    <t>LOKALNI REŽANJ KOŽE OSTALIH OBLASTI LICA</t>
  </si>
  <si>
    <t>PONOVNO ZATVARANJE POSTOPERATIVNE DISRUPCIJ TRBUŠNOG ZIDA</t>
  </si>
  <si>
    <t>30653-01</t>
  </si>
  <si>
    <t>TOTALNA ABDOMINALNA HISTEREKTOMIJA</t>
  </si>
  <si>
    <t>PLAN 2023 / 4 KVARTALA</t>
  </si>
  <si>
    <t>OVOLIKO ODPRILIKE PO KVARTALU</t>
  </si>
  <si>
    <t>RAZLIKA 2023-2019 IZVRŠENJE</t>
  </si>
  <si>
    <t>INTRAMUSKULARNO DAVANJE FARMAKOLOŠKOG SREDSTVA, ANTI-INFEKTIVNO SREDSTVO</t>
  </si>
  <si>
    <t>INTRAMUSKULARNO DAVANJE FARMAKOLOŠKOG SREDSTVA,ANTI-INFEKTIVNO SREDSTVO</t>
  </si>
  <si>
    <t>SUBKUTANO DAVANJE FARMAKOLOŠKOG SREDSTVA, ELEKTROLIT</t>
  </si>
  <si>
    <r>
      <t xml:space="preserve">POSTUPAK ODRŽAVANJA NEINVANZIVNE VENTILATORNE PODRŠKE, </t>
    </r>
    <r>
      <rPr>
        <u/>
        <sz val="8"/>
        <rFont val="Times New Roman"/>
        <family val="1"/>
        <charset val="238"/>
      </rPr>
      <t xml:space="preserve">&lt; </t>
    </r>
    <r>
      <rPr>
        <sz val="8"/>
        <rFont val="Times New Roman"/>
        <family val="1"/>
        <charset val="238"/>
      </rPr>
      <t xml:space="preserve">  24 SATA</t>
    </r>
  </si>
  <si>
    <t>POSTUPAK ODRŽAVANJA NEINVANZIVNE VENTILATORNE PODRŠKE, &gt;  24 SATA I &lt; 96 SATI</t>
  </si>
  <si>
    <r>
      <t xml:space="preserve">POSTUPAK ODRŽAVANJA NEINVANZIVNE VENTILATORNE PODRŠKE,  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</si>
  <si>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ENTERQALNO DAVANJE FARMAKOLOŠKOG SREDSTVA, ANTINEOPLATIČNO SREDSTVO</t>
  </si>
  <si>
    <t>PLASIRANJE DRENA KROZ MEĐUREVARNI PROSTOR</t>
  </si>
  <si>
    <t>NENAZNAČENI NAČIN DAVANJA FARMAKOLOŠKOG SREDSTVA, ANTINEOPLASTIČNO SREDSTVO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</si>
  <si>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</si>
  <si>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r>
      <t xml:space="preserve">POSTUPAK ODRŽAVANJA NEINVANZIVNE VENTILATORNE PODRŠKE, 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</si>
  <si>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POSTUPAK ODRŽAVANJA KONTINUIRANE VENTILATORNE PODRŠKE,  &gt; 24 SATI I  &lt; 96 STI</t>
  </si>
  <si>
    <t>ORALNO DAVANJE FARMAKOLOŠKOG SREDSTVA, ANTINEOPLASTIČNO SREDSTVO</t>
  </si>
  <si>
    <t>92500-01</t>
  </si>
  <si>
    <t>ANGIOGRAFIJA, NEKLASIFIKOVANA NA DRUGOM MESTU</t>
  </si>
  <si>
    <t>ISPIRANJA KATETERA, NEKLASIFIKOVANO NA DRUGOM MESTU</t>
  </si>
  <si>
    <t>ORALNO DAVANJ FARMAKOLOŠKOG SREDSTVA, HRANLJIVA SUPSTANCA</t>
  </si>
  <si>
    <t>ORALNO9 DAVANJE FARMAKOLOŠKOG SREDSTVA, HRANLJIVA SUPSTANCA</t>
  </si>
  <si>
    <t>PLAN2023</t>
  </si>
  <si>
    <t>OVOLIKO TREBA DA BUDE PLAN 2023 OVDE GA IMAM,AKO U TABELI SE NEŠTO POREMETI</t>
  </si>
  <si>
    <t>RAZLIKA PLAN 2023 KOLONA BH- BJ</t>
  </si>
  <si>
    <t>OVO JE PLAN 2023</t>
  </si>
  <si>
    <t>OSTALE USLUGE ODELJENJE INTENZIVNE TERAPIJE HIRURGIJA</t>
  </si>
  <si>
    <t>NOVA ZA AMBULANTE</t>
  </si>
  <si>
    <t>NOVA ZA STACIONAR</t>
  </si>
  <si>
    <t>SAMO A , S NE I DODATO SLOVO U ISPRED ŠIFRE</t>
  </si>
  <si>
    <t xml:space="preserve">SAMO A , S NE </t>
  </si>
  <si>
    <t>47684-00</t>
  </si>
  <si>
    <t>IMOBILIZACIJA PRELOMA/IŠČAŠENJA KIČME</t>
  </si>
  <si>
    <t>UKLANJANJE STRANOG TELA FARINKSA BEZ INCIZIJE</t>
  </si>
  <si>
    <t>INCIZIJA I DRENAŽA PERITONZILOARNOG APSCESA</t>
  </si>
  <si>
    <t>600346</t>
  </si>
  <si>
    <t>PSIHOFIZIČKA PRIPREMA TRUDNIA SA KOMORBIDITETOM</t>
  </si>
  <si>
    <t>OTVORENA REPOZICIJA PRELOMA SKOČNOG ZGLOBA SA UNUTRAŠNJOM FISKACIJOM DVE ILI VIŠE RAZMAKNUĆA, FIBULE ILI MALEOLUSA</t>
  </si>
  <si>
    <t>OTVORENA REPOZICIJA PRELOMA SKOČNOG ZGLOBA SA UNUTRAŠNJOM FIKSACIJOM DVE ILI VIŠE RAZMAKNUĆA, FIBULE ILI MALEOLUSA</t>
  </si>
  <si>
    <t>96008-00</t>
  </si>
  <si>
    <t>NEUROLOŠKA PROCENA</t>
  </si>
  <si>
    <t>96205-03</t>
  </si>
  <si>
    <t>NEKI DRUGI NAČIN DAVANJA FARMAKOLOŠKOG SREDSTVA, STEROID</t>
  </si>
  <si>
    <t>46369-00</t>
  </si>
  <si>
    <t>PALMARNA FASCIEKTOMIJA ZBOG DIPITRENOVE KONTRAKTURE</t>
  </si>
  <si>
    <t>46500-00</t>
  </si>
  <si>
    <t>EKSCIZIJA GANGLIONA DORZALNE STRANE RUČNOG ZGLOBA</t>
  </si>
  <si>
    <t>47366-01</t>
  </si>
  <si>
    <t>47366-00</t>
  </si>
  <si>
    <t>OTVORENA REPOZICIJA PRELOMA DISTALNOG DELA RADIJUSA</t>
  </si>
  <si>
    <t>OTVORENA REPOZICIJA PRELOMA DISTALNOG DELA ULNE</t>
  </si>
  <si>
    <t>47393-01</t>
  </si>
  <si>
    <t>OTVORENA REPOZICIJA PRELOMA TELA RADIJUSA I ULNE  SA UNUTRAŠNJOM FIKSACIJOM</t>
  </si>
  <si>
    <t>47459-01</t>
  </si>
  <si>
    <t>OTVORENA REPOZICIJA PRELOMA DISTALNOG DELA HUMERUSA UNUTRAŠNJOM FIKSACIJOM</t>
  </si>
  <si>
    <t>47528-00</t>
  </si>
  <si>
    <t xml:space="preserve">OTVORENA REPOZICIJA PRELOMA FEMURA </t>
  </si>
  <si>
    <t>47549-01</t>
  </si>
  <si>
    <t>OTVORENA REPOZICIJA PRELOMA MEDIJALNOG ILI LATERALNOG KONDILA TIBIJE SA UNUTRAŠNJOM FIKSACIJOM</t>
  </si>
  <si>
    <t>47566-03</t>
  </si>
  <si>
    <t>OTVORENA REPOZICIJA UNUTARZGLOBNOG PRELOMA TELA TIBIJE SA UNUTRAŠNJOM FIKSACIJOM</t>
  </si>
  <si>
    <t>47566-05</t>
  </si>
  <si>
    <t>OTVORENA REPOZIIJA FRAKTURE FIBULE SA UNUTRAŠNJOM FIKSACIJOM</t>
  </si>
  <si>
    <t>47582-00</t>
  </si>
  <si>
    <t>PATELEKTOMIJA SA PONOVNIM UČVRŠĆIVANJEM TETIVE</t>
  </si>
  <si>
    <t>47615-01</t>
  </si>
  <si>
    <t>OTVORENA REPOZICIJA PRELOMA PETNE KOSTIK SA UNUTRAŠNJOM FIKSACIJOM</t>
  </si>
  <si>
    <t>48415-01</t>
  </si>
  <si>
    <t>OSTEKTOMIJA HUMERUSA SA UNUTRAŠNJOM FIKSACIJOM</t>
  </si>
  <si>
    <t>49303-00</t>
  </si>
  <si>
    <t>ARTROTOMIJA KUKA</t>
  </si>
  <si>
    <t>49500-01</t>
  </si>
  <si>
    <t>ARTROTOMIJA KOLENA</t>
  </si>
  <si>
    <t>49503-00</t>
  </si>
  <si>
    <t>MENISCEKTOMIJA ZGLOBA KOLENA</t>
  </si>
  <si>
    <t>49557-02</t>
  </si>
  <si>
    <t>ARTROSKOPSKA EKSCIZIJA RUBA ILI NABORA MENISKUSA KOLENA</t>
  </si>
  <si>
    <t>49848-00</t>
  </si>
  <si>
    <t>ISPRAVLJANJE ČEKIŽASTOG PRSTA NA NOZI</t>
  </si>
  <si>
    <t>90572-00</t>
  </si>
  <si>
    <t>OSTEKTOMIJA, NEKLASIFIKOCANA NA DRUGOM MESTU</t>
  </si>
  <si>
    <t>11921-00</t>
  </si>
  <si>
    <t>TEST ISPIRANJA MOKRAĆNE BEŠIKE</t>
  </si>
  <si>
    <t>009307</t>
  </si>
  <si>
    <t>UKLANJANJE BENIGNIH KOŠTANIH TUMORA LICA I VILICE</t>
  </si>
  <si>
    <t>30052-00</t>
  </si>
  <si>
    <t>REKONSTRUKCIJA RANE SPOLJAŠNJEG UVA</t>
  </si>
  <si>
    <t>30075-19</t>
  </si>
  <si>
    <t>BIOPSIJA JEZIKIA</t>
  </si>
  <si>
    <t>30278-02</t>
  </si>
  <si>
    <t>LINGVALNA FRENOTOMIJA</t>
  </si>
  <si>
    <t>30473-03</t>
  </si>
  <si>
    <t>EZOFAGOSKOPIJA</t>
  </si>
  <si>
    <t>41674-00</t>
  </si>
  <si>
    <t>KAUTERIZACIJAQ ILI DIJATERMIJA NOSNIH ŠKOLJKI</t>
  </si>
  <si>
    <t>41689-02</t>
  </si>
  <si>
    <t>TOTALNA TURBINEKTOMIJA, JEDNOSTRANA</t>
  </si>
  <si>
    <t>41716-00</t>
  </si>
  <si>
    <t>INTRANAZALNO UKLANJANJE STRANOG TELA IZ MAKSILARNOG SINUSA</t>
  </si>
  <si>
    <t>41876-00</t>
  </si>
  <si>
    <t xml:space="preserve">LARINGOFISURA </t>
  </si>
  <si>
    <t>45206-02</t>
  </si>
  <si>
    <t>LOKALNI REŽANJ KOŽE USNE</t>
  </si>
  <si>
    <t>45623-00</t>
  </si>
  <si>
    <t>KOREKCIJA PTOZE NA OČNOM KAPKU TEHNIKOM FRONTALIS MIŠIĆA SA SUTUROM</t>
  </si>
  <si>
    <t>45641-00</t>
  </si>
  <si>
    <t>RINOPLASTIKA SA TRANSPLANTATOM NAZALNE I SEPTALNE HRSKAVICE</t>
  </si>
  <si>
    <t>45831-00</t>
  </si>
  <si>
    <t>EKSCIZIJA PAPILARNTE HIPERPLAZIJE NA NEPCU</t>
  </si>
  <si>
    <t>47762-00</t>
  </si>
  <si>
    <t xml:space="preserve">OTVORENA REPOZICIJA PRELOMA ZIGOMASTIČNE KOSTI  </t>
  </si>
  <si>
    <t>47762-01</t>
  </si>
  <si>
    <t xml:space="preserve">ZATVORENA  REPOZICIJA PRELOMA ZIGOMASTIČNE KOSTI  </t>
  </si>
  <si>
    <t>47789-00</t>
  </si>
  <si>
    <t>OTVORENA REPOZICIJA PRELOMA MANDIBULE SA UNUTRAŠNJOM FIKSACIJOM</t>
  </si>
  <si>
    <t>90130-00</t>
  </si>
  <si>
    <t>LOKALNA DESTRUKCIJA LEZIJA U NOSU</t>
  </si>
  <si>
    <t>92513-99</t>
  </si>
  <si>
    <t>INFILTRACIJA LOKALNOG ANESTETIKA, ASA 99</t>
  </si>
  <si>
    <t>11503-17</t>
  </si>
  <si>
    <t>INHALACIONI PROVOKATIVNI TEST</t>
  </si>
  <si>
    <t>45239-00</t>
  </si>
  <si>
    <t>REVIZIJA LOKALNOG REŽNJA KOŽE</t>
  </si>
  <si>
    <t>35618-02</t>
  </si>
  <si>
    <t>KOREKTIVNE OPERACIJE NA GRLIĆU MATERICE</t>
  </si>
  <si>
    <t>LAPARASKOPSKA SALPINGEKTOMIJA</t>
  </si>
  <si>
    <t>35638-06</t>
  </si>
  <si>
    <t>45033-04</t>
  </si>
  <si>
    <t>EKSCIZIJA VASKULARNE ANOMALIJE NA FACIJALNOM MIŠIĆU ILI NERVU</t>
  </si>
  <si>
    <t>30075-03</t>
  </si>
  <si>
    <t>OTVORENA BIOPSIJA TIROIDEN ŽLEZDE</t>
  </si>
  <si>
    <t>30229-00</t>
  </si>
  <si>
    <t>EKSCIZIJA MIŠIĆA, NEKLASIFIKOVANA NA DRUGOM MESTU</t>
  </si>
  <si>
    <t>30297-02</t>
  </si>
  <si>
    <t>TIROIDEKTOMIJA, NAKON PRETHODNO IZVRŠENOG HIRURŠKOG ZAHVATA NA TIROIDNOJ ŽLEZDI</t>
  </si>
  <si>
    <t>30315-00</t>
  </si>
  <si>
    <t>SUBTOTALNA PARATIROIDEKTOMIJA</t>
  </si>
  <si>
    <t>30446-00</t>
  </si>
  <si>
    <t>LAPARASKOPSKA HOLECISTEKTOMIJA KOJA PRETHODI OTOVORENOJ HOLECISTEKTOMIJI</t>
  </si>
  <si>
    <t>30469-00</t>
  </si>
  <si>
    <t>REPARACIJA BILIJARNE STRIKTURE</t>
  </si>
  <si>
    <t>30562-04</t>
  </si>
  <si>
    <t xml:space="preserve">ZATVARANJE OSTALIH STOMA TANKOG CREVA </t>
  </si>
  <si>
    <t>31524-01</t>
  </si>
  <si>
    <t>POTKOŽNA MASTEKTOMIJA, OBOSTRANA</t>
  </si>
  <si>
    <t>32004-01</t>
  </si>
  <si>
    <t>PROŠIRENA DESNA HEMIKOLEKTOMIJA SA FORMIRANJEM STOME</t>
  </si>
  <si>
    <t>32162-00</t>
  </si>
  <si>
    <t>EKSCIZIJA ANALNE FISTULE KOJA ZAHVATA GORNJU POLOVINU ANALNOG SVINKTERA</t>
  </si>
  <si>
    <t>32508-01</t>
  </si>
  <si>
    <t>PREKID SAFENO-POPLITEALNOG SPOJA VARIOKOZNIH VENA</t>
  </si>
  <si>
    <t>32514-00</t>
  </si>
  <si>
    <t>PONOVNA OPERACIJA ZA VCARIKOZNE VENE</t>
  </si>
  <si>
    <t>32754-01</t>
  </si>
  <si>
    <t>FEMORALNO-POPLITEALNI BAJPAS POMOĆU KOMPOZITNOG GRAFTA, ANASTOMOZA IZNAD KOLENA</t>
  </si>
  <si>
    <t>34103-03</t>
  </si>
  <si>
    <t>EKSPLORACIJA FEMORAALNE ARTERIJE</t>
  </si>
  <si>
    <t>EKSPLORACIJA POPLITEALNE ARTERIJE</t>
  </si>
  <si>
    <t>34103-04</t>
  </si>
  <si>
    <t>35518-00</t>
  </si>
  <si>
    <t>PUNKCIJA CISTE JAJNIKA</t>
  </si>
  <si>
    <t>35688-03</t>
  </si>
  <si>
    <t>LAPARASKOPSKA ELEKTRODESTRUKCIJA JAJOVODA</t>
  </si>
  <si>
    <t>37215-00</t>
  </si>
  <si>
    <t>36594-03</t>
  </si>
  <si>
    <t>URETERO-ENTEROSTOMIJA ILI URETEROSIGMOIDOSTOMIJA (OBOSTRANA)</t>
  </si>
  <si>
    <t>ENDOSKOPSKA BIOPSIJA PROSTATE</t>
  </si>
  <si>
    <t>39612-00</t>
  </si>
  <si>
    <t>ELEVACIJA SLOŽENE FRAKTURE LOBANJE SA REPARACIJOM TVRDE MOŽDANICE I MOZGA</t>
  </si>
  <si>
    <t>90040-00</t>
  </si>
  <si>
    <t>OSTALE PROCEDURE NA PARATIROIDNOJ ŽLEZDI</t>
  </si>
  <si>
    <t>90230-00</t>
  </si>
  <si>
    <t>EMBOLEKTOMIJA ILI TROMBEKTOMIJA OSTALIH ARTERIJA</t>
  </si>
  <si>
    <t>90575-00</t>
  </si>
  <si>
    <t>EKSCIZIJA MEKOG TKIVA, NEKLASIFIKOVANA NA DRUGOM MESTU</t>
  </si>
  <si>
    <t>92519-10</t>
  </si>
  <si>
    <t>INTRAVENSKA REGIONALNA ANESTEZIJA, ASA 10</t>
  </si>
  <si>
    <t>34530-01</t>
  </si>
  <si>
    <t>UKLANJANJE ARTERIJSKOG KATETERA</t>
  </si>
  <si>
    <t>35309-06</t>
  </si>
  <si>
    <t>PERKUTANA TRANSLUMINALNA ANGIOPLASTIKA BALONOM SA STENTOM, JEDAN STENT</t>
  </si>
  <si>
    <t>35324-00</t>
  </si>
  <si>
    <t>ANGIOSKOPIJA</t>
  </si>
  <si>
    <t>59970-03</t>
  </si>
  <si>
    <t>PERIFERNA ARTERIOGRAFIJA</t>
  </si>
  <si>
    <t>36549-00</t>
  </si>
  <si>
    <t>URETEROLITOTOMIJA</t>
  </si>
  <si>
    <t>36552-00</t>
  </si>
  <si>
    <t>NEFROSTOMIJA</t>
  </si>
  <si>
    <t>36585-03</t>
  </si>
  <si>
    <t>FORMIRANJE KUTANE URETEROSTOMIJE (OBOSTRANO)</t>
  </si>
  <si>
    <t>36612-01</t>
  </si>
  <si>
    <t>37209-01</t>
  </si>
  <si>
    <t>EKSPLORACIJA URETERA</t>
  </si>
  <si>
    <t>LAPARASKOPSKA RADIKALNA PROSTATEKTOMIJA</t>
  </si>
  <si>
    <t>18274-03</t>
  </si>
  <si>
    <t>DAVANJE ANESTETIČKOG SREDSTVA OKO PARAVERTIBRALNOG SAKRALNOG NERVA</t>
  </si>
  <si>
    <t>39609-00</t>
  </si>
  <si>
    <t>DEBRIDMAN SLOŽENE FRAKTURE LOBANJE</t>
  </si>
  <si>
    <t>40009-00</t>
  </si>
  <si>
    <t>REVIZIJA VENTIKULARNOG ŠANTA</t>
  </si>
  <si>
    <t>90011-06</t>
  </si>
  <si>
    <t>OSTALE PROCEDURE EKSCIZIJE NA KIČMENOM KANALU ILI STRUKTURAMA KIČEMEN MOŽDINE</t>
  </si>
  <si>
    <t>36809-01</t>
  </si>
  <si>
    <t>ENDOSKOPSKA DESTRUKCIJA LEZIJA URETERA</t>
  </si>
  <si>
    <t>U9033101</t>
  </si>
  <si>
    <t>MERENJE INTRA-ABDOMINALNOG PRITISKA</t>
  </si>
  <si>
    <t>SVE ŠTO SE DALJE DEŠAVA NA AMBULANTI ŠTO SE TIČE OPERACIJA NE UNOSIM VEĆ STAVLJAM DOLE U OSTALIM USLUGAMA, NE MOGU BITI OPERACIJE NA AMBULANTI, OSTAVIĆEMO TIK NEŠTO ZBOG PLANA, PA ĆEMO ZA SLEDEĆI PLAN SMANJITI AMBULANTU OPERACIJE</t>
  </si>
  <si>
    <t>PRIMENA SREDSTAVA U ZGLOB ILI NEKU DRUGU SINOVINSKU ŠUPLJINU, NEKLASIFIKOVANA NA DRUGOM MESTU</t>
  </si>
  <si>
    <t>EKCIZIJSKI DEBRIDMAN MEKOG TKICA</t>
  </si>
  <si>
    <t>OSTALE REPARACIJE KOŽE  I  POTKOŽNOG TKIVA</t>
  </si>
  <si>
    <r>
      <t xml:space="preserve">НАПОМЕНА: УСЛУГЕ 280006 (ДРУГО ЧИТАЊЕ РАДИОГРАФСКОГ СНИМКА ДОЈКЕ У ОКВИРУ ОРГАНИЗОВАНОГ СКРИНИНГА) И 280007 ( ТРЕЋЕ ИЛИ СУПЕРВИЗИЈСКО ЧИТАЊЕ РАДИОГРАФСКОГ СНИМКА ДОЈКЕ У ОКВИРУ ОРГАНИЗОВАНОГ СКРИНИНГА) СМО ИЗ ОВЕ ТАБЕЛЕ У ОКВИРУ - ОСТАЛЕ УСЛУГЕ СЛУЖБА ЗА РАДИОЛОШКУ ДИЈАГНОСТИКУ - ПОМЕРИЛИ У ТАБЕЛУ 14 - ТАБЕЛА : ДИЈАГНОСТИЧКЕ ПРОЦЕДУРЕ СА СНИМАЊЕМ,  У ОКВИРУ ОДСЕКА ЗА РЕНГЕН ДИЈАГНОСТИКУ У ДЕЛУ </t>
    </r>
    <r>
      <rPr>
        <b/>
        <i/>
        <sz val="8"/>
        <rFont val="Times New Roman"/>
        <family val="1"/>
        <charset val="238"/>
      </rPr>
      <t>'УСЛУГЕ ОРГАНИЗОВАНОГ СКРИНИНГА РАКА**</t>
    </r>
  </si>
  <si>
    <t>32511-00</t>
  </si>
  <si>
    <t>PREKIC SAFENO-FEMORALNOG I SAFENO-POPILITEALNOG SPOJA VARIKOZNIH VENA</t>
  </si>
  <si>
    <t>OVARIJALNA CISTEKTOMIJA, OBOSTRANA</t>
  </si>
  <si>
    <t>HEMIARTROPLASTIKA KUKA</t>
  </si>
  <si>
    <t>REGIONALNA EKSCIZIJA LIMFNIH ČVOROVA NA VRATU</t>
  </si>
  <si>
    <t>INTRAMUSKULARNO DAVANJE FARMAKOLOŠKOG SREDSTVA NTI-INFEKTIVNO SREDSTVO</t>
  </si>
  <si>
    <t>PRAĆENJE SISTEMSKOG ARTERISJKOG PRITISKA</t>
  </si>
  <si>
    <t>96037-09</t>
  </si>
  <si>
    <t>INTRAMUSKUARNO DAVANJE FARMAKOLOŠKOG SREDSTVA, DRUGO I NENAZNAČENO FARMAKOLOŠKO SREDSTVO</t>
  </si>
  <si>
    <t>ORALNO DAVANJE FARMAKOLOŠKOG SREDSTVA, DRUGO I NEKLASIFIKOVANO FARMAKOLOŠKO SREDSTVO</t>
  </si>
  <si>
    <t>ZATVORENA REPOZICIJA IŠČAŠENJA ZGLOBA KOLENA</t>
  </si>
  <si>
    <t>ZAUSTAVLJANJE KRVARENJA IZ PREDNJEG DELA NOSA TAMPONADOM I/ILI KAUTERIZACIJOM</t>
  </si>
  <si>
    <t xml:space="preserve">009203 </t>
  </si>
  <si>
    <t>CT PREGLED ORGBITA BEZ KONTRASTA</t>
  </si>
  <si>
    <t>ODSTRANJIVANJE STRANOG TELA NOSA</t>
  </si>
  <si>
    <t>42644-04</t>
  </si>
  <si>
    <t>DEBRIDMAN EPITELA ROŽNJAČE</t>
  </si>
  <si>
    <t>30216-00</t>
  </si>
  <si>
    <t>ASPIRACIJA HEMATOMA IZ KOŽE I POTKOŽNOG TKIVA</t>
  </si>
  <si>
    <t>30216-01</t>
  </si>
  <si>
    <t>ASPIRACIJA APSCESA IZ KOĆE I POTKOŽNOG TKIVA</t>
  </si>
  <si>
    <t>30226-00</t>
  </si>
  <si>
    <t>FASCIOTOMIJA, NEKLASIFIKOVANA NA DRUGOM MESTU</t>
  </si>
  <si>
    <t>30310-00</t>
  </si>
  <si>
    <t>SUBTOTALNA TIROIDEKTOMIJA, JEDNOSTRANA</t>
  </si>
  <si>
    <t>30375-19</t>
  </si>
  <si>
    <t>OSTALE REPARACIJE TANKOG CREVA</t>
  </si>
  <si>
    <t>30431-01</t>
  </si>
  <si>
    <t>ABDOMINALNA DRENAŽA APSCESA JETRE</t>
  </si>
  <si>
    <t>ORHIDEKTOMIJA, OBOSTRANA</t>
  </si>
  <si>
    <t>31235-02</t>
  </si>
  <si>
    <t>EKSCIZIJA LEZIJE(A) NA KOŽI I POTKOŽNOM TKIVU ŠAKE</t>
  </si>
  <si>
    <t>31235-04</t>
  </si>
  <si>
    <t>EKSCIZIJA LEZIJE(A) NA KOŽI I POTKOŽNOM TKIVU STOPALA</t>
  </si>
  <si>
    <t>32069-00</t>
  </si>
  <si>
    <t>FORMIRANJE REZERVOARA ILEOSTOME</t>
  </si>
  <si>
    <t>32078-00</t>
  </si>
  <si>
    <r>
      <t xml:space="preserve">RIGIDNA SIGMOIDOSKOPIJA SA ODSTRANJENJEM </t>
    </r>
    <r>
      <rPr>
        <u/>
        <sz val="8"/>
        <rFont val="Times New Roman"/>
        <family val="1"/>
        <charset val="238"/>
      </rPr>
      <t xml:space="preserve">&lt; </t>
    </r>
    <r>
      <rPr>
        <sz val="8"/>
        <rFont val="Times New Roman"/>
        <family val="1"/>
        <charset val="238"/>
      </rPr>
      <t xml:space="preserve"> 9 POLIPA</t>
    </r>
  </si>
  <si>
    <t>32718-00</t>
  </si>
  <si>
    <t>ILIJAČNOFEMORALNI KROSOVER BAJPAS</t>
  </si>
  <si>
    <t>33806-00</t>
  </si>
  <si>
    <t>EMBOLEKTOMIJA ILI TROMBEKTOMIJA AKSILARNE ARTERIJE</t>
  </si>
  <si>
    <t>34515-00</t>
  </si>
  <si>
    <t>TROMBEKTOMIJA ARTERIOVENSKE FISTULE</t>
  </si>
  <si>
    <t>35551-01</t>
  </si>
  <si>
    <t>RADIKALNA EKSCIZIJA LIMFNIH ČVOROVA KARLICE ZBOG GINEKOLOŠKOG MALIGNITETA</t>
  </si>
  <si>
    <t>35596-03</t>
  </si>
  <si>
    <t>KOREKCIJA OSRALIH FISTULA VAGINE</t>
  </si>
  <si>
    <t>35638-11</t>
  </si>
  <si>
    <t>LAPARASKOPSKA SALPINGOOVARIEKTOMIJA, JEDNOSTRANA</t>
  </si>
  <si>
    <t>35713-14</t>
  </si>
  <si>
    <t>EKSCIZIJA LEZIJA UNUTAR KARLICE</t>
  </si>
  <si>
    <t>35759-00</t>
  </si>
  <si>
    <t>KONTROLA POSTOPERATIVNOG KRVARENJA NAKON GINEKOLOŠKOG OPERATIVNOG ZAHVATA NEKLASIFIKOVANO NA DRUGOM MESTU</t>
  </si>
  <si>
    <t>35720-00</t>
  </si>
  <si>
    <t>HIRURŠKA REDUKCIJA TUMORSKOG TKIVA KARLICE</t>
  </si>
  <si>
    <t>36597-01</t>
  </si>
  <si>
    <t>TRANSURETEROSTOMIA ILI URETERO-URETEROSTIMIJA</t>
  </si>
  <si>
    <t>URETROSKOPIJA</t>
  </si>
  <si>
    <t>36803-00</t>
  </si>
  <si>
    <t>SUTURA  KAVERNOZNIH TELA KO RUPTURE/FRAKTURE PENISA</t>
  </si>
  <si>
    <t>37408-01</t>
  </si>
  <si>
    <t>37604-00</t>
  </si>
  <si>
    <t>EKSPLORACIJA SKROTALNOG SADRŽAJA, JEDNOSTRANO</t>
  </si>
  <si>
    <t>38275-00</t>
  </si>
  <si>
    <t>BIOPSIJA SRČANOG MIŠIĆA SA KATETERIZACIJOM SRCA</t>
  </si>
  <si>
    <t>39333-00</t>
  </si>
  <si>
    <t>EKSPLORACIJA BRAHIJALNOG PLEKSUSA</t>
  </si>
  <si>
    <t>39706-01</t>
  </si>
  <si>
    <t>DEKOMPRESIJA INTRAKRANIJALNOG TUMORA PUTEM OSTEOPLASTIČNE KRANIOTOMIJE</t>
  </si>
  <si>
    <t>39803-00</t>
  </si>
  <si>
    <t>EKSCIZIJA INTRAKRANIJALNE ARTERIOVENSKE MALFORMACIJE</t>
  </si>
  <si>
    <t>40318-01</t>
  </si>
  <si>
    <t>UKLANJANJE SPINALNIH INTRAMEDULARNIH LEZIJA</t>
  </si>
  <si>
    <t>40703-00</t>
  </si>
  <si>
    <t>KORTITEKTOMIJA MOZGA</t>
  </si>
  <si>
    <t>41737-05</t>
  </si>
  <si>
    <t>INTRANAZALNO UKLANJANJE POLIPA FRONTALNOG SINUSA</t>
  </si>
  <si>
    <t>41786-01</t>
  </si>
  <si>
    <t>UVULOPALATOFARINGOPLASTIKA SA TONZILEKTOMIJOM</t>
  </si>
  <si>
    <t>45200-00</t>
  </si>
  <si>
    <t xml:space="preserve">LOKALNI REŽANJ KOŽE OSTALIH OBLASTI  </t>
  </si>
  <si>
    <t>45403-00</t>
  </si>
  <si>
    <t>TRANSPLANTANT PARCIJALNE DEBLJINE KOŽE ZA EKSTRENZIVNU RANULIRAJUĆU OBLAST</t>
  </si>
  <si>
    <t>45668-00</t>
  </si>
  <si>
    <t>VERMILIONEKTOMIJA</t>
  </si>
  <si>
    <t>47024-03</t>
  </si>
  <si>
    <t>ZATVORENA REPOZICIJA IŠČAŠENJA DISTALNOG RADIO-ULNARNOG ZGLOBA SA UNUTRAŠNJOM FIKSACIJOM</t>
  </si>
  <si>
    <t>47039-00</t>
  </si>
  <si>
    <t>OTVORENA REPOZICIJA IŠČAŠENJA INTERFALANGEALNOG ZGLOBA ŠAKE</t>
  </si>
  <si>
    <t>47327-01</t>
  </si>
  <si>
    <t>ZATVORENA REPOZICIJA UNUTARZGLOBNOG PRELOMA PROKSIMALNOG ČLANKA PRSTA NA RUCI SA UNUTRAŠNJOM FIKSACIJOM</t>
  </si>
  <si>
    <t>47386-03</t>
  </si>
  <si>
    <t>OTVORENA REPOZICIJA PRELOMA  TERLA ULNE SA IŠČAŠENJEM I UNUTRAŠNJOM FIKSACIJOM</t>
  </si>
  <si>
    <t>47408-00</t>
  </si>
  <si>
    <t>OTVORENA REPOZICIJA PRELOMA GLAVE ILI VRATA RADIJUSA</t>
  </si>
  <si>
    <t>47603-00</t>
  </si>
  <si>
    <r>
      <t xml:space="preserve">ZATVORENA REPOZICIJA PRELOMA SKOČNOG ZGLOBA SA UNUTRAQŠNJOM FIKSACIJOM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2 RAZMAKNUĆA FIBULE ILI MALEOLUSA</t>
    </r>
  </si>
  <si>
    <t>47636-01</t>
  </si>
  <si>
    <t>ZATVORENA REPOZICIJA PRELOMA METATARZUSA SA UNUTRAŠNJOM FIKSACIJOM</t>
  </si>
  <si>
    <t>47768-01</t>
  </si>
  <si>
    <t>OTVORENA REPOZICIJA PRELOM AZIGOMATIČNE KOSTI SA UNUTRAŠNJOM FIKSACIJOM, 2 MESTA</t>
  </si>
  <si>
    <t>48209-00</t>
  </si>
  <si>
    <t>PRESAĐIVANJE KOSTI ZA TIBIJU SA UNUTRAŠNJOM FIKSACIOJOM</t>
  </si>
  <si>
    <t>48406-00</t>
  </si>
  <si>
    <t>OSTEOTOMIJA FIBULE</t>
  </si>
  <si>
    <t>48406-01</t>
  </si>
  <si>
    <t>OSTEOKTOMIJA FIBULE</t>
  </si>
  <si>
    <t>48409-02</t>
  </si>
  <si>
    <t>OSTEOTOMIJA RADIJUSA SA UNUTRAŠNJOM FIKSACIJOM</t>
  </si>
  <si>
    <t>48648-00</t>
  </si>
  <si>
    <t>ZADNJE-SPOLJAŠNJA FUZIJA KIČME, 1 ILI 2 NIVOA</t>
  </si>
  <si>
    <t>49324-00</t>
  </si>
  <si>
    <t>REVIZIJA POTPUNE ARTROPLASTIKE KUKA</t>
  </si>
  <si>
    <t>49342-00</t>
  </si>
  <si>
    <t>REVIZIJA POTPUNE ARTROPLASTIKE ZGLOBA KUKA SA ANATOMSKI SPECIFIČNIM ALOGRAFTOM ZA FEMUR</t>
  </si>
  <si>
    <t>50616-02</t>
  </si>
  <si>
    <t>REVIZIJA POSTUPKA NA KIČMI SA PRIMENOM PRESAĐIVANJA KOŠTANOG KALEMA</t>
  </si>
  <si>
    <t>53429-00</t>
  </si>
  <si>
    <t>OTVORENA REPOZICIJA KOMPLIKOVANOG PRELOMA MANDIBULE SA UNUTRAŠNJOM FIKSACIJOM</t>
  </si>
  <si>
    <t>90203-08</t>
  </si>
  <si>
    <t>PODEŠAVANJE ENDOVASKULARNE ELEKTRODE ZA DEFIBRILATOR</t>
  </si>
  <si>
    <t>90342-00</t>
  </si>
  <si>
    <t>ŠAV KOD LACERACIJE REKTUMA</t>
  </si>
  <si>
    <t>90360-00</t>
  </si>
  <si>
    <t>EKSCIZIJA OSTALIH LEZIJA MOKRAĆNE BEŠIKE</t>
  </si>
  <si>
    <t>90580-00</t>
  </si>
  <si>
    <t>DEBRIDMAN MESTA OTVORENOG PRELOMA</t>
  </si>
  <si>
    <t>EKCIZIJA VELIKE BURZE</t>
  </si>
  <si>
    <t>U8182000</t>
  </si>
  <si>
    <t>DERMOSKOPSKI PREGLED KOŽE, JEDNA LEZIJA</t>
  </si>
  <si>
    <t>U8182001</t>
  </si>
  <si>
    <t>DERMOSKOPSKI PREGLED KOŽE, VIŠE LEZIJA</t>
  </si>
  <si>
    <t>EKSCIZIJA LEZIJE(A) NA KOŽI I POTKOĆNOM TKIVU STOPALA</t>
  </si>
  <si>
    <t xml:space="preserve">KLINASTA RESEKCIJA JAJNIKA  </t>
  </si>
  <si>
    <t xml:space="preserve">PRIVREMENA ILEOSTOMA </t>
  </si>
  <si>
    <t>EKCIZIJA BENIGNIH/MALIGNIH KOŽNIH TUMORA SA DIREKTNOM SUTUROM M.F.REGIJA</t>
  </si>
  <si>
    <t>SUBKUTANO DAVANJE FARMAKOLOŠKOG SREDSTVA ,STEROID</t>
  </si>
  <si>
    <t>PERKUTANA CISTOTOMIJA (CISTOSTOMIJA)</t>
  </si>
  <si>
    <t>ORALNO DAVANJE FARMAKOLOŠKOG SREDSTVA DRUGO I NEKLASIFIKOVANO FARMAKOLOŠKO SREDSTVO</t>
  </si>
  <si>
    <t>SUBKUTANO DAVANJE FARMAKOLOŠKOG SREDSTVA,ANTINEOPLASTIČNO SREDSTVO</t>
  </si>
  <si>
    <t>OOSTALE SUTURE LACERACIJA ILI RUPTURA BEZ POVREDA PERINEUMA</t>
  </si>
  <si>
    <t>ORALNO DAVANJE FARMAKOLOŠKOG  SREDSTVA, INSULIN</t>
  </si>
  <si>
    <t>ISPIRANJE URETEROSTOME ILI RETERALNOG KATETERA</t>
  </si>
  <si>
    <t>ORALNO DAVANJE FARMAKOLOŠKOG SREDSTVA, ELEKTROLIT</t>
  </si>
  <si>
    <t>ИЗВРШЕНО ЈАН-ДЕЦ     2023</t>
  </si>
  <si>
    <t>ПЕРИОД: 01.01.-31.12.2023.</t>
  </si>
  <si>
    <t>35638-01</t>
  </si>
  <si>
    <t>UKLANJANJE KALKULUSA IZ PLJUVAČNIH ŽLEDA ILI KANALA</t>
  </si>
  <si>
    <t>PREKID SAFENO-FEMORALNOG I SAFENO-POPILETEALNOG SPOJA VARIKOZNIH VENA</t>
  </si>
  <si>
    <t>OTVORENA REPOZICIJ PRELOMA TELA RADIJUSA SA UNUTRAŠNJOM FIKSACIJOM</t>
  </si>
  <si>
    <t>ZATVORENA REOZICIJA PRELOMA OLEKRANONA</t>
  </si>
  <si>
    <t>INTRA-ARTERIJSKO DAVANJE FARMAKOLOŠKOG SREDSTVA, ELEKTROLIT</t>
  </si>
  <si>
    <t>INTRAMUSKULARNO DAVANJE FARMAKOLOŠKOG SREDSTVA, STEROID</t>
  </si>
  <si>
    <t>47462-01</t>
  </si>
  <si>
    <t>ZATVORENA REPOZICIJA PRELOMA KLJUČNE KOSTI SA UNUTRAŠNJOM FIKSACIJOM</t>
  </si>
  <si>
    <t>ORALNO DAVANJE FARMAKOLOŠKOG SREDSTVA, ANTINEOPLATIČNO SREDSTVO</t>
  </si>
  <si>
    <t>PERKUTANA CISTOTOMIJA(CISTOSTOMIJA)</t>
  </si>
  <si>
    <t>LAPARAROSKOPSKA PARCIJALNA OVARIEKTOMIJA</t>
  </si>
  <si>
    <t xml:space="preserve">УКУПНО УСЛУГЕ СКРИНИНГ РАКА </t>
  </si>
  <si>
    <t>УКУПНО ОПЕРАЦИЈЕ</t>
  </si>
  <si>
    <t>УКУПНО ОСТАЛЕ УСЛУГЕ</t>
  </si>
  <si>
    <t xml:space="preserve">УКУПНО ФИЗИКАЛНЕ УСЛУГЕ </t>
  </si>
  <si>
    <t xml:space="preserve">ЗБИР ОСТАЛЕ УСЛУГЕ + ФИЗИКАЛНЕ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</si>
</sst>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eticaPlain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u/>
      <sz val="8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i/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7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indexed="12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0"/>
      <name val="Arial"/>
      <family val="2"/>
      <charset val="238"/>
    </font>
    <font>
      <b/>
      <u/>
      <sz val="8"/>
      <name val="Times New Roman"/>
      <family val="1"/>
      <charset val="238"/>
    </font>
    <font>
      <b/>
      <sz val="7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8"/>
      <color rgb="FFFF0000"/>
      <name val="Times New Roman"/>
      <family val="1"/>
      <charset val="238"/>
    </font>
    <font>
      <sz val="12"/>
      <name val="Times New Roman"/>
      <family val="1"/>
      <charset val="238"/>
    </font>
    <font>
      <i/>
      <sz val="7"/>
      <color indexed="8"/>
      <name val="Times New Roman"/>
      <family val="1"/>
      <charset val="238"/>
    </font>
    <font>
      <b/>
      <i/>
      <sz val="7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2"/>
      <color rgb="FF00B050"/>
      <name val="Times New Roman"/>
      <family val="1"/>
      <charset val="238"/>
    </font>
    <font>
      <i/>
      <sz val="12"/>
      <name val="Times New Roman"/>
      <family val="1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FFCC"/>
        <bgColor theme="9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E5FF"/>
        <bgColor theme="9" tint="0.79998168889431442"/>
      </patternFill>
    </fill>
    <fill>
      <patternFill patternType="solid">
        <fgColor rgb="FF8BD8FF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BDFFDE"/>
        <bgColor indexed="64"/>
      </patternFill>
    </fill>
    <fill>
      <patternFill patternType="solid">
        <fgColor rgb="FFC9C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DFFDD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1" fillId="0" borderId="0"/>
    <xf numFmtId="0" fontId="22" fillId="0" borderId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6" fillId="0" borderId="0"/>
  </cellStyleXfs>
  <cellXfs count="396">
    <xf numFmtId="0" fontId="0" fillId="0" borderId="0" xfId="0"/>
    <xf numFmtId="0" fontId="3" fillId="0" borderId="0" xfId="1" applyFont="1" applyFill="1" applyAlignment="1"/>
    <xf numFmtId="0" fontId="4" fillId="0" borderId="0" xfId="1" applyFont="1" applyFill="1" applyAlignment="1">
      <alignment vertical="center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1" fontId="4" fillId="0" borderId="0" xfId="1" applyNumberFormat="1" applyFont="1" applyFill="1" applyAlignment="1">
      <alignment vertical="center"/>
    </xf>
    <xf numFmtId="49" fontId="10" fillId="3" borderId="3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vertical="justify"/>
    </xf>
    <xf numFmtId="49" fontId="8" fillId="3" borderId="3" xfId="1" applyNumberFormat="1" applyFont="1" applyFill="1" applyBorder="1" applyAlignment="1">
      <alignment vertical="center"/>
    </xf>
    <xf numFmtId="0" fontId="8" fillId="3" borderId="3" xfId="1" applyFont="1" applyFill="1" applyBorder="1" applyAlignment="1">
      <alignment horizontal="left" vertical="center"/>
    </xf>
    <xf numFmtId="1" fontId="4" fillId="3" borderId="3" xfId="1" applyNumberFormat="1" applyFont="1" applyFill="1" applyBorder="1" applyAlignment="1">
      <alignment horizontal="center" vertical="center"/>
    </xf>
    <xf numFmtId="1" fontId="4" fillId="4" borderId="3" xfId="1" quotePrefix="1" applyNumberFormat="1" applyFont="1" applyFill="1" applyBorder="1" applyAlignment="1">
      <alignment horizontal="center" vertical="center" wrapText="1"/>
    </xf>
    <xf numFmtId="49" fontId="8" fillId="3" borderId="3" xfId="1" applyNumberFormat="1" applyFont="1" applyFill="1" applyBorder="1" applyAlignment="1">
      <alignment horizontal="left" vertical="center"/>
    </xf>
    <xf numFmtId="49" fontId="8" fillId="3" borderId="3" xfId="1" applyNumberFormat="1" applyFont="1" applyFill="1" applyBorder="1" applyAlignment="1">
      <alignment horizontal="justify" vertical="center"/>
    </xf>
    <xf numFmtId="0" fontId="6" fillId="0" borderId="0" xfId="1" applyFont="1"/>
    <xf numFmtId="1" fontId="4" fillId="0" borderId="3" xfId="1" quotePrefix="1" applyNumberFormat="1" applyFont="1" applyFill="1" applyBorder="1" applyAlignment="1">
      <alignment horizontal="center" vertical="center"/>
    </xf>
    <xf numFmtId="1" fontId="4" fillId="8" borderId="3" xfId="1" quotePrefix="1" applyNumberFormat="1" applyFont="1" applyFill="1" applyBorder="1" applyAlignment="1">
      <alignment horizontal="center" vertical="center"/>
    </xf>
    <xf numFmtId="1" fontId="4" fillId="3" borderId="3" xfId="1" quotePrefix="1" applyNumberFormat="1" applyFont="1" applyFill="1" applyBorder="1" applyAlignment="1">
      <alignment horizontal="center" vertical="center"/>
    </xf>
    <xf numFmtId="0" fontId="4" fillId="8" borderId="3" xfId="1" quotePrefix="1" applyFont="1" applyFill="1" applyBorder="1" applyAlignment="1">
      <alignment horizontal="center" vertical="center"/>
    </xf>
    <xf numFmtId="1" fontId="4" fillId="10" borderId="3" xfId="1" applyNumberFormat="1" applyFont="1" applyFill="1" applyBorder="1" applyAlignment="1">
      <alignment horizontal="center" vertical="center"/>
    </xf>
    <xf numFmtId="1" fontId="4" fillId="10" borderId="3" xfId="1" quotePrefix="1" applyNumberFormat="1" applyFont="1" applyFill="1" applyBorder="1" applyAlignment="1">
      <alignment horizontal="center" vertical="center"/>
    </xf>
    <xf numFmtId="49" fontId="10" fillId="6" borderId="3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center"/>
    </xf>
    <xf numFmtId="1" fontId="4" fillId="7" borderId="3" xfId="1" quotePrefix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vertical="justify"/>
    </xf>
    <xf numFmtId="1" fontId="4" fillId="6" borderId="3" xfId="1" quotePrefix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left" vertical="center"/>
    </xf>
    <xf numFmtId="49" fontId="9" fillId="6" borderId="3" xfId="1" applyNumberFormat="1" applyFont="1" applyFill="1" applyBorder="1" applyAlignment="1">
      <alignment horizontal="center" vertical="center"/>
    </xf>
    <xf numFmtId="49" fontId="7" fillId="6" borderId="3" xfId="1" applyNumberFormat="1" applyFont="1" applyFill="1" applyBorder="1" applyAlignment="1">
      <alignment vertical="center"/>
    </xf>
    <xf numFmtId="49" fontId="7" fillId="6" borderId="3" xfId="1" applyNumberFormat="1" applyFont="1" applyFill="1" applyBorder="1" applyAlignment="1">
      <alignment vertical="justify"/>
    </xf>
    <xf numFmtId="0" fontId="10" fillId="6" borderId="3" xfId="1" applyFont="1" applyFill="1" applyBorder="1" applyAlignment="1">
      <alignment horizontal="center" vertical="center"/>
    </xf>
    <xf numFmtId="0" fontId="8" fillId="6" borderId="3" xfId="1" applyFont="1" applyFill="1" applyBorder="1" applyAlignment="1">
      <alignment horizontal="left" vertical="center"/>
    </xf>
    <xf numFmtId="0" fontId="8" fillId="6" borderId="3" xfId="1" applyFont="1" applyFill="1" applyBorder="1" applyAlignment="1">
      <alignment horizontal="left" vertical="center" wrapText="1"/>
    </xf>
    <xf numFmtId="0" fontId="10" fillId="6" borderId="3" xfId="1" applyFont="1" applyFill="1" applyBorder="1" applyAlignment="1">
      <alignment horizontal="center" vertical="center" wrapText="1"/>
    </xf>
    <xf numFmtId="49" fontId="18" fillId="6" borderId="3" xfId="1" applyNumberFormat="1" applyFont="1" applyFill="1" applyBorder="1" applyAlignment="1">
      <alignment vertical="justify"/>
    </xf>
    <xf numFmtId="0" fontId="6" fillId="0" borderId="0" xfId="1" applyFont="1" applyFill="1"/>
    <xf numFmtId="1" fontId="4" fillId="11" borderId="3" xfId="1" applyNumberFormat="1" applyFont="1" applyFill="1" applyBorder="1" applyAlignment="1">
      <alignment horizontal="center" vertical="center"/>
    </xf>
    <xf numFmtId="49" fontId="10" fillId="12" borderId="3" xfId="1" applyNumberFormat="1" applyFont="1" applyFill="1" applyBorder="1" applyAlignment="1">
      <alignment horizontal="center" vertical="center"/>
    </xf>
    <xf numFmtId="49" fontId="8" fillId="12" borderId="3" xfId="1" applyNumberFormat="1" applyFont="1" applyFill="1" applyBorder="1" applyAlignment="1">
      <alignment vertical="center"/>
    </xf>
    <xf numFmtId="1" fontId="4" fillId="12" borderId="3" xfId="1" applyNumberFormat="1" applyFont="1" applyFill="1" applyBorder="1" applyAlignment="1">
      <alignment horizontal="center" vertical="center"/>
    </xf>
    <xf numFmtId="1" fontId="4" fillId="12" borderId="3" xfId="1" quotePrefix="1" applyNumberFormat="1" applyFont="1" applyFill="1" applyBorder="1" applyAlignment="1">
      <alignment horizontal="center" vertical="center"/>
    </xf>
    <xf numFmtId="1" fontId="4" fillId="12" borderId="3" xfId="1" applyNumberFormat="1" applyFont="1" applyFill="1" applyBorder="1" applyAlignment="1">
      <alignment horizontal="center" vertical="center" wrapText="1"/>
    </xf>
    <xf numFmtId="1" fontId="12" fillId="8" borderId="3" xfId="1" quotePrefix="1" applyNumberFormat="1" applyFont="1" applyFill="1" applyBorder="1" applyAlignment="1">
      <alignment horizontal="center" vertical="center" wrapText="1"/>
    </xf>
    <xf numFmtId="0" fontId="19" fillId="8" borderId="3" xfId="1" quotePrefix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left" vertical="center"/>
    </xf>
    <xf numFmtId="1" fontId="4" fillId="0" borderId="3" xfId="1" quotePrefix="1" applyNumberFormat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vertical="center"/>
    </xf>
    <xf numFmtId="1" fontId="4" fillId="0" borderId="0" xfId="1" quotePrefix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0" xfId="1" quotePrefix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/>
    </xf>
    <xf numFmtId="0" fontId="10" fillId="0" borderId="0" xfId="1" applyFont="1" applyFill="1" applyBorder="1" applyAlignment="1">
      <alignment horizontal="left" vertical="center"/>
    </xf>
    <xf numFmtId="49" fontId="9" fillId="3" borderId="3" xfId="1" applyNumberFormat="1" applyFont="1" applyFill="1" applyBorder="1" applyAlignment="1">
      <alignment horizontal="center" vertical="center"/>
    </xf>
    <xf numFmtId="0" fontId="10" fillId="18" borderId="3" xfId="1" applyFont="1" applyFill="1" applyBorder="1" applyAlignment="1">
      <alignment horizontal="center" vertical="center"/>
    </xf>
    <xf numFmtId="0" fontId="8" fillId="18" borderId="3" xfId="1" applyFont="1" applyFill="1" applyBorder="1" applyAlignment="1">
      <alignment horizontal="left" vertical="center"/>
    </xf>
    <xf numFmtId="1" fontId="4" fillId="18" borderId="3" xfId="1" applyNumberFormat="1" applyFont="1" applyFill="1" applyBorder="1" applyAlignment="1">
      <alignment horizontal="center" vertical="center"/>
    </xf>
    <xf numFmtId="49" fontId="8" fillId="18" borderId="3" xfId="1" applyNumberFormat="1" applyFont="1" applyFill="1" applyBorder="1" applyAlignment="1">
      <alignment vertical="center"/>
    </xf>
    <xf numFmtId="1" fontId="4" fillId="18" borderId="3" xfId="1" quotePrefix="1" applyNumberFormat="1" applyFont="1" applyFill="1" applyBorder="1" applyAlignment="1">
      <alignment horizontal="center" vertical="center"/>
    </xf>
    <xf numFmtId="1" fontId="4" fillId="18" borderId="3" xfId="1" quotePrefix="1" applyNumberFormat="1" applyFont="1" applyFill="1" applyBorder="1" applyAlignment="1">
      <alignment horizontal="center" vertical="center" wrapText="1"/>
    </xf>
    <xf numFmtId="1" fontId="4" fillId="5" borderId="3" xfId="1" applyNumberFormat="1" applyFont="1" applyFill="1" applyBorder="1" applyAlignment="1">
      <alignment horizontal="center" vertical="center"/>
    </xf>
    <xf numFmtId="1" fontId="4" fillId="5" borderId="3" xfId="1" quotePrefix="1" applyNumberFormat="1" applyFont="1" applyFill="1" applyBorder="1" applyAlignment="1">
      <alignment horizontal="center" vertical="center"/>
    </xf>
    <xf numFmtId="49" fontId="7" fillId="5" borderId="3" xfId="1" applyNumberFormat="1" applyFont="1" applyFill="1" applyBorder="1" applyAlignment="1">
      <alignment vertical="justify"/>
    </xf>
    <xf numFmtId="49" fontId="7" fillId="5" borderId="3" xfId="1" applyNumberFormat="1" applyFont="1" applyFill="1" applyBorder="1" applyAlignment="1">
      <alignment vertical="center"/>
    </xf>
    <xf numFmtId="1" fontId="4" fillId="8" borderId="3" xfId="1" quotePrefix="1" applyNumberFormat="1" applyFont="1" applyFill="1" applyBorder="1" applyAlignment="1">
      <alignment horizontal="center" vertical="center" wrapText="1"/>
    </xf>
    <xf numFmtId="0" fontId="10" fillId="4" borderId="3" xfId="1" applyFont="1" applyFill="1" applyBorder="1" applyAlignment="1">
      <alignment horizontal="left" vertical="center"/>
    </xf>
    <xf numFmtId="0" fontId="3" fillId="2" borderId="0" xfId="1" applyFont="1" applyFill="1" applyAlignment="1">
      <alignment vertical="center"/>
    </xf>
    <xf numFmtId="1" fontId="4" fillId="8" borderId="3" xfId="1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49" fontId="7" fillId="6" borderId="3" xfId="1" applyNumberFormat="1" applyFont="1" applyFill="1" applyBorder="1" applyAlignment="1">
      <alignment horizontal="left" vertical="center"/>
    </xf>
    <xf numFmtId="0" fontId="18" fillId="0" borderId="3" xfId="1" quotePrefix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49" fontId="9" fillId="19" borderId="3" xfId="1" applyNumberFormat="1" applyFont="1" applyFill="1" applyBorder="1" applyAlignment="1">
      <alignment horizontal="center" vertical="center"/>
    </xf>
    <xf numFmtId="49" fontId="7" fillId="19" borderId="3" xfId="1" applyNumberFormat="1" applyFont="1" applyFill="1" applyBorder="1" applyAlignment="1">
      <alignment horizontal="left" vertical="center"/>
    </xf>
    <xf numFmtId="49" fontId="7" fillId="19" borderId="3" xfId="1" applyNumberFormat="1" applyFont="1" applyFill="1" applyBorder="1" applyAlignment="1">
      <alignment vertical="justify"/>
    </xf>
    <xf numFmtId="49" fontId="7" fillId="19" borderId="3" xfId="1" applyNumberFormat="1" applyFont="1" applyFill="1" applyBorder="1" applyAlignment="1">
      <alignment vertical="center"/>
    </xf>
    <xf numFmtId="1" fontId="4" fillId="0" borderId="0" xfId="1" applyNumberFormat="1" applyFont="1" applyFill="1" applyBorder="1" applyAlignment="1">
      <alignment vertical="center"/>
    </xf>
    <xf numFmtId="1" fontId="4" fillId="6" borderId="3" xfId="1" applyNumberFormat="1" applyFont="1" applyFill="1" applyBorder="1" applyAlignment="1">
      <alignment vertical="center" wrapText="1"/>
    </xf>
    <xf numFmtId="1" fontId="4" fillId="7" borderId="3" xfId="1" applyNumberFormat="1" applyFont="1" applyFill="1" applyBorder="1" applyAlignment="1">
      <alignment vertical="center" wrapText="1"/>
    </xf>
    <xf numFmtId="1" fontId="7" fillId="0" borderId="3" xfId="1" applyNumberFormat="1" applyFont="1" applyBorder="1" applyAlignment="1">
      <alignment horizontal="center" vertical="justify" wrapText="1"/>
    </xf>
    <xf numFmtId="1" fontId="4" fillId="8" borderId="3" xfId="1" applyNumberFormat="1" applyFont="1" applyFill="1" applyBorder="1" applyAlignment="1">
      <alignment horizontal="center" vertical="justify" wrapText="1"/>
    </xf>
    <xf numFmtId="0" fontId="15" fillId="0" borderId="3" xfId="1" applyFont="1" applyFill="1" applyBorder="1" applyAlignment="1">
      <alignment horizontal="center" vertical="center"/>
    </xf>
    <xf numFmtId="0" fontId="15" fillId="8" borderId="3" xfId="1" applyFont="1" applyFill="1" applyBorder="1" applyAlignment="1">
      <alignment horizontal="center" vertical="center"/>
    </xf>
    <xf numFmtId="1" fontId="4" fillId="9" borderId="3" xfId="1" applyNumberFormat="1" applyFont="1" applyFill="1" applyBorder="1" applyAlignment="1">
      <alignment horizontal="center" vertical="center"/>
    </xf>
    <xf numFmtId="1" fontId="4" fillId="9" borderId="3" xfId="1" quotePrefix="1" applyNumberFormat="1" applyFont="1" applyFill="1" applyBorder="1" applyAlignment="1">
      <alignment horizontal="center" vertical="center" wrapText="1"/>
    </xf>
    <xf numFmtId="0" fontId="4" fillId="8" borderId="3" xfId="1" quotePrefix="1" applyFont="1" applyFill="1" applyBorder="1" applyAlignment="1">
      <alignment horizontal="center" vertical="center" wrapText="1"/>
    </xf>
    <xf numFmtId="1" fontId="4" fillId="9" borderId="3" xfId="1" quotePrefix="1" applyNumberFormat="1" applyFont="1" applyFill="1" applyBorder="1" applyAlignment="1">
      <alignment horizontal="center" vertical="center"/>
    </xf>
    <xf numFmtId="1" fontId="16" fillId="3" borderId="3" xfId="1" applyNumberFormat="1" applyFont="1" applyFill="1" applyBorder="1" applyAlignment="1">
      <alignment horizontal="center" vertical="center"/>
    </xf>
    <xf numFmtId="1" fontId="12" fillId="3" borderId="3" xfId="1" applyNumberFormat="1" applyFont="1" applyFill="1" applyBorder="1" applyAlignment="1">
      <alignment horizontal="center" vertical="center"/>
    </xf>
    <xf numFmtId="0" fontId="9" fillId="12" borderId="3" xfId="1" applyFont="1" applyFill="1" applyBorder="1" applyAlignment="1">
      <alignment horizontal="center" vertical="center"/>
    </xf>
    <xf numFmtId="1" fontId="4" fillId="12" borderId="3" xfId="1" quotePrefix="1" applyNumberFormat="1" applyFont="1" applyFill="1" applyBorder="1" applyAlignment="1">
      <alignment horizontal="center" vertical="center" wrapText="1"/>
    </xf>
    <xf numFmtId="49" fontId="9" fillId="12" borderId="3" xfId="1" applyNumberFormat="1" applyFont="1" applyFill="1" applyBorder="1" applyAlignment="1">
      <alignment horizontal="center" vertical="center"/>
    </xf>
    <xf numFmtId="49" fontId="4" fillId="12" borderId="3" xfId="1" applyNumberFormat="1" applyFont="1" applyFill="1" applyBorder="1" applyAlignment="1">
      <alignment horizontal="center" vertical="center"/>
    </xf>
    <xf numFmtId="1" fontId="4" fillId="6" borderId="3" xfId="1" quotePrefix="1" applyNumberFormat="1" applyFont="1" applyFill="1" applyBorder="1" applyAlignment="1">
      <alignment horizontal="center" vertical="center" wrapText="1"/>
    </xf>
    <xf numFmtId="1" fontId="4" fillId="11" borderId="3" xfId="1" quotePrefix="1" applyNumberFormat="1" applyFont="1" applyFill="1" applyBorder="1" applyAlignment="1">
      <alignment horizontal="center" vertical="center" wrapText="1"/>
    </xf>
    <xf numFmtId="1" fontId="4" fillId="13" borderId="3" xfId="1" quotePrefix="1" applyNumberFormat="1" applyFont="1" applyFill="1" applyBorder="1" applyAlignment="1">
      <alignment horizontal="center" vertical="center" wrapText="1"/>
    </xf>
    <xf numFmtId="1" fontId="4" fillId="19" borderId="3" xfId="1" quotePrefix="1" applyNumberFormat="1" applyFont="1" applyFill="1" applyBorder="1" applyAlignment="1">
      <alignment horizontal="center" vertical="center"/>
    </xf>
    <xf numFmtId="1" fontId="4" fillId="19" borderId="3" xfId="1" applyNumberFormat="1" applyFont="1" applyFill="1" applyBorder="1" applyAlignment="1">
      <alignment horizontal="center" vertical="center"/>
    </xf>
    <xf numFmtId="0" fontId="14" fillId="0" borderId="0" xfId="1" applyFont="1" applyFill="1" applyAlignment="1">
      <alignment vertical="center"/>
    </xf>
    <xf numFmtId="49" fontId="7" fillId="3" borderId="3" xfId="1" applyNumberFormat="1" applyFont="1" applyFill="1" applyBorder="1" applyAlignment="1">
      <alignment vertical="center"/>
    </xf>
    <xf numFmtId="49" fontId="30" fillId="3" borderId="3" xfId="1" applyNumberFormat="1" applyFont="1" applyFill="1" applyBorder="1" applyAlignment="1">
      <alignment horizontal="center" vertical="center"/>
    </xf>
    <xf numFmtId="49" fontId="31" fillId="3" borderId="3" xfId="1" applyNumberFormat="1" applyFont="1" applyFill="1" applyBorder="1" applyAlignment="1">
      <alignment vertical="center"/>
    </xf>
    <xf numFmtId="49" fontId="29" fillId="3" borderId="3" xfId="1" applyNumberFormat="1" applyFont="1" applyFill="1" applyBorder="1" applyAlignment="1">
      <alignment vertical="center"/>
    </xf>
    <xf numFmtId="1" fontId="4" fillId="20" borderId="3" xfId="1" quotePrefix="1" applyNumberFormat="1" applyFont="1" applyFill="1" applyBorder="1" applyAlignment="1">
      <alignment horizontal="center" vertical="center"/>
    </xf>
    <xf numFmtId="0" fontId="4" fillId="0" borderId="0" xfId="1" applyFont="1" applyFill="1"/>
    <xf numFmtId="0" fontId="4" fillId="9" borderId="3" xfId="1" quotePrefix="1" applyFont="1" applyFill="1" applyBorder="1" applyAlignment="1">
      <alignment horizontal="center" vertical="center" wrapText="1"/>
    </xf>
    <xf numFmtId="0" fontId="4" fillId="9" borderId="3" xfId="1" quotePrefix="1" applyFont="1" applyFill="1" applyBorder="1" applyAlignment="1">
      <alignment horizontal="center" vertical="center"/>
    </xf>
    <xf numFmtId="0" fontId="6" fillId="6" borderId="3" xfId="1" applyFont="1" applyFill="1" applyBorder="1" applyAlignment="1">
      <alignment horizontal="center" vertical="center"/>
    </xf>
    <xf numFmtId="49" fontId="6" fillId="6" borderId="3" xfId="1" applyNumberFormat="1" applyFont="1" applyFill="1" applyBorder="1" applyAlignment="1">
      <alignment horizontal="center" vertical="center"/>
    </xf>
    <xf numFmtId="0" fontId="6" fillId="12" borderId="3" xfId="1" applyFont="1" applyFill="1" applyBorder="1" applyAlignment="1">
      <alignment horizontal="center" vertical="center"/>
    </xf>
    <xf numFmtId="2" fontId="8" fillId="6" borderId="3" xfId="1" applyNumberFormat="1" applyFont="1" applyFill="1" applyBorder="1" applyAlignment="1">
      <alignment vertical="center"/>
    </xf>
    <xf numFmtId="49" fontId="10" fillId="20" borderId="3" xfId="1" applyNumberFormat="1" applyFont="1" applyFill="1" applyBorder="1" applyAlignment="1">
      <alignment horizontal="center" vertical="center"/>
    </xf>
    <xf numFmtId="49" fontId="8" fillId="20" borderId="3" xfId="1" applyNumberFormat="1" applyFont="1" applyFill="1" applyBorder="1" applyAlignment="1">
      <alignment vertical="justify"/>
    </xf>
    <xf numFmtId="49" fontId="8" fillId="20" borderId="3" xfId="1" applyNumberFormat="1" applyFont="1" applyFill="1" applyBorder="1" applyAlignment="1">
      <alignment vertical="center"/>
    </xf>
    <xf numFmtId="1" fontId="4" fillId="6" borderId="3" xfId="1" applyNumberFormat="1" applyFont="1" applyFill="1" applyBorder="1" applyAlignment="1">
      <alignment horizontal="center" vertical="center"/>
    </xf>
    <xf numFmtId="49" fontId="29" fillId="21" borderId="3" xfId="0" applyNumberFormat="1" applyFont="1" applyFill="1" applyBorder="1" applyAlignment="1">
      <alignment vertical="center"/>
    </xf>
    <xf numFmtId="0" fontId="6" fillId="3" borderId="3" xfId="1" applyFont="1" applyFill="1" applyBorder="1" applyAlignment="1">
      <alignment horizontal="center" vertical="center"/>
    </xf>
    <xf numFmtId="1" fontId="6" fillId="6" borderId="3" xfId="1" applyNumberFormat="1" applyFont="1" applyFill="1" applyBorder="1" applyAlignment="1">
      <alignment horizontal="center" vertical="center"/>
    </xf>
    <xf numFmtId="0" fontId="6" fillId="11" borderId="3" xfId="1" applyFont="1" applyFill="1" applyBorder="1" applyAlignment="1">
      <alignment horizontal="center" vertical="center"/>
    </xf>
    <xf numFmtId="0" fontId="8" fillId="18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1" fontId="4" fillId="14" borderId="3" xfId="1" applyNumberFormat="1" applyFont="1" applyFill="1" applyBorder="1" applyAlignment="1">
      <alignment horizontal="center" vertical="center"/>
    </xf>
    <xf numFmtId="1" fontId="4" fillId="15" borderId="3" xfId="1" applyNumberFormat="1" applyFont="1" applyFill="1" applyBorder="1" applyAlignment="1">
      <alignment horizontal="center" vertical="center"/>
    </xf>
    <xf numFmtId="0" fontId="13" fillId="0" borderId="0" xfId="1" applyFont="1" applyAlignment="1">
      <alignment horizontal="left" vertical="justify"/>
    </xf>
    <xf numFmtId="49" fontId="16" fillId="3" borderId="3" xfId="0" applyNumberFormat="1" applyFont="1" applyFill="1" applyBorder="1" applyAlignment="1">
      <alignment horizontal="center" vertical="center"/>
    </xf>
    <xf numFmtId="49" fontId="29" fillId="3" borderId="3" xfId="0" applyNumberFormat="1" applyFont="1" applyFill="1" applyBorder="1" applyAlignment="1">
      <alignment vertical="justify"/>
    </xf>
    <xf numFmtId="49" fontId="29" fillId="3" borderId="3" xfId="0" applyNumberFormat="1" applyFont="1" applyFill="1" applyBorder="1" applyAlignment="1">
      <alignment vertical="center"/>
    </xf>
    <xf numFmtId="0" fontId="8" fillId="6" borderId="3" xfId="0" applyFont="1" applyFill="1" applyBorder="1" applyAlignment="1">
      <alignment horizontal="left" vertical="center" wrapText="1"/>
    </xf>
    <xf numFmtId="1" fontId="7" fillId="0" borderId="0" xfId="1" applyNumberFormat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horizontal="left" vertical="center"/>
    </xf>
    <xf numFmtId="0" fontId="3" fillId="0" borderId="0" xfId="1" applyFont="1" applyFill="1" applyAlignment="1">
      <alignment horizontal="center"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1" fontId="3" fillId="4" borderId="0" xfId="1" applyNumberFormat="1" applyFont="1" applyFill="1" applyAlignment="1">
      <alignment horizontal="center" vertical="center"/>
    </xf>
    <xf numFmtId="1" fontId="32" fillId="0" borderId="0" xfId="1" applyNumberFormat="1" applyFont="1" applyAlignment="1">
      <alignment horizontal="center" vertical="center"/>
    </xf>
    <xf numFmtId="1" fontId="3" fillId="8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" fontId="6" fillId="0" borderId="0" xfId="1" applyNumberFormat="1" applyFont="1" applyFill="1" applyAlignment="1">
      <alignment vertical="center"/>
    </xf>
    <xf numFmtId="49" fontId="19" fillId="3" borderId="3" xfId="0" applyNumberFormat="1" applyFont="1" applyFill="1" applyBorder="1" applyAlignment="1">
      <alignment horizontal="center" vertical="center"/>
    </xf>
    <xf numFmtId="49" fontId="19" fillId="22" borderId="3" xfId="0" applyNumberFormat="1" applyFont="1" applyFill="1" applyBorder="1" applyAlignment="1">
      <alignment horizontal="center" vertical="center"/>
    </xf>
    <xf numFmtId="1" fontId="3" fillId="4" borderId="6" xfId="1" applyNumberFormat="1" applyFont="1" applyFill="1" applyBorder="1" applyAlignment="1">
      <alignment horizontal="center" vertical="center"/>
    </xf>
    <xf numFmtId="0" fontId="6" fillId="20" borderId="3" xfId="1" applyFont="1" applyFill="1" applyBorder="1" applyAlignment="1">
      <alignment horizontal="center" vertical="center"/>
    </xf>
    <xf numFmtId="0" fontId="10" fillId="20" borderId="3" xfId="1" applyFont="1" applyFill="1" applyBorder="1" applyAlignment="1">
      <alignment horizontal="center" vertical="center" wrapText="1"/>
    </xf>
    <xf numFmtId="0" fontId="8" fillId="20" borderId="3" xfId="1" applyFont="1" applyFill="1" applyBorder="1" applyAlignment="1">
      <alignment horizontal="left" vertical="center" wrapText="1"/>
    </xf>
    <xf numFmtId="49" fontId="8" fillId="20" borderId="3" xfId="1" applyNumberFormat="1" applyFont="1" applyFill="1" applyBorder="1" applyAlignment="1">
      <alignment horizontal="left" vertical="center"/>
    </xf>
    <xf numFmtId="49" fontId="16" fillId="23" borderId="3" xfId="0" applyNumberFormat="1" applyFont="1" applyFill="1" applyBorder="1" applyAlignment="1">
      <alignment horizontal="center" vertical="center"/>
    </xf>
    <xf numFmtId="49" fontId="10" fillId="20" borderId="3" xfId="0" applyNumberFormat="1" applyFont="1" applyFill="1" applyBorder="1" applyAlignment="1">
      <alignment horizontal="center" vertical="center"/>
    </xf>
    <xf numFmtId="49" fontId="19" fillId="6" borderId="3" xfId="0" applyNumberFormat="1" applyFont="1" applyFill="1" applyBorder="1" applyAlignment="1">
      <alignment horizontal="center" vertical="center"/>
    </xf>
    <xf numFmtId="1" fontId="3" fillId="0" borderId="0" xfId="1" applyNumberFormat="1" applyFont="1" applyFill="1" applyAlignment="1">
      <alignment horizontal="center" vertical="center"/>
    </xf>
    <xf numFmtId="49" fontId="16" fillId="6" borderId="3" xfId="0" applyNumberFormat="1" applyFont="1" applyFill="1" applyBorder="1" applyAlignment="1">
      <alignment horizontal="center" vertical="center"/>
    </xf>
    <xf numFmtId="49" fontId="10" fillId="6" borderId="3" xfId="0" applyNumberFormat="1" applyFont="1" applyFill="1" applyBorder="1" applyAlignment="1">
      <alignment horizontal="center" vertical="center"/>
    </xf>
    <xf numFmtId="49" fontId="6" fillId="6" borderId="3" xfId="0" applyNumberFormat="1" applyFont="1" applyFill="1" applyBorder="1" applyAlignment="1">
      <alignment vertical="center"/>
    </xf>
    <xf numFmtId="49" fontId="16" fillId="6" borderId="3" xfId="0" applyNumberFormat="1" applyFont="1" applyFill="1" applyBorder="1" applyAlignment="1">
      <alignment vertical="center"/>
    </xf>
    <xf numFmtId="49" fontId="16" fillId="21" borderId="3" xfId="0" applyNumberFormat="1" applyFont="1" applyFill="1" applyBorder="1" applyAlignment="1">
      <alignment horizontal="center" vertical="center"/>
    </xf>
    <xf numFmtId="49" fontId="19" fillId="3" borderId="3" xfId="0" applyNumberFormat="1" applyFont="1" applyFill="1" applyBorder="1" applyAlignment="1">
      <alignment vertical="center"/>
    </xf>
    <xf numFmtId="49" fontId="10" fillId="6" borderId="3" xfId="0" applyNumberFormat="1" applyFont="1" applyFill="1" applyBorder="1" applyAlignment="1">
      <alignment vertical="center"/>
    </xf>
    <xf numFmtId="49" fontId="16" fillId="21" borderId="3" xfId="0" applyNumberFormat="1" applyFont="1" applyFill="1" applyBorder="1" applyAlignment="1">
      <alignment vertical="center"/>
    </xf>
    <xf numFmtId="1" fontId="3" fillId="0" borderId="0" xfId="1" applyNumberFormat="1" applyFont="1" applyAlignment="1">
      <alignment horizontal="center" vertical="center"/>
    </xf>
    <xf numFmtId="1" fontId="32" fillId="0" borderId="0" xfId="1" applyNumberFormat="1" applyFont="1" applyFill="1" applyAlignment="1">
      <alignment horizontal="center" vertical="center"/>
    </xf>
    <xf numFmtId="1" fontId="37" fillId="3" borderId="3" xfId="1" applyNumberFormat="1" applyFont="1" applyFill="1" applyBorder="1" applyAlignment="1">
      <alignment horizontal="center" vertical="center"/>
    </xf>
    <xf numFmtId="0" fontId="37" fillId="8" borderId="3" xfId="1" quotePrefix="1" applyFont="1" applyFill="1" applyBorder="1" applyAlignment="1">
      <alignment horizontal="center" vertical="center"/>
    </xf>
    <xf numFmtId="1" fontId="37" fillId="3" borderId="3" xfId="1" quotePrefix="1" applyNumberFormat="1" applyFont="1" applyFill="1" applyBorder="1" applyAlignment="1">
      <alignment horizontal="center" vertical="center"/>
    </xf>
    <xf numFmtId="1" fontId="37" fillId="8" borderId="3" xfId="1" quotePrefix="1" applyNumberFormat="1" applyFont="1" applyFill="1" applyBorder="1" applyAlignment="1">
      <alignment horizontal="center" vertical="center"/>
    </xf>
    <xf numFmtId="1" fontId="36" fillId="0" borderId="0" xfId="1" applyNumberFormat="1" applyFont="1" applyAlignment="1">
      <alignment horizontal="center" vertical="center"/>
    </xf>
    <xf numFmtId="0" fontId="36" fillId="0" borderId="0" xfId="1" applyFont="1"/>
    <xf numFmtId="49" fontId="19" fillId="22" borderId="3" xfId="0" applyNumberFormat="1" applyFont="1" applyFill="1" applyBorder="1" applyAlignment="1">
      <alignment vertical="center"/>
    </xf>
    <xf numFmtId="0" fontId="8" fillId="4" borderId="3" xfId="1" quotePrefix="1" applyFont="1" applyFill="1" applyBorder="1" applyAlignment="1">
      <alignment horizontal="left" vertical="center" wrapText="1"/>
    </xf>
    <xf numFmtId="0" fontId="8" fillId="0" borderId="3" xfId="1" quotePrefix="1" applyFont="1" applyFill="1" applyBorder="1" applyAlignment="1">
      <alignment horizontal="left" vertical="center" wrapText="1"/>
    </xf>
    <xf numFmtId="49" fontId="12" fillId="22" borderId="3" xfId="0" applyNumberFormat="1" applyFont="1" applyFill="1" applyBorder="1" applyAlignment="1">
      <alignment vertical="justify"/>
    </xf>
    <xf numFmtId="49" fontId="12" fillId="3" borderId="3" xfId="0" applyNumberFormat="1" applyFont="1" applyFill="1" applyBorder="1" applyAlignment="1">
      <alignment vertical="justify"/>
    </xf>
    <xf numFmtId="49" fontId="33" fillId="0" borderId="0" xfId="2" applyNumberFormat="1" applyFont="1" applyFill="1" applyBorder="1" applyAlignment="1">
      <alignment horizontal="center" vertical="justify"/>
    </xf>
    <xf numFmtId="0" fontId="6" fillId="0" borderId="0" xfId="17" applyNumberFormat="1" applyFont="1" applyAlignment="1" applyProtection="1">
      <alignment vertical="justify"/>
    </xf>
    <xf numFmtId="49" fontId="10" fillId="18" borderId="3" xfId="1" applyNumberFormat="1" applyFont="1" applyFill="1" applyBorder="1" applyAlignment="1">
      <alignment horizontal="center" vertical="center"/>
    </xf>
    <xf numFmtId="49" fontId="29" fillId="22" borderId="3" xfId="0" applyNumberFormat="1" applyFont="1" applyFill="1" applyBorder="1" applyAlignment="1">
      <alignment vertical="center"/>
    </xf>
    <xf numFmtId="49" fontId="8" fillId="3" borderId="7" xfId="1" applyNumberFormat="1" applyFont="1" applyFill="1" applyBorder="1" applyAlignment="1">
      <alignment vertical="center"/>
    </xf>
    <xf numFmtId="49" fontId="8" fillId="6" borderId="7" xfId="1" applyNumberFormat="1" applyFont="1" applyFill="1" applyBorder="1" applyAlignment="1">
      <alignment vertical="justify"/>
    </xf>
    <xf numFmtId="49" fontId="8" fillId="6" borderId="7" xfId="1" applyNumberFormat="1" applyFont="1" applyFill="1" applyBorder="1" applyAlignment="1">
      <alignment vertical="center"/>
    </xf>
    <xf numFmtId="0" fontId="10" fillId="0" borderId="0" xfId="17" applyNumberFormat="1" applyFont="1" applyAlignment="1" applyProtection="1">
      <alignment horizontal="center" vertical="top"/>
    </xf>
    <xf numFmtId="0" fontId="10" fillId="0" borderId="0" xfId="17" applyNumberFormat="1" applyFont="1" applyAlignment="1" applyProtection="1">
      <alignment vertical="top"/>
    </xf>
    <xf numFmtId="0" fontId="8" fillId="18" borderId="3" xfId="1" applyFont="1" applyFill="1" applyBorder="1" applyAlignment="1">
      <alignment horizontal="left" vertical="justify"/>
    </xf>
    <xf numFmtId="0" fontId="10" fillId="4" borderId="3" xfId="1" applyFont="1" applyFill="1" applyBorder="1" applyAlignment="1">
      <alignment horizontal="center" vertical="center"/>
    </xf>
    <xf numFmtId="1" fontId="4" fillId="6" borderId="5" xfId="1" applyNumberFormat="1" applyFont="1" applyFill="1" applyBorder="1" applyAlignment="1">
      <alignment horizontal="center" vertical="center"/>
    </xf>
    <xf numFmtId="49" fontId="8" fillId="3" borderId="0" xfId="1" applyNumberFormat="1" applyFont="1" applyFill="1" applyBorder="1" applyAlignment="1">
      <alignment vertical="center"/>
    </xf>
    <xf numFmtId="49" fontId="6" fillId="6" borderId="3" xfId="1" applyNumberFormat="1" applyFont="1" applyFill="1" applyBorder="1" applyAlignment="1">
      <alignment vertical="center"/>
    </xf>
    <xf numFmtId="0" fontId="35" fillId="0" borderId="0" xfId="1" applyFont="1" applyFill="1" applyAlignment="1">
      <alignment horizontal="center" vertical="center"/>
    </xf>
    <xf numFmtId="49" fontId="9" fillId="25" borderId="3" xfId="1" applyNumberFormat="1" applyFont="1" applyFill="1" applyBorder="1" applyAlignment="1">
      <alignment horizontal="center" vertical="center"/>
    </xf>
    <xf numFmtId="49" fontId="7" fillId="25" borderId="3" xfId="1" applyNumberFormat="1" applyFont="1" applyFill="1" applyBorder="1" applyAlignment="1">
      <alignment vertical="center"/>
    </xf>
    <xf numFmtId="49" fontId="15" fillId="25" borderId="3" xfId="1" applyNumberFormat="1" applyFont="1" applyFill="1" applyBorder="1" applyAlignment="1">
      <alignment vertical="center"/>
    </xf>
    <xf numFmtId="0" fontId="8" fillId="20" borderId="3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left" vertical="center"/>
    </xf>
    <xf numFmtId="0" fontId="4" fillId="24" borderId="0" xfId="1" applyFont="1" applyFill="1" applyAlignment="1">
      <alignment horizontal="left" vertical="center"/>
    </xf>
    <xf numFmtId="0" fontId="3" fillId="24" borderId="0" xfId="1" applyFont="1" applyFill="1" applyAlignment="1">
      <alignment horizontal="left" vertical="center"/>
    </xf>
    <xf numFmtId="1" fontId="3" fillId="24" borderId="0" xfId="1" applyNumberFormat="1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1" fontId="3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3" fillId="6" borderId="0" xfId="1" applyNumberFormat="1" applyFont="1" applyFill="1" applyAlignment="1">
      <alignment horizontal="left" vertical="center"/>
    </xf>
    <xf numFmtId="1" fontId="37" fillId="0" borderId="0" xfId="1" applyNumberFormat="1" applyFont="1" applyAlignment="1">
      <alignment horizontal="left" vertical="center"/>
    </xf>
    <xf numFmtId="1" fontId="32" fillId="0" borderId="0" xfId="1" applyNumberFormat="1" applyFont="1" applyAlignment="1">
      <alignment horizontal="left" vertical="center"/>
    </xf>
    <xf numFmtId="1" fontId="3" fillId="0" borderId="6" xfId="1" applyNumberFormat="1" applyFont="1" applyFill="1" applyBorder="1" applyAlignment="1">
      <alignment horizontal="left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49" fontId="9" fillId="5" borderId="3" xfId="1" applyNumberFormat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1" fontId="4" fillId="26" borderId="3" xfId="1" quotePrefix="1" applyNumberFormat="1" applyFont="1" applyFill="1" applyBorder="1" applyAlignment="1">
      <alignment horizontal="center" vertical="center" wrapText="1"/>
    </xf>
    <xf numFmtId="0" fontId="4" fillId="26" borderId="3" xfId="1" applyFont="1" applyFill="1" applyBorder="1" applyAlignment="1">
      <alignment horizontal="center" vertical="justify" wrapText="1"/>
    </xf>
    <xf numFmtId="0" fontId="15" fillId="26" borderId="3" xfId="1" applyFont="1" applyFill="1" applyBorder="1" applyAlignment="1">
      <alignment horizontal="center" vertical="center"/>
    </xf>
    <xf numFmtId="2" fontId="4" fillId="26" borderId="3" xfId="1" quotePrefix="1" applyNumberFormat="1" applyFont="1" applyFill="1" applyBorder="1" applyAlignment="1">
      <alignment horizontal="center" vertical="center" wrapText="1"/>
    </xf>
    <xf numFmtId="1" fontId="37" fillId="26" borderId="3" xfId="1" quotePrefix="1" applyNumberFormat="1" applyFont="1" applyFill="1" applyBorder="1" applyAlignment="1">
      <alignment horizontal="center" vertical="center" wrapText="1"/>
    </xf>
    <xf numFmtId="1" fontId="4" fillId="10" borderId="3" xfId="1" quotePrefix="1" applyNumberFormat="1" applyFont="1" applyFill="1" applyBorder="1" applyAlignment="1">
      <alignment horizontal="center" vertical="center" wrapText="1"/>
    </xf>
    <xf numFmtId="49" fontId="28" fillId="3" borderId="3" xfId="1" applyNumberFormat="1" applyFont="1" applyFill="1" applyBorder="1" applyAlignment="1">
      <alignment vertical="justify"/>
    </xf>
    <xf numFmtId="49" fontId="7" fillId="3" borderId="3" xfId="1" applyNumberFormat="1" applyFont="1" applyFill="1" applyBorder="1" applyAlignment="1">
      <alignment horizontal="justify" vertical="center"/>
    </xf>
    <xf numFmtId="49" fontId="8" fillId="3" borderId="0" xfId="1" applyNumberFormat="1" applyFont="1" applyFill="1" applyBorder="1" applyAlignment="1">
      <alignment vertical="justify"/>
    </xf>
    <xf numFmtId="49" fontId="8" fillId="6" borderId="3" xfId="1" applyNumberFormat="1" applyFont="1" applyFill="1" applyBorder="1" applyAlignment="1">
      <alignment horizontal="justify" vertical="center"/>
    </xf>
    <xf numFmtId="1" fontId="4" fillId="26" borderId="3" xfId="1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39" fillId="0" borderId="0" xfId="16" applyFont="1" applyFill="1" applyAlignment="1">
      <alignment vertical="justify"/>
    </xf>
    <xf numFmtId="49" fontId="16" fillId="22" borderId="3" xfId="0" applyNumberFormat="1" applyFont="1" applyFill="1" applyBorder="1" applyAlignment="1">
      <alignment vertical="center"/>
    </xf>
    <xf numFmtId="49" fontId="9" fillId="5" borderId="3" xfId="1" applyNumberFormat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1" fontId="4" fillId="20" borderId="3" xfId="1" applyNumberFormat="1" applyFont="1" applyFill="1" applyBorder="1" applyAlignment="1">
      <alignment horizontal="center" vertical="center"/>
    </xf>
    <xf numFmtId="1" fontId="4" fillId="6" borderId="3" xfId="1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horizontal="center" vertical="center"/>
    </xf>
    <xf numFmtId="1" fontId="4" fillId="27" borderId="3" xfId="1" applyNumberFormat="1" applyFont="1" applyFill="1" applyBorder="1" applyAlignment="1">
      <alignment horizontal="center" vertical="center"/>
    </xf>
    <xf numFmtId="1" fontId="37" fillId="27" borderId="3" xfId="1" applyNumberFormat="1" applyFont="1" applyFill="1" applyBorder="1" applyAlignment="1">
      <alignment horizontal="center" vertical="center"/>
    </xf>
    <xf numFmtId="1" fontId="12" fillId="27" borderId="3" xfId="1" applyNumberFormat="1" applyFont="1" applyFill="1" applyBorder="1" applyAlignment="1">
      <alignment horizontal="center" vertical="center"/>
    </xf>
    <xf numFmtId="1" fontId="4" fillId="10" borderId="1" xfId="1" quotePrefix="1" applyNumberFormat="1" applyFont="1" applyFill="1" applyBorder="1" applyAlignment="1">
      <alignment horizontal="center" vertical="center" wrapText="1"/>
    </xf>
    <xf numFmtId="1" fontId="4" fillId="6" borderId="1" xfId="1" quotePrefix="1" applyNumberFormat="1" applyFont="1" applyFill="1" applyBorder="1" applyAlignment="1">
      <alignment horizontal="center" vertical="center" wrapText="1"/>
    </xf>
    <xf numFmtId="1" fontId="4" fillId="11" borderId="1" xfId="1" quotePrefix="1" applyNumberFormat="1" applyFont="1" applyFill="1" applyBorder="1" applyAlignment="1">
      <alignment horizontal="center" vertical="center" wrapText="1"/>
    </xf>
    <xf numFmtId="1" fontId="4" fillId="13" borderId="1" xfId="1" quotePrefix="1" applyNumberFormat="1" applyFont="1" applyFill="1" applyBorder="1" applyAlignment="1">
      <alignment horizontal="center" vertical="center" wrapText="1"/>
    </xf>
    <xf numFmtId="1" fontId="4" fillId="10" borderId="2" xfId="1" quotePrefix="1" applyNumberFormat="1" applyFont="1" applyFill="1" applyBorder="1" applyAlignment="1">
      <alignment horizontal="center" vertical="center" wrapText="1"/>
    </xf>
    <xf numFmtId="1" fontId="4" fillId="6" borderId="2" xfId="1" quotePrefix="1" applyNumberFormat="1" applyFont="1" applyFill="1" applyBorder="1" applyAlignment="1">
      <alignment horizontal="center" vertical="center" wrapText="1"/>
    </xf>
    <xf numFmtId="1" fontId="4" fillId="11" borderId="2" xfId="1" quotePrefix="1" applyNumberFormat="1" applyFont="1" applyFill="1" applyBorder="1" applyAlignment="1">
      <alignment horizontal="center" vertical="center" wrapText="1"/>
    </xf>
    <xf numFmtId="1" fontId="4" fillId="13" borderId="2" xfId="1" quotePrefix="1" applyNumberFormat="1" applyFont="1" applyFill="1" applyBorder="1" applyAlignment="1">
      <alignment horizontal="center" vertical="center" wrapText="1"/>
    </xf>
    <xf numFmtId="1" fontId="4" fillId="10" borderId="12" xfId="1" quotePrefix="1" applyNumberFormat="1" applyFont="1" applyFill="1" applyBorder="1" applyAlignment="1">
      <alignment horizontal="center" vertical="center" wrapText="1"/>
    </xf>
    <xf numFmtId="1" fontId="4" fillId="6" borderId="13" xfId="1" quotePrefix="1" applyNumberFormat="1" applyFont="1" applyFill="1" applyBorder="1" applyAlignment="1">
      <alignment horizontal="center" vertical="center" wrapText="1"/>
    </xf>
    <xf numFmtId="1" fontId="4" fillId="11" borderId="13" xfId="1" quotePrefix="1" applyNumberFormat="1" applyFont="1" applyFill="1" applyBorder="1" applyAlignment="1">
      <alignment horizontal="center" vertical="center" wrapText="1"/>
    </xf>
    <xf numFmtId="1" fontId="4" fillId="13" borderId="13" xfId="1" quotePrefix="1" applyNumberFormat="1" applyFont="1" applyFill="1" applyBorder="1" applyAlignment="1">
      <alignment horizontal="center" vertical="center" wrapText="1"/>
    </xf>
    <xf numFmtId="1" fontId="4" fillId="13" borderId="10" xfId="1" quotePrefix="1" applyNumberFormat="1" applyFont="1" applyFill="1" applyBorder="1" applyAlignment="1">
      <alignment horizontal="center" vertical="center" wrapText="1"/>
    </xf>
    <xf numFmtId="3" fontId="4" fillId="0" borderId="0" xfId="1" applyNumberFormat="1" applyFont="1" applyFill="1" applyAlignment="1">
      <alignment vertical="center"/>
    </xf>
    <xf numFmtId="3" fontId="4" fillId="0" borderId="0" xfId="1" applyNumberFormat="1" applyFont="1"/>
    <xf numFmtId="1" fontId="6" fillId="0" borderId="0" xfId="1" applyNumberFormat="1" applyFont="1"/>
    <xf numFmtId="1" fontId="3" fillId="0" borderId="0" xfId="1" applyNumberFormat="1" applyFont="1" applyFill="1" applyBorder="1" applyAlignment="1">
      <alignment horizontal="center" vertical="center"/>
    </xf>
    <xf numFmtId="1" fontId="3" fillId="0" borderId="0" xfId="1" applyNumberFormat="1" applyFont="1" applyFill="1" applyBorder="1" applyAlignment="1">
      <alignment horizontal="left" vertical="center"/>
    </xf>
    <xf numFmtId="0" fontId="38" fillId="0" borderId="0" xfId="1" applyFont="1" applyFill="1" applyBorder="1" applyAlignment="1">
      <alignment horizontal="left" vertical="center"/>
    </xf>
    <xf numFmtId="49" fontId="29" fillId="6" borderId="3" xfId="0" applyNumberFormat="1" applyFont="1" applyFill="1" applyBorder="1" applyAlignment="1">
      <alignment vertical="center"/>
    </xf>
    <xf numFmtId="49" fontId="8" fillId="6" borderId="0" xfId="1" applyNumberFormat="1" applyFont="1" applyFill="1" applyBorder="1" applyAlignment="1">
      <alignment vertical="center"/>
    </xf>
    <xf numFmtId="3" fontId="10" fillId="0" borderId="0" xfId="17" applyNumberFormat="1" applyFont="1" applyAlignment="1" applyProtection="1">
      <alignment horizontal="center" vertical="center"/>
    </xf>
    <xf numFmtId="3" fontId="10" fillId="0" borderId="0" xfId="17" applyNumberFormat="1" applyFont="1" applyAlignment="1" applyProtection="1">
      <alignment vertical="center"/>
    </xf>
    <xf numFmtId="3" fontId="3" fillId="0" borderId="0" xfId="1" applyNumberFormat="1" applyFont="1" applyAlignment="1">
      <alignment horizontal="left" vertical="center"/>
    </xf>
    <xf numFmtId="0" fontId="28" fillId="0" borderId="0" xfId="1" applyFont="1" applyAlignment="1">
      <alignment horizontal="center" vertical="justify"/>
    </xf>
    <xf numFmtId="0" fontId="3" fillId="0" borderId="0" xfId="1" applyFont="1" applyAlignment="1">
      <alignment horizontal="center" vertical="center"/>
    </xf>
    <xf numFmtId="0" fontId="7" fillId="6" borderId="0" xfId="1" applyFont="1" applyFill="1" applyAlignment="1">
      <alignment horizontal="center" vertical="center"/>
    </xf>
    <xf numFmtId="1" fontId="3" fillId="28" borderId="0" xfId="1" applyNumberFormat="1" applyFont="1" applyFill="1" applyAlignment="1">
      <alignment horizontal="center" vertical="center"/>
    </xf>
    <xf numFmtId="1" fontId="3" fillId="28" borderId="6" xfId="1" applyNumberFormat="1" applyFont="1" applyFill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4" fillId="0" borderId="6" xfId="1" applyFont="1" applyFill="1" applyBorder="1"/>
    <xf numFmtId="3" fontId="4" fillId="0" borderId="6" xfId="1" applyNumberFormat="1" applyFont="1" applyFill="1" applyBorder="1" applyAlignment="1">
      <alignment horizontal="left" vertical="center"/>
    </xf>
    <xf numFmtId="3" fontId="4" fillId="0" borderId="6" xfId="1" applyNumberFormat="1" applyFont="1" applyBorder="1" applyAlignment="1">
      <alignment horizontal="left"/>
    </xf>
    <xf numFmtId="1" fontId="4" fillId="29" borderId="0" xfId="1" applyNumberFormat="1" applyFont="1" applyFill="1" applyAlignment="1">
      <alignment horizontal="center" vertical="center"/>
    </xf>
    <xf numFmtId="1" fontId="4" fillId="30" borderId="0" xfId="1" applyNumberFormat="1" applyFont="1" applyFill="1" applyAlignment="1">
      <alignment horizontal="center" vertical="center"/>
    </xf>
    <xf numFmtId="0" fontId="4" fillId="30" borderId="0" xfId="1" applyFont="1" applyFill="1" applyBorder="1" applyAlignment="1">
      <alignment horizontal="center" vertical="center"/>
    </xf>
    <xf numFmtId="1" fontId="4" fillId="29" borderId="0" xfId="1" applyNumberFormat="1" applyFont="1" applyFill="1" applyBorder="1" applyAlignment="1">
      <alignment horizontal="center" vertical="center"/>
    </xf>
    <xf numFmtId="1" fontId="7" fillId="15" borderId="0" xfId="1" applyNumberFormat="1" applyFont="1" applyFill="1" applyAlignment="1">
      <alignment horizontal="center" vertical="justify"/>
    </xf>
    <xf numFmtId="1" fontId="4" fillId="4" borderId="0" xfId="1" applyNumberFormat="1" applyFont="1" applyFill="1" applyAlignment="1">
      <alignment horizontal="center" vertical="center"/>
    </xf>
    <xf numFmtId="1" fontId="4" fillId="4" borderId="14" xfId="1" applyNumberFormat="1" applyFont="1" applyFill="1" applyBorder="1" applyAlignment="1">
      <alignment horizontal="center" vertical="center"/>
    </xf>
    <xf numFmtId="2" fontId="4" fillId="9" borderId="3" xfId="1" quotePrefix="1" applyNumberFormat="1" applyFont="1" applyFill="1" applyBorder="1" applyAlignment="1">
      <alignment horizontal="center" vertical="center" wrapText="1"/>
    </xf>
    <xf numFmtId="2" fontId="4" fillId="10" borderId="3" xfId="1" quotePrefix="1" applyNumberFormat="1" applyFont="1" applyFill="1" applyBorder="1" applyAlignment="1">
      <alignment horizontal="center" vertical="center" wrapText="1"/>
    </xf>
    <xf numFmtId="0" fontId="4" fillId="26" borderId="3" xfId="1" quotePrefix="1" applyFont="1" applyFill="1" applyBorder="1" applyAlignment="1">
      <alignment horizontal="center" vertical="center" wrapText="1"/>
    </xf>
    <xf numFmtId="1" fontId="12" fillId="26" borderId="3" xfId="1" quotePrefix="1" applyNumberFormat="1" applyFont="1" applyFill="1" applyBorder="1" applyAlignment="1">
      <alignment horizontal="center" vertical="center" wrapText="1"/>
    </xf>
    <xf numFmtId="1" fontId="4" fillId="26" borderId="3" xfId="1" quotePrefix="1" applyNumberFormat="1" applyFont="1" applyFill="1" applyBorder="1" applyAlignment="1">
      <alignment horizontal="center" vertical="center"/>
    </xf>
    <xf numFmtId="0" fontId="6" fillId="26" borderId="3" xfId="1" applyFont="1" applyFill="1" applyBorder="1" applyAlignment="1">
      <alignment horizontal="center" vertical="center"/>
    </xf>
    <xf numFmtId="0" fontId="12" fillId="26" borderId="3" xfId="1" quotePrefix="1" applyFont="1" applyFill="1" applyBorder="1" applyAlignment="1">
      <alignment horizontal="center" vertical="center" wrapText="1"/>
    </xf>
    <xf numFmtId="1" fontId="4" fillId="26" borderId="4" xfId="1" applyNumberFormat="1" applyFont="1" applyFill="1" applyBorder="1" applyAlignment="1">
      <alignment horizontal="center" vertical="center"/>
    </xf>
    <xf numFmtId="2" fontId="4" fillId="11" borderId="3" xfId="1" quotePrefix="1" applyNumberFormat="1" applyFont="1" applyFill="1" applyBorder="1" applyAlignment="1">
      <alignment horizontal="center" vertical="center" wrapText="1"/>
    </xf>
    <xf numFmtId="1" fontId="4" fillId="20" borderId="13" xfId="1" quotePrefix="1" applyNumberFormat="1" applyFont="1" applyFill="1" applyBorder="1" applyAlignment="1">
      <alignment horizontal="center" vertical="center" wrapText="1"/>
    </xf>
    <xf numFmtId="49" fontId="8" fillId="3" borderId="7" xfId="1" applyNumberFormat="1" applyFont="1" applyFill="1" applyBorder="1" applyAlignment="1">
      <alignment horizontal="left" vertical="center"/>
    </xf>
    <xf numFmtId="1" fontId="4" fillId="31" borderId="3" xfId="1" applyNumberFormat="1" applyFont="1" applyFill="1" applyBorder="1" applyAlignment="1">
      <alignment horizontal="center" vertical="center"/>
    </xf>
    <xf numFmtId="1" fontId="12" fillId="31" borderId="3" xfId="1" applyNumberFormat="1" applyFont="1" applyFill="1" applyBorder="1" applyAlignment="1">
      <alignment horizontal="center" vertical="center"/>
    </xf>
    <xf numFmtId="1" fontId="4" fillId="33" borderId="3" xfId="1" quotePrefix="1" applyNumberFormat="1" applyFont="1" applyFill="1" applyBorder="1" applyAlignment="1">
      <alignment horizontal="center" vertical="center"/>
    </xf>
    <xf numFmtId="1" fontId="4" fillId="10" borderId="8" xfId="1" quotePrefix="1" applyNumberFormat="1" applyFont="1" applyFill="1" applyBorder="1" applyAlignment="1">
      <alignment horizontal="center" vertical="center" wrapText="1"/>
    </xf>
    <xf numFmtId="1" fontId="4" fillId="6" borderId="8" xfId="1" quotePrefix="1" applyNumberFormat="1" applyFont="1" applyFill="1" applyBorder="1" applyAlignment="1">
      <alignment horizontal="center" vertical="center" wrapText="1"/>
    </xf>
    <xf numFmtId="1" fontId="4" fillId="11" borderId="8" xfId="1" quotePrefix="1" applyNumberFormat="1" applyFont="1" applyFill="1" applyBorder="1" applyAlignment="1">
      <alignment horizontal="center" vertical="center" wrapText="1"/>
    </xf>
    <xf numFmtId="1" fontId="4" fillId="13" borderId="8" xfId="1" quotePrefix="1" applyNumberFormat="1" applyFont="1" applyFill="1" applyBorder="1" applyAlignment="1">
      <alignment horizontal="center" vertical="center" wrapText="1"/>
    </xf>
    <xf numFmtId="1" fontId="4" fillId="13" borderId="3" xfId="1" applyNumberFormat="1" applyFont="1" applyFill="1" applyBorder="1" applyAlignment="1">
      <alignment horizontal="center" vertical="center"/>
    </xf>
    <xf numFmtId="1" fontId="4" fillId="13" borderId="3" xfId="1" quotePrefix="1" applyNumberFormat="1" applyFont="1" applyFill="1" applyBorder="1" applyAlignment="1">
      <alignment horizontal="center" vertical="center"/>
    </xf>
    <xf numFmtId="1" fontId="4" fillId="15" borderId="3" xfId="1" quotePrefix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vertical="center"/>
    </xf>
    <xf numFmtId="1" fontId="4" fillId="31" borderId="0" xfId="1" applyNumberFormat="1" applyFont="1" applyFill="1" applyBorder="1" applyAlignment="1">
      <alignment vertical="center"/>
    </xf>
    <xf numFmtId="49" fontId="10" fillId="6" borderId="5" xfId="1" applyNumberFormat="1" applyFont="1" applyFill="1" applyBorder="1" applyAlignment="1">
      <alignment horizontal="center" vertical="center"/>
    </xf>
    <xf numFmtId="49" fontId="8" fillId="6" borderId="5" xfId="1" applyNumberFormat="1" applyFont="1" applyFill="1" applyBorder="1" applyAlignment="1">
      <alignment vertical="justify"/>
    </xf>
    <xf numFmtId="1" fontId="4" fillId="27" borderId="5" xfId="1" applyNumberFormat="1" applyFont="1" applyFill="1" applyBorder="1" applyAlignment="1">
      <alignment horizontal="center" vertical="center"/>
    </xf>
    <xf numFmtId="1" fontId="4" fillId="0" borderId="5" xfId="1" applyNumberFormat="1" applyFont="1" applyFill="1" applyBorder="1" applyAlignment="1">
      <alignment horizontal="center" vertical="center"/>
    </xf>
    <xf numFmtId="1" fontId="4" fillId="8" borderId="5" xfId="1" quotePrefix="1" applyNumberFormat="1" applyFont="1" applyFill="1" applyBorder="1" applyAlignment="1">
      <alignment horizontal="center" vertical="center"/>
    </xf>
    <xf numFmtId="1" fontId="4" fillId="6" borderId="5" xfId="1" quotePrefix="1" applyNumberFormat="1" applyFont="1" applyFill="1" applyBorder="1" applyAlignment="1">
      <alignment horizontal="center" vertical="center"/>
    </xf>
    <xf numFmtId="1" fontId="4" fillId="0" borderId="5" xfId="1" quotePrefix="1" applyNumberFormat="1" applyFont="1" applyFill="1" applyBorder="1" applyAlignment="1">
      <alignment horizontal="center" vertical="center" wrapText="1"/>
    </xf>
    <xf numFmtId="1" fontId="4" fillId="26" borderId="5" xfId="1" quotePrefix="1" applyNumberFormat="1" applyFont="1" applyFill="1" applyBorder="1" applyAlignment="1">
      <alignment horizontal="center" vertical="center" wrapText="1"/>
    </xf>
    <xf numFmtId="2" fontId="4" fillId="26" borderId="5" xfId="1" quotePrefix="1" applyNumberFormat="1" applyFont="1" applyFill="1" applyBorder="1" applyAlignment="1">
      <alignment horizontal="center" vertical="center" wrapText="1"/>
    </xf>
    <xf numFmtId="2" fontId="37" fillId="26" borderId="3" xfId="1" quotePrefix="1" applyNumberFormat="1" applyFont="1" applyFill="1" applyBorder="1" applyAlignment="1">
      <alignment horizontal="center" vertical="center" wrapText="1"/>
    </xf>
    <xf numFmtId="49" fontId="33" fillId="0" borderId="0" xfId="2" applyNumberFormat="1" applyFont="1" applyFill="1" applyBorder="1" applyAlignment="1">
      <alignment vertical="justify"/>
    </xf>
    <xf numFmtId="1" fontId="15" fillId="0" borderId="3" xfId="1" applyNumberFormat="1" applyFont="1" applyFill="1" applyBorder="1" applyAlignment="1">
      <alignment horizontal="center" vertical="center"/>
    </xf>
    <xf numFmtId="1" fontId="15" fillId="27" borderId="3" xfId="1" applyNumberFormat="1" applyFont="1" applyFill="1" applyBorder="1" applyAlignment="1">
      <alignment horizontal="center" vertical="center"/>
    </xf>
    <xf numFmtId="1" fontId="15" fillId="8" borderId="3" xfId="1" applyNumberFormat="1" applyFont="1" applyFill="1" applyBorder="1" applyAlignment="1">
      <alignment horizontal="center" vertical="center"/>
    </xf>
    <xf numFmtId="49" fontId="18" fillId="3" borderId="3" xfId="1" applyNumberFormat="1" applyFont="1" applyFill="1" applyBorder="1" applyAlignment="1">
      <alignment vertical="justify"/>
    </xf>
    <xf numFmtId="49" fontId="8" fillId="3" borderId="15" xfId="1" applyNumberFormat="1" applyFont="1" applyFill="1" applyBorder="1" applyAlignment="1">
      <alignment vertical="center"/>
    </xf>
    <xf numFmtId="1" fontId="4" fillId="4" borderId="0" xfId="1" applyNumberFormat="1" applyFont="1" applyFill="1" applyBorder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/>
    </xf>
    <xf numFmtId="2" fontId="7" fillId="26" borderId="3" xfId="1" quotePrefix="1" applyNumberFormat="1" applyFont="1" applyFill="1" applyBorder="1" applyAlignment="1">
      <alignment horizontal="center" vertical="center" wrapText="1"/>
    </xf>
    <xf numFmtId="1" fontId="4" fillId="6" borderId="3" xfId="1" applyNumberFormat="1" applyFont="1" applyFill="1" applyBorder="1" applyAlignment="1">
      <alignment horizontal="center" vertical="center" wrapText="1"/>
    </xf>
    <xf numFmtId="49" fontId="6" fillId="3" borderId="3" xfId="1" applyNumberFormat="1" applyFont="1" applyFill="1" applyBorder="1" applyAlignment="1">
      <alignment vertical="center"/>
    </xf>
    <xf numFmtId="49" fontId="4" fillId="3" borderId="3" xfId="1" applyNumberFormat="1" applyFont="1" applyFill="1" applyBorder="1" applyAlignment="1">
      <alignment vertical="center"/>
    </xf>
    <xf numFmtId="0" fontId="6" fillId="0" borderId="0" xfId="1" applyFont="1" applyAlignment="1">
      <alignment vertical="center"/>
    </xf>
    <xf numFmtId="0" fontId="6" fillId="6" borderId="3" xfId="0" applyFont="1" applyFill="1" applyBorder="1" applyAlignment="1">
      <alignment vertical="center"/>
    </xf>
    <xf numFmtId="49" fontId="17" fillId="6" borderId="3" xfId="0" applyNumberFormat="1" applyFont="1" applyFill="1" applyBorder="1" applyAlignment="1">
      <alignment vertical="center"/>
    </xf>
    <xf numFmtId="49" fontId="12" fillId="6" borderId="3" xfId="0" applyNumberFormat="1" applyFont="1" applyFill="1" applyBorder="1" applyAlignment="1">
      <alignment vertical="center"/>
    </xf>
    <xf numFmtId="49" fontId="10" fillId="3" borderId="16" xfId="1" applyNumberFormat="1" applyFont="1" applyFill="1" applyBorder="1" applyAlignment="1">
      <alignment horizontal="center" vertical="center"/>
    </xf>
    <xf numFmtId="49" fontId="8" fillId="3" borderId="16" xfId="1" applyNumberFormat="1" applyFont="1" applyFill="1" applyBorder="1" applyAlignment="1">
      <alignment vertical="center"/>
    </xf>
    <xf numFmtId="1" fontId="4" fillId="27" borderId="16" xfId="1" applyNumberFormat="1" applyFont="1" applyFill="1" applyBorder="1" applyAlignment="1">
      <alignment horizontal="center" vertical="center"/>
    </xf>
    <xf numFmtId="1" fontId="4" fillId="3" borderId="16" xfId="1" applyNumberFormat="1" applyFont="1" applyFill="1" applyBorder="1" applyAlignment="1">
      <alignment horizontal="center" vertical="center"/>
    </xf>
    <xf numFmtId="1" fontId="4" fillId="0" borderId="16" xfId="1" applyNumberFormat="1" applyFont="1" applyFill="1" applyBorder="1" applyAlignment="1">
      <alignment horizontal="center" vertical="center"/>
    </xf>
    <xf numFmtId="1" fontId="4" fillId="8" borderId="16" xfId="1" quotePrefix="1" applyNumberFormat="1" applyFont="1" applyFill="1" applyBorder="1" applyAlignment="1">
      <alignment horizontal="center" vertical="center"/>
    </xf>
    <xf numFmtId="1" fontId="4" fillId="3" borderId="16" xfId="1" quotePrefix="1" applyNumberFormat="1" applyFont="1" applyFill="1" applyBorder="1" applyAlignment="1">
      <alignment horizontal="center" vertical="center"/>
    </xf>
    <xf numFmtId="49" fontId="8" fillId="3" borderId="16" xfId="1" applyNumberFormat="1" applyFont="1" applyFill="1" applyBorder="1" applyAlignment="1">
      <alignment vertical="justify"/>
    </xf>
    <xf numFmtId="0" fontId="4" fillId="8" borderId="16" xfId="1" quotePrefix="1" applyFont="1" applyFill="1" applyBorder="1" applyAlignment="1">
      <alignment horizontal="center" vertical="center"/>
    </xf>
    <xf numFmtId="0" fontId="6" fillId="6" borderId="16" xfId="1" applyFont="1" applyFill="1" applyBorder="1" applyAlignment="1">
      <alignment horizontal="center" vertical="center"/>
    </xf>
    <xf numFmtId="49" fontId="10" fillId="6" borderId="16" xfId="1" applyNumberFormat="1" applyFont="1" applyFill="1" applyBorder="1" applyAlignment="1">
      <alignment horizontal="center" vertical="center"/>
    </xf>
    <xf numFmtId="49" fontId="8" fillId="6" borderId="16" xfId="1" applyNumberFormat="1" applyFont="1" applyFill="1" applyBorder="1" applyAlignment="1">
      <alignment vertical="center"/>
    </xf>
    <xf numFmtId="1" fontId="4" fillId="6" borderId="16" xfId="1" applyNumberFormat="1" applyFont="1" applyFill="1" applyBorder="1" applyAlignment="1">
      <alignment horizontal="center" vertical="center"/>
    </xf>
    <xf numFmtId="1" fontId="4" fillId="6" borderId="16" xfId="1" quotePrefix="1" applyNumberFormat="1" applyFont="1" applyFill="1" applyBorder="1" applyAlignment="1">
      <alignment horizontal="center" vertical="center"/>
    </xf>
    <xf numFmtId="49" fontId="29" fillId="6" borderId="16" xfId="0" applyNumberFormat="1" applyFont="1" applyFill="1" applyBorder="1" applyAlignment="1">
      <alignment vertical="center"/>
    </xf>
    <xf numFmtId="49" fontId="8" fillId="6" borderId="16" xfId="1" applyNumberFormat="1" applyFont="1" applyFill="1" applyBorder="1" applyAlignment="1">
      <alignment vertical="justify"/>
    </xf>
    <xf numFmtId="1" fontId="4" fillId="34" borderId="3" xfId="1" quotePrefix="1" applyNumberFormat="1" applyFont="1" applyFill="1" applyBorder="1" applyAlignment="1">
      <alignment horizontal="center" vertical="center"/>
    </xf>
    <xf numFmtId="1" fontId="4" fillId="34" borderId="3" xfId="1" applyNumberFormat="1" applyFont="1" applyFill="1" applyBorder="1" applyAlignment="1">
      <alignment horizontal="center" vertical="center"/>
    </xf>
    <xf numFmtId="1" fontId="7" fillId="15" borderId="0" xfId="1" applyNumberFormat="1" applyFont="1" applyFill="1" applyAlignment="1">
      <alignment horizontal="left" vertical="center"/>
    </xf>
    <xf numFmtId="0" fontId="8" fillId="0" borderId="0" xfId="17" applyNumberFormat="1" applyFont="1" applyAlignment="1" applyProtection="1">
      <alignment vertical="justify"/>
    </xf>
    <xf numFmtId="1" fontId="7" fillId="32" borderId="1" xfId="1" applyNumberFormat="1" applyFont="1" applyFill="1" applyBorder="1" applyAlignment="1">
      <alignment horizontal="center" vertical="center" wrapText="1"/>
    </xf>
    <xf numFmtId="1" fontId="7" fillId="32" borderId="2" xfId="1" applyNumberFormat="1" applyFont="1" applyFill="1" applyBorder="1" applyAlignment="1">
      <alignment horizontal="center" vertical="center" wrapText="1"/>
    </xf>
    <xf numFmtId="1" fontId="7" fillId="27" borderId="4" xfId="1" applyNumberFormat="1" applyFont="1" applyFill="1" applyBorder="1" applyAlignment="1">
      <alignment horizontal="center" vertical="center" wrapText="1"/>
    </xf>
    <xf numFmtId="1" fontId="7" fillId="27" borderId="9" xfId="1" applyNumberFormat="1" applyFont="1" applyFill="1" applyBorder="1" applyAlignment="1">
      <alignment horizontal="center" vertical="center" wrapText="1"/>
    </xf>
    <xf numFmtId="1" fontId="7" fillId="27" borderId="5" xfId="1" applyNumberFormat="1" applyFont="1" applyFill="1" applyBorder="1" applyAlignment="1">
      <alignment horizontal="center" vertical="center" wrapText="1"/>
    </xf>
    <xf numFmtId="1" fontId="4" fillId="27" borderId="4" xfId="1" applyNumberFormat="1" applyFont="1" applyFill="1" applyBorder="1" applyAlignment="1">
      <alignment horizontal="center" vertical="center" wrapText="1"/>
    </xf>
    <xf numFmtId="1" fontId="4" fillId="27" borderId="9" xfId="1" applyNumberFormat="1" applyFont="1" applyFill="1" applyBorder="1" applyAlignment="1">
      <alignment horizontal="center" vertical="center" wrapText="1"/>
    </xf>
    <xf numFmtId="1" fontId="4" fillId="27" borderId="5" xfId="1" applyNumberFormat="1" applyFont="1" applyFill="1" applyBorder="1" applyAlignment="1">
      <alignment horizontal="center" vertical="center" wrapText="1"/>
    </xf>
    <xf numFmtId="1" fontId="4" fillId="6" borderId="1" xfId="1" applyNumberFormat="1" applyFont="1" applyFill="1" applyBorder="1" applyAlignment="1">
      <alignment horizontal="center" vertical="center" wrapText="1"/>
    </xf>
    <xf numFmtId="1" fontId="4" fillId="6" borderId="2" xfId="1" applyNumberFormat="1" applyFont="1" applyFill="1" applyBorder="1" applyAlignment="1">
      <alignment horizontal="center" vertical="center" wrapText="1"/>
    </xf>
    <xf numFmtId="1" fontId="7" fillId="6" borderId="4" xfId="1" applyNumberFormat="1" applyFont="1" applyFill="1" applyBorder="1" applyAlignment="1">
      <alignment horizontal="center" vertical="center" wrapText="1"/>
    </xf>
    <xf numFmtId="1" fontId="7" fillId="6" borderId="5" xfId="1" applyNumberFormat="1" applyFont="1" applyFill="1" applyBorder="1" applyAlignment="1">
      <alignment horizontal="center" vertical="center" wrapText="1"/>
    </xf>
    <xf numFmtId="0" fontId="39" fillId="3" borderId="0" xfId="16" applyFont="1" applyFill="1" applyAlignment="1">
      <alignment horizontal="center" vertical="justify"/>
    </xf>
    <xf numFmtId="0" fontId="4" fillId="9" borderId="3" xfId="1" applyFont="1" applyFill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  <xf numFmtId="0" fontId="4" fillId="14" borderId="3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horizontal="center" vertical="center"/>
    </xf>
    <xf numFmtId="0" fontId="13" fillId="0" borderId="0" xfId="1" applyFont="1" applyAlignment="1">
      <alignment vertical="justify"/>
    </xf>
    <xf numFmtId="0" fontId="9" fillId="11" borderId="3" xfId="1" applyFont="1" applyFill="1" applyBorder="1" applyAlignment="1">
      <alignment horizontal="center" vertical="center"/>
    </xf>
    <xf numFmtId="0" fontId="9" fillId="13" borderId="3" xfId="1" applyFont="1" applyFill="1" applyBorder="1" applyAlignment="1">
      <alignment horizontal="center" vertical="center"/>
    </xf>
    <xf numFmtId="0" fontId="9" fillId="17" borderId="3" xfId="1" applyFont="1" applyFill="1" applyBorder="1" applyAlignment="1">
      <alignment horizontal="center" vertical="center" wrapText="1"/>
    </xf>
    <xf numFmtId="0" fontId="9" fillId="17" borderId="5" xfId="1" applyFont="1" applyFill="1" applyBorder="1" applyAlignment="1">
      <alignment horizontal="center" vertical="center" wrapText="1"/>
    </xf>
    <xf numFmtId="49" fontId="33" fillId="16" borderId="0" xfId="2" applyNumberFormat="1" applyFont="1" applyFill="1" applyBorder="1" applyAlignment="1">
      <alignment vertical="justify"/>
    </xf>
    <xf numFmtId="0" fontId="4" fillId="11" borderId="3" xfId="1" applyFont="1" applyFill="1" applyBorder="1" applyAlignment="1">
      <alignment horizontal="center" vertical="center"/>
    </xf>
    <xf numFmtId="49" fontId="4" fillId="11" borderId="3" xfId="1" applyNumberFormat="1" applyFont="1" applyFill="1" applyBorder="1" applyAlignment="1">
      <alignment horizontal="center" vertical="center"/>
    </xf>
    <xf numFmtId="0" fontId="3" fillId="10" borderId="3" xfId="1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center" vertical="center"/>
    </xf>
    <xf numFmtId="49" fontId="9" fillId="11" borderId="3" xfId="1" applyNumberFormat="1" applyFont="1" applyFill="1" applyBorder="1" applyAlignment="1">
      <alignment horizontal="center" vertical="center"/>
    </xf>
    <xf numFmtId="49" fontId="4" fillId="11" borderId="1" xfId="1" applyNumberFormat="1" applyFont="1" applyFill="1" applyBorder="1" applyAlignment="1">
      <alignment horizontal="center" vertical="justify"/>
    </xf>
    <xf numFmtId="49" fontId="4" fillId="11" borderId="11" xfId="1" applyNumberFormat="1" applyFont="1" applyFill="1" applyBorder="1" applyAlignment="1">
      <alignment horizontal="center" vertical="justify"/>
    </xf>
    <xf numFmtId="49" fontId="4" fillId="11" borderId="2" xfId="1" applyNumberFormat="1" applyFont="1" applyFill="1" applyBorder="1" applyAlignment="1">
      <alignment horizontal="center" vertical="justify"/>
    </xf>
    <xf numFmtId="49" fontId="9" fillId="26" borderId="3" xfId="1" applyNumberFormat="1" applyFont="1" applyFill="1" applyBorder="1" applyAlignment="1">
      <alignment horizontal="center" vertical="center"/>
    </xf>
    <xf numFmtId="0" fontId="4" fillId="26" borderId="3" xfId="1" applyFont="1" applyFill="1" applyBorder="1" applyAlignment="1">
      <alignment horizontal="center" vertical="center"/>
    </xf>
    <xf numFmtId="49" fontId="4" fillId="26" borderId="3" xfId="1" applyNumberFormat="1" applyFont="1" applyFill="1" applyBorder="1" applyAlignment="1">
      <alignment horizontal="center" vertical="center"/>
    </xf>
    <xf numFmtId="0" fontId="9" fillId="26" borderId="3" xfId="1" applyFont="1" applyFill="1" applyBorder="1" applyAlignment="1">
      <alignment horizontal="center" vertical="center"/>
    </xf>
    <xf numFmtId="49" fontId="4" fillId="26" borderId="1" xfId="1" applyNumberFormat="1" applyFont="1" applyFill="1" applyBorder="1" applyAlignment="1">
      <alignment horizontal="center" vertical="justify"/>
    </xf>
    <xf numFmtId="49" fontId="4" fillId="26" borderId="11" xfId="1" applyNumberFormat="1" applyFont="1" applyFill="1" applyBorder="1" applyAlignment="1">
      <alignment horizontal="center" vertical="justify"/>
    </xf>
    <xf numFmtId="49" fontId="4" fillId="26" borderId="2" xfId="1" applyNumberFormat="1" applyFont="1" applyFill="1" applyBorder="1" applyAlignment="1">
      <alignment horizontal="center" vertical="justify"/>
    </xf>
    <xf numFmtId="49" fontId="12" fillId="26" borderId="3" xfId="1" applyNumberFormat="1" applyFont="1" applyFill="1" applyBorder="1" applyAlignment="1">
      <alignment horizontal="center" vertical="center"/>
    </xf>
    <xf numFmtId="0" fontId="4" fillId="10" borderId="3" xfId="1" applyFont="1" applyFill="1" applyBorder="1" applyAlignment="1">
      <alignment horizontal="center" vertical="center"/>
    </xf>
    <xf numFmtId="0" fontId="4" fillId="9" borderId="1" xfId="1" applyFont="1" applyFill="1" applyBorder="1" applyAlignment="1">
      <alignment horizontal="center" vertical="justify"/>
    </xf>
    <xf numFmtId="0" fontId="4" fillId="9" borderId="11" xfId="1" applyFont="1" applyFill="1" applyBorder="1" applyAlignment="1">
      <alignment horizontal="center" vertical="justify"/>
    </xf>
    <xf numFmtId="0" fontId="4" fillId="9" borderId="2" xfId="1" applyFont="1" applyFill="1" applyBorder="1" applyAlignment="1">
      <alignment horizontal="center" vertical="justify"/>
    </xf>
    <xf numFmtId="49" fontId="4" fillId="9" borderId="3" xfId="1" applyNumberFormat="1" applyFont="1" applyFill="1" applyBorder="1" applyAlignment="1">
      <alignment horizontal="center" vertical="center"/>
    </xf>
    <xf numFmtId="0" fontId="9" fillId="9" borderId="3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35" fillId="0" borderId="3" xfId="1" applyFont="1" applyBorder="1" applyAlignment="1">
      <alignment horizontal="center" vertical="center" wrapText="1"/>
    </xf>
    <xf numFmtId="0" fontId="3" fillId="26" borderId="3" xfId="1" applyFont="1" applyFill="1" applyBorder="1" applyAlignment="1">
      <alignment horizontal="center" vertical="center" wrapText="1"/>
    </xf>
    <xf numFmtId="0" fontId="4" fillId="6" borderId="3" xfId="1" applyFont="1" applyFill="1" applyBorder="1" applyAlignment="1">
      <alignment horizontal="center" vertical="center" wrapText="1"/>
    </xf>
    <xf numFmtId="1" fontId="4" fillId="6" borderId="3" xfId="1" applyNumberFormat="1" applyFont="1" applyFill="1" applyBorder="1" applyAlignment="1">
      <alignment horizontal="center" vertical="center" wrapText="1"/>
    </xf>
    <xf numFmtId="0" fontId="4" fillId="26" borderId="3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1" fontId="4" fillId="7" borderId="3" xfId="1" applyNumberFormat="1" applyFont="1" applyFill="1" applyBorder="1" applyAlignment="1">
      <alignment horizontal="center" vertical="center" wrapText="1"/>
    </xf>
    <xf numFmtId="1" fontId="4" fillId="6" borderId="11" xfId="1" applyNumberFormat="1" applyFont="1" applyFill="1" applyBorder="1" applyAlignment="1">
      <alignment horizontal="center" vertical="center" wrapText="1"/>
    </xf>
  </cellXfs>
  <cellStyles count="18">
    <cellStyle name="ContentsHyperlink" xfId="3"/>
    <cellStyle name="Normal" xfId="0" builtinId="0"/>
    <cellStyle name="Normal 2" xfId="4"/>
    <cellStyle name="Normal 2 2" xfId="1"/>
    <cellStyle name="Normal 2 2 2" xfId="5"/>
    <cellStyle name="Normal 2 2 2 2" xfId="6"/>
    <cellStyle name="Normal 2 2 2 3" xfId="7"/>
    <cellStyle name="Normal 2 2 2_stacionar" xfId="8"/>
    <cellStyle name="Normal 2 3" xfId="9"/>
    <cellStyle name="Normal 2_stacionar" xfId="10"/>
    <cellStyle name="Normal 3" xfId="2"/>
    <cellStyle name="Normal 3 2" xfId="11"/>
    <cellStyle name="Normal 3 2 2" xfId="12"/>
    <cellStyle name="Normal 3 3" xfId="15"/>
    <cellStyle name="Normal 3_4 KBC ZEMUN 31.12.2011 - 1136" xfId="13"/>
    <cellStyle name="Normal 4" xfId="14"/>
    <cellStyle name="Normal 5" xfId="16"/>
    <cellStyle name="Normal 6" xfId="17"/>
  </cellStyles>
  <dxfs count="0"/>
  <tableStyles count="0" defaultTableStyle="TableStyleMedium2" defaultPivotStyle="PivotStyleMedium9"/>
  <colors>
    <mruColors>
      <color rgb="FFFFFFCC"/>
      <color rgb="FFBDFFDE"/>
      <color rgb="FFB7FFB7"/>
      <color rgb="FF7DFFDD"/>
      <color rgb="FFFFCCFF"/>
      <color rgb="FFCCCCFF"/>
      <color rgb="FFFFCC99"/>
      <color rgb="FF33CCCC"/>
      <color rgb="FFFFE5FF"/>
      <color rgb="FFC9C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BO3925"/>
  <sheetViews>
    <sheetView tabSelected="1" zoomScaleNormal="100" zoomScaleSheetLayoutView="100" workbookViewId="0">
      <pane ySplit="9" topLeftCell="A3811" activePane="bottomLeft" state="frozen"/>
      <selection pane="bottomLeft" activeCell="BP3804" sqref="BP3804"/>
    </sheetView>
  </sheetViews>
  <sheetFormatPr defaultColWidth="12.7109375" defaultRowHeight="15.75"/>
  <cols>
    <col min="1" max="1" width="5.42578125" style="7" customWidth="1"/>
    <col min="2" max="2" width="11.140625" style="7" customWidth="1"/>
    <col min="3" max="3" width="59.42578125" style="7" customWidth="1"/>
    <col min="4" max="26" width="6.7109375" style="3" hidden="1" customWidth="1"/>
    <col min="27" max="27" width="7.28515625" style="3" hidden="1" customWidth="1"/>
    <col min="28" max="28" width="6.7109375" style="3" hidden="1" customWidth="1"/>
    <col min="29" max="29" width="10.85546875" style="3" customWidth="1"/>
    <col min="30" max="30" width="11.7109375" style="3" customWidth="1"/>
    <col min="31" max="35" width="6.7109375" style="8" hidden="1" customWidth="1"/>
    <col min="36" max="36" width="8.5703125" style="8" hidden="1" customWidth="1"/>
    <col min="37" max="55" width="6.7109375" style="8" hidden="1" customWidth="1"/>
    <col min="56" max="56" width="10.85546875" style="8" customWidth="1"/>
    <col min="57" max="57" width="11.5703125" style="8" customWidth="1"/>
    <col min="58" max="58" width="11.28515625" style="8" hidden="1" customWidth="1"/>
    <col min="59" max="59" width="10.5703125" style="2" customWidth="1"/>
    <col min="60" max="60" width="11.5703125" style="2" customWidth="1"/>
    <col min="61" max="61" width="8" style="2" customWidth="1"/>
    <col min="62" max="62" width="22.42578125" style="138" hidden="1" customWidth="1"/>
    <col min="63" max="63" width="27.7109375" style="4" hidden="1" customWidth="1"/>
    <col min="64" max="64" width="15.5703125" style="4" hidden="1" customWidth="1"/>
    <col min="65" max="65" width="18" style="4" hidden="1" customWidth="1"/>
    <col min="66" max="67" width="12.7109375" style="7" hidden="1" customWidth="1"/>
    <col min="68" max="81" width="12.7109375" style="7" customWidth="1"/>
    <col min="82" max="97" width="12.7109375" style="7"/>
    <col min="98" max="98" width="5.42578125" style="7" customWidth="1"/>
    <col min="99" max="99" width="12.7109375" style="7" customWidth="1"/>
    <col min="100" max="100" width="51.5703125" style="7" customWidth="1"/>
    <col min="101" max="102" width="12.7109375" style="7" customWidth="1"/>
    <col min="103" max="104" width="7.7109375" style="7" customWidth="1"/>
    <col min="105" max="106" width="12.7109375" style="7" customWidth="1"/>
    <col min="107" max="108" width="6.7109375" style="7" customWidth="1"/>
    <col min="109" max="110" width="12.7109375" style="7" customWidth="1"/>
    <col min="111" max="112" width="6.7109375" style="7" customWidth="1"/>
    <col min="113" max="353" width="12.7109375" style="7"/>
    <col min="354" max="354" width="5.42578125" style="7" customWidth="1"/>
    <col min="355" max="355" width="12.7109375" style="7" customWidth="1"/>
    <col min="356" max="356" width="51.5703125" style="7" customWidth="1"/>
    <col min="357" max="358" width="12.7109375" style="7" customWidth="1"/>
    <col min="359" max="360" width="7.7109375" style="7" customWidth="1"/>
    <col min="361" max="362" width="12.7109375" style="7" customWidth="1"/>
    <col min="363" max="364" width="6.7109375" style="7" customWidth="1"/>
    <col min="365" max="366" width="12.7109375" style="7" customWidth="1"/>
    <col min="367" max="368" width="6.7109375" style="7" customWidth="1"/>
    <col min="369" max="609" width="12.7109375" style="7"/>
    <col min="610" max="610" width="5.42578125" style="7" customWidth="1"/>
    <col min="611" max="611" width="12.7109375" style="7" customWidth="1"/>
    <col min="612" max="612" width="51.5703125" style="7" customWidth="1"/>
    <col min="613" max="614" width="12.7109375" style="7" customWidth="1"/>
    <col min="615" max="616" width="7.7109375" style="7" customWidth="1"/>
    <col min="617" max="618" width="12.7109375" style="7" customWidth="1"/>
    <col min="619" max="620" width="6.7109375" style="7" customWidth="1"/>
    <col min="621" max="622" width="12.7109375" style="7" customWidth="1"/>
    <col min="623" max="624" width="6.7109375" style="7" customWidth="1"/>
    <col min="625" max="865" width="12.7109375" style="7"/>
    <col min="866" max="866" width="5.42578125" style="7" customWidth="1"/>
    <col min="867" max="867" width="12.7109375" style="7" customWidth="1"/>
    <col min="868" max="868" width="51.5703125" style="7" customWidth="1"/>
    <col min="869" max="870" width="12.7109375" style="7" customWidth="1"/>
    <col min="871" max="872" width="7.7109375" style="7" customWidth="1"/>
    <col min="873" max="874" width="12.7109375" style="7" customWidth="1"/>
    <col min="875" max="876" width="6.7109375" style="7" customWidth="1"/>
    <col min="877" max="878" width="12.7109375" style="7" customWidth="1"/>
    <col min="879" max="880" width="6.7109375" style="7" customWidth="1"/>
    <col min="881" max="1121" width="12.7109375" style="7"/>
    <col min="1122" max="1122" width="5.42578125" style="7" customWidth="1"/>
    <col min="1123" max="1123" width="12.7109375" style="7" customWidth="1"/>
    <col min="1124" max="1124" width="51.5703125" style="7" customWidth="1"/>
    <col min="1125" max="1126" width="12.7109375" style="7" customWidth="1"/>
    <col min="1127" max="1128" width="7.7109375" style="7" customWidth="1"/>
    <col min="1129" max="1130" width="12.7109375" style="7" customWidth="1"/>
    <col min="1131" max="1132" width="6.7109375" style="7" customWidth="1"/>
    <col min="1133" max="1134" width="12.7109375" style="7" customWidth="1"/>
    <col min="1135" max="1136" width="6.7109375" style="7" customWidth="1"/>
    <col min="1137" max="1377" width="12.7109375" style="7"/>
    <col min="1378" max="1378" width="5.42578125" style="7" customWidth="1"/>
    <col min="1379" max="1379" width="12.7109375" style="7" customWidth="1"/>
    <col min="1380" max="1380" width="51.5703125" style="7" customWidth="1"/>
    <col min="1381" max="1382" width="12.7109375" style="7" customWidth="1"/>
    <col min="1383" max="1384" width="7.7109375" style="7" customWidth="1"/>
    <col min="1385" max="1386" width="12.7109375" style="7" customWidth="1"/>
    <col min="1387" max="1388" width="6.7109375" style="7" customWidth="1"/>
    <col min="1389" max="1390" width="12.7109375" style="7" customWidth="1"/>
    <col min="1391" max="1392" width="6.7109375" style="7" customWidth="1"/>
    <col min="1393" max="1633" width="12.7109375" style="7"/>
    <col min="1634" max="1634" width="5.42578125" style="7" customWidth="1"/>
    <col min="1635" max="1635" width="12.7109375" style="7" customWidth="1"/>
    <col min="1636" max="1636" width="51.5703125" style="7" customWidth="1"/>
    <col min="1637" max="1638" width="12.7109375" style="7" customWidth="1"/>
    <col min="1639" max="1640" width="7.7109375" style="7" customWidth="1"/>
    <col min="1641" max="1642" width="12.7109375" style="7" customWidth="1"/>
    <col min="1643" max="1644" width="6.7109375" style="7" customWidth="1"/>
    <col min="1645" max="1646" width="12.7109375" style="7" customWidth="1"/>
    <col min="1647" max="1648" width="6.7109375" style="7" customWidth="1"/>
    <col min="1649" max="1889" width="12.7109375" style="7"/>
    <col min="1890" max="1890" width="5.42578125" style="7" customWidth="1"/>
    <col min="1891" max="1891" width="12.7109375" style="7" customWidth="1"/>
    <col min="1892" max="1892" width="51.5703125" style="7" customWidth="1"/>
    <col min="1893" max="1894" width="12.7109375" style="7" customWidth="1"/>
    <col min="1895" max="1896" width="7.7109375" style="7" customWidth="1"/>
    <col min="1897" max="1898" width="12.7109375" style="7" customWidth="1"/>
    <col min="1899" max="1900" width="6.7109375" style="7" customWidth="1"/>
    <col min="1901" max="1902" width="12.7109375" style="7" customWidth="1"/>
    <col min="1903" max="1904" width="6.7109375" style="7" customWidth="1"/>
    <col min="1905" max="2145" width="12.7109375" style="7"/>
    <col min="2146" max="2146" width="5.42578125" style="7" customWidth="1"/>
    <col min="2147" max="2147" width="12.7109375" style="7" customWidth="1"/>
    <col min="2148" max="2148" width="51.5703125" style="7" customWidth="1"/>
    <col min="2149" max="2150" width="12.7109375" style="7" customWidth="1"/>
    <col min="2151" max="2152" width="7.7109375" style="7" customWidth="1"/>
    <col min="2153" max="2154" width="12.7109375" style="7" customWidth="1"/>
    <col min="2155" max="2156" width="6.7109375" style="7" customWidth="1"/>
    <col min="2157" max="2158" width="12.7109375" style="7" customWidth="1"/>
    <col min="2159" max="2160" width="6.7109375" style="7" customWidth="1"/>
    <col min="2161" max="2401" width="12.7109375" style="7"/>
    <col min="2402" max="2402" width="5.42578125" style="7" customWidth="1"/>
    <col min="2403" max="2403" width="12.7109375" style="7" customWidth="1"/>
    <col min="2404" max="2404" width="51.5703125" style="7" customWidth="1"/>
    <col min="2405" max="2406" width="12.7109375" style="7" customWidth="1"/>
    <col min="2407" max="2408" width="7.7109375" style="7" customWidth="1"/>
    <col min="2409" max="2410" width="12.7109375" style="7" customWidth="1"/>
    <col min="2411" max="2412" width="6.7109375" style="7" customWidth="1"/>
    <col min="2413" max="2414" width="12.7109375" style="7" customWidth="1"/>
    <col min="2415" max="2416" width="6.7109375" style="7" customWidth="1"/>
    <col min="2417" max="2657" width="12.7109375" style="7"/>
    <col min="2658" max="2658" width="5.42578125" style="7" customWidth="1"/>
    <col min="2659" max="2659" width="12.7109375" style="7" customWidth="1"/>
    <col min="2660" max="2660" width="51.5703125" style="7" customWidth="1"/>
    <col min="2661" max="2662" width="12.7109375" style="7" customWidth="1"/>
    <col min="2663" max="2664" width="7.7109375" style="7" customWidth="1"/>
    <col min="2665" max="2666" width="12.7109375" style="7" customWidth="1"/>
    <col min="2667" max="2668" width="6.7109375" style="7" customWidth="1"/>
    <col min="2669" max="2670" width="12.7109375" style="7" customWidth="1"/>
    <col min="2671" max="2672" width="6.7109375" style="7" customWidth="1"/>
    <col min="2673" max="2913" width="12.7109375" style="7"/>
    <col min="2914" max="2914" width="5.42578125" style="7" customWidth="1"/>
    <col min="2915" max="2915" width="12.7109375" style="7" customWidth="1"/>
    <col min="2916" max="2916" width="51.5703125" style="7" customWidth="1"/>
    <col min="2917" max="2918" width="12.7109375" style="7" customWidth="1"/>
    <col min="2919" max="2920" width="7.7109375" style="7" customWidth="1"/>
    <col min="2921" max="2922" width="12.7109375" style="7" customWidth="1"/>
    <col min="2923" max="2924" width="6.7109375" style="7" customWidth="1"/>
    <col min="2925" max="2926" width="12.7109375" style="7" customWidth="1"/>
    <col min="2927" max="2928" width="6.7109375" style="7" customWidth="1"/>
    <col min="2929" max="3169" width="12.7109375" style="7"/>
    <col min="3170" max="3170" width="5.42578125" style="7" customWidth="1"/>
    <col min="3171" max="3171" width="12.7109375" style="7" customWidth="1"/>
    <col min="3172" max="3172" width="51.5703125" style="7" customWidth="1"/>
    <col min="3173" max="3174" width="12.7109375" style="7" customWidth="1"/>
    <col min="3175" max="3176" width="7.7109375" style="7" customWidth="1"/>
    <col min="3177" max="3178" width="12.7109375" style="7" customWidth="1"/>
    <col min="3179" max="3180" width="6.7109375" style="7" customWidth="1"/>
    <col min="3181" max="3182" width="12.7109375" style="7" customWidth="1"/>
    <col min="3183" max="3184" width="6.7109375" style="7" customWidth="1"/>
    <col min="3185" max="3425" width="12.7109375" style="7"/>
    <col min="3426" max="3426" width="5.42578125" style="7" customWidth="1"/>
    <col min="3427" max="3427" width="12.7109375" style="7" customWidth="1"/>
    <col min="3428" max="3428" width="51.5703125" style="7" customWidth="1"/>
    <col min="3429" max="3430" width="12.7109375" style="7" customWidth="1"/>
    <col min="3431" max="3432" width="7.7109375" style="7" customWidth="1"/>
    <col min="3433" max="3434" width="12.7109375" style="7" customWidth="1"/>
    <col min="3435" max="3436" width="6.7109375" style="7" customWidth="1"/>
    <col min="3437" max="3438" width="12.7109375" style="7" customWidth="1"/>
    <col min="3439" max="3440" width="6.7109375" style="7" customWidth="1"/>
    <col min="3441" max="3681" width="12.7109375" style="7"/>
    <col min="3682" max="3682" width="5.42578125" style="7" customWidth="1"/>
    <col min="3683" max="3683" width="12.7109375" style="7" customWidth="1"/>
    <col min="3684" max="3684" width="51.5703125" style="7" customWidth="1"/>
    <col min="3685" max="3686" width="12.7109375" style="7" customWidth="1"/>
    <col min="3687" max="3688" width="7.7109375" style="7" customWidth="1"/>
    <col min="3689" max="3690" width="12.7109375" style="7" customWidth="1"/>
    <col min="3691" max="3692" width="6.7109375" style="7" customWidth="1"/>
    <col min="3693" max="3694" width="12.7109375" style="7" customWidth="1"/>
    <col min="3695" max="3696" width="6.7109375" style="7" customWidth="1"/>
    <col min="3697" max="3937" width="12.7109375" style="7"/>
    <col min="3938" max="3938" width="5.42578125" style="7" customWidth="1"/>
    <col min="3939" max="3939" width="12.7109375" style="7" customWidth="1"/>
    <col min="3940" max="3940" width="51.5703125" style="7" customWidth="1"/>
    <col min="3941" max="3942" width="12.7109375" style="7" customWidth="1"/>
    <col min="3943" max="3944" width="7.7109375" style="7" customWidth="1"/>
    <col min="3945" max="3946" width="12.7109375" style="7" customWidth="1"/>
    <col min="3947" max="3948" width="6.7109375" style="7" customWidth="1"/>
    <col min="3949" max="3950" width="12.7109375" style="7" customWidth="1"/>
    <col min="3951" max="3952" width="6.7109375" style="7" customWidth="1"/>
    <col min="3953" max="4193" width="12.7109375" style="7"/>
    <col min="4194" max="4194" width="5.42578125" style="7" customWidth="1"/>
    <col min="4195" max="4195" width="12.7109375" style="7" customWidth="1"/>
    <col min="4196" max="4196" width="51.5703125" style="7" customWidth="1"/>
    <col min="4197" max="4198" width="12.7109375" style="7" customWidth="1"/>
    <col min="4199" max="4200" width="7.7109375" style="7" customWidth="1"/>
    <col min="4201" max="4202" width="12.7109375" style="7" customWidth="1"/>
    <col min="4203" max="4204" width="6.7109375" style="7" customWidth="1"/>
    <col min="4205" max="4206" width="12.7109375" style="7" customWidth="1"/>
    <col min="4207" max="4208" width="6.7109375" style="7" customWidth="1"/>
    <col min="4209" max="4449" width="12.7109375" style="7"/>
    <col min="4450" max="4450" width="5.42578125" style="7" customWidth="1"/>
    <col min="4451" max="4451" width="12.7109375" style="7" customWidth="1"/>
    <col min="4452" max="4452" width="51.5703125" style="7" customWidth="1"/>
    <col min="4453" max="4454" width="12.7109375" style="7" customWidth="1"/>
    <col min="4455" max="4456" width="7.7109375" style="7" customWidth="1"/>
    <col min="4457" max="4458" width="12.7109375" style="7" customWidth="1"/>
    <col min="4459" max="4460" width="6.7109375" style="7" customWidth="1"/>
    <col min="4461" max="4462" width="12.7109375" style="7" customWidth="1"/>
    <col min="4463" max="4464" width="6.7109375" style="7" customWidth="1"/>
    <col min="4465" max="4705" width="12.7109375" style="7"/>
    <col min="4706" max="4706" width="5.42578125" style="7" customWidth="1"/>
    <col min="4707" max="4707" width="12.7109375" style="7" customWidth="1"/>
    <col min="4708" max="4708" width="51.5703125" style="7" customWidth="1"/>
    <col min="4709" max="4710" width="12.7109375" style="7" customWidth="1"/>
    <col min="4711" max="4712" width="7.7109375" style="7" customWidth="1"/>
    <col min="4713" max="4714" width="12.7109375" style="7" customWidth="1"/>
    <col min="4715" max="4716" width="6.7109375" style="7" customWidth="1"/>
    <col min="4717" max="4718" width="12.7109375" style="7" customWidth="1"/>
    <col min="4719" max="4720" width="6.7109375" style="7" customWidth="1"/>
    <col min="4721" max="4961" width="12.7109375" style="7"/>
    <col min="4962" max="4962" width="5.42578125" style="7" customWidth="1"/>
    <col min="4963" max="4963" width="12.7109375" style="7" customWidth="1"/>
    <col min="4964" max="4964" width="51.5703125" style="7" customWidth="1"/>
    <col min="4965" max="4966" width="12.7109375" style="7" customWidth="1"/>
    <col min="4967" max="4968" width="7.7109375" style="7" customWidth="1"/>
    <col min="4969" max="4970" width="12.7109375" style="7" customWidth="1"/>
    <col min="4971" max="4972" width="6.7109375" style="7" customWidth="1"/>
    <col min="4973" max="4974" width="12.7109375" style="7" customWidth="1"/>
    <col min="4975" max="4976" width="6.7109375" style="7" customWidth="1"/>
    <col min="4977" max="5217" width="12.7109375" style="7"/>
    <col min="5218" max="5218" width="5.42578125" style="7" customWidth="1"/>
    <col min="5219" max="5219" width="12.7109375" style="7" customWidth="1"/>
    <col min="5220" max="5220" width="51.5703125" style="7" customWidth="1"/>
    <col min="5221" max="5222" width="12.7109375" style="7" customWidth="1"/>
    <col min="5223" max="5224" width="7.7109375" style="7" customWidth="1"/>
    <col min="5225" max="5226" width="12.7109375" style="7" customWidth="1"/>
    <col min="5227" max="5228" width="6.7109375" style="7" customWidth="1"/>
    <col min="5229" max="5230" width="12.7109375" style="7" customWidth="1"/>
    <col min="5231" max="5232" width="6.7109375" style="7" customWidth="1"/>
    <col min="5233" max="5473" width="12.7109375" style="7"/>
    <col min="5474" max="5474" width="5.42578125" style="7" customWidth="1"/>
    <col min="5475" max="5475" width="12.7109375" style="7" customWidth="1"/>
    <col min="5476" max="5476" width="51.5703125" style="7" customWidth="1"/>
    <col min="5477" max="5478" width="12.7109375" style="7" customWidth="1"/>
    <col min="5479" max="5480" width="7.7109375" style="7" customWidth="1"/>
    <col min="5481" max="5482" width="12.7109375" style="7" customWidth="1"/>
    <col min="5483" max="5484" width="6.7109375" style="7" customWidth="1"/>
    <col min="5485" max="5486" width="12.7109375" style="7" customWidth="1"/>
    <col min="5487" max="5488" width="6.7109375" style="7" customWidth="1"/>
    <col min="5489" max="5729" width="12.7109375" style="7"/>
    <col min="5730" max="5730" width="5.42578125" style="7" customWidth="1"/>
    <col min="5731" max="5731" width="12.7109375" style="7" customWidth="1"/>
    <col min="5732" max="5732" width="51.5703125" style="7" customWidth="1"/>
    <col min="5733" max="5734" width="12.7109375" style="7" customWidth="1"/>
    <col min="5735" max="5736" width="7.7109375" style="7" customWidth="1"/>
    <col min="5737" max="5738" width="12.7109375" style="7" customWidth="1"/>
    <col min="5739" max="5740" width="6.7109375" style="7" customWidth="1"/>
    <col min="5741" max="5742" width="12.7109375" style="7" customWidth="1"/>
    <col min="5743" max="5744" width="6.7109375" style="7" customWidth="1"/>
    <col min="5745" max="5985" width="12.7109375" style="7"/>
    <col min="5986" max="5986" width="5.42578125" style="7" customWidth="1"/>
    <col min="5987" max="5987" width="12.7109375" style="7" customWidth="1"/>
    <col min="5988" max="5988" width="51.5703125" style="7" customWidth="1"/>
    <col min="5989" max="5990" width="12.7109375" style="7" customWidth="1"/>
    <col min="5991" max="5992" width="7.7109375" style="7" customWidth="1"/>
    <col min="5993" max="5994" width="12.7109375" style="7" customWidth="1"/>
    <col min="5995" max="5996" width="6.7109375" style="7" customWidth="1"/>
    <col min="5997" max="5998" width="12.7109375" style="7" customWidth="1"/>
    <col min="5999" max="6000" width="6.7109375" style="7" customWidth="1"/>
    <col min="6001" max="6241" width="12.7109375" style="7"/>
    <col min="6242" max="6242" width="5.42578125" style="7" customWidth="1"/>
    <col min="6243" max="6243" width="12.7109375" style="7" customWidth="1"/>
    <col min="6244" max="6244" width="51.5703125" style="7" customWidth="1"/>
    <col min="6245" max="6246" width="12.7109375" style="7" customWidth="1"/>
    <col min="6247" max="6248" width="7.7109375" style="7" customWidth="1"/>
    <col min="6249" max="6250" width="12.7109375" style="7" customWidth="1"/>
    <col min="6251" max="6252" width="6.7109375" style="7" customWidth="1"/>
    <col min="6253" max="6254" width="12.7109375" style="7" customWidth="1"/>
    <col min="6255" max="6256" width="6.7109375" style="7" customWidth="1"/>
    <col min="6257" max="6497" width="12.7109375" style="7"/>
    <col min="6498" max="6498" width="5.42578125" style="7" customWidth="1"/>
    <col min="6499" max="6499" width="12.7109375" style="7" customWidth="1"/>
    <col min="6500" max="6500" width="51.5703125" style="7" customWidth="1"/>
    <col min="6501" max="6502" width="12.7109375" style="7" customWidth="1"/>
    <col min="6503" max="6504" width="7.7109375" style="7" customWidth="1"/>
    <col min="6505" max="6506" width="12.7109375" style="7" customWidth="1"/>
    <col min="6507" max="6508" width="6.7109375" style="7" customWidth="1"/>
    <col min="6509" max="6510" width="12.7109375" style="7" customWidth="1"/>
    <col min="6511" max="6512" width="6.7109375" style="7" customWidth="1"/>
    <col min="6513" max="6753" width="12.7109375" style="7"/>
    <col min="6754" max="6754" width="5.42578125" style="7" customWidth="1"/>
    <col min="6755" max="6755" width="12.7109375" style="7" customWidth="1"/>
    <col min="6756" max="6756" width="51.5703125" style="7" customWidth="1"/>
    <col min="6757" max="6758" width="12.7109375" style="7" customWidth="1"/>
    <col min="6759" max="6760" width="7.7109375" style="7" customWidth="1"/>
    <col min="6761" max="6762" width="12.7109375" style="7" customWidth="1"/>
    <col min="6763" max="6764" width="6.7109375" style="7" customWidth="1"/>
    <col min="6765" max="6766" width="12.7109375" style="7" customWidth="1"/>
    <col min="6767" max="6768" width="6.7109375" style="7" customWidth="1"/>
    <col min="6769" max="7009" width="12.7109375" style="7"/>
    <col min="7010" max="7010" width="5.42578125" style="7" customWidth="1"/>
    <col min="7011" max="7011" width="12.7109375" style="7" customWidth="1"/>
    <col min="7012" max="7012" width="51.5703125" style="7" customWidth="1"/>
    <col min="7013" max="7014" width="12.7109375" style="7" customWidth="1"/>
    <col min="7015" max="7016" width="7.7109375" style="7" customWidth="1"/>
    <col min="7017" max="7018" width="12.7109375" style="7" customWidth="1"/>
    <col min="7019" max="7020" width="6.7109375" style="7" customWidth="1"/>
    <col min="7021" max="7022" width="12.7109375" style="7" customWidth="1"/>
    <col min="7023" max="7024" width="6.7109375" style="7" customWidth="1"/>
    <col min="7025" max="7265" width="12.7109375" style="7"/>
    <col min="7266" max="7266" width="5.42578125" style="7" customWidth="1"/>
    <col min="7267" max="7267" width="12.7109375" style="7" customWidth="1"/>
    <col min="7268" max="7268" width="51.5703125" style="7" customWidth="1"/>
    <col min="7269" max="7270" width="12.7109375" style="7" customWidth="1"/>
    <col min="7271" max="7272" width="7.7109375" style="7" customWidth="1"/>
    <col min="7273" max="7274" width="12.7109375" style="7" customWidth="1"/>
    <col min="7275" max="7276" width="6.7109375" style="7" customWidth="1"/>
    <col min="7277" max="7278" width="12.7109375" style="7" customWidth="1"/>
    <col min="7279" max="7280" width="6.7109375" style="7" customWidth="1"/>
    <col min="7281" max="7521" width="12.7109375" style="7"/>
    <col min="7522" max="7522" width="5.42578125" style="7" customWidth="1"/>
    <col min="7523" max="7523" width="12.7109375" style="7" customWidth="1"/>
    <col min="7524" max="7524" width="51.5703125" style="7" customWidth="1"/>
    <col min="7525" max="7526" width="12.7109375" style="7" customWidth="1"/>
    <col min="7527" max="7528" width="7.7109375" style="7" customWidth="1"/>
    <col min="7529" max="7530" width="12.7109375" style="7" customWidth="1"/>
    <col min="7531" max="7532" width="6.7109375" style="7" customWidth="1"/>
    <col min="7533" max="7534" width="12.7109375" style="7" customWidth="1"/>
    <col min="7535" max="7536" width="6.7109375" style="7" customWidth="1"/>
    <col min="7537" max="7777" width="12.7109375" style="7"/>
    <col min="7778" max="7778" width="5.42578125" style="7" customWidth="1"/>
    <col min="7779" max="7779" width="12.7109375" style="7" customWidth="1"/>
    <col min="7780" max="7780" width="51.5703125" style="7" customWidth="1"/>
    <col min="7781" max="7782" width="12.7109375" style="7" customWidth="1"/>
    <col min="7783" max="7784" width="7.7109375" style="7" customWidth="1"/>
    <col min="7785" max="7786" width="12.7109375" style="7" customWidth="1"/>
    <col min="7787" max="7788" width="6.7109375" style="7" customWidth="1"/>
    <col min="7789" max="7790" width="12.7109375" style="7" customWidth="1"/>
    <col min="7791" max="7792" width="6.7109375" style="7" customWidth="1"/>
    <col min="7793" max="8033" width="12.7109375" style="7"/>
    <col min="8034" max="8034" width="5.42578125" style="7" customWidth="1"/>
    <col min="8035" max="8035" width="12.7109375" style="7" customWidth="1"/>
    <col min="8036" max="8036" width="51.5703125" style="7" customWidth="1"/>
    <col min="8037" max="8038" width="12.7109375" style="7" customWidth="1"/>
    <col min="8039" max="8040" width="7.7109375" style="7" customWidth="1"/>
    <col min="8041" max="8042" width="12.7109375" style="7" customWidth="1"/>
    <col min="8043" max="8044" width="6.7109375" style="7" customWidth="1"/>
    <col min="8045" max="8046" width="12.7109375" style="7" customWidth="1"/>
    <col min="8047" max="8048" width="6.7109375" style="7" customWidth="1"/>
    <col min="8049" max="8289" width="12.7109375" style="7"/>
    <col min="8290" max="8290" width="5.42578125" style="7" customWidth="1"/>
    <col min="8291" max="8291" width="12.7109375" style="7" customWidth="1"/>
    <col min="8292" max="8292" width="51.5703125" style="7" customWidth="1"/>
    <col min="8293" max="8294" width="12.7109375" style="7" customWidth="1"/>
    <col min="8295" max="8296" width="7.7109375" style="7" customWidth="1"/>
    <col min="8297" max="8298" width="12.7109375" style="7" customWidth="1"/>
    <col min="8299" max="8300" width="6.7109375" style="7" customWidth="1"/>
    <col min="8301" max="8302" width="12.7109375" style="7" customWidth="1"/>
    <col min="8303" max="8304" width="6.7109375" style="7" customWidth="1"/>
    <col min="8305" max="8545" width="12.7109375" style="7"/>
    <col min="8546" max="8546" width="5.42578125" style="7" customWidth="1"/>
    <col min="8547" max="8547" width="12.7109375" style="7" customWidth="1"/>
    <col min="8548" max="8548" width="51.5703125" style="7" customWidth="1"/>
    <col min="8549" max="8550" width="12.7109375" style="7" customWidth="1"/>
    <col min="8551" max="8552" width="7.7109375" style="7" customWidth="1"/>
    <col min="8553" max="8554" width="12.7109375" style="7" customWidth="1"/>
    <col min="8555" max="8556" width="6.7109375" style="7" customWidth="1"/>
    <col min="8557" max="8558" width="12.7109375" style="7" customWidth="1"/>
    <col min="8559" max="8560" width="6.7109375" style="7" customWidth="1"/>
    <col min="8561" max="8801" width="12.7109375" style="7"/>
    <col min="8802" max="8802" width="5.42578125" style="7" customWidth="1"/>
    <col min="8803" max="8803" width="12.7109375" style="7" customWidth="1"/>
    <col min="8804" max="8804" width="51.5703125" style="7" customWidth="1"/>
    <col min="8805" max="8806" width="12.7109375" style="7" customWidth="1"/>
    <col min="8807" max="8808" width="7.7109375" style="7" customWidth="1"/>
    <col min="8809" max="8810" width="12.7109375" style="7" customWidth="1"/>
    <col min="8811" max="8812" width="6.7109375" style="7" customWidth="1"/>
    <col min="8813" max="8814" width="12.7109375" style="7" customWidth="1"/>
    <col min="8815" max="8816" width="6.7109375" style="7" customWidth="1"/>
    <col min="8817" max="9057" width="12.7109375" style="7"/>
    <col min="9058" max="9058" width="5.42578125" style="7" customWidth="1"/>
    <col min="9059" max="9059" width="12.7109375" style="7" customWidth="1"/>
    <col min="9060" max="9060" width="51.5703125" style="7" customWidth="1"/>
    <col min="9061" max="9062" width="12.7109375" style="7" customWidth="1"/>
    <col min="9063" max="9064" width="7.7109375" style="7" customWidth="1"/>
    <col min="9065" max="9066" width="12.7109375" style="7" customWidth="1"/>
    <col min="9067" max="9068" width="6.7109375" style="7" customWidth="1"/>
    <col min="9069" max="9070" width="12.7109375" style="7" customWidth="1"/>
    <col min="9071" max="9072" width="6.7109375" style="7" customWidth="1"/>
    <col min="9073" max="9313" width="12.7109375" style="7"/>
    <col min="9314" max="9314" width="5.42578125" style="7" customWidth="1"/>
    <col min="9315" max="9315" width="12.7109375" style="7" customWidth="1"/>
    <col min="9316" max="9316" width="51.5703125" style="7" customWidth="1"/>
    <col min="9317" max="9318" width="12.7109375" style="7" customWidth="1"/>
    <col min="9319" max="9320" width="7.7109375" style="7" customWidth="1"/>
    <col min="9321" max="9322" width="12.7109375" style="7" customWidth="1"/>
    <col min="9323" max="9324" width="6.7109375" style="7" customWidth="1"/>
    <col min="9325" max="9326" width="12.7109375" style="7" customWidth="1"/>
    <col min="9327" max="9328" width="6.7109375" style="7" customWidth="1"/>
    <col min="9329" max="9569" width="12.7109375" style="7"/>
    <col min="9570" max="9570" width="5.42578125" style="7" customWidth="1"/>
    <col min="9571" max="9571" width="12.7109375" style="7" customWidth="1"/>
    <col min="9572" max="9572" width="51.5703125" style="7" customWidth="1"/>
    <col min="9573" max="9574" width="12.7109375" style="7" customWidth="1"/>
    <col min="9575" max="9576" width="7.7109375" style="7" customWidth="1"/>
    <col min="9577" max="9578" width="12.7109375" style="7" customWidth="1"/>
    <col min="9579" max="9580" width="6.7109375" style="7" customWidth="1"/>
    <col min="9581" max="9582" width="12.7109375" style="7" customWidth="1"/>
    <col min="9583" max="9584" width="6.7109375" style="7" customWidth="1"/>
    <col min="9585" max="9825" width="12.7109375" style="7"/>
    <col min="9826" max="9826" width="5.42578125" style="7" customWidth="1"/>
    <col min="9827" max="9827" width="12.7109375" style="7" customWidth="1"/>
    <col min="9828" max="9828" width="51.5703125" style="7" customWidth="1"/>
    <col min="9829" max="9830" width="12.7109375" style="7" customWidth="1"/>
    <col min="9831" max="9832" width="7.7109375" style="7" customWidth="1"/>
    <col min="9833" max="9834" width="12.7109375" style="7" customWidth="1"/>
    <col min="9835" max="9836" width="6.7109375" style="7" customWidth="1"/>
    <col min="9837" max="9838" width="12.7109375" style="7" customWidth="1"/>
    <col min="9839" max="9840" width="6.7109375" style="7" customWidth="1"/>
    <col min="9841" max="10081" width="12.7109375" style="7"/>
    <col min="10082" max="10082" width="5.42578125" style="7" customWidth="1"/>
    <col min="10083" max="10083" width="12.7109375" style="7" customWidth="1"/>
    <col min="10084" max="10084" width="51.5703125" style="7" customWidth="1"/>
    <col min="10085" max="10086" width="12.7109375" style="7" customWidth="1"/>
    <col min="10087" max="10088" width="7.7109375" style="7" customWidth="1"/>
    <col min="10089" max="10090" width="12.7109375" style="7" customWidth="1"/>
    <col min="10091" max="10092" width="6.7109375" style="7" customWidth="1"/>
    <col min="10093" max="10094" width="12.7109375" style="7" customWidth="1"/>
    <col min="10095" max="10096" width="6.7109375" style="7" customWidth="1"/>
    <col min="10097" max="10337" width="12.7109375" style="7"/>
    <col min="10338" max="10338" width="5.42578125" style="7" customWidth="1"/>
    <col min="10339" max="10339" width="12.7109375" style="7" customWidth="1"/>
    <col min="10340" max="10340" width="51.5703125" style="7" customWidth="1"/>
    <col min="10341" max="10342" width="12.7109375" style="7" customWidth="1"/>
    <col min="10343" max="10344" width="7.7109375" style="7" customWidth="1"/>
    <col min="10345" max="10346" width="12.7109375" style="7" customWidth="1"/>
    <col min="10347" max="10348" width="6.7109375" style="7" customWidth="1"/>
    <col min="10349" max="10350" width="12.7109375" style="7" customWidth="1"/>
    <col min="10351" max="10352" width="6.7109375" style="7" customWidth="1"/>
    <col min="10353" max="10593" width="12.7109375" style="7"/>
    <col min="10594" max="10594" width="5.42578125" style="7" customWidth="1"/>
    <col min="10595" max="10595" width="12.7109375" style="7" customWidth="1"/>
    <col min="10596" max="10596" width="51.5703125" style="7" customWidth="1"/>
    <col min="10597" max="10598" width="12.7109375" style="7" customWidth="1"/>
    <col min="10599" max="10600" width="7.7109375" style="7" customWidth="1"/>
    <col min="10601" max="10602" width="12.7109375" style="7" customWidth="1"/>
    <col min="10603" max="10604" width="6.7109375" style="7" customWidth="1"/>
    <col min="10605" max="10606" width="12.7109375" style="7" customWidth="1"/>
    <col min="10607" max="10608" width="6.7109375" style="7" customWidth="1"/>
    <col min="10609" max="10849" width="12.7109375" style="7"/>
    <col min="10850" max="10850" width="5.42578125" style="7" customWidth="1"/>
    <col min="10851" max="10851" width="12.7109375" style="7" customWidth="1"/>
    <col min="10852" max="10852" width="51.5703125" style="7" customWidth="1"/>
    <col min="10853" max="10854" width="12.7109375" style="7" customWidth="1"/>
    <col min="10855" max="10856" width="7.7109375" style="7" customWidth="1"/>
    <col min="10857" max="10858" width="12.7109375" style="7" customWidth="1"/>
    <col min="10859" max="10860" width="6.7109375" style="7" customWidth="1"/>
    <col min="10861" max="10862" width="12.7109375" style="7" customWidth="1"/>
    <col min="10863" max="10864" width="6.7109375" style="7" customWidth="1"/>
    <col min="10865" max="11105" width="12.7109375" style="7"/>
    <col min="11106" max="11106" width="5.42578125" style="7" customWidth="1"/>
    <col min="11107" max="11107" width="12.7109375" style="7" customWidth="1"/>
    <col min="11108" max="11108" width="51.5703125" style="7" customWidth="1"/>
    <col min="11109" max="11110" width="12.7109375" style="7" customWidth="1"/>
    <col min="11111" max="11112" width="7.7109375" style="7" customWidth="1"/>
    <col min="11113" max="11114" width="12.7109375" style="7" customWidth="1"/>
    <col min="11115" max="11116" width="6.7109375" style="7" customWidth="1"/>
    <col min="11117" max="11118" width="12.7109375" style="7" customWidth="1"/>
    <col min="11119" max="11120" width="6.7109375" style="7" customWidth="1"/>
    <col min="11121" max="11361" width="12.7109375" style="7"/>
    <col min="11362" max="11362" width="5.42578125" style="7" customWidth="1"/>
    <col min="11363" max="11363" width="12.7109375" style="7" customWidth="1"/>
    <col min="11364" max="11364" width="51.5703125" style="7" customWidth="1"/>
    <col min="11365" max="11366" width="12.7109375" style="7" customWidth="1"/>
    <col min="11367" max="11368" width="7.7109375" style="7" customWidth="1"/>
    <col min="11369" max="11370" width="12.7109375" style="7" customWidth="1"/>
    <col min="11371" max="11372" width="6.7109375" style="7" customWidth="1"/>
    <col min="11373" max="11374" width="12.7109375" style="7" customWidth="1"/>
    <col min="11375" max="11376" width="6.7109375" style="7" customWidth="1"/>
    <col min="11377" max="11617" width="12.7109375" style="7"/>
    <col min="11618" max="11618" width="5.42578125" style="7" customWidth="1"/>
    <col min="11619" max="11619" width="12.7109375" style="7" customWidth="1"/>
    <col min="11620" max="11620" width="51.5703125" style="7" customWidth="1"/>
    <col min="11621" max="11622" width="12.7109375" style="7" customWidth="1"/>
    <col min="11623" max="11624" width="7.7109375" style="7" customWidth="1"/>
    <col min="11625" max="11626" width="12.7109375" style="7" customWidth="1"/>
    <col min="11627" max="11628" width="6.7109375" style="7" customWidth="1"/>
    <col min="11629" max="11630" width="12.7109375" style="7" customWidth="1"/>
    <col min="11631" max="11632" width="6.7109375" style="7" customWidth="1"/>
    <col min="11633" max="11873" width="12.7109375" style="7"/>
    <col min="11874" max="11874" width="5.42578125" style="7" customWidth="1"/>
    <col min="11875" max="11875" width="12.7109375" style="7" customWidth="1"/>
    <col min="11876" max="11876" width="51.5703125" style="7" customWidth="1"/>
    <col min="11877" max="11878" width="12.7109375" style="7" customWidth="1"/>
    <col min="11879" max="11880" width="7.7109375" style="7" customWidth="1"/>
    <col min="11881" max="11882" width="12.7109375" style="7" customWidth="1"/>
    <col min="11883" max="11884" width="6.7109375" style="7" customWidth="1"/>
    <col min="11885" max="11886" width="12.7109375" style="7" customWidth="1"/>
    <col min="11887" max="11888" width="6.7109375" style="7" customWidth="1"/>
    <col min="11889" max="12129" width="12.7109375" style="7"/>
    <col min="12130" max="12130" width="5.42578125" style="7" customWidth="1"/>
    <col min="12131" max="12131" width="12.7109375" style="7" customWidth="1"/>
    <col min="12132" max="12132" width="51.5703125" style="7" customWidth="1"/>
    <col min="12133" max="12134" width="12.7109375" style="7" customWidth="1"/>
    <col min="12135" max="12136" width="7.7109375" style="7" customWidth="1"/>
    <col min="12137" max="12138" width="12.7109375" style="7" customWidth="1"/>
    <col min="12139" max="12140" width="6.7109375" style="7" customWidth="1"/>
    <col min="12141" max="12142" width="12.7109375" style="7" customWidth="1"/>
    <col min="12143" max="12144" width="6.7109375" style="7" customWidth="1"/>
    <col min="12145" max="12385" width="12.7109375" style="7"/>
    <col min="12386" max="12386" width="5.42578125" style="7" customWidth="1"/>
    <col min="12387" max="12387" width="12.7109375" style="7" customWidth="1"/>
    <col min="12388" max="12388" width="51.5703125" style="7" customWidth="1"/>
    <col min="12389" max="12390" width="12.7109375" style="7" customWidth="1"/>
    <col min="12391" max="12392" width="7.7109375" style="7" customWidth="1"/>
    <col min="12393" max="12394" width="12.7109375" style="7" customWidth="1"/>
    <col min="12395" max="12396" width="6.7109375" style="7" customWidth="1"/>
    <col min="12397" max="12398" width="12.7109375" style="7" customWidth="1"/>
    <col min="12399" max="12400" width="6.7109375" style="7" customWidth="1"/>
    <col min="12401" max="12641" width="12.7109375" style="7"/>
    <col min="12642" max="12642" width="5.42578125" style="7" customWidth="1"/>
    <col min="12643" max="12643" width="12.7109375" style="7" customWidth="1"/>
    <col min="12644" max="12644" width="51.5703125" style="7" customWidth="1"/>
    <col min="12645" max="12646" width="12.7109375" style="7" customWidth="1"/>
    <col min="12647" max="12648" width="7.7109375" style="7" customWidth="1"/>
    <col min="12649" max="12650" width="12.7109375" style="7" customWidth="1"/>
    <col min="12651" max="12652" width="6.7109375" style="7" customWidth="1"/>
    <col min="12653" max="12654" width="12.7109375" style="7" customWidth="1"/>
    <col min="12655" max="12656" width="6.7109375" style="7" customWidth="1"/>
    <col min="12657" max="12897" width="12.7109375" style="7"/>
    <col min="12898" max="12898" width="5.42578125" style="7" customWidth="1"/>
    <col min="12899" max="12899" width="12.7109375" style="7" customWidth="1"/>
    <col min="12900" max="12900" width="51.5703125" style="7" customWidth="1"/>
    <col min="12901" max="12902" width="12.7109375" style="7" customWidth="1"/>
    <col min="12903" max="12904" width="7.7109375" style="7" customWidth="1"/>
    <col min="12905" max="12906" width="12.7109375" style="7" customWidth="1"/>
    <col min="12907" max="12908" width="6.7109375" style="7" customWidth="1"/>
    <col min="12909" max="12910" width="12.7109375" style="7" customWidth="1"/>
    <col min="12911" max="12912" width="6.7109375" style="7" customWidth="1"/>
    <col min="12913" max="13153" width="12.7109375" style="7"/>
    <col min="13154" max="13154" width="5.42578125" style="7" customWidth="1"/>
    <col min="13155" max="13155" width="12.7109375" style="7" customWidth="1"/>
    <col min="13156" max="13156" width="51.5703125" style="7" customWidth="1"/>
    <col min="13157" max="13158" width="12.7109375" style="7" customWidth="1"/>
    <col min="13159" max="13160" width="7.7109375" style="7" customWidth="1"/>
    <col min="13161" max="13162" width="12.7109375" style="7" customWidth="1"/>
    <col min="13163" max="13164" width="6.7109375" style="7" customWidth="1"/>
    <col min="13165" max="13166" width="12.7109375" style="7" customWidth="1"/>
    <col min="13167" max="13168" width="6.7109375" style="7" customWidth="1"/>
    <col min="13169" max="13409" width="12.7109375" style="7"/>
    <col min="13410" max="13410" width="5.42578125" style="7" customWidth="1"/>
    <col min="13411" max="13411" width="12.7109375" style="7" customWidth="1"/>
    <col min="13412" max="13412" width="51.5703125" style="7" customWidth="1"/>
    <col min="13413" max="13414" width="12.7109375" style="7" customWidth="1"/>
    <col min="13415" max="13416" width="7.7109375" style="7" customWidth="1"/>
    <col min="13417" max="13418" width="12.7109375" style="7" customWidth="1"/>
    <col min="13419" max="13420" width="6.7109375" style="7" customWidth="1"/>
    <col min="13421" max="13422" width="12.7109375" style="7" customWidth="1"/>
    <col min="13423" max="13424" width="6.7109375" style="7" customWidth="1"/>
    <col min="13425" max="13665" width="12.7109375" style="7"/>
    <col min="13666" max="13666" width="5.42578125" style="7" customWidth="1"/>
    <col min="13667" max="13667" width="12.7109375" style="7" customWidth="1"/>
    <col min="13668" max="13668" width="51.5703125" style="7" customWidth="1"/>
    <col min="13669" max="13670" width="12.7109375" style="7" customWidth="1"/>
    <col min="13671" max="13672" width="7.7109375" style="7" customWidth="1"/>
    <col min="13673" max="13674" width="12.7109375" style="7" customWidth="1"/>
    <col min="13675" max="13676" width="6.7109375" style="7" customWidth="1"/>
    <col min="13677" max="13678" width="12.7109375" style="7" customWidth="1"/>
    <col min="13679" max="13680" width="6.7109375" style="7" customWidth="1"/>
    <col min="13681" max="13921" width="12.7109375" style="7"/>
    <col min="13922" max="13922" width="5.42578125" style="7" customWidth="1"/>
    <col min="13923" max="13923" width="12.7109375" style="7" customWidth="1"/>
    <col min="13924" max="13924" width="51.5703125" style="7" customWidth="1"/>
    <col min="13925" max="13926" width="12.7109375" style="7" customWidth="1"/>
    <col min="13927" max="13928" width="7.7109375" style="7" customWidth="1"/>
    <col min="13929" max="13930" width="12.7109375" style="7" customWidth="1"/>
    <col min="13931" max="13932" width="6.7109375" style="7" customWidth="1"/>
    <col min="13933" max="13934" width="12.7109375" style="7" customWidth="1"/>
    <col min="13935" max="13936" width="6.7109375" style="7" customWidth="1"/>
    <col min="13937" max="14177" width="12.7109375" style="7"/>
    <col min="14178" max="14178" width="5.42578125" style="7" customWidth="1"/>
    <col min="14179" max="14179" width="12.7109375" style="7" customWidth="1"/>
    <col min="14180" max="14180" width="51.5703125" style="7" customWidth="1"/>
    <col min="14181" max="14182" width="12.7109375" style="7" customWidth="1"/>
    <col min="14183" max="14184" width="7.7109375" style="7" customWidth="1"/>
    <col min="14185" max="14186" width="12.7109375" style="7" customWidth="1"/>
    <col min="14187" max="14188" width="6.7109375" style="7" customWidth="1"/>
    <col min="14189" max="14190" width="12.7109375" style="7" customWidth="1"/>
    <col min="14191" max="14192" width="6.7109375" style="7" customWidth="1"/>
    <col min="14193" max="14433" width="12.7109375" style="7"/>
    <col min="14434" max="14434" width="5.42578125" style="7" customWidth="1"/>
    <col min="14435" max="14435" width="12.7109375" style="7" customWidth="1"/>
    <col min="14436" max="14436" width="51.5703125" style="7" customWidth="1"/>
    <col min="14437" max="14438" width="12.7109375" style="7" customWidth="1"/>
    <col min="14439" max="14440" width="7.7109375" style="7" customWidth="1"/>
    <col min="14441" max="14442" width="12.7109375" style="7" customWidth="1"/>
    <col min="14443" max="14444" width="6.7109375" style="7" customWidth="1"/>
    <col min="14445" max="14446" width="12.7109375" style="7" customWidth="1"/>
    <col min="14447" max="14448" width="6.7109375" style="7" customWidth="1"/>
    <col min="14449" max="14689" width="12.7109375" style="7"/>
    <col min="14690" max="14690" width="5.42578125" style="7" customWidth="1"/>
    <col min="14691" max="14691" width="12.7109375" style="7" customWidth="1"/>
    <col min="14692" max="14692" width="51.5703125" style="7" customWidth="1"/>
    <col min="14693" max="14694" width="12.7109375" style="7" customWidth="1"/>
    <col min="14695" max="14696" width="7.7109375" style="7" customWidth="1"/>
    <col min="14697" max="14698" width="12.7109375" style="7" customWidth="1"/>
    <col min="14699" max="14700" width="6.7109375" style="7" customWidth="1"/>
    <col min="14701" max="14702" width="12.7109375" style="7" customWidth="1"/>
    <col min="14703" max="14704" width="6.7109375" style="7" customWidth="1"/>
    <col min="14705" max="14945" width="12.7109375" style="7"/>
    <col min="14946" max="14946" width="5.42578125" style="7" customWidth="1"/>
    <col min="14947" max="14947" width="12.7109375" style="7" customWidth="1"/>
    <col min="14948" max="14948" width="51.5703125" style="7" customWidth="1"/>
    <col min="14949" max="14950" width="12.7109375" style="7" customWidth="1"/>
    <col min="14951" max="14952" width="7.7109375" style="7" customWidth="1"/>
    <col min="14953" max="14954" width="12.7109375" style="7" customWidth="1"/>
    <col min="14955" max="14956" width="6.7109375" style="7" customWidth="1"/>
    <col min="14957" max="14958" width="12.7109375" style="7" customWidth="1"/>
    <col min="14959" max="14960" width="6.7109375" style="7" customWidth="1"/>
    <col min="14961" max="15201" width="12.7109375" style="7"/>
    <col min="15202" max="15202" width="5.42578125" style="7" customWidth="1"/>
    <col min="15203" max="15203" width="12.7109375" style="7" customWidth="1"/>
    <col min="15204" max="15204" width="51.5703125" style="7" customWidth="1"/>
    <col min="15205" max="15206" width="12.7109375" style="7" customWidth="1"/>
    <col min="15207" max="15208" width="7.7109375" style="7" customWidth="1"/>
    <col min="15209" max="15210" width="12.7109375" style="7" customWidth="1"/>
    <col min="15211" max="15212" width="6.7109375" style="7" customWidth="1"/>
    <col min="15213" max="15214" width="12.7109375" style="7" customWidth="1"/>
    <col min="15215" max="15216" width="6.7109375" style="7" customWidth="1"/>
    <col min="15217" max="15457" width="12.7109375" style="7"/>
    <col min="15458" max="15458" width="5.42578125" style="7" customWidth="1"/>
    <col min="15459" max="15459" width="12.7109375" style="7" customWidth="1"/>
    <col min="15460" max="15460" width="51.5703125" style="7" customWidth="1"/>
    <col min="15461" max="15462" width="12.7109375" style="7" customWidth="1"/>
    <col min="15463" max="15464" width="7.7109375" style="7" customWidth="1"/>
    <col min="15465" max="15466" width="12.7109375" style="7" customWidth="1"/>
    <col min="15467" max="15468" width="6.7109375" style="7" customWidth="1"/>
    <col min="15469" max="15470" width="12.7109375" style="7" customWidth="1"/>
    <col min="15471" max="15472" width="6.7109375" style="7" customWidth="1"/>
    <col min="15473" max="15713" width="12.7109375" style="7"/>
    <col min="15714" max="15714" width="5.42578125" style="7" customWidth="1"/>
    <col min="15715" max="15715" width="12.7109375" style="7" customWidth="1"/>
    <col min="15716" max="15716" width="51.5703125" style="7" customWidth="1"/>
    <col min="15717" max="15718" width="12.7109375" style="7" customWidth="1"/>
    <col min="15719" max="15720" width="7.7109375" style="7" customWidth="1"/>
    <col min="15721" max="15722" width="12.7109375" style="7" customWidth="1"/>
    <col min="15723" max="15724" width="6.7109375" style="7" customWidth="1"/>
    <col min="15725" max="15726" width="12.7109375" style="7" customWidth="1"/>
    <col min="15727" max="15728" width="6.7109375" style="7" customWidth="1"/>
    <col min="15729" max="15969" width="12.7109375" style="7"/>
    <col min="15970" max="15970" width="5.42578125" style="7" customWidth="1"/>
    <col min="15971" max="15971" width="12.7109375" style="7" customWidth="1"/>
    <col min="15972" max="15972" width="51.5703125" style="7" customWidth="1"/>
    <col min="15973" max="15974" width="12.7109375" style="7" customWidth="1"/>
    <col min="15975" max="15976" width="7.7109375" style="7" customWidth="1"/>
    <col min="15977" max="15978" width="12.7109375" style="7" customWidth="1"/>
    <col min="15979" max="15980" width="6.7109375" style="7" customWidth="1"/>
    <col min="15981" max="15982" width="12.7109375" style="7" customWidth="1"/>
    <col min="15983" max="15984" width="6.7109375" style="7" customWidth="1"/>
    <col min="15985" max="16384" width="12.7109375" style="7"/>
  </cols>
  <sheetData>
    <row r="1" spans="1:65" s="2" customFormat="1">
      <c r="A1" s="1" t="s">
        <v>1533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267" t="s">
        <v>2854</v>
      </c>
      <c r="BK1" s="196"/>
      <c r="BL1" s="196"/>
      <c r="BM1" s="196"/>
    </row>
    <row r="2" spans="1:65" s="2" customFormat="1">
      <c r="A2" s="4" t="s">
        <v>0</v>
      </c>
      <c r="B2" s="4"/>
      <c r="C2" s="4"/>
      <c r="D2" s="3"/>
      <c r="E2" s="3"/>
      <c r="F2" s="3"/>
      <c r="G2" s="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293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221"/>
      <c r="BI2" s="6"/>
      <c r="BJ2" s="268" t="s">
        <v>2855</v>
      </c>
      <c r="BK2" s="249"/>
      <c r="BL2" s="249"/>
      <c r="BM2" s="249"/>
    </row>
    <row r="3" spans="1:65" ht="20.25" customHeight="1" thickBot="1">
      <c r="A3" s="73" t="s">
        <v>1</v>
      </c>
      <c r="B3" s="73"/>
      <c r="C3" s="73"/>
      <c r="D3" s="73"/>
      <c r="E3" s="73"/>
      <c r="F3" s="73"/>
      <c r="G3" s="73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Q3" s="8" t="s">
        <v>1613</v>
      </c>
      <c r="BG3" s="8"/>
      <c r="BI3" s="8"/>
      <c r="BJ3" s="269" t="s">
        <v>2856</v>
      </c>
      <c r="BK3" s="250"/>
      <c r="BL3" s="250"/>
      <c r="BM3" s="250"/>
    </row>
    <row r="4" spans="1:65" ht="15.75" customHeight="1" thickTop="1" thickBot="1">
      <c r="A4" s="105" t="s">
        <v>3185</v>
      </c>
      <c r="B4" s="105"/>
      <c r="C4" s="105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294"/>
      <c r="BD4" s="83"/>
      <c r="BE4" s="83"/>
      <c r="BF4" s="83"/>
      <c r="BG4" s="83"/>
      <c r="BH4" s="75" t="s">
        <v>1530</v>
      </c>
      <c r="BI4" s="75"/>
      <c r="BJ4" s="271" t="s">
        <v>2857</v>
      </c>
      <c r="BK4" s="249"/>
      <c r="BL4" s="249"/>
      <c r="BM4" s="249"/>
    </row>
    <row r="5" spans="1:65" s="17" customFormat="1" ht="19.5" customHeight="1" thickTop="1">
      <c r="A5" s="386" t="s">
        <v>2</v>
      </c>
      <c r="B5" s="387" t="s">
        <v>3</v>
      </c>
      <c r="C5" s="388" t="s">
        <v>4</v>
      </c>
      <c r="D5" s="84"/>
      <c r="E5" s="84"/>
      <c r="F5" s="84"/>
      <c r="G5" s="84"/>
      <c r="H5" s="341" t="s">
        <v>3034</v>
      </c>
      <c r="I5" s="342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343" t="s">
        <v>2817</v>
      </c>
      <c r="AC5" s="393" t="s">
        <v>471</v>
      </c>
      <c r="AD5" s="393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346" t="s">
        <v>2818</v>
      </c>
      <c r="BD5" s="394" t="s">
        <v>470</v>
      </c>
      <c r="BE5" s="394"/>
      <c r="BF5" s="346" t="s">
        <v>2819</v>
      </c>
      <c r="BG5" s="392" t="s">
        <v>469</v>
      </c>
      <c r="BH5" s="392"/>
      <c r="BI5" s="389" t="s">
        <v>1531</v>
      </c>
      <c r="BJ5" s="52"/>
      <c r="BK5" s="200"/>
      <c r="BL5" s="249"/>
      <c r="BM5" s="200"/>
    </row>
    <row r="6" spans="1:65" s="17" customFormat="1" ht="1.5" customHeight="1">
      <c r="A6" s="386"/>
      <c r="B6" s="387"/>
      <c r="C6" s="388"/>
      <c r="D6" s="351" t="s">
        <v>2272</v>
      </c>
      <c r="E6" s="351" t="s">
        <v>2738</v>
      </c>
      <c r="F6" s="351" t="s">
        <v>2272</v>
      </c>
      <c r="G6" s="351" t="s">
        <v>2738</v>
      </c>
      <c r="H6" s="351" t="s">
        <v>2272</v>
      </c>
      <c r="I6" s="351" t="s">
        <v>2738</v>
      </c>
      <c r="J6" s="351" t="s">
        <v>2272</v>
      </c>
      <c r="K6" s="351" t="s">
        <v>2738</v>
      </c>
      <c r="L6" s="351" t="s">
        <v>2272</v>
      </c>
      <c r="M6" s="351" t="s">
        <v>2738</v>
      </c>
      <c r="N6" s="351" t="s">
        <v>2272</v>
      </c>
      <c r="O6" s="351" t="s">
        <v>2738</v>
      </c>
      <c r="P6" s="351" t="s">
        <v>2272</v>
      </c>
      <c r="Q6" s="351" t="s">
        <v>2738</v>
      </c>
      <c r="R6" s="351" t="s">
        <v>2272</v>
      </c>
      <c r="S6" s="351" t="s">
        <v>2738</v>
      </c>
      <c r="T6" s="351" t="s">
        <v>2272</v>
      </c>
      <c r="U6" s="351" t="s">
        <v>2738</v>
      </c>
      <c r="V6" s="351" t="s">
        <v>2272</v>
      </c>
      <c r="W6" s="351" t="s">
        <v>2738</v>
      </c>
      <c r="X6" s="351" t="s">
        <v>2272</v>
      </c>
      <c r="Y6" s="351" t="s">
        <v>2738</v>
      </c>
      <c r="Z6" s="351" t="s">
        <v>2272</v>
      </c>
      <c r="AA6" s="351" t="s">
        <v>2738</v>
      </c>
      <c r="AB6" s="344"/>
      <c r="AC6" s="393"/>
      <c r="AD6" s="393"/>
      <c r="AE6" s="351" t="s">
        <v>2272</v>
      </c>
      <c r="AF6" s="351" t="s">
        <v>2738</v>
      </c>
      <c r="AG6" s="351" t="s">
        <v>2272</v>
      </c>
      <c r="AH6" s="351" t="s">
        <v>2738</v>
      </c>
      <c r="AI6" s="351" t="s">
        <v>2272</v>
      </c>
      <c r="AJ6" s="351" t="s">
        <v>2738</v>
      </c>
      <c r="AK6" s="351" t="s">
        <v>2272</v>
      </c>
      <c r="AL6" s="351" t="s">
        <v>2738</v>
      </c>
      <c r="AM6" s="351" t="s">
        <v>2272</v>
      </c>
      <c r="AN6" s="351" t="s">
        <v>2738</v>
      </c>
      <c r="AO6" s="351" t="s">
        <v>2272</v>
      </c>
      <c r="AP6" s="351" t="s">
        <v>2738</v>
      </c>
      <c r="AQ6" s="351" t="s">
        <v>2272</v>
      </c>
      <c r="AR6" s="351" t="s">
        <v>2738</v>
      </c>
      <c r="AS6" s="351" t="s">
        <v>2272</v>
      </c>
      <c r="AT6" s="351" t="s">
        <v>2738</v>
      </c>
      <c r="AU6" s="351" t="s">
        <v>2272</v>
      </c>
      <c r="AV6" s="351" t="s">
        <v>2738</v>
      </c>
      <c r="AW6" s="351" t="s">
        <v>2272</v>
      </c>
      <c r="AX6" s="351" t="s">
        <v>2738</v>
      </c>
      <c r="AY6" s="351" t="s">
        <v>2272</v>
      </c>
      <c r="AZ6" s="351" t="s">
        <v>2738</v>
      </c>
      <c r="BA6" s="351" t="s">
        <v>2272</v>
      </c>
      <c r="BB6" s="351" t="s">
        <v>2738</v>
      </c>
      <c r="BC6" s="347"/>
      <c r="BD6" s="394"/>
      <c r="BE6" s="394"/>
      <c r="BF6" s="347"/>
      <c r="BG6" s="392"/>
      <c r="BH6" s="392"/>
      <c r="BI6" s="389"/>
      <c r="BJ6" s="139"/>
      <c r="BK6" s="202"/>
      <c r="BL6" s="202"/>
      <c r="BM6" s="202"/>
    </row>
    <row r="7" spans="1:65" s="17" customFormat="1" ht="17.25" customHeight="1">
      <c r="A7" s="386"/>
      <c r="B7" s="387"/>
      <c r="C7" s="388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2"/>
      <c r="Z7" s="352"/>
      <c r="AA7" s="352"/>
      <c r="AB7" s="344"/>
      <c r="AC7" s="390" t="s">
        <v>5</v>
      </c>
      <c r="AD7" s="390"/>
      <c r="AE7" s="352"/>
      <c r="AF7" s="352"/>
      <c r="AG7" s="352"/>
      <c r="AH7" s="352"/>
      <c r="AI7" s="352"/>
      <c r="AJ7" s="352"/>
      <c r="AK7" s="352"/>
      <c r="AL7" s="352"/>
      <c r="AM7" s="352"/>
      <c r="AN7" s="352"/>
      <c r="AO7" s="352"/>
      <c r="AP7" s="352"/>
      <c r="AQ7" s="352"/>
      <c r="AR7" s="352"/>
      <c r="AS7" s="352"/>
      <c r="AT7" s="352"/>
      <c r="AU7" s="352"/>
      <c r="AV7" s="352"/>
      <c r="AW7" s="352"/>
      <c r="AX7" s="352"/>
      <c r="AY7" s="352"/>
      <c r="AZ7" s="352"/>
      <c r="BA7" s="352"/>
      <c r="BB7" s="352"/>
      <c r="BC7" s="347"/>
      <c r="BD7" s="391" t="s">
        <v>5</v>
      </c>
      <c r="BE7" s="391"/>
      <c r="BF7" s="347"/>
      <c r="BG7" s="392" t="s">
        <v>5</v>
      </c>
      <c r="BH7" s="392"/>
      <c r="BI7" s="389"/>
      <c r="BJ7" s="139"/>
      <c r="BK7" s="202"/>
      <c r="BL7" s="202"/>
      <c r="BM7" s="202"/>
    </row>
    <row r="8" spans="1:65" s="17" customFormat="1" ht="37.5" customHeight="1">
      <c r="A8" s="386"/>
      <c r="B8" s="387"/>
      <c r="C8" s="388"/>
      <c r="D8" s="349" t="s">
        <v>2739</v>
      </c>
      <c r="E8" s="350"/>
      <c r="F8" s="349" t="s">
        <v>2740</v>
      </c>
      <c r="G8" s="350"/>
      <c r="H8" s="349" t="s">
        <v>2815</v>
      </c>
      <c r="I8" s="350"/>
      <c r="J8" s="395" t="s">
        <v>2741</v>
      </c>
      <c r="K8" s="350"/>
      <c r="L8" s="391" t="s">
        <v>2742</v>
      </c>
      <c r="M8" s="391"/>
      <c r="N8" s="391" t="s">
        <v>2743</v>
      </c>
      <c r="O8" s="391"/>
      <c r="P8" s="349" t="s">
        <v>2744</v>
      </c>
      <c r="Q8" s="350"/>
      <c r="R8" s="395" t="s">
        <v>2745</v>
      </c>
      <c r="S8" s="350"/>
      <c r="T8" s="349" t="s">
        <v>2746</v>
      </c>
      <c r="U8" s="350"/>
      <c r="V8" s="349" t="s">
        <v>2747</v>
      </c>
      <c r="W8" s="350"/>
      <c r="X8" s="349" t="s">
        <v>2748</v>
      </c>
      <c r="Y8" s="395"/>
      <c r="Z8" s="349" t="s">
        <v>2749</v>
      </c>
      <c r="AA8" s="350"/>
      <c r="AB8" s="345"/>
      <c r="AC8" s="86" t="s">
        <v>3184</v>
      </c>
      <c r="AD8" s="87" t="s">
        <v>2734</v>
      </c>
      <c r="AE8" s="349" t="s">
        <v>2750</v>
      </c>
      <c r="AF8" s="350"/>
      <c r="AG8" s="349" t="s">
        <v>2805</v>
      </c>
      <c r="AH8" s="350"/>
      <c r="AI8" s="349" t="s">
        <v>2816</v>
      </c>
      <c r="AJ8" s="350"/>
      <c r="AK8" s="349" t="s">
        <v>2806</v>
      </c>
      <c r="AL8" s="350"/>
      <c r="AM8" s="349" t="s">
        <v>2807</v>
      </c>
      <c r="AN8" s="350"/>
      <c r="AO8" s="349" t="s">
        <v>2808</v>
      </c>
      <c r="AP8" s="350"/>
      <c r="AQ8" s="349" t="s">
        <v>2809</v>
      </c>
      <c r="AR8" s="350"/>
      <c r="AS8" s="349" t="s">
        <v>2810</v>
      </c>
      <c r="AT8" s="350"/>
      <c r="AU8" s="349" t="s">
        <v>2811</v>
      </c>
      <c r="AV8" s="350"/>
      <c r="AW8" s="349" t="s">
        <v>2812</v>
      </c>
      <c r="AX8" s="350"/>
      <c r="AY8" s="349" t="s">
        <v>2813</v>
      </c>
      <c r="AZ8" s="350"/>
      <c r="BA8" s="349" t="s">
        <v>2814</v>
      </c>
      <c r="BB8" s="350"/>
      <c r="BC8" s="348"/>
      <c r="BD8" s="86" t="s">
        <v>3184</v>
      </c>
      <c r="BE8" s="87" t="s">
        <v>2734</v>
      </c>
      <c r="BF8" s="348"/>
      <c r="BG8" s="86" t="s">
        <v>3184</v>
      </c>
      <c r="BH8" s="211" t="s">
        <v>2734</v>
      </c>
      <c r="BI8" s="389"/>
      <c r="BJ8" s="256" t="s">
        <v>2850</v>
      </c>
      <c r="BK8" s="202"/>
      <c r="BL8" s="201"/>
      <c r="BM8" s="202"/>
    </row>
    <row r="9" spans="1:65" s="17" customFormat="1" ht="9" customHeight="1">
      <c r="A9" s="88">
        <v>0</v>
      </c>
      <c r="B9" s="88">
        <v>1</v>
      </c>
      <c r="C9" s="88">
        <v>2</v>
      </c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7"/>
      <c r="AC9" s="88">
        <v>3</v>
      </c>
      <c r="AD9" s="89">
        <v>4</v>
      </c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7"/>
      <c r="BD9" s="306">
        <v>5</v>
      </c>
      <c r="BE9" s="308">
        <v>6</v>
      </c>
      <c r="BF9" s="307"/>
      <c r="BG9" s="212">
        <v>7</v>
      </c>
      <c r="BH9" s="212">
        <v>8</v>
      </c>
      <c r="BI9" s="212">
        <v>9</v>
      </c>
      <c r="BJ9" s="257" t="s">
        <v>2849</v>
      </c>
      <c r="BK9" s="258" t="s">
        <v>2851</v>
      </c>
      <c r="BL9" s="197" t="s">
        <v>2735</v>
      </c>
      <c r="BM9" s="197" t="s">
        <v>2830</v>
      </c>
    </row>
    <row r="10" spans="1:65" s="17" customFormat="1" ht="21.95" customHeight="1">
      <c r="A10" s="385" t="s">
        <v>2751</v>
      </c>
      <c r="B10" s="385"/>
      <c r="C10" s="385"/>
      <c r="D10" s="90">
        <f t="shared" ref="D10:AA10" si="0">SUM(D11:D90)</f>
        <v>0</v>
      </c>
      <c r="E10" s="90">
        <f t="shared" si="0"/>
        <v>0</v>
      </c>
      <c r="F10" s="90">
        <f t="shared" si="0"/>
        <v>0</v>
      </c>
      <c r="G10" s="90">
        <f t="shared" si="0"/>
        <v>0</v>
      </c>
      <c r="H10" s="90">
        <f t="shared" si="0"/>
        <v>11</v>
      </c>
      <c r="I10" s="90">
        <f t="shared" si="0"/>
        <v>11</v>
      </c>
      <c r="J10" s="90">
        <f t="shared" si="0"/>
        <v>0</v>
      </c>
      <c r="K10" s="90">
        <f t="shared" si="0"/>
        <v>0</v>
      </c>
      <c r="L10" s="90">
        <f t="shared" si="0"/>
        <v>0</v>
      </c>
      <c r="M10" s="90">
        <f t="shared" si="0"/>
        <v>0</v>
      </c>
      <c r="N10" s="90">
        <f t="shared" si="0"/>
        <v>0</v>
      </c>
      <c r="O10" s="90">
        <f t="shared" si="0"/>
        <v>0</v>
      </c>
      <c r="P10" s="90">
        <f t="shared" si="0"/>
        <v>0</v>
      </c>
      <c r="Q10" s="90">
        <f t="shared" si="0"/>
        <v>0</v>
      </c>
      <c r="R10" s="90">
        <f t="shared" si="0"/>
        <v>0</v>
      </c>
      <c r="S10" s="90">
        <f t="shared" si="0"/>
        <v>0</v>
      </c>
      <c r="T10" s="90">
        <f t="shared" si="0"/>
        <v>0</v>
      </c>
      <c r="U10" s="90">
        <f t="shared" si="0"/>
        <v>26</v>
      </c>
      <c r="V10" s="90">
        <f t="shared" si="0"/>
        <v>0</v>
      </c>
      <c r="W10" s="90">
        <f t="shared" si="0"/>
        <v>0</v>
      </c>
      <c r="X10" s="90">
        <f t="shared" si="0"/>
        <v>0</v>
      </c>
      <c r="Y10" s="90">
        <f t="shared" si="0"/>
        <v>0</v>
      </c>
      <c r="Z10" s="90">
        <f t="shared" si="0"/>
        <v>0</v>
      </c>
      <c r="AA10" s="90">
        <f t="shared" si="0"/>
        <v>22</v>
      </c>
      <c r="AB10" s="90">
        <f t="shared" ref="AB10" si="1">D10+F10+H10+J10+L10+N10+P10+R10+T10+V10+X10+Z10</f>
        <v>11</v>
      </c>
      <c r="AC10" s="90">
        <f t="shared" ref="AC10" si="2">E10+G10+I10+K10+M10+O10+Q10+S10+U10+W10+Y10+AA10</f>
        <v>59</v>
      </c>
      <c r="AD10" s="112">
        <f t="shared" ref="AD10:BB10" si="3">SUM(AD11:AD90)</f>
        <v>100</v>
      </c>
      <c r="AE10" s="90">
        <f t="shared" si="3"/>
        <v>0</v>
      </c>
      <c r="AF10" s="91">
        <f t="shared" si="3"/>
        <v>0</v>
      </c>
      <c r="AG10" s="90">
        <f t="shared" si="3"/>
        <v>0</v>
      </c>
      <c r="AH10" s="91">
        <f t="shared" si="3"/>
        <v>0</v>
      </c>
      <c r="AI10" s="90">
        <f t="shared" si="3"/>
        <v>76</v>
      </c>
      <c r="AJ10" s="91">
        <f t="shared" si="3"/>
        <v>78</v>
      </c>
      <c r="AK10" s="90">
        <f t="shared" si="3"/>
        <v>0</v>
      </c>
      <c r="AL10" s="91">
        <f t="shared" si="3"/>
        <v>0</v>
      </c>
      <c r="AM10" s="90">
        <f t="shared" si="3"/>
        <v>0</v>
      </c>
      <c r="AN10" s="91">
        <f t="shared" si="3"/>
        <v>0</v>
      </c>
      <c r="AO10" s="90">
        <f t="shared" si="3"/>
        <v>143</v>
      </c>
      <c r="AP10" s="91">
        <f t="shared" si="3"/>
        <v>151</v>
      </c>
      <c r="AQ10" s="90">
        <f t="shared" si="3"/>
        <v>0</v>
      </c>
      <c r="AR10" s="91">
        <f t="shared" si="3"/>
        <v>0</v>
      </c>
      <c r="AS10" s="90">
        <f t="shared" si="3"/>
        <v>0</v>
      </c>
      <c r="AT10" s="91">
        <f t="shared" si="3"/>
        <v>0</v>
      </c>
      <c r="AU10" s="90">
        <f t="shared" si="3"/>
        <v>0</v>
      </c>
      <c r="AV10" s="91">
        <f t="shared" si="3"/>
        <v>107</v>
      </c>
      <c r="AW10" s="90">
        <f t="shared" si="3"/>
        <v>0</v>
      </c>
      <c r="AX10" s="91">
        <f t="shared" si="3"/>
        <v>0</v>
      </c>
      <c r="AY10" s="90">
        <f t="shared" si="3"/>
        <v>0</v>
      </c>
      <c r="AZ10" s="91">
        <f t="shared" si="3"/>
        <v>0</v>
      </c>
      <c r="BA10" s="90">
        <f t="shared" si="3"/>
        <v>0</v>
      </c>
      <c r="BB10" s="91">
        <f t="shared" si="3"/>
        <v>127</v>
      </c>
      <c r="BC10" s="90">
        <f t="shared" ref="BC10:BD10" si="4">AE10+AG10+AI10+AK10+AM10+AO10+AQ10+AS10+AU10+AW10+AY10+BA10</f>
        <v>219</v>
      </c>
      <c r="BD10" s="91">
        <f t="shared" si="4"/>
        <v>463</v>
      </c>
      <c r="BE10" s="91">
        <f>SUM(BE11:BE90)</f>
        <v>417</v>
      </c>
      <c r="BF10" s="90">
        <f t="shared" ref="BF10:BH10" si="5">AB10+BC10</f>
        <v>230</v>
      </c>
      <c r="BG10" s="91">
        <f t="shared" si="5"/>
        <v>522</v>
      </c>
      <c r="BH10" s="91">
        <f t="shared" si="5"/>
        <v>517</v>
      </c>
      <c r="BI10" s="272">
        <f t="shared" ref="BI10" si="6">BG10/BH10*100</f>
        <v>100.96711798839459</v>
      </c>
      <c r="BJ10" s="140">
        <v>517</v>
      </c>
      <c r="BK10" s="203">
        <f>BJ10-BH10</f>
        <v>0</v>
      </c>
      <c r="BL10" s="198">
        <v>785</v>
      </c>
      <c r="BM10" s="199">
        <f>BG10-BL10</f>
        <v>-263</v>
      </c>
    </row>
    <row r="11" spans="1:65" s="17" customFormat="1" ht="15.95" customHeight="1">
      <c r="A11" s="123">
        <v>1</v>
      </c>
      <c r="B11" s="9" t="s">
        <v>2134</v>
      </c>
      <c r="C11" s="11" t="s">
        <v>2135</v>
      </c>
      <c r="D11" s="229"/>
      <c r="E11" s="13"/>
      <c r="F11" s="229"/>
      <c r="G11" s="13"/>
      <c r="H11" s="229"/>
      <c r="I11" s="13"/>
      <c r="J11" s="229"/>
      <c r="K11" s="13"/>
      <c r="L11" s="229"/>
      <c r="M11" s="13"/>
      <c r="N11" s="229"/>
      <c r="O11" s="13"/>
      <c r="P11" s="229"/>
      <c r="Q11" s="13"/>
      <c r="R11" s="229"/>
      <c r="S11" s="13"/>
      <c r="T11" s="229"/>
      <c r="U11" s="13"/>
      <c r="V11" s="229"/>
      <c r="W11" s="13"/>
      <c r="X11" s="229"/>
      <c r="Y11" s="13"/>
      <c r="Z11" s="229"/>
      <c r="AA11" s="13"/>
      <c r="AB11" s="229">
        <f>D11+F11+H11+J11+L11+N11+P11+R11+T11+V11+X11+Z11</f>
        <v>0</v>
      </c>
      <c r="AC11" s="228">
        <f>E11+G11+I11+K11+M11+O11+Q11+S11+U11+W11+Y11+AA11</f>
        <v>0</v>
      </c>
      <c r="AD11" s="19">
        <v>0</v>
      </c>
      <c r="AE11" s="229"/>
      <c r="AF11" s="20"/>
      <c r="AG11" s="229"/>
      <c r="AH11" s="20"/>
      <c r="AI11" s="229"/>
      <c r="AJ11" s="20"/>
      <c r="AK11" s="229"/>
      <c r="AL11" s="20"/>
      <c r="AM11" s="229"/>
      <c r="AN11" s="20"/>
      <c r="AO11" s="229">
        <v>1</v>
      </c>
      <c r="AP11" s="20">
        <v>1</v>
      </c>
      <c r="AQ11" s="229"/>
      <c r="AR11" s="20"/>
      <c r="AS11" s="229"/>
      <c r="AT11" s="20"/>
      <c r="AU11" s="229"/>
      <c r="AV11" s="20"/>
      <c r="AW11" s="229"/>
      <c r="AX11" s="20"/>
      <c r="AY11" s="229"/>
      <c r="AZ11" s="20"/>
      <c r="BA11" s="229"/>
      <c r="BB11" s="20"/>
      <c r="BC11" s="229">
        <f>AE11+AG11+AI11+AK11+AM11+AO11+AQ11+AS11+AU11+AW11+AY11+BA11</f>
        <v>1</v>
      </c>
      <c r="BD11" s="48">
        <f>AF11+AH11+AJ11+AL11+AN11+AP11+AR11+AT11+AV11+AX11+AZ11+BB11</f>
        <v>1</v>
      </c>
      <c r="BE11" s="19">
        <v>0</v>
      </c>
      <c r="BF11" s="229"/>
      <c r="BG11" s="210">
        <f t="shared" ref="BG11:BG42" si="7">AC11+BD11</f>
        <v>1</v>
      </c>
      <c r="BH11" s="210">
        <f t="shared" ref="BH11:BH42" si="8">AD11+BE11</f>
        <v>0</v>
      </c>
      <c r="BI11" s="213" t="e">
        <f t="shared" ref="BI11:BI42" si="9">BG11/BH11*100</f>
        <v>#DIV/0!</v>
      </c>
      <c r="BJ11" s="141"/>
      <c r="BK11" s="201"/>
      <c r="BL11" s="198"/>
      <c r="BM11" s="198"/>
    </row>
    <row r="12" spans="1:65" s="17" customFormat="1" ht="15.95" customHeight="1">
      <c r="A12" s="123">
        <v>2</v>
      </c>
      <c r="B12" s="9" t="s">
        <v>852</v>
      </c>
      <c r="C12" s="11" t="s">
        <v>853</v>
      </c>
      <c r="D12" s="229"/>
      <c r="E12" s="13"/>
      <c r="F12" s="229"/>
      <c r="G12" s="13"/>
      <c r="H12" s="229"/>
      <c r="I12" s="13"/>
      <c r="J12" s="229"/>
      <c r="K12" s="13"/>
      <c r="L12" s="229"/>
      <c r="M12" s="13"/>
      <c r="N12" s="229"/>
      <c r="O12" s="13"/>
      <c r="P12" s="229"/>
      <c r="Q12" s="13"/>
      <c r="R12" s="229"/>
      <c r="S12" s="13"/>
      <c r="T12" s="229"/>
      <c r="U12" s="13"/>
      <c r="V12" s="229"/>
      <c r="W12" s="13"/>
      <c r="X12" s="229"/>
      <c r="Y12" s="13"/>
      <c r="Z12" s="229"/>
      <c r="AA12" s="13"/>
      <c r="AB12" s="229">
        <f>D12+F12+H12+J12+L12+N12+P12+R12+T12+V12+X12+Z12</f>
        <v>0</v>
      </c>
      <c r="AC12" s="228">
        <f>E12+G12+I12+K12+M12+O12+Q12+S12+U12+W12+Y12+AA12</f>
        <v>0</v>
      </c>
      <c r="AD12" s="19">
        <v>0</v>
      </c>
      <c r="AE12" s="229"/>
      <c r="AF12" s="20"/>
      <c r="AG12" s="229"/>
      <c r="AH12" s="20"/>
      <c r="AI12" s="229"/>
      <c r="AJ12" s="20"/>
      <c r="AK12" s="229"/>
      <c r="AL12" s="20"/>
      <c r="AM12" s="229"/>
      <c r="AN12" s="20"/>
      <c r="AO12" s="229"/>
      <c r="AP12" s="20"/>
      <c r="AQ12" s="229"/>
      <c r="AR12" s="20"/>
      <c r="AS12" s="229"/>
      <c r="AT12" s="20"/>
      <c r="AU12" s="229"/>
      <c r="AV12" s="20"/>
      <c r="AW12" s="229"/>
      <c r="AX12" s="20"/>
      <c r="AY12" s="229"/>
      <c r="AZ12" s="20"/>
      <c r="BA12" s="229"/>
      <c r="BB12" s="20"/>
      <c r="BC12" s="229">
        <f>AE12+AG12+AI12+AK12+AM12+AO12+AQ12+AS12+AU12+AW12+AY12+BA12</f>
        <v>0</v>
      </c>
      <c r="BD12" s="48">
        <f>AF12+AH12+AJ12+AL12+AN12+AP12+AR12+AT12+AV12+AX12+AZ12+BB12</f>
        <v>0</v>
      </c>
      <c r="BE12" s="19">
        <v>1</v>
      </c>
      <c r="BF12" s="229">
        <f>AB12+BC12</f>
        <v>0</v>
      </c>
      <c r="BG12" s="210">
        <f t="shared" si="7"/>
        <v>0</v>
      </c>
      <c r="BH12" s="210">
        <f t="shared" si="8"/>
        <v>1</v>
      </c>
      <c r="BI12" s="213">
        <f t="shared" si="9"/>
        <v>0</v>
      </c>
      <c r="BJ12" s="141"/>
      <c r="BK12" s="201"/>
      <c r="BL12" s="198"/>
      <c r="BM12" s="198"/>
    </row>
    <row r="13" spans="1:65" s="17" customFormat="1" ht="15.95" customHeight="1">
      <c r="A13" s="123">
        <v>3</v>
      </c>
      <c r="B13" s="9" t="s">
        <v>478</v>
      </c>
      <c r="C13" s="11" t="s">
        <v>479</v>
      </c>
      <c r="D13" s="229"/>
      <c r="E13" s="13"/>
      <c r="F13" s="229"/>
      <c r="G13" s="13"/>
      <c r="H13" s="229"/>
      <c r="I13" s="13"/>
      <c r="J13" s="229"/>
      <c r="K13" s="13"/>
      <c r="L13" s="229"/>
      <c r="M13" s="13"/>
      <c r="N13" s="229"/>
      <c r="O13" s="13"/>
      <c r="P13" s="229"/>
      <c r="Q13" s="13"/>
      <c r="R13" s="229"/>
      <c r="S13" s="13"/>
      <c r="T13" s="229"/>
      <c r="U13" s="13"/>
      <c r="V13" s="229"/>
      <c r="W13" s="13"/>
      <c r="X13" s="229"/>
      <c r="Y13" s="13"/>
      <c r="Z13" s="229"/>
      <c r="AA13" s="13"/>
      <c r="AB13" s="229"/>
      <c r="AC13" s="228">
        <f t="shared" ref="AC13:AC44" si="10">E13+G13+I13+K13+M13+O13+Q13+S13+U13+W13+Y13+AA13</f>
        <v>0</v>
      </c>
      <c r="AD13" s="19">
        <v>0</v>
      </c>
      <c r="AE13" s="229"/>
      <c r="AF13" s="20"/>
      <c r="AG13" s="229"/>
      <c r="AH13" s="20"/>
      <c r="AI13" s="229"/>
      <c r="AJ13" s="20"/>
      <c r="AK13" s="229"/>
      <c r="AL13" s="20"/>
      <c r="AM13" s="229"/>
      <c r="AN13" s="20"/>
      <c r="AO13" s="229"/>
      <c r="AP13" s="20"/>
      <c r="AQ13" s="229"/>
      <c r="AR13" s="20"/>
      <c r="AS13" s="229"/>
      <c r="AT13" s="20"/>
      <c r="AU13" s="229"/>
      <c r="AV13" s="20">
        <v>1</v>
      </c>
      <c r="AW13" s="229"/>
      <c r="AX13" s="20"/>
      <c r="AY13" s="229"/>
      <c r="AZ13" s="20"/>
      <c r="BA13" s="229"/>
      <c r="BB13" s="20">
        <v>1</v>
      </c>
      <c r="BC13" s="229"/>
      <c r="BD13" s="48">
        <f t="shared" ref="BD13:BD44" si="11">AF13+AH13+AJ13+AL13+AN13+AP13+AR13+AT13+AV13+AX13+AZ13+BB13</f>
        <v>2</v>
      </c>
      <c r="BE13" s="19">
        <v>0</v>
      </c>
      <c r="BF13" s="229"/>
      <c r="BG13" s="210">
        <f t="shared" si="7"/>
        <v>2</v>
      </c>
      <c r="BH13" s="210">
        <f t="shared" si="8"/>
        <v>0</v>
      </c>
      <c r="BI13" s="213" t="e">
        <f t="shared" si="9"/>
        <v>#DIV/0!</v>
      </c>
      <c r="BJ13" s="141"/>
      <c r="BK13" s="201"/>
      <c r="BL13" s="198"/>
      <c r="BM13" s="198"/>
    </row>
    <row r="14" spans="1:65" s="17" customFormat="1" ht="15.95" customHeight="1">
      <c r="A14" s="123">
        <v>4</v>
      </c>
      <c r="B14" s="9" t="s">
        <v>481</v>
      </c>
      <c r="C14" s="11" t="s">
        <v>482</v>
      </c>
      <c r="D14" s="229"/>
      <c r="E14" s="13"/>
      <c r="F14" s="229"/>
      <c r="G14" s="13"/>
      <c r="H14" s="229"/>
      <c r="I14" s="13"/>
      <c r="J14" s="229"/>
      <c r="K14" s="13"/>
      <c r="L14" s="229"/>
      <c r="M14" s="13"/>
      <c r="N14" s="229"/>
      <c r="O14" s="13"/>
      <c r="P14" s="229"/>
      <c r="Q14" s="13"/>
      <c r="R14" s="229"/>
      <c r="S14" s="13"/>
      <c r="T14" s="229"/>
      <c r="U14" s="13"/>
      <c r="V14" s="229"/>
      <c r="W14" s="13"/>
      <c r="X14" s="229"/>
      <c r="Y14" s="13"/>
      <c r="Z14" s="229"/>
      <c r="AA14" s="13"/>
      <c r="AB14" s="229">
        <f t="shared" ref="AB14:AB19" si="12">D14+F14+H14+J14+L14+N14+P14+R14+T14+V14+X14+Z14</f>
        <v>0</v>
      </c>
      <c r="AC14" s="228">
        <f t="shared" si="10"/>
        <v>0</v>
      </c>
      <c r="AD14" s="21">
        <v>0</v>
      </c>
      <c r="AE14" s="229"/>
      <c r="AF14" s="20"/>
      <c r="AG14" s="229"/>
      <c r="AH14" s="20"/>
      <c r="AI14" s="229"/>
      <c r="AJ14" s="20"/>
      <c r="AK14" s="229"/>
      <c r="AL14" s="20"/>
      <c r="AM14" s="229"/>
      <c r="AN14" s="20"/>
      <c r="AO14" s="229">
        <v>3</v>
      </c>
      <c r="AP14" s="20">
        <v>3</v>
      </c>
      <c r="AQ14" s="229"/>
      <c r="AR14" s="20"/>
      <c r="AS14" s="229"/>
      <c r="AT14" s="20"/>
      <c r="AU14" s="229"/>
      <c r="AV14" s="20"/>
      <c r="AW14" s="229"/>
      <c r="AX14" s="20"/>
      <c r="AY14" s="229"/>
      <c r="AZ14" s="20"/>
      <c r="BA14" s="229"/>
      <c r="BB14" s="20"/>
      <c r="BC14" s="229">
        <f t="shared" ref="BC14:BC19" si="13">AE14+AG14+AI14+AK14+AM14+AO14+AQ14+AS14+AU14+AW14+AY14+BA14</f>
        <v>3</v>
      </c>
      <c r="BD14" s="48">
        <f t="shared" si="11"/>
        <v>3</v>
      </c>
      <c r="BE14" s="19">
        <v>6</v>
      </c>
      <c r="BF14" s="229">
        <f t="shared" ref="BF14:BF19" si="14">AB14+BC14</f>
        <v>3</v>
      </c>
      <c r="BG14" s="210">
        <f t="shared" si="7"/>
        <v>3</v>
      </c>
      <c r="BH14" s="210">
        <f t="shared" si="8"/>
        <v>6</v>
      </c>
      <c r="BI14" s="213">
        <f t="shared" si="9"/>
        <v>50</v>
      </c>
      <c r="BJ14" s="141"/>
      <c r="BK14" s="201"/>
      <c r="BL14" s="198"/>
      <c r="BM14" s="198"/>
    </row>
    <row r="15" spans="1:65" s="17" customFormat="1" ht="15.95" customHeight="1">
      <c r="A15" s="123">
        <v>5</v>
      </c>
      <c r="B15" s="9" t="s">
        <v>474</v>
      </c>
      <c r="C15" s="11" t="s">
        <v>475</v>
      </c>
      <c r="D15" s="229"/>
      <c r="E15" s="13"/>
      <c r="F15" s="229"/>
      <c r="G15" s="13"/>
      <c r="H15" s="229"/>
      <c r="I15" s="13"/>
      <c r="J15" s="229"/>
      <c r="K15" s="13"/>
      <c r="L15" s="229"/>
      <c r="M15" s="13"/>
      <c r="N15" s="229"/>
      <c r="O15" s="13"/>
      <c r="P15" s="229"/>
      <c r="Q15" s="13"/>
      <c r="R15" s="229"/>
      <c r="S15" s="13"/>
      <c r="T15" s="229"/>
      <c r="U15" s="13"/>
      <c r="V15" s="229"/>
      <c r="W15" s="13"/>
      <c r="X15" s="229"/>
      <c r="Y15" s="13"/>
      <c r="Z15" s="229"/>
      <c r="AA15" s="13">
        <v>1</v>
      </c>
      <c r="AB15" s="229">
        <f t="shared" si="12"/>
        <v>0</v>
      </c>
      <c r="AC15" s="228">
        <f t="shared" si="10"/>
        <v>1</v>
      </c>
      <c r="AD15" s="21">
        <v>1</v>
      </c>
      <c r="AE15" s="229"/>
      <c r="AF15" s="20"/>
      <c r="AG15" s="229"/>
      <c r="AH15" s="20"/>
      <c r="AI15" s="229"/>
      <c r="AJ15" s="20"/>
      <c r="AK15" s="229"/>
      <c r="AL15" s="20"/>
      <c r="AM15" s="229"/>
      <c r="AN15" s="20"/>
      <c r="AO15" s="229"/>
      <c r="AP15" s="20"/>
      <c r="AQ15" s="229"/>
      <c r="AR15" s="20"/>
      <c r="AS15" s="229"/>
      <c r="AT15" s="20"/>
      <c r="AU15" s="229"/>
      <c r="AV15" s="20"/>
      <c r="AW15" s="229"/>
      <c r="AX15" s="20"/>
      <c r="AY15" s="229"/>
      <c r="AZ15" s="20"/>
      <c r="BA15" s="229"/>
      <c r="BB15" s="20"/>
      <c r="BC15" s="229">
        <f t="shared" si="13"/>
        <v>0</v>
      </c>
      <c r="BD15" s="48">
        <f t="shared" si="11"/>
        <v>0</v>
      </c>
      <c r="BE15" s="19">
        <v>1</v>
      </c>
      <c r="BF15" s="229">
        <f t="shared" si="14"/>
        <v>0</v>
      </c>
      <c r="BG15" s="210">
        <f t="shared" si="7"/>
        <v>1</v>
      </c>
      <c r="BH15" s="210">
        <f t="shared" si="8"/>
        <v>2</v>
      </c>
      <c r="BI15" s="213">
        <f t="shared" si="9"/>
        <v>50</v>
      </c>
      <c r="BJ15" s="141"/>
      <c r="BK15" s="201"/>
      <c r="BL15" s="198"/>
      <c r="BM15" s="198"/>
    </row>
    <row r="16" spans="1:65" s="17" customFormat="1" ht="15.95" customHeight="1">
      <c r="A16" s="123">
        <v>6</v>
      </c>
      <c r="B16" s="9" t="s">
        <v>541</v>
      </c>
      <c r="C16" s="11" t="s">
        <v>542</v>
      </c>
      <c r="D16" s="229"/>
      <c r="E16" s="13"/>
      <c r="F16" s="229"/>
      <c r="G16" s="13"/>
      <c r="H16" s="229"/>
      <c r="I16" s="13"/>
      <c r="J16" s="229"/>
      <c r="K16" s="13"/>
      <c r="L16" s="229"/>
      <c r="M16" s="13"/>
      <c r="N16" s="229"/>
      <c r="O16" s="13"/>
      <c r="P16" s="229"/>
      <c r="Q16" s="13"/>
      <c r="R16" s="229"/>
      <c r="S16" s="13"/>
      <c r="T16" s="229"/>
      <c r="U16" s="13"/>
      <c r="V16" s="229"/>
      <c r="W16" s="13"/>
      <c r="X16" s="229"/>
      <c r="Y16" s="13"/>
      <c r="Z16" s="229"/>
      <c r="AA16" s="13"/>
      <c r="AB16" s="229">
        <f t="shared" si="12"/>
        <v>0</v>
      </c>
      <c r="AC16" s="228">
        <f t="shared" si="10"/>
        <v>0</v>
      </c>
      <c r="AD16" s="21">
        <v>1</v>
      </c>
      <c r="AE16" s="229"/>
      <c r="AF16" s="20"/>
      <c r="AG16" s="229"/>
      <c r="AH16" s="20"/>
      <c r="AI16" s="229"/>
      <c r="AJ16" s="20"/>
      <c r="AK16" s="229"/>
      <c r="AL16" s="20"/>
      <c r="AM16" s="229"/>
      <c r="AN16" s="20"/>
      <c r="AO16" s="229"/>
      <c r="AP16" s="20"/>
      <c r="AQ16" s="229"/>
      <c r="AR16" s="20"/>
      <c r="AS16" s="229"/>
      <c r="AT16" s="20"/>
      <c r="AU16" s="229"/>
      <c r="AV16" s="20"/>
      <c r="AW16" s="229"/>
      <c r="AX16" s="20"/>
      <c r="AY16" s="229"/>
      <c r="AZ16" s="20"/>
      <c r="BA16" s="229"/>
      <c r="BB16" s="20"/>
      <c r="BC16" s="229">
        <f t="shared" si="13"/>
        <v>0</v>
      </c>
      <c r="BD16" s="48">
        <f t="shared" si="11"/>
        <v>0</v>
      </c>
      <c r="BE16" s="19">
        <v>0</v>
      </c>
      <c r="BF16" s="229">
        <f t="shared" si="14"/>
        <v>0</v>
      </c>
      <c r="BG16" s="210">
        <f t="shared" si="7"/>
        <v>0</v>
      </c>
      <c r="BH16" s="210">
        <f t="shared" si="8"/>
        <v>1</v>
      </c>
      <c r="BI16" s="213">
        <f t="shared" si="9"/>
        <v>0</v>
      </c>
      <c r="BJ16" s="141"/>
      <c r="BK16" s="201"/>
      <c r="BL16" s="198"/>
      <c r="BM16" s="198"/>
    </row>
    <row r="17" spans="1:65" s="17" customFormat="1" ht="15.95" customHeight="1">
      <c r="A17" s="123">
        <v>7</v>
      </c>
      <c r="B17" s="9" t="s">
        <v>955</v>
      </c>
      <c r="C17" s="11" t="s">
        <v>956</v>
      </c>
      <c r="D17" s="229"/>
      <c r="E17" s="13"/>
      <c r="F17" s="229"/>
      <c r="G17" s="13"/>
      <c r="H17" s="229"/>
      <c r="I17" s="13"/>
      <c r="J17" s="229"/>
      <c r="K17" s="13"/>
      <c r="L17" s="229"/>
      <c r="M17" s="13"/>
      <c r="N17" s="229"/>
      <c r="O17" s="13"/>
      <c r="P17" s="229"/>
      <c r="Q17" s="13"/>
      <c r="R17" s="229"/>
      <c r="S17" s="13"/>
      <c r="T17" s="229"/>
      <c r="U17" s="13"/>
      <c r="V17" s="229"/>
      <c r="W17" s="13"/>
      <c r="X17" s="229"/>
      <c r="Y17" s="13"/>
      <c r="Z17" s="229"/>
      <c r="AA17" s="13"/>
      <c r="AB17" s="229">
        <f t="shared" si="12"/>
        <v>0</v>
      </c>
      <c r="AC17" s="228">
        <f t="shared" si="10"/>
        <v>0</v>
      </c>
      <c r="AD17" s="21">
        <v>0</v>
      </c>
      <c r="AE17" s="229"/>
      <c r="AF17" s="20"/>
      <c r="AG17" s="229"/>
      <c r="AH17" s="20"/>
      <c r="AI17" s="229"/>
      <c r="AJ17" s="20"/>
      <c r="AK17" s="229"/>
      <c r="AL17" s="20"/>
      <c r="AM17" s="229"/>
      <c r="AN17" s="20"/>
      <c r="AO17" s="229">
        <v>1</v>
      </c>
      <c r="AP17" s="20">
        <v>1</v>
      </c>
      <c r="AQ17" s="229"/>
      <c r="AR17" s="20"/>
      <c r="AS17" s="229"/>
      <c r="AT17" s="20"/>
      <c r="AU17" s="229"/>
      <c r="AV17" s="20">
        <v>3</v>
      </c>
      <c r="AW17" s="229"/>
      <c r="AX17" s="20"/>
      <c r="AY17" s="229"/>
      <c r="AZ17" s="20"/>
      <c r="BA17" s="229"/>
      <c r="BB17" s="20">
        <v>4</v>
      </c>
      <c r="BC17" s="229">
        <f t="shared" si="13"/>
        <v>1</v>
      </c>
      <c r="BD17" s="48">
        <f t="shared" si="11"/>
        <v>8</v>
      </c>
      <c r="BE17" s="19">
        <f>7+1</f>
        <v>8</v>
      </c>
      <c r="BF17" s="229">
        <f t="shared" si="14"/>
        <v>1</v>
      </c>
      <c r="BG17" s="210">
        <f t="shared" si="7"/>
        <v>8</v>
      </c>
      <c r="BH17" s="210">
        <f t="shared" si="8"/>
        <v>8</v>
      </c>
      <c r="BI17" s="213">
        <f t="shared" si="9"/>
        <v>100</v>
      </c>
      <c r="BJ17" s="141"/>
      <c r="BK17" s="201"/>
      <c r="BL17" s="198"/>
      <c r="BM17" s="198"/>
    </row>
    <row r="18" spans="1:65" s="17" customFormat="1" ht="15.95" customHeight="1">
      <c r="A18" s="123">
        <v>8</v>
      </c>
      <c r="B18" s="9" t="s">
        <v>26</v>
      </c>
      <c r="C18" s="11" t="s">
        <v>27</v>
      </c>
      <c r="D18" s="229"/>
      <c r="E18" s="13"/>
      <c r="F18" s="229"/>
      <c r="G18" s="13"/>
      <c r="H18" s="229"/>
      <c r="I18" s="13"/>
      <c r="J18" s="229"/>
      <c r="K18" s="13"/>
      <c r="L18" s="229"/>
      <c r="M18" s="13"/>
      <c r="N18" s="229"/>
      <c r="O18" s="13"/>
      <c r="P18" s="229"/>
      <c r="Q18" s="13"/>
      <c r="R18" s="229"/>
      <c r="S18" s="13"/>
      <c r="T18" s="229"/>
      <c r="U18" s="13"/>
      <c r="V18" s="229"/>
      <c r="W18" s="13"/>
      <c r="X18" s="229"/>
      <c r="Y18" s="13"/>
      <c r="Z18" s="229"/>
      <c r="AA18" s="13"/>
      <c r="AB18" s="229">
        <f t="shared" si="12"/>
        <v>0</v>
      </c>
      <c r="AC18" s="228">
        <f t="shared" si="10"/>
        <v>0</v>
      </c>
      <c r="AD18" s="21">
        <v>0</v>
      </c>
      <c r="AE18" s="229"/>
      <c r="AF18" s="20"/>
      <c r="AG18" s="229"/>
      <c r="AH18" s="20"/>
      <c r="AI18" s="229"/>
      <c r="AJ18" s="20"/>
      <c r="AK18" s="229"/>
      <c r="AL18" s="20"/>
      <c r="AM18" s="229"/>
      <c r="AN18" s="20"/>
      <c r="AO18" s="229">
        <v>1</v>
      </c>
      <c r="AP18" s="20">
        <v>1</v>
      </c>
      <c r="AQ18" s="229"/>
      <c r="AR18" s="20"/>
      <c r="AS18" s="229"/>
      <c r="AT18" s="20"/>
      <c r="AU18" s="229"/>
      <c r="AV18" s="20">
        <v>2</v>
      </c>
      <c r="AW18" s="229"/>
      <c r="AX18" s="20"/>
      <c r="AY18" s="229"/>
      <c r="AZ18" s="20"/>
      <c r="BA18" s="229"/>
      <c r="BB18" s="20">
        <v>1</v>
      </c>
      <c r="BC18" s="229">
        <f t="shared" si="13"/>
        <v>1</v>
      </c>
      <c r="BD18" s="48">
        <f t="shared" si="11"/>
        <v>4</v>
      </c>
      <c r="BE18" s="19">
        <v>5</v>
      </c>
      <c r="BF18" s="229">
        <f t="shared" si="14"/>
        <v>1</v>
      </c>
      <c r="BG18" s="210">
        <f t="shared" si="7"/>
        <v>4</v>
      </c>
      <c r="BH18" s="210">
        <f t="shared" si="8"/>
        <v>5</v>
      </c>
      <c r="BI18" s="213">
        <f t="shared" si="9"/>
        <v>80</v>
      </c>
      <c r="BJ18" s="141"/>
      <c r="BK18" s="201"/>
      <c r="BL18" s="198"/>
      <c r="BM18" s="198"/>
    </row>
    <row r="19" spans="1:65" s="17" customFormat="1" ht="15.95" customHeight="1">
      <c r="A19" s="123">
        <v>9</v>
      </c>
      <c r="B19" s="9" t="s">
        <v>959</v>
      </c>
      <c r="C19" s="223" t="s">
        <v>1775</v>
      </c>
      <c r="D19" s="229"/>
      <c r="E19" s="13"/>
      <c r="F19" s="229"/>
      <c r="G19" s="13"/>
      <c r="H19" s="229"/>
      <c r="I19" s="13"/>
      <c r="J19" s="229"/>
      <c r="K19" s="13"/>
      <c r="L19" s="229"/>
      <c r="M19" s="13"/>
      <c r="N19" s="229"/>
      <c r="O19" s="13"/>
      <c r="P19" s="229"/>
      <c r="Q19" s="13"/>
      <c r="R19" s="229"/>
      <c r="S19" s="13"/>
      <c r="T19" s="229"/>
      <c r="U19" s="13"/>
      <c r="V19" s="229"/>
      <c r="W19" s="13"/>
      <c r="X19" s="229"/>
      <c r="Y19" s="13"/>
      <c r="Z19" s="229"/>
      <c r="AA19" s="13"/>
      <c r="AB19" s="229">
        <f t="shared" si="12"/>
        <v>0</v>
      </c>
      <c r="AC19" s="228">
        <f t="shared" si="10"/>
        <v>0</v>
      </c>
      <c r="AD19" s="21">
        <v>0</v>
      </c>
      <c r="AE19" s="229"/>
      <c r="AF19" s="20"/>
      <c r="AG19" s="229"/>
      <c r="AH19" s="20"/>
      <c r="AI19" s="229"/>
      <c r="AJ19" s="20"/>
      <c r="AK19" s="229"/>
      <c r="AL19" s="20"/>
      <c r="AM19" s="229"/>
      <c r="AN19" s="20"/>
      <c r="AO19" s="229"/>
      <c r="AP19" s="20"/>
      <c r="AQ19" s="229"/>
      <c r="AR19" s="20"/>
      <c r="AS19" s="229"/>
      <c r="AT19" s="20"/>
      <c r="AU19" s="229"/>
      <c r="AV19" s="20"/>
      <c r="AW19" s="229"/>
      <c r="AX19" s="20"/>
      <c r="AY19" s="229"/>
      <c r="AZ19" s="20"/>
      <c r="BA19" s="229"/>
      <c r="BB19" s="20"/>
      <c r="BC19" s="229">
        <f t="shared" si="13"/>
        <v>0</v>
      </c>
      <c r="BD19" s="48">
        <f t="shared" si="11"/>
        <v>0</v>
      </c>
      <c r="BE19" s="19">
        <v>2</v>
      </c>
      <c r="BF19" s="229">
        <f t="shared" si="14"/>
        <v>0</v>
      </c>
      <c r="BG19" s="210">
        <f t="shared" si="7"/>
        <v>0</v>
      </c>
      <c r="BH19" s="210">
        <f t="shared" si="8"/>
        <v>2</v>
      </c>
      <c r="BI19" s="213">
        <f t="shared" si="9"/>
        <v>0</v>
      </c>
      <c r="BJ19" s="141"/>
      <c r="BK19" s="201"/>
      <c r="BL19" s="198"/>
      <c r="BM19" s="198"/>
    </row>
    <row r="20" spans="1:65" s="17" customFormat="1" ht="15.95" customHeight="1">
      <c r="A20" s="123">
        <v>10</v>
      </c>
      <c r="B20" s="9" t="s">
        <v>1664</v>
      </c>
      <c r="C20" s="223" t="s">
        <v>1776</v>
      </c>
      <c r="D20" s="323"/>
      <c r="E20" s="324"/>
      <c r="F20" s="323"/>
      <c r="G20" s="324"/>
      <c r="H20" s="323"/>
      <c r="I20" s="324"/>
      <c r="J20" s="323"/>
      <c r="K20" s="324"/>
      <c r="L20" s="323"/>
      <c r="M20" s="324"/>
      <c r="N20" s="323"/>
      <c r="O20" s="324"/>
      <c r="P20" s="323"/>
      <c r="Q20" s="324"/>
      <c r="R20" s="323"/>
      <c r="S20" s="324"/>
      <c r="T20" s="323"/>
      <c r="U20" s="324"/>
      <c r="V20" s="323"/>
      <c r="W20" s="324"/>
      <c r="X20" s="323"/>
      <c r="Y20" s="324"/>
      <c r="Z20" s="323"/>
      <c r="AA20" s="324"/>
      <c r="AB20" s="323"/>
      <c r="AC20" s="228">
        <f t="shared" si="10"/>
        <v>0</v>
      </c>
      <c r="AD20" s="329">
        <v>0</v>
      </c>
      <c r="AE20" s="323"/>
      <c r="AF20" s="327"/>
      <c r="AG20" s="323"/>
      <c r="AH20" s="327"/>
      <c r="AI20" s="323"/>
      <c r="AJ20" s="327"/>
      <c r="AK20" s="323"/>
      <c r="AL20" s="327"/>
      <c r="AM20" s="323"/>
      <c r="AN20" s="327"/>
      <c r="AO20" s="323"/>
      <c r="AP20" s="327"/>
      <c r="AQ20" s="323"/>
      <c r="AR20" s="327"/>
      <c r="AS20" s="323"/>
      <c r="AT20" s="327"/>
      <c r="AU20" s="323"/>
      <c r="AV20" s="327"/>
      <c r="AW20" s="323"/>
      <c r="AX20" s="327"/>
      <c r="AY20" s="323"/>
      <c r="AZ20" s="327"/>
      <c r="BA20" s="323"/>
      <c r="BB20" s="327">
        <v>1</v>
      </c>
      <c r="BC20" s="323"/>
      <c r="BD20" s="48">
        <f t="shared" si="11"/>
        <v>1</v>
      </c>
      <c r="BE20" s="326">
        <v>0</v>
      </c>
      <c r="BF20" s="323"/>
      <c r="BG20" s="210">
        <f t="shared" si="7"/>
        <v>1</v>
      </c>
      <c r="BH20" s="210">
        <f t="shared" si="8"/>
        <v>0</v>
      </c>
      <c r="BI20" s="213" t="e">
        <f t="shared" si="9"/>
        <v>#DIV/0!</v>
      </c>
      <c r="BJ20" s="141"/>
      <c r="BK20" s="201"/>
      <c r="BL20" s="198"/>
      <c r="BM20" s="198"/>
    </row>
    <row r="21" spans="1:65" s="17" customFormat="1" ht="15.95" customHeight="1">
      <c r="A21" s="123">
        <v>11</v>
      </c>
      <c r="B21" s="9" t="s">
        <v>28</v>
      </c>
      <c r="C21" s="11" t="s">
        <v>29</v>
      </c>
      <c r="D21" s="229"/>
      <c r="E21" s="13"/>
      <c r="F21" s="229"/>
      <c r="G21" s="13"/>
      <c r="H21" s="229"/>
      <c r="I21" s="13"/>
      <c r="J21" s="229"/>
      <c r="K21" s="13"/>
      <c r="L21" s="229"/>
      <c r="M21" s="13"/>
      <c r="N21" s="229"/>
      <c r="O21" s="13"/>
      <c r="P21" s="229"/>
      <c r="Q21" s="13"/>
      <c r="R21" s="229"/>
      <c r="S21" s="13"/>
      <c r="T21" s="229"/>
      <c r="U21" s="13"/>
      <c r="V21" s="229"/>
      <c r="W21" s="13"/>
      <c r="X21" s="229"/>
      <c r="Y21" s="13"/>
      <c r="Z21" s="229"/>
      <c r="AA21" s="13"/>
      <c r="AB21" s="229">
        <f t="shared" ref="AB21:AB31" si="15">D21+F21+H21+J21+L21+N21+P21+R21+T21+V21+X21+Z21</f>
        <v>0</v>
      </c>
      <c r="AC21" s="228">
        <f t="shared" si="10"/>
        <v>0</v>
      </c>
      <c r="AD21" s="21">
        <v>0</v>
      </c>
      <c r="AE21" s="229"/>
      <c r="AF21" s="20"/>
      <c r="AG21" s="229"/>
      <c r="AH21" s="20"/>
      <c r="AI21" s="229">
        <v>1</v>
      </c>
      <c r="AJ21" s="20">
        <v>1</v>
      </c>
      <c r="AK21" s="229"/>
      <c r="AL21" s="20"/>
      <c r="AM21" s="229"/>
      <c r="AN21" s="20"/>
      <c r="AO21" s="229">
        <v>4</v>
      </c>
      <c r="AP21" s="20">
        <v>4</v>
      </c>
      <c r="AQ21" s="229"/>
      <c r="AR21" s="20"/>
      <c r="AS21" s="229"/>
      <c r="AT21" s="20"/>
      <c r="AU21" s="229"/>
      <c r="AV21" s="20">
        <v>2</v>
      </c>
      <c r="AW21" s="229"/>
      <c r="AX21" s="20"/>
      <c r="AY21" s="229"/>
      <c r="AZ21" s="20"/>
      <c r="BA21" s="229"/>
      <c r="BB21" s="20">
        <v>6</v>
      </c>
      <c r="BC21" s="229">
        <f t="shared" ref="BC21:BC31" si="16">AE21+AG21+AI21+AK21+AM21+AO21+AQ21+AS21+AU21+AW21+AY21+BA21</f>
        <v>5</v>
      </c>
      <c r="BD21" s="48">
        <f t="shared" si="11"/>
        <v>13</v>
      </c>
      <c r="BE21" s="19">
        <v>3</v>
      </c>
      <c r="BF21" s="229">
        <f t="shared" ref="BF21:BF28" si="17">AB21+BC21</f>
        <v>5</v>
      </c>
      <c r="BG21" s="210">
        <f t="shared" si="7"/>
        <v>13</v>
      </c>
      <c r="BH21" s="210">
        <f t="shared" si="8"/>
        <v>3</v>
      </c>
      <c r="BI21" s="213">
        <f t="shared" si="9"/>
        <v>433.33333333333331</v>
      </c>
      <c r="BJ21" s="141"/>
      <c r="BK21" s="201"/>
      <c r="BL21" s="198"/>
      <c r="BM21" s="198"/>
    </row>
    <row r="22" spans="1:65" s="17" customFormat="1" ht="15.95" customHeight="1">
      <c r="A22" s="123">
        <v>12</v>
      </c>
      <c r="B22" s="9" t="s">
        <v>30</v>
      </c>
      <c r="C22" s="11" t="s">
        <v>31</v>
      </c>
      <c r="D22" s="229"/>
      <c r="E22" s="13"/>
      <c r="F22" s="229"/>
      <c r="G22" s="13"/>
      <c r="H22" s="229"/>
      <c r="I22" s="13"/>
      <c r="J22" s="229"/>
      <c r="K22" s="13"/>
      <c r="L22" s="229"/>
      <c r="M22" s="13"/>
      <c r="N22" s="229"/>
      <c r="O22" s="13"/>
      <c r="P22" s="229"/>
      <c r="Q22" s="13"/>
      <c r="R22" s="229"/>
      <c r="S22" s="13"/>
      <c r="T22" s="229"/>
      <c r="U22" s="13"/>
      <c r="V22" s="229"/>
      <c r="W22" s="13"/>
      <c r="X22" s="229"/>
      <c r="Y22" s="13"/>
      <c r="Z22" s="229"/>
      <c r="AA22" s="13"/>
      <c r="AB22" s="229">
        <f t="shared" si="15"/>
        <v>0</v>
      </c>
      <c r="AC22" s="228">
        <f t="shared" si="10"/>
        <v>0</v>
      </c>
      <c r="AD22" s="21">
        <v>0</v>
      </c>
      <c r="AE22" s="229"/>
      <c r="AF22" s="20"/>
      <c r="AG22" s="229"/>
      <c r="AH22" s="20"/>
      <c r="AI22" s="229">
        <v>1</v>
      </c>
      <c r="AJ22" s="20">
        <v>1</v>
      </c>
      <c r="AK22" s="229"/>
      <c r="AL22" s="20"/>
      <c r="AM22" s="229"/>
      <c r="AN22" s="20"/>
      <c r="AO22" s="229">
        <v>1</v>
      </c>
      <c r="AP22" s="20">
        <v>1</v>
      </c>
      <c r="AQ22" s="229"/>
      <c r="AR22" s="20"/>
      <c r="AS22" s="229"/>
      <c r="AT22" s="20"/>
      <c r="AU22" s="229"/>
      <c r="AV22" s="20"/>
      <c r="AW22" s="229"/>
      <c r="AX22" s="20"/>
      <c r="AY22" s="229"/>
      <c r="AZ22" s="20"/>
      <c r="BA22" s="229"/>
      <c r="BB22" s="20"/>
      <c r="BC22" s="229">
        <f t="shared" si="16"/>
        <v>2</v>
      </c>
      <c r="BD22" s="48">
        <f t="shared" si="11"/>
        <v>2</v>
      </c>
      <c r="BE22" s="19">
        <v>2</v>
      </c>
      <c r="BF22" s="229">
        <f t="shared" si="17"/>
        <v>2</v>
      </c>
      <c r="BG22" s="210">
        <f t="shared" si="7"/>
        <v>2</v>
      </c>
      <c r="BH22" s="210">
        <f t="shared" si="8"/>
        <v>2</v>
      </c>
      <c r="BI22" s="213">
        <f t="shared" si="9"/>
        <v>100</v>
      </c>
      <c r="BJ22" s="141"/>
      <c r="BK22" s="201"/>
      <c r="BL22" s="198"/>
      <c r="BM22" s="198"/>
    </row>
    <row r="23" spans="1:65" s="17" customFormat="1" ht="15.95" customHeight="1">
      <c r="A23" s="123">
        <v>13</v>
      </c>
      <c r="B23" s="9" t="s">
        <v>32</v>
      </c>
      <c r="C23" s="11" t="s">
        <v>33</v>
      </c>
      <c r="D23" s="229"/>
      <c r="E23" s="13"/>
      <c r="F23" s="229"/>
      <c r="G23" s="13"/>
      <c r="H23" s="229"/>
      <c r="I23" s="13"/>
      <c r="J23" s="229"/>
      <c r="K23" s="13"/>
      <c r="L23" s="229"/>
      <c r="M23" s="13"/>
      <c r="N23" s="229"/>
      <c r="O23" s="13"/>
      <c r="P23" s="229"/>
      <c r="Q23" s="13"/>
      <c r="R23" s="229"/>
      <c r="S23" s="13"/>
      <c r="T23" s="229"/>
      <c r="U23" s="13"/>
      <c r="V23" s="229"/>
      <c r="W23" s="13"/>
      <c r="X23" s="229"/>
      <c r="Y23" s="13"/>
      <c r="Z23" s="229"/>
      <c r="AA23" s="13"/>
      <c r="AB23" s="229">
        <f t="shared" si="15"/>
        <v>0</v>
      </c>
      <c r="AC23" s="228">
        <f t="shared" si="10"/>
        <v>0</v>
      </c>
      <c r="AD23" s="21">
        <v>0</v>
      </c>
      <c r="AE23" s="229"/>
      <c r="AF23" s="20"/>
      <c r="AG23" s="229"/>
      <c r="AH23" s="20"/>
      <c r="AI23" s="229"/>
      <c r="AJ23" s="20"/>
      <c r="AK23" s="229"/>
      <c r="AL23" s="20"/>
      <c r="AM23" s="229"/>
      <c r="AN23" s="20"/>
      <c r="AO23" s="229"/>
      <c r="AP23" s="20"/>
      <c r="AQ23" s="229"/>
      <c r="AR23" s="20"/>
      <c r="AS23" s="229"/>
      <c r="AT23" s="20"/>
      <c r="AU23" s="229"/>
      <c r="AV23" s="20">
        <v>1</v>
      </c>
      <c r="AW23" s="229"/>
      <c r="AX23" s="20"/>
      <c r="AY23" s="229"/>
      <c r="AZ23" s="20"/>
      <c r="BA23" s="229"/>
      <c r="BB23" s="20"/>
      <c r="BC23" s="229">
        <f t="shared" si="16"/>
        <v>0</v>
      </c>
      <c r="BD23" s="48">
        <f t="shared" si="11"/>
        <v>1</v>
      </c>
      <c r="BE23" s="19">
        <v>2</v>
      </c>
      <c r="BF23" s="229">
        <f t="shared" si="17"/>
        <v>0</v>
      </c>
      <c r="BG23" s="210">
        <f t="shared" si="7"/>
        <v>1</v>
      </c>
      <c r="BH23" s="210">
        <f t="shared" si="8"/>
        <v>2</v>
      </c>
      <c r="BI23" s="213">
        <f t="shared" si="9"/>
        <v>50</v>
      </c>
      <c r="BJ23" s="141"/>
      <c r="BK23" s="201"/>
      <c r="BL23" s="198"/>
      <c r="BM23" s="198"/>
    </row>
    <row r="24" spans="1:65" s="17" customFormat="1" ht="15.95" customHeight="1">
      <c r="A24" s="123">
        <v>14</v>
      </c>
      <c r="B24" s="9" t="s">
        <v>483</v>
      </c>
      <c r="C24" s="15" t="s">
        <v>2587</v>
      </c>
      <c r="D24" s="229"/>
      <c r="E24" s="13"/>
      <c r="F24" s="229"/>
      <c r="G24" s="13"/>
      <c r="H24" s="229"/>
      <c r="I24" s="13"/>
      <c r="J24" s="229"/>
      <c r="K24" s="13"/>
      <c r="L24" s="229"/>
      <c r="M24" s="13"/>
      <c r="N24" s="229"/>
      <c r="O24" s="13"/>
      <c r="P24" s="229"/>
      <c r="Q24" s="13"/>
      <c r="R24" s="229"/>
      <c r="S24" s="13"/>
      <c r="T24" s="229"/>
      <c r="U24" s="13"/>
      <c r="V24" s="229"/>
      <c r="W24" s="13"/>
      <c r="X24" s="229"/>
      <c r="Y24" s="13"/>
      <c r="Z24" s="229"/>
      <c r="AA24" s="13"/>
      <c r="AB24" s="229">
        <f t="shared" si="15"/>
        <v>0</v>
      </c>
      <c r="AC24" s="228">
        <f t="shared" si="10"/>
        <v>0</v>
      </c>
      <c r="AD24" s="21">
        <v>0</v>
      </c>
      <c r="AE24" s="229"/>
      <c r="AF24" s="20"/>
      <c r="AG24" s="229"/>
      <c r="AH24" s="20"/>
      <c r="AI24" s="229">
        <v>2</v>
      </c>
      <c r="AJ24" s="20">
        <v>2</v>
      </c>
      <c r="AK24" s="229"/>
      <c r="AL24" s="20"/>
      <c r="AM24" s="229"/>
      <c r="AN24" s="20"/>
      <c r="AO24" s="229">
        <v>7</v>
      </c>
      <c r="AP24" s="20">
        <v>7</v>
      </c>
      <c r="AQ24" s="229"/>
      <c r="AR24" s="20"/>
      <c r="AS24" s="229"/>
      <c r="AT24" s="20"/>
      <c r="AU24" s="229"/>
      <c r="AV24" s="20">
        <f>5+1</f>
        <v>6</v>
      </c>
      <c r="AW24" s="229"/>
      <c r="AX24" s="20"/>
      <c r="AY24" s="229"/>
      <c r="AZ24" s="20"/>
      <c r="BA24" s="229"/>
      <c r="BB24" s="20">
        <v>13</v>
      </c>
      <c r="BC24" s="229">
        <f t="shared" si="16"/>
        <v>9</v>
      </c>
      <c r="BD24" s="48">
        <f t="shared" si="11"/>
        <v>28</v>
      </c>
      <c r="BE24" s="19">
        <v>53</v>
      </c>
      <c r="BF24" s="229">
        <f t="shared" si="17"/>
        <v>9</v>
      </c>
      <c r="BG24" s="210">
        <f t="shared" si="7"/>
        <v>28</v>
      </c>
      <c r="BH24" s="210">
        <f t="shared" si="8"/>
        <v>53</v>
      </c>
      <c r="BI24" s="213">
        <f t="shared" si="9"/>
        <v>52.830188679245282</v>
      </c>
      <c r="BJ24" s="141"/>
      <c r="BK24" s="201"/>
      <c r="BL24" s="198"/>
      <c r="BM24" s="198"/>
    </row>
    <row r="25" spans="1:65" s="17" customFormat="1" ht="15.95" customHeight="1">
      <c r="A25" s="123">
        <v>15</v>
      </c>
      <c r="B25" s="9" t="s">
        <v>498</v>
      </c>
      <c r="C25" s="15" t="s">
        <v>2586</v>
      </c>
      <c r="D25" s="229"/>
      <c r="E25" s="13"/>
      <c r="F25" s="229"/>
      <c r="G25" s="13"/>
      <c r="H25" s="229"/>
      <c r="I25" s="13"/>
      <c r="J25" s="229"/>
      <c r="K25" s="13"/>
      <c r="L25" s="229"/>
      <c r="M25" s="13"/>
      <c r="N25" s="229"/>
      <c r="O25" s="13"/>
      <c r="P25" s="229"/>
      <c r="Q25" s="13"/>
      <c r="R25" s="229"/>
      <c r="S25" s="13"/>
      <c r="T25" s="229"/>
      <c r="U25" s="13"/>
      <c r="V25" s="229"/>
      <c r="W25" s="13"/>
      <c r="X25" s="229"/>
      <c r="Y25" s="13"/>
      <c r="Z25" s="229"/>
      <c r="AA25" s="13"/>
      <c r="AB25" s="229">
        <f t="shared" si="15"/>
        <v>0</v>
      </c>
      <c r="AC25" s="228">
        <f t="shared" si="10"/>
        <v>0</v>
      </c>
      <c r="AD25" s="21">
        <v>0</v>
      </c>
      <c r="AE25" s="229"/>
      <c r="AF25" s="20"/>
      <c r="AG25" s="229"/>
      <c r="AH25" s="20"/>
      <c r="AI25" s="229">
        <v>4</v>
      </c>
      <c r="AJ25" s="20">
        <v>4</v>
      </c>
      <c r="AK25" s="229"/>
      <c r="AL25" s="20"/>
      <c r="AM25" s="229"/>
      <c r="AN25" s="20"/>
      <c r="AO25" s="229">
        <v>3</v>
      </c>
      <c r="AP25" s="20">
        <v>3</v>
      </c>
      <c r="AQ25" s="229"/>
      <c r="AR25" s="20"/>
      <c r="AS25" s="229"/>
      <c r="AT25" s="20"/>
      <c r="AU25" s="229"/>
      <c r="AV25" s="20">
        <v>1</v>
      </c>
      <c r="AW25" s="229"/>
      <c r="AX25" s="20"/>
      <c r="AY25" s="229"/>
      <c r="AZ25" s="20"/>
      <c r="BA25" s="229"/>
      <c r="BB25" s="20">
        <v>2</v>
      </c>
      <c r="BC25" s="229">
        <f t="shared" si="16"/>
        <v>7</v>
      </c>
      <c r="BD25" s="48">
        <f t="shared" si="11"/>
        <v>10</v>
      </c>
      <c r="BE25" s="19">
        <v>5</v>
      </c>
      <c r="BF25" s="229">
        <f t="shared" si="17"/>
        <v>7</v>
      </c>
      <c r="BG25" s="210">
        <f t="shared" si="7"/>
        <v>10</v>
      </c>
      <c r="BH25" s="210">
        <f t="shared" si="8"/>
        <v>5</v>
      </c>
      <c r="BI25" s="213">
        <f t="shared" si="9"/>
        <v>200</v>
      </c>
      <c r="BJ25" s="141"/>
      <c r="BK25" s="201"/>
      <c r="BL25" s="198"/>
      <c r="BM25" s="198"/>
    </row>
    <row r="26" spans="1:65" s="17" customFormat="1" ht="15.95" customHeight="1">
      <c r="A26" s="123">
        <v>16</v>
      </c>
      <c r="B26" s="9" t="s">
        <v>484</v>
      </c>
      <c r="C26" s="11" t="s">
        <v>485</v>
      </c>
      <c r="D26" s="229"/>
      <c r="E26" s="13"/>
      <c r="F26" s="229"/>
      <c r="G26" s="13"/>
      <c r="H26" s="229"/>
      <c r="I26" s="13"/>
      <c r="J26" s="229"/>
      <c r="K26" s="13"/>
      <c r="L26" s="229"/>
      <c r="M26" s="13"/>
      <c r="N26" s="229"/>
      <c r="O26" s="13"/>
      <c r="P26" s="229"/>
      <c r="Q26" s="13"/>
      <c r="R26" s="229"/>
      <c r="S26" s="13"/>
      <c r="T26" s="229"/>
      <c r="U26" s="13"/>
      <c r="V26" s="229"/>
      <c r="W26" s="13"/>
      <c r="X26" s="229"/>
      <c r="Y26" s="13"/>
      <c r="Z26" s="229"/>
      <c r="AA26" s="13"/>
      <c r="AB26" s="229">
        <f t="shared" si="15"/>
        <v>0</v>
      </c>
      <c r="AC26" s="228">
        <f t="shared" si="10"/>
        <v>0</v>
      </c>
      <c r="AD26" s="21">
        <v>0</v>
      </c>
      <c r="AE26" s="229"/>
      <c r="AF26" s="20"/>
      <c r="AG26" s="229"/>
      <c r="AH26" s="20"/>
      <c r="AI26" s="229"/>
      <c r="AJ26" s="20"/>
      <c r="AK26" s="229"/>
      <c r="AL26" s="20"/>
      <c r="AM26" s="229"/>
      <c r="AN26" s="20"/>
      <c r="AO26" s="229">
        <v>4</v>
      </c>
      <c r="AP26" s="20">
        <v>4</v>
      </c>
      <c r="AQ26" s="229"/>
      <c r="AR26" s="20"/>
      <c r="AS26" s="229"/>
      <c r="AT26" s="20"/>
      <c r="AU26" s="229"/>
      <c r="AV26" s="20">
        <v>2</v>
      </c>
      <c r="AW26" s="229"/>
      <c r="AX26" s="20"/>
      <c r="AY26" s="229"/>
      <c r="AZ26" s="20"/>
      <c r="BA26" s="229"/>
      <c r="BB26" s="20">
        <v>1</v>
      </c>
      <c r="BC26" s="229">
        <f t="shared" si="16"/>
        <v>4</v>
      </c>
      <c r="BD26" s="48">
        <f t="shared" si="11"/>
        <v>7</v>
      </c>
      <c r="BE26" s="19">
        <v>18</v>
      </c>
      <c r="BF26" s="229">
        <f t="shared" si="17"/>
        <v>4</v>
      </c>
      <c r="BG26" s="210">
        <f t="shared" si="7"/>
        <v>7</v>
      </c>
      <c r="BH26" s="210">
        <f t="shared" si="8"/>
        <v>18</v>
      </c>
      <c r="BI26" s="213">
        <f t="shared" si="9"/>
        <v>38.888888888888893</v>
      </c>
      <c r="BJ26" s="141"/>
      <c r="BK26" s="201"/>
      <c r="BL26" s="198"/>
      <c r="BM26" s="198"/>
    </row>
    <row r="27" spans="1:65" s="17" customFormat="1" ht="15.95" customHeight="1">
      <c r="A27" s="123">
        <v>17</v>
      </c>
      <c r="B27" s="9" t="s">
        <v>476</v>
      </c>
      <c r="C27" s="15" t="s">
        <v>477</v>
      </c>
      <c r="D27" s="229"/>
      <c r="E27" s="13"/>
      <c r="F27" s="229"/>
      <c r="G27" s="13"/>
      <c r="H27" s="229"/>
      <c r="I27" s="13"/>
      <c r="J27" s="229"/>
      <c r="K27" s="13"/>
      <c r="L27" s="229"/>
      <c r="M27" s="13"/>
      <c r="N27" s="229"/>
      <c r="O27" s="13"/>
      <c r="P27" s="229"/>
      <c r="Q27" s="13"/>
      <c r="R27" s="229"/>
      <c r="S27" s="13"/>
      <c r="T27" s="229"/>
      <c r="U27" s="13"/>
      <c r="V27" s="229"/>
      <c r="W27" s="13"/>
      <c r="X27" s="229"/>
      <c r="Y27" s="13"/>
      <c r="Z27" s="229"/>
      <c r="AA27" s="13"/>
      <c r="AB27" s="229">
        <f t="shared" si="15"/>
        <v>0</v>
      </c>
      <c r="AC27" s="228">
        <f t="shared" si="10"/>
        <v>0</v>
      </c>
      <c r="AD27" s="21">
        <v>1</v>
      </c>
      <c r="AE27" s="229"/>
      <c r="AF27" s="20"/>
      <c r="AG27" s="229"/>
      <c r="AH27" s="20"/>
      <c r="AI27" s="229"/>
      <c r="AJ27" s="20"/>
      <c r="AK27" s="229"/>
      <c r="AL27" s="20"/>
      <c r="AM27" s="229"/>
      <c r="AN27" s="20"/>
      <c r="AO27" s="229">
        <v>1</v>
      </c>
      <c r="AP27" s="20">
        <v>1</v>
      </c>
      <c r="AQ27" s="229"/>
      <c r="AR27" s="20"/>
      <c r="AS27" s="229"/>
      <c r="AT27" s="20"/>
      <c r="AU27" s="229"/>
      <c r="AV27" s="20"/>
      <c r="AW27" s="229"/>
      <c r="AX27" s="20"/>
      <c r="AY27" s="229"/>
      <c r="AZ27" s="20"/>
      <c r="BA27" s="229"/>
      <c r="BB27" s="20">
        <v>2</v>
      </c>
      <c r="BC27" s="229">
        <f t="shared" si="16"/>
        <v>1</v>
      </c>
      <c r="BD27" s="48">
        <f t="shared" si="11"/>
        <v>3</v>
      </c>
      <c r="BE27" s="19">
        <v>2</v>
      </c>
      <c r="BF27" s="229">
        <f t="shared" si="17"/>
        <v>1</v>
      </c>
      <c r="BG27" s="210">
        <f t="shared" si="7"/>
        <v>3</v>
      </c>
      <c r="BH27" s="210">
        <f t="shared" si="8"/>
        <v>3</v>
      </c>
      <c r="BI27" s="213">
        <f t="shared" si="9"/>
        <v>100</v>
      </c>
      <c r="BJ27" s="141"/>
      <c r="BK27" s="201"/>
      <c r="BL27" s="198"/>
      <c r="BM27" s="198"/>
    </row>
    <row r="28" spans="1:65" s="17" customFormat="1" ht="15.95" customHeight="1">
      <c r="A28" s="123">
        <v>18</v>
      </c>
      <c r="B28" s="9" t="s">
        <v>34</v>
      </c>
      <c r="C28" s="11" t="s">
        <v>35</v>
      </c>
      <c r="D28" s="229"/>
      <c r="E28" s="13"/>
      <c r="F28" s="229"/>
      <c r="G28" s="13"/>
      <c r="H28" s="229"/>
      <c r="I28" s="13"/>
      <c r="J28" s="229"/>
      <c r="K28" s="13"/>
      <c r="L28" s="229"/>
      <c r="M28" s="13"/>
      <c r="N28" s="229"/>
      <c r="O28" s="13"/>
      <c r="P28" s="229"/>
      <c r="Q28" s="13"/>
      <c r="R28" s="229"/>
      <c r="S28" s="13"/>
      <c r="T28" s="229"/>
      <c r="U28" s="13"/>
      <c r="V28" s="229"/>
      <c r="W28" s="13"/>
      <c r="X28" s="229"/>
      <c r="Y28" s="13"/>
      <c r="Z28" s="229"/>
      <c r="AA28" s="13"/>
      <c r="AB28" s="229">
        <f t="shared" si="15"/>
        <v>0</v>
      </c>
      <c r="AC28" s="228">
        <f t="shared" si="10"/>
        <v>0</v>
      </c>
      <c r="AD28" s="21">
        <v>0</v>
      </c>
      <c r="AE28" s="229"/>
      <c r="AF28" s="20"/>
      <c r="AG28" s="229"/>
      <c r="AH28" s="20"/>
      <c r="AI28" s="229"/>
      <c r="AJ28" s="20"/>
      <c r="AK28" s="229"/>
      <c r="AL28" s="20"/>
      <c r="AM28" s="229"/>
      <c r="AN28" s="20"/>
      <c r="AO28" s="229"/>
      <c r="AP28" s="20"/>
      <c r="AQ28" s="229"/>
      <c r="AR28" s="20"/>
      <c r="AS28" s="229"/>
      <c r="AT28" s="20"/>
      <c r="AU28" s="229"/>
      <c r="AV28" s="20"/>
      <c r="AW28" s="229"/>
      <c r="AX28" s="20"/>
      <c r="AY28" s="229"/>
      <c r="AZ28" s="20"/>
      <c r="BA28" s="229"/>
      <c r="BB28" s="20">
        <f>1+1</f>
        <v>2</v>
      </c>
      <c r="BC28" s="229">
        <f t="shared" si="16"/>
        <v>0</v>
      </c>
      <c r="BD28" s="48">
        <f t="shared" si="11"/>
        <v>2</v>
      </c>
      <c r="BE28" s="19">
        <v>1</v>
      </c>
      <c r="BF28" s="229">
        <f t="shared" si="17"/>
        <v>0</v>
      </c>
      <c r="BG28" s="210">
        <f t="shared" si="7"/>
        <v>2</v>
      </c>
      <c r="BH28" s="210">
        <f t="shared" si="8"/>
        <v>1</v>
      </c>
      <c r="BI28" s="213">
        <f t="shared" si="9"/>
        <v>200</v>
      </c>
      <c r="BJ28" s="141"/>
      <c r="BK28" s="201"/>
      <c r="BL28" s="198"/>
      <c r="BM28" s="198"/>
    </row>
    <row r="29" spans="1:65" s="17" customFormat="1" ht="15.95" customHeight="1">
      <c r="A29" s="123">
        <v>19</v>
      </c>
      <c r="B29" s="9" t="s">
        <v>179</v>
      </c>
      <c r="C29" s="11" t="s">
        <v>180</v>
      </c>
      <c r="D29" s="229"/>
      <c r="E29" s="13"/>
      <c r="F29" s="229"/>
      <c r="G29" s="13"/>
      <c r="H29" s="229"/>
      <c r="I29" s="13"/>
      <c r="J29" s="229"/>
      <c r="K29" s="13"/>
      <c r="L29" s="229"/>
      <c r="M29" s="13"/>
      <c r="N29" s="229"/>
      <c r="O29" s="13"/>
      <c r="P29" s="229"/>
      <c r="Q29" s="13"/>
      <c r="R29" s="229"/>
      <c r="S29" s="13"/>
      <c r="T29" s="229"/>
      <c r="U29" s="13"/>
      <c r="V29" s="229"/>
      <c r="W29" s="13"/>
      <c r="X29" s="229"/>
      <c r="Y29" s="13"/>
      <c r="Z29" s="229"/>
      <c r="AA29" s="13"/>
      <c r="AB29" s="229">
        <f t="shared" si="15"/>
        <v>0</v>
      </c>
      <c r="AC29" s="228">
        <f t="shared" si="10"/>
        <v>0</v>
      </c>
      <c r="AD29" s="21">
        <v>0</v>
      </c>
      <c r="AE29" s="229"/>
      <c r="AF29" s="20"/>
      <c r="AG29" s="229"/>
      <c r="AH29" s="20"/>
      <c r="AI29" s="229"/>
      <c r="AJ29" s="20"/>
      <c r="AK29" s="229"/>
      <c r="AL29" s="20"/>
      <c r="AM29" s="229"/>
      <c r="AN29" s="20"/>
      <c r="AO29" s="229">
        <v>1</v>
      </c>
      <c r="AP29" s="20">
        <v>1</v>
      </c>
      <c r="AQ29" s="229"/>
      <c r="AR29" s="20"/>
      <c r="AS29" s="229"/>
      <c r="AT29" s="20"/>
      <c r="AU29" s="229"/>
      <c r="AV29" s="20"/>
      <c r="AW29" s="229"/>
      <c r="AX29" s="20"/>
      <c r="AY29" s="229"/>
      <c r="AZ29" s="20"/>
      <c r="BA29" s="229"/>
      <c r="BB29" s="20"/>
      <c r="BC29" s="229">
        <f t="shared" si="16"/>
        <v>1</v>
      </c>
      <c r="BD29" s="48">
        <f t="shared" si="11"/>
        <v>1</v>
      </c>
      <c r="BE29" s="19">
        <v>0</v>
      </c>
      <c r="BF29" s="229"/>
      <c r="BG29" s="210">
        <f t="shared" si="7"/>
        <v>1</v>
      </c>
      <c r="BH29" s="210">
        <f t="shared" si="8"/>
        <v>0</v>
      </c>
      <c r="BI29" s="213" t="e">
        <f t="shared" si="9"/>
        <v>#DIV/0!</v>
      </c>
      <c r="BJ29" s="141"/>
      <c r="BK29" s="201"/>
      <c r="BL29" s="198"/>
      <c r="BM29" s="198"/>
    </row>
    <row r="30" spans="1:65" s="17" customFormat="1" ht="15.95" customHeight="1">
      <c r="A30" s="123">
        <v>20</v>
      </c>
      <c r="B30" s="9" t="s">
        <v>193</v>
      </c>
      <c r="C30" s="11" t="s">
        <v>1657</v>
      </c>
      <c r="D30" s="229"/>
      <c r="E30" s="13"/>
      <c r="F30" s="229"/>
      <c r="G30" s="13"/>
      <c r="H30" s="229"/>
      <c r="I30" s="13"/>
      <c r="J30" s="229"/>
      <c r="K30" s="13"/>
      <c r="L30" s="229"/>
      <c r="M30" s="13"/>
      <c r="N30" s="229"/>
      <c r="O30" s="13"/>
      <c r="P30" s="229"/>
      <c r="Q30" s="13"/>
      <c r="R30" s="229"/>
      <c r="S30" s="13"/>
      <c r="T30" s="229"/>
      <c r="U30" s="13"/>
      <c r="V30" s="229"/>
      <c r="W30" s="13"/>
      <c r="X30" s="229"/>
      <c r="Y30" s="13"/>
      <c r="Z30" s="229"/>
      <c r="AA30" s="13"/>
      <c r="AB30" s="229">
        <f t="shared" si="15"/>
        <v>0</v>
      </c>
      <c r="AC30" s="228">
        <f t="shared" si="10"/>
        <v>0</v>
      </c>
      <c r="AD30" s="21">
        <v>1</v>
      </c>
      <c r="AE30" s="229"/>
      <c r="AF30" s="20"/>
      <c r="AG30" s="229"/>
      <c r="AH30" s="20"/>
      <c r="AI30" s="229"/>
      <c r="AJ30" s="20"/>
      <c r="AK30" s="229"/>
      <c r="AL30" s="20"/>
      <c r="AM30" s="229"/>
      <c r="AN30" s="20"/>
      <c r="AO30" s="229"/>
      <c r="AP30" s="20"/>
      <c r="AQ30" s="229"/>
      <c r="AR30" s="20"/>
      <c r="AS30" s="229"/>
      <c r="AT30" s="20"/>
      <c r="AU30" s="229"/>
      <c r="AV30" s="20"/>
      <c r="AW30" s="229"/>
      <c r="AX30" s="20"/>
      <c r="AY30" s="229"/>
      <c r="AZ30" s="20"/>
      <c r="BA30" s="229"/>
      <c r="BB30" s="20"/>
      <c r="BC30" s="229">
        <f t="shared" si="16"/>
        <v>0</v>
      </c>
      <c r="BD30" s="48">
        <f t="shared" si="11"/>
        <v>0</v>
      </c>
      <c r="BE30" s="19">
        <v>0</v>
      </c>
      <c r="BF30" s="229">
        <f>AB30+BC30</f>
        <v>0</v>
      </c>
      <c r="BG30" s="210">
        <f t="shared" si="7"/>
        <v>0</v>
      </c>
      <c r="BH30" s="210">
        <f t="shared" si="8"/>
        <v>1</v>
      </c>
      <c r="BI30" s="213">
        <f t="shared" si="9"/>
        <v>0</v>
      </c>
      <c r="BJ30" s="141"/>
      <c r="BK30" s="201"/>
      <c r="BL30" s="198"/>
      <c r="BM30" s="198"/>
    </row>
    <row r="31" spans="1:65" s="17" customFormat="1" ht="15.95" customHeight="1">
      <c r="A31" s="123">
        <v>21</v>
      </c>
      <c r="B31" s="9" t="s">
        <v>36</v>
      </c>
      <c r="C31" s="11" t="s">
        <v>2552</v>
      </c>
      <c r="D31" s="229"/>
      <c r="E31" s="13"/>
      <c r="F31" s="229"/>
      <c r="G31" s="13"/>
      <c r="H31" s="229"/>
      <c r="I31" s="13"/>
      <c r="J31" s="229"/>
      <c r="K31" s="13"/>
      <c r="L31" s="229"/>
      <c r="M31" s="13"/>
      <c r="N31" s="229"/>
      <c r="O31" s="13"/>
      <c r="P31" s="229"/>
      <c r="Q31" s="13"/>
      <c r="R31" s="229"/>
      <c r="S31" s="13"/>
      <c r="T31" s="229"/>
      <c r="U31" s="13"/>
      <c r="V31" s="229"/>
      <c r="W31" s="13"/>
      <c r="X31" s="229"/>
      <c r="Y31" s="13"/>
      <c r="Z31" s="229"/>
      <c r="AA31" s="13"/>
      <c r="AB31" s="229">
        <f t="shared" si="15"/>
        <v>0</v>
      </c>
      <c r="AC31" s="228">
        <f t="shared" si="10"/>
        <v>0</v>
      </c>
      <c r="AD31" s="21">
        <v>0</v>
      </c>
      <c r="AE31" s="229"/>
      <c r="AF31" s="20"/>
      <c r="AG31" s="229"/>
      <c r="AH31" s="20"/>
      <c r="AI31" s="229"/>
      <c r="AJ31" s="20"/>
      <c r="AK31" s="229"/>
      <c r="AL31" s="20"/>
      <c r="AM31" s="229"/>
      <c r="AN31" s="20"/>
      <c r="AO31" s="229">
        <v>1</v>
      </c>
      <c r="AP31" s="20">
        <v>1</v>
      </c>
      <c r="AQ31" s="229"/>
      <c r="AR31" s="20"/>
      <c r="AS31" s="229"/>
      <c r="AT31" s="20"/>
      <c r="AU31" s="229"/>
      <c r="AV31" s="20"/>
      <c r="AW31" s="229"/>
      <c r="AX31" s="20"/>
      <c r="AY31" s="229"/>
      <c r="AZ31" s="20"/>
      <c r="BA31" s="229"/>
      <c r="BB31" s="20"/>
      <c r="BC31" s="229">
        <f t="shared" si="16"/>
        <v>1</v>
      </c>
      <c r="BD31" s="48">
        <f t="shared" si="11"/>
        <v>1</v>
      </c>
      <c r="BE31" s="19">
        <v>1</v>
      </c>
      <c r="BF31" s="229">
        <f>AB31+BC31</f>
        <v>1</v>
      </c>
      <c r="BG31" s="210">
        <f t="shared" si="7"/>
        <v>1</v>
      </c>
      <c r="BH31" s="210">
        <f t="shared" si="8"/>
        <v>1</v>
      </c>
      <c r="BI31" s="213">
        <f t="shared" si="9"/>
        <v>100</v>
      </c>
      <c r="BJ31" s="141"/>
      <c r="BK31" s="201"/>
      <c r="BL31" s="198"/>
      <c r="BM31" s="198"/>
    </row>
    <row r="32" spans="1:65" s="17" customFormat="1" ht="15.95" customHeight="1">
      <c r="A32" s="123">
        <v>22</v>
      </c>
      <c r="B32" s="321" t="s">
        <v>3039</v>
      </c>
      <c r="C32" s="322" t="s">
        <v>3188</v>
      </c>
      <c r="D32" s="323"/>
      <c r="E32" s="324"/>
      <c r="F32" s="323"/>
      <c r="G32" s="324"/>
      <c r="H32" s="323"/>
      <c r="I32" s="324"/>
      <c r="J32" s="323"/>
      <c r="K32" s="324"/>
      <c r="L32" s="323"/>
      <c r="M32" s="324"/>
      <c r="N32" s="323"/>
      <c r="O32" s="324"/>
      <c r="P32" s="323"/>
      <c r="Q32" s="324"/>
      <c r="R32" s="323"/>
      <c r="S32" s="324"/>
      <c r="T32" s="323"/>
      <c r="U32" s="324"/>
      <c r="V32" s="323"/>
      <c r="W32" s="324"/>
      <c r="X32" s="323"/>
      <c r="Y32" s="324"/>
      <c r="Z32" s="323"/>
      <c r="AA32" s="324"/>
      <c r="AB32" s="323"/>
      <c r="AC32" s="228">
        <f t="shared" si="10"/>
        <v>0</v>
      </c>
      <c r="AD32" s="329">
        <v>0</v>
      </c>
      <c r="AE32" s="323"/>
      <c r="AF32" s="327"/>
      <c r="AG32" s="323"/>
      <c r="AH32" s="327"/>
      <c r="AI32" s="323"/>
      <c r="AJ32" s="327"/>
      <c r="AK32" s="323"/>
      <c r="AL32" s="327"/>
      <c r="AM32" s="323"/>
      <c r="AN32" s="327"/>
      <c r="AO32" s="323"/>
      <c r="AP32" s="327"/>
      <c r="AQ32" s="323"/>
      <c r="AR32" s="327"/>
      <c r="AS32" s="323"/>
      <c r="AT32" s="327"/>
      <c r="AU32" s="323"/>
      <c r="AV32" s="327"/>
      <c r="AW32" s="323"/>
      <c r="AX32" s="327"/>
      <c r="AY32" s="323"/>
      <c r="AZ32" s="327"/>
      <c r="BA32" s="323"/>
      <c r="BB32" s="327"/>
      <c r="BC32" s="323"/>
      <c r="BD32" s="48">
        <f t="shared" si="11"/>
        <v>0</v>
      </c>
      <c r="BE32" s="326">
        <v>0</v>
      </c>
      <c r="BF32" s="323"/>
      <c r="BG32" s="210">
        <f t="shared" si="7"/>
        <v>0</v>
      </c>
      <c r="BH32" s="210">
        <f t="shared" si="8"/>
        <v>0</v>
      </c>
      <c r="BI32" s="213" t="e">
        <f t="shared" si="9"/>
        <v>#DIV/0!</v>
      </c>
      <c r="BJ32" s="141"/>
      <c r="BK32" s="201"/>
      <c r="BL32" s="198"/>
      <c r="BM32" s="198"/>
    </row>
    <row r="33" spans="1:65" s="17" customFormat="1" ht="15.95" customHeight="1">
      <c r="A33" s="123">
        <v>23</v>
      </c>
      <c r="B33" s="9" t="s">
        <v>37</v>
      </c>
      <c r="C33" s="11" t="s">
        <v>38</v>
      </c>
      <c r="D33" s="229"/>
      <c r="E33" s="13"/>
      <c r="F33" s="229"/>
      <c r="G33" s="13"/>
      <c r="H33" s="229">
        <v>1</v>
      </c>
      <c r="I33" s="13">
        <v>1</v>
      </c>
      <c r="J33" s="229"/>
      <c r="K33" s="13"/>
      <c r="L33" s="229"/>
      <c r="M33" s="13"/>
      <c r="N33" s="229"/>
      <c r="O33" s="13"/>
      <c r="P33" s="229"/>
      <c r="Q33" s="13"/>
      <c r="R33" s="229"/>
      <c r="S33" s="13"/>
      <c r="T33" s="229"/>
      <c r="U33" s="13"/>
      <c r="V33" s="229"/>
      <c r="W33" s="13"/>
      <c r="X33" s="229"/>
      <c r="Y33" s="13"/>
      <c r="Z33" s="229"/>
      <c r="AA33" s="13"/>
      <c r="AB33" s="229">
        <f>D33+F33+H33+J33+L33+N33+P33+R33+T33+V33+X33+Z33</f>
        <v>1</v>
      </c>
      <c r="AC33" s="228">
        <f t="shared" si="10"/>
        <v>1</v>
      </c>
      <c r="AD33" s="21">
        <v>6</v>
      </c>
      <c r="AE33" s="229"/>
      <c r="AF33" s="20"/>
      <c r="AG33" s="229"/>
      <c r="AH33" s="20"/>
      <c r="AI33" s="229"/>
      <c r="AJ33" s="20"/>
      <c r="AK33" s="229"/>
      <c r="AL33" s="20"/>
      <c r="AM33" s="229"/>
      <c r="AN33" s="20"/>
      <c r="AO33" s="229">
        <v>2</v>
      </c>
      <c r="AP33" s="20">
        <v>2</v>
      </c>
      <c r="AQ33" s="229"/>
      <c r="AR33" s="20"/>
      <c r="AS33" s="229"/>
      <c r="AT33" s="20"/>
      <c r="AU33" s="229"/>
      <c r="AV33" s="20">
        <v>1</v>
      </c>
      <c r="AW33" s="229"/>
      <c r="AX33" s="20"/>
      <c r="AY33" s="229"/>
      <c r="AZ33" s="20"/>
      <c r="BA33" s="229"/>
      <c r="BB33" s="20">
        <v>2</v>
      </c>
      <c r="BC33" s="229">
        <f>AE33+AG33+AI33+AK33+AM33+AO33+AQ33+AS33+AU33+AW33+AY33+BA33</f>
        <v>2</v>
      </c>
      <c r="BD33" s="48">
        <f t="shared" si="11"/>
        <v>5</v>
      </c>
      <c r="BE33" s="19">
        <v>1</v>
      </c>
      <c r="BF33" s="229">
        <f>AB33+BC33</f>
        <v>3</v>
      </c>
      <c r="BG33" s="210">
        <f t="shared" si="7"/>
        <v>6</v>
      </c>
      <c r="BH33" s="210">
        <f t="shared" si="8"/>
        <v>7</v>
      </c>
      <c r="BI33" s="213">
        <f t="shared" si="9"/>
        <v>85.714285714285708</v>
      </c>
      <c r="BJ33" s="141"/>
      <c r="BK33" s="201"/>
      <c r="BL33" s="198"/>
      <c r="BM33" s="198"/>
    </row>
    <row r="34" spans="1:65" s="17" customFormat="1" ht="21.75" customHeight="1">
      <c r="A34" s="123">
        <v>24</v>
      </c>
      <c r="B34" s="9" t="s">
        <v>3083</v>
      </c>
      <c r="C34" s="10" t="s">
        <v>3084</v>
      </c>
      <c r="D34" s="229"/>
      <c r="E34" s="13"/>
      <c r="F34" s="229"/>
      <c r="G34" s="13"/>
      <c r="H34" s="229"/>
      <c r="I34" s="13"/>
      <c r="J34" s="229"/>
      <c r="K34" s="13"/>
      <c r="L34" s="229"/>
      <c r="M34" s="13"/>
      <c r="N34" s="229"/>
      <c r="O34" s="13"/>
      <c r="P34" s="229"/>
      <c r="Q34" s="13"/>
      <c r="R34" s="229"/>
      <c r="S34" s="13"/>
      <c r="T34" s="229"/>
      <c r="U34" s="13"/>
      <c r="V34" s="229"/>
      <c r="W34" s="13"/>
      <c r="X34" s="229"/>
      <c r="Y34" s="13"/>
      <c r="Z34" s="229"/>
      <c r="AA34" s="13"/>
      <c r="AB34" s="229"/>
      <c r="AC34" s="228">
        <f t="shared" si="10"/>
        <v>0</v>
      </c>
      <c r="AD34" s="21">
        <v>0</v>
      </c>
      <c r="AE34" s="229"/>
      <c r="AF34" s="20"/>
      <c r="AG34" s="229"/>
      <c r="AH34" s="20"/>
      <c r="AI34" s="229"/>
      <c r="AJ34" s="20"/>
      <c r="AK34" s="229"/>
      <c r="AL34" s="20"/>
      <c r="AM34" s="229"/>
      <c r="AN34" s="20"/>
      <c r="AO34" s="229"/>
      <c r="AP34" s="20">
        <v>1</v>
      </c>
      <c r="AQ34" s="229"/>
      <c r="AR34" s="20"/>
      <c r="AS34" s="229"/>
      <c r="AT34" s="20"/>
      <c r="AU34" s="229"/>
      <c r="AV34" s="20"/>
      <c r="AW34" s="229"/>
      <c r="AX34" s="20"/>
      <c r="AY34" s="229"/>
      <c r="AZ34" s="20"/>
      <c r="BA34" s="229"/>
      <c r="BB34" s="20">
        <v>1</v>
      </c>
      <c r="BC34" s="229"/>
      <c r="BD34" s="48">
        <f t="shared" si="11"/>
        <v>2</v>
      </c>
      <c r="BE34" s="19">
        <v>0</v>
      </c>
      <c r="BF34" s="229"/>
      <c r="BG34" s="210">
        <f t="shared" si="7"/>
        <v>2</v>
      </c>
      <c r="BH34" s="210">
        <f t="shared" si="8"/>
        <v>0</v>
      </c>
      <c r="BI34" s="213" t="e">
        <f t="shared" si="9"/>
        <v>#DIV/0!</v>
      </c>
      <c r="BJ34" s="141"/>
      <c r="BK34" s="201"/>
      <c r="BL34" s="198"/>
      <c r="BM34" s="198"/>
    </row>
    <row r="35" spans="1:65" s="17" customFormat="1" ht="15.95" customHeight="1">
      <c r="A35" s="123">
        <v>25</v>
      </c>
      <c r="B35" s="9" t="s">
        <v>1506</v>
      </c>
      <c r="C35" s="11" t="s">
        <v>1507</v>
      </c>
      <c r="D35" s="229"/>
      <c r="E35" s="13"/>
      <c r="F35" s="229"/>
      <c r="G35" s="13"/>
      <c r="H35" s="229"/>
      <c r="I35" s="13"/>
      <c r="J35" s="229"/>
      <c r="K35" s="13"/>
      <c r="L35" s="229"/>
      <c r="M35" s="13"/>
      <c r="N35" s="229"/>
      <c r="O35" s="13"/>
      <c r="P35" s="229"/>
      <c r="Q35" s="13"/>
      <c r="R35" s="229"/>
      <c r="S35" s="13"/>
      <c r="T35" s="229"/>
      <c r="U35" s="13">
        <v>1</v>
      </c>
      <c r="V35" s="229"/>
      <c r="W35" s="13"/>
      <c r="X35" s="229"/>
      <c r="Y35" s="13"/>
      <c r="Z35" s="229"/>
      <c r="AA35" s="13"/>
      <c r="AB35" s="229">
        <f t="shared" ref="AB35:AB54" si="18">D35+F35+H35+J35+L35+N35+P35+R35+T35+V35+X35+Z35</f>
        <v>0</v>
      </c>
      <c r="AC35" s="228">
        <f t="shared" si="10"/>
        <v>1</v>
      </c>
      <c r="AD35" s="21">
        <v>1</v>
      </c>
      <c r="AE35" s="229"/>
      <c r="AF35" s="20"/>
      <c r="AG35" s="229"/>
      <c r="AH35" s="20"/>
      <c r="AI35" s="229">
        <v>1</v>
      </c>
      <c r="AJ35" s="20">
        <v>1</v>
      </c>
      <c r="AK35" s="229"/>
      <c r="AL35" s="20"/>
      <c r="AM35" s="229"/>
      <c r="AN35" s="20"/>
      <c r="AO35" s="229"/>
      <c r="AP35" s="20"/>
      <c r="AQ35" s="229"/>
      <c r="AR35" s="20"/>
      <c r="AS35" s="229"/>
      <c r="AT35" s="20"/>
      <c r="AU35" s="229"/>
      <c r="AV35" s="20"/>
      <c r="AW35" s="229"/>
      <c r="AX35" s="20"/>
      <c r="AY35" s="229"/>
      <c r="AZ35" s="20"/>
      <c r="BA35" s="229"/>
      <c r="BB35" s="20"/>
      <c r="BC35" s="229">
        <f t="shared" ref="BC35:BC54" si="19">AE35+AG35+AI35+AK35+AM35+AO35+AQ35+AS35+AU35+AW35+AY35+BA35</f>
        <v>1</v>
      </c>
      <c r="BD35" s="48">
        <f t="shared" si="11"/>
        <v>1</v>
      </c>
      <c r="BE35" s="19">
        <v>1</v>
      </c>
      <c r="BF35" s="229">
        <f t="shared" ref="BF35:BF54" si="20">AB35+BC35</f>
        <v>1</v>
      </c>
      <c r="BG35" s="210">
        <f t="shared" si="7"/>
        <v>2</v>
      </c>
      <c r="BH35" s="210">
        <f t="shared" si="8"/>
        <v>2</v>
      </c>
      <c r="BI35" s="213">
        <f t="shared" si="9"/>
        <v>100</v>
      </c>
      <c r="BJ35" s="141"/>
      <c r="BK35" s="201"/>
      <c r="BL35" s="198"/>
      <c r="BM35" s="198"/>
    </row>
    <row r="36" spans="1:65" s="17" customFormat="1" ht="15.95" customHeight="1">
      <c r="A36" s="123">
        <v>26</v>
      </c>
      <c r="B36" s="9" t="s">
        <v>41</v>
      </c>
      <c r="C36" s="11" t="s">
        <v>42</v>
      </c>
      <c r="D36" s="229"/>
      <c r="E36" s="13"/>
      <c r="F36" s="229"/>
      <c r="G36" s="13"/>
      <c r="H36" s="229"/>
      <c r="I36" s="13"/>
      <c r="J36" s="229"/>
      <c r="K36" s="13"/>
      <c r="L36" s="229"/>
      <c r="M36" s="13"/>
      <c r="N36" s="229"/>
      <c r="O36" s="13"/>
      <c r="P36" s="229"/>
      <c r="Q36" s="13"/>
      <c r="R36" s="229"/>
      <c r="S36" s="13"/>
      <c r="T36" s="229"/>
      <c r="U36" s="13"/>
      <c r="V36" s="229"/>
      <c r="W36" s="13"/>
      <c r="X36" s="229"/>
      <c r="Y36" s="13"/>
      <c r="Z36" s="229"/>
      <c r="AA36" s="13"/>
      <c r="AB36" s="229">
        <f t="shared" si="18"/>
        <v>0</v>
      </c>
      <c r="AC36" s="228">
        <f t="shared" si="10"/>
        <v>0</v>
      </c>
      <c r="AD36" s="21">
        <v>0</v>
      </c>
      <c r="AE36" s="229"/>
      <c r="AF36" s="20"/>
      <c r="AG36" s="229"/>
      <c r="AH36" s="20"/>
      <c r="AI36" s="229"/>
      <c r="AJ36" s="20"/>
      <c r="AK36" s="229"/>
      <c r="AL36" s="20"/>
      <c r="AM36" s="229"/>
      <c r="AN36" s="20"/>
      <c r="AO36" s="229"/>
      <c r="AP36" s="20"/>
      <c r="AQ36" s="229"/>
      <c r="AR36" s="20"/>
      <c r="AS36" s="229"/>
      <c r="AT36" s="20"/>
      <c r="AU36" s="229"/>
      <c r="AV36" s="20"/>
      <c r="AW36" s="229"/>
      <c r="AX36" s="20"/>
      <c r="AY36" s="229"/>
      <c r="AZ36" s="20"/>
      <c r="BA36" s="229"/>
      <c r="BB36" s="20"/>
      <c r="BC36" s="229">
        <f t="shared" si="19"/>
        <v>0</v>
      </c>
      <c r="BD36" s="48">
        <f t="shared" si="11"/>
        <v>0</v>
      </c>
      <c r="BE36" s="19">
        <v>1</v>
      </c>
      <c r="BF36" s="229">
        <f t="shared" si="20"/>
        <v>0</v>
      </c>
      <c r="BG36" s="210">
        <f t="shared" si="7"/>
        <v>0</v>
      </c>
      <c r="BH36" s="210">
        <f t="shared" si="8"/>
        <v>1</v>
      </c>
      <c r="BI36" s="213">
        <f t="shared" si="9"/>
        <v>0</v>
      </c>
      <c r="BJ36" s="141"/>
      <c r="BK36" s="201"/>
      <c r="BL36" s="198"/>
      <c r="BM36" s="198"/>
    </row>
    <row r="37" spans="1:65" s="17" customFormat="1" ht="15.95" customHeight="1">
      <c r="A37" s="123">
        <v>27</v>
      </c>
      <c r="B37" s="9" t="s">
        <v>488</v>
      </c>
      <c r="C37" s="11" t="s">
        <v>1474</v>
      </c>
      <c r="D37" s="229"/>
      <c r="E37" s="13"/>
      <c r="F37" s="229"/>
      <c r="G37" s="13"/>
      <c r="H37" s="229"/>
      <c r="I37" s="13"/>
      <c r="J37" s="229"/>
      <c r="K37" s="13"/>
      <c r="L37" s="229"/>
      <c r="M37" s="13"/>
      <c r="N37" s="229"/>
      <c r="O37" s="13"/>
      <c r="P37" s="229"/>
      <c r="Q37" s="13"/>
      <c r="R37" s="229"/>
      <c r="S37" s="13"/>
      <c r="T37" s="229"/>
      <c r="U37" s="13"/>
      <c r="V37" s="229"/>
      <c r="W37" s="13"/>
      <c r="X37" s="229"/>
      <c r="Y37" s="13"/>
      <c r="Z37" s="229"/>
      <c r="AA37" s="13"/>
      <c r="AB37" s="229">
        <f t="shared" si="18"/>
        <v>0</v>
      </c>
      <c r="AC37" s="228">
        <f t="shared" si="10"/>
        <v>0</v>
      </c>
      <c r="AD37" s="21">
        <v>0</v>
      </c>
      <c r="AE37" s="229"/>
      <c r="AF37" s="20"/>
      <c r="AG37" s="229"/>
      <c r="AH37" s="20"/>
      <c r="AI37" s="229">
        <v>7</v>
      </c>
      <c r="AJ37" s="20">
        <v>7</v>
      </c>
      <c r="AK37" s="229"/>
      <c r="AL37" s="20"/>
      <c r="AM37" s="229"/>
      <c r="AN37" s="20"/>
      <c r="AO37" s="229">
        <v>6</v>
      </c>
      <c r="AP37" s="20">
        <v>6</v>
      </c>
      <c r="AQ37" s="229"/>
      <c r="AR37" s="20"/>
      <c r="AS37" s="229"/>
      <c r="AT37" s="20"/>
      <c r="AU37" s="229"/>
      <c r="AV37" s="20">
        <v>11</v>
      </c>
      <c r="AW37" s="229"/>
      <c r="AX37" s="20"/>
      <c r="AY37" s="229"/>
      <c r="AZ37" s="20"/>
      <c r="BA37" s="229"/>
      <c r="BB37" s="20">
        <v>9</v>
      </c>
      <c r="BC37" s="229">
        <f t="shared" si="19"/>
        <v>13</v>
      </c>
      <c r="BD37" s="48">
        <f t="shared" si="11"/>
        <v>33</v>
      </c>
      <c r="BE37" s="19">
        <v>20</v>
      </c>
      <c r="BF37" s="229">
        <f t="shared" si="20"/>
        <v>13</v>
      </c>
      <c r="BG37" s="210">
        <f t="shared" si="7"/>
        <v>33</v>
      </c>
      <c r="BH37" s="210">
        <f t="shared" si="8"/>
        <v>20</v>
      </c>
      <c r="BI37" s="213">
        <f t="shared" si="9"/>
        <v>165</v>
      </c>
      <c r="BJ37" s="141"/>
      <c r="BK37" s="201"/>
      <c r="BL37" s="198"/>
      <c r="BM37" s="198"/>
    </row>
    <row r="38" spans="1:65" s="17" customFormat="1" ht="15.95" customHeight="1">
      <c r="A38" s="123">
        <v>28</v>
      </c>
      <c r="B38" s="9" t="s">
        <v>44</v>
      </c>
      <c r="C38" s="181" t="s">
        <v>43</v>
      </c>
      <c r="D38" s="229"/>
      <c r="E38" s="13"/>
      <c r="F38" s="229"/>
      <c r="G38" s="13"/>
      <c r="H38" s="229"/>
      <c r="I38" s="13"/>
      <c r="J38" s="229"/>
      <c r="K38" s="13"/>
      <c r="L38" s="229"/>
      <c r="M38" s="13"/>
      <c r="N38" s="229"/>
      <c r="O38" s="13"/>
      <c r="P38" s="229"/>
      <c r="Q38" s="13"/>
      <c r="R38" s="229"/>
      <c r="S38" s="13"/>
      <c r="T38" s="229"/>
      <c r="U38" s="13"/>
      <c r="V38" s="229"/>
      <c r="W38" s="13"/>
      <c r="X38" s="229"/>
      <c r="Y38" s="13"/>
      <c r="Z38" s="229"/>
      <c r="AA38" s="13"/>
      <c r="AB38" s="229">
        <f t="shared" si="18"/>
        <v>0</v>
      </c>
      <c r="AC38" s="228">
        <f t="shared" si="10"/>
        <v>0</v>
      </c>
      <c r="AD38" s="21">
        <v>0</v>
      </c>
      <c r="AE38" s="229"/>
      <c r="AF38" s="20"/>
      <c r="AG38" s="229"/>
      <c r="AH38" s="20"/>
      <c r="AI38" s="229">
        <v>1</v>
      </c>
      <c r="AJ38" s="20">
        <v>1</v>
      </c>
      <c r="AK38" s="229"/>
      <c r="AL38" s="20"/>
      <c r="AM38" s="229"/>
      <c r="AN38" s="20"/>
      <c r="AO38" s="229"/>
      <c r="AP38" s="20"/>
      <c r="AQ38" s="229"/>
      <c r="AR38" s="20"/>
      <c r="AS38" s="229"/>
      <c r="AT38" s="20"/>
      <c r="AU38" s="229"/>
      <c r="AV38" s="20"/>
      <c r="AW38" s="229"/>
      <c r="AX38" s="20"/>
      <c r="AY38" s="229"/>
      <c r="AZ38" s="20"/>
      <c r="BA38" s="229"/>
      <c r="BB38" s="20">
        <v>2</v>
      </c>
      <c r="BC38" s="229">
        <f t="shared" si="19"/>
        <v>1</v>
      </c>
      <c r="BD38" s="48">
        <f t="shared" si="11"/>
        <v>3</v>
      </c>
      <c r="BE38" s="19">
        <v>3</v>
      </c>
      <c r="BF38" s="229">
        <f t="shared" si="20"/>
        <v>1</v>
      </c>
      <c r="BG38" s="210">
        <f t="shared" si="7"/>
        <v>3</v>
      </c>
      <c r="BH38" s="210">
        <f t="shared" si="8"/>
        <v>3</v>
      </c>
      <c r="BI38" s="213">
        <f t="shared" si="9"/>
        <v>100</v>
      </c>
      <c r="BJ38" s="141"/>
      <c r="BK38" s="201"/>
      <c r="BL38" s="198"/>
      <c r="BM38" s="198"/>
    </row>
    <row r="39" spans="1:65" s="17" customFormat="1" ht="15.95" customHeight="1">
      <c r="A39" s="123">
        <v>29</v>
      </c>
      <c r="B39" s="9" t="s">
        <v>47</v>
      </c>
      <c r="C39" s="11" t="s">
        <v>48</v>
      </c>
      <c r="D39" s="229"/>
      <c r="E39" s="13"/>
      <c r="F39" s="229"/>
      <c r="G39" s="13"/>
      <c r="H39" s="229"/>
      <c r="I39" s="13"/>
      <c r="J39" s="229"/>
      <c r="K39" s="13"/>
      <c r="L39" s="229"/>
      <c r="M39" s="13"/>
      <c r="N39" s="229"/>
      <c r="O39" s="13"/>
      <c r="P39" s="229"/>
      <c r="Q39" s="13"/>
      <c r="R39" s="229"/>
      <c r="S39" s="13"/>
      <c r="T39" s="229"/>
      <c r="U39" s="13"/>
      <c r="V39" s="229"/>
      <c r="W39" s="13"/>
      <c r="X39" s="229"/>
      <c r="Y39" s="13"/>
      <c r="Z39" s="229"/>
      <c r="AA39" s="13"/>
      <c r="AB39" s="229">
        <f t="shared" si="18"/>
        <v>0</v>
      </c>
      <c r="AC39" s="228">
        <f t="shared" si="10"/>
        <v>0</v>
      </c>
      <c r="AD39" s="21">
        <v>0</v>
      </c>
      <c r="AE39" s="229"/>
      <c r="AF39" s="20"/>
      <c r="AG39" s="229"/>
      <c r="AH39" s="20"/>
      <c r="AI39" s="229">
        <v>2</v>
      </c>
      <c r="AJ39" s="20">
        <v>2</v>
      </c>
      <c r="AK39" s="229"/>
      <c r="AL39" s="20"/>
      <c r="AM39" s="229"/>
      <c r="AN39" s="20"/>
      <c r="AO39" s="229">
        <v>1</v>
      </c>
      <c r="AP39" s="20">
        <v>1</v>
      </c>
      <c r="AQ39" s="229"/>
      <c r="AR39" s="20"/>
      <c r="AS39" s="229"/>
      <c r="AT39" s="20"/>
      <c r="AU39" s="229"/>
      <c r="AV39" s="20">
        <v>2</v>
      </c>
      <c r="AW39" s="229"/>
      <c r="AX39" s="20"/>
      <c r="AY39" s="229"/>
      <c r="AZ39" s="20"/>
      <c r="BA39" s="229"/>
      <c r="BB39" s="20"/>
      <c r="BC39" s="229">
        <f t="shared" si="19"/>
        <v>3</v>
      </c>
      <c r="BD39" s="48">
        <f t="shared" si="11"/>
        <v>5</v>
      </c>
      <c r="BE39" s="19">
        <v>2</v>
      </c>
      <c r="BF39" s="229">
        <f t="shared" si="20"/>
        <v>3</v>
      </c>
      <c r="BG39" s="210">
        <f t="shared" si="7"/>
        <v>5</v>
      </c>
      <c r="BH39" s="210">
        <f t="shared" si="8"/>
        <v>2</v>
      </c>
      <c r="BI39" s="213">
        <f t="shared" si="9"/>
        <v>250</v>
      </c>
      <c r="BJ39" s="141"/>
      <c r="BK39" s="201"/>
      <c r="BL39" s="198"/>
      <c r="BM39" s="198"/>
    </row>
    <row r="40" spans="1:65" s="17" customFormat="1" ht="15.95" customHeight="1">
      <c r="A40" s="123">
        <v>30</v>
      </c>
      <c r="B40" s="9" t="s">
        <v>1715</v>
      </c>
      <c r="C40" s="11" t="s">
        <v>1716</v>
      </c>
      <c r="D40" s="229"/>
      <c r="E40" s="13"/>
      <c r="F40" s="229"/>
      <c r="G40" s="13"/>
      <c r="H40" s="229"/>
      <c r="I40" s="13"/>
      <c r="J40" s="229"/>
      <c r="K40" s="13"/>
      <c r="L40" s="229"/>
      <c r="M40" s="13"/>
      <c r="N40" s="229"/>
      <c r="O40" s="13"/>
      <c r="P40" s="229"/>
      <c r="Q40" s="13"/>
      <c r="R40" s="229"/>
      <c r="S40" s="13"/>
      <c r="T40" s="229"/>
      <c r="U40" s="13"/>
      <c r="V40" s="229"/>
      <c r="W40" s="13"/>
      <c r="X40" s="229"/>
      <c r="Y40" s="13"/>
      <c r="Z40" s="229"/>
      <c r="AA40" s="13"/>
      <c r="AB40" s="229">
        <f t="shared" si="18"/>
        <v>0</v>
      </c>
      <c r="AC40" s="228">
        <f t="shared" si="10"/>
        <v>0</v>
      </c>
      <c r="AD40" s="21">
        <v>0</v>
      </c>
      <c r="AE40" s="229"/>
      <c r="AF40" s="20"/>
      <c r="AG40" s="229"/>
      <c r="AH40" s="20"/>
      <c r="AI40" s="229"/>
      <c r="AJ40" s="20"/>
      <c r="AK40" s="229"/>
      <c r="AL40" s="20"/>
      <c r="AM40" s="229"/>
      <c r="AN40" s="20"/>
      <c r="AO40" s="229"/>
      <c r="AP40" s="20"/>
      <c r="AQ40" s="229"/>
      <c r="AR40" s="20"/>
      <c r="AS40" s="229"/>
      <c r="AT40" s="20"/>
      <c r="AU40" s="229"/>
      <c r="AV40" s="20"/>
      <c r="AW40" s="229"/>
      <c r="AX40" s="20"/>
      <c r="AY40" s="229"/>
      <c r="AZ40" s="20"/>
      <c r="BA40" s="229"/>
      <c r="BB40" s="20"/>
      <c r="BC40" s="229">
        <f t="shared" si="19"/>
        <v>0</v>
      </c>
      <c r="BD40" s="48">
        <f t="shared" si="11"/>
        <v>0</v>
      </c>
      <c r="BE40" s="19">
        <v>1</v>
      </c>
      <c r="BF40" s="229">
        <f t="shared" si="20"/>
        <v>0</v>
      </c>
      <c r="BG40" s="210">
        <f t="shared" si="7"/>
        <v>0</v>
      </c>
      <c r="BH40" s="210">
        <f t="shared" si="8"/>
        <v>1</v>
      </c>
      <c r="BI40" s="213">
        <f t="shared" si="9"/>
        <v>0</v>
      </c>
      <c r="BJ40" s="141"/>
      <c r="BK40" s="201"/>
      <c r="BL40" s="198"/>
      <c r="BM40" s="198"/>
    </row>
    <row r="41" spans="1:65" s="17" customFormat="1" ht="15.95" customHeight="1">
      <c r="A41" s="123">
        <v>31</v>
      </c>
      <c r="B41" s="9" t="s">
        <v>515</v>
      </c>
      <c r="C41" s="11" t="s">
        <v>516</v>
      </c>
      <c r="D41" s="229"/>
      <c r="E41" s="13"/>
      <c r="F41" s="229"/>
      <c r="G41" s="13"/>
      <c r="H41" s="229"/>
      <c r="I41" s="13"/>
      <c r="J41" s="229"/>
      <c r="K41" s="13"/>
      <c r="L41" s="229"/>
      <c r="M41" s="13"/>
      <c r="N41" s="229"/>
      <c r="O41" s="13"/>
      <c r="P41" s="229"/>
      <c r="Q41" s="13"/>
      <c r="R41" s="229"/>
      <c r="S41" s="13"/>
      <c r="T41" s="229"/>
      <c r="U41" s="13"/>
      <c r="V41" s="229"/>
      <c r="W41" s="13"/>
      <c r="X41" s="229"/>
      <c r="Y41" s="13"/>
      <c r="Z41" s="229"/>
      <c r="AA41" s="13"/>
      <c r="AB41" s="229">
        <f t="shared" si="18"/>
        <v>0</v>
      </c>
      <c r="AC41" s="228">
        <f t="shared" si="10"/>
        <v>0</v>
      </c>
      <c r="AD41" s="21">
        <v>0</v>
      </c>
      <c r="AE41" s="229"/>
      <c r="AF41" s="20"/>
      <c r="AG41" s="229"/>
      <c r="AH41" s="20"/>
      <c r="AI41" s="229"/>
      <c r="AJ41" s="20"/>
      <c r="AK41" s="229"/>
      <c r="AL41" s="20"/>
      <c r="AM41" s="229"/>
      <c r="AN41" s="20"/>
      <c r="AO41" s="229"/>
      <c r="AP41" s="20"/>
      <c r="AQ41" s="229"/>
      <c r="AR41" s="20"/>
      <c r="AS41" s="229"/>
      <c r="AT41" s="20"/>
      <c r="AU41" s="229"/>
      <c r="AV41" s="20">
        <v>6</v>
      </c>
      <c r="AW41" s="229"/>
      <c r="AX41" s="20"/>
      <c r="AY41" s="229"/>
      <c r="AZ41" s="20"/>
      <c r="BA41" s="229"/>
      <c r="BB41" s="20">
        <v>2</v>
      </c>
      <c r="BC41" s="229">
        <f t="shared" si="19"/>
        <v>0</v>
      </c>
      <c r="BD41" s="48">
        <f t="shared" si="11"/>
        <v>8</v>
      </c>
      <c r="BE41" s="19">
        <v>5</v>
      </c>
      <c r="BF41" s="229">
        <f t="shared" si="20"/>
        <v>0</v>
      </c>
      <c r="BG41" s="210">
        <f t="shared" si="7"/>
        <v>8</v>
      </c>
      <c r="BH41" s="210">
        <f t="shared" si="8"/>
        <v>5</v>
      </c>
      <c r="BI41" s="213">
        <f t="shared" si="9"/>
        <v>160</v>
      </c>
      <c r="BJ41" s="141"/>
      <c r="BK41" s="201"/>
      <c r="BL41" s="198"/>
      <c r="BM41" s="198"/>
    </row>
    <row r="42" spans="1:65" s="17" customFormat="1" ht="15.95" customHeight="1">
      <c r="A42" s="123">
        <v>32</v>
      </c>
      <c r="B42" s="9" t="s">
        <v>53</v>
      </c>
      <c r="C42" s="11" t="s">
        <v>54</v>
      </c>
      <c r="D42" s="229"/>
      <c r="E42" s="13"/>
      <c r="F42" s="229"/>
      <c r="G42" s="13"/>
      <c r="H42" s="229"/>
      <c r="I42" s="13"/>
      <c r="J42" s="229"/>
      <c r="K42" s="13"/>
      <c r="L42" s="229"/>
      <c r="M42" s="13"/>
      <c r="N42" s="229"/>
      <c r="O42" s="13"/>
      <c r="P42" s="229"/>
      <c r="Q42" s="13"/>
      <c r="R42" s="229"/>
      <c r="S42" s="13"/>
      <c r="T42" s="229"/>
      <c r="U42" s="13"/>
      <c r="V42" s="229"/>
      <c r="W42" s="13"/>
      <c r="X42" s="229"/>
      <c r="Y42" s="13"/>
      <c r="Z42" s="229"/>
      <c r="AA42" s="13"/>
      <c r="AB42" s="229">
        <f t="shared" si="18"/>
        <v>0</v>
      </c>
      <c r="AC42" s="228">
        <f t="shared" si="10"/>
        <v>0</v>
      </c>
      <c r="AD42" s="21">
        <v>0</v>
      </c>
      <c r="AE42" s="229"/>
      <c r="AF42" s="20"/>
      <c r="AG42" s="229"/>
      <c r="AH42" s="20"/>
      <c r="AI42" s="229">
        <v>4</v>
      </c>
      <c r="AJ42" s="20">
        <v>4</v>
      </c>
      <c r="AK42" s="229"/>
      <c r="AL42" s="20"/>
      <c r="AM42" s="229"/>
      <c r="AN42" s="20"/>
      <c r="AO42" s="229">
        <f>AP411+8</f>
        <v>9</v>
      </c>
      <c r="AP42" s="20">
        <f>3+8</f>
        <v>11</v>
      </c>
      <c r="AQ42" s="229"/>
      <c r="AR42" s="20"/>
      <c r="AS42" s="229"/>
      <c r="AT42" s="20"/>
      <c r="AU42" s="229"/>
      <c r="AV42" s="20">
        <v>5</v>
      </c>
      <c r="AW42" s="229"/>
      <c r="AX42" s="20"/>
      <c r="AY42" s="229"/>
      <c r="AZ42" s="20"/>
      <c r="BA42" s="229"/>
      <c r="BB42" s="20">
        <f>2+8</f>
        <v>10</v>
      </c>
      <c r="BC42" s="229">
        <f t="shared" si="19"/>
        <v>13</v>
      </c>
      <c r="BD42" s="48">
        <f t="shared" si="11"/>
        <v>30</v>
      </c>
      <c r="BE42" s="19">
        <v>18</v>
      </c>
      <c r="BF42" s="229">
        <f t="shared" si="20"/>
        <v>13</v>
      </c>
      <c r="BG42" s="210">
        <f t="shared" si="7"/>
        <v>30</v>
      </c>
      <c r="BH42" s="210">
        <f t="shared" si="8"/>
        <v>18</v>
      </c>
      <c r="BI42" s="213">
        <f t="shared" si="9"/>
        <v>166.66666666666669</v>
      </c>
      <c r="BJ42" s="141"/>
      <c r="BK42" s="201"/>
      <c r="BL42" s="198"/>
      <c r="BM42" s="198"/>
    </row>
    <row r="43" spans="1:65" s="17" customFormat="1" ht="15.95" customHeight="1">
      <c r="A43" s="123">
        <v>33</v>
      </c>
      <c r="B43" s="9" t="s">
        <v>2950</v>
      </c>
      <c r="C43" s="11" t="s">
        <v>2951</v>
      </c>
      <c r="D43" s="229"/>
      <c r="E43" s="13"/>
      <c r="F43" s="229"/>
      <c r="G43" s="13"/>
      <c r="H43" s="229"/>
      <c r="I43" s="13"/>
      <c r="J43" s="229"/>
      <c r="K43" s="13"/>
      <c r="L43" s="229"/>
      <c r="M43" s="13"/>
      <c r="N43" s="229"/>
      <c r="O43" s="13"/>
      <c r="P43" s="229"/>
      <c r="Q43" s="13"/>
      <c r="R43" s="229"/>
      <c r="S43" s="13"/>
      <c r="T43" s="229"/>
      <c r="U43" s="13"/>
      <c r="V43" s="229"/>
      <c r="W43" s="13"/>
      <c r="X43" s="229"/>
      <c r="Y43" s="13"/>
      <c r="Z43" s="229"/>
      <c r="AA43" s="13"/>
      <c r="AB43" s="229">
        <f t="shared" si="18"/>
        <v>0</v>
      </c>
      <c r="AC43" s="228">
        <f t="shared" si="10"/>
        <v>0</v>
      </c>
      <c r="AD43" s="21">
        <v>0</v>
      </c>
      <c r="AE43" s="229"/>
      <c r="AF43" s="20"/>
      <c r="AG43" s="229"/>
      <c r="AH43" s="20"/>
      <c r="AI43" s="229">
        <v>1</v>
      </c>
      <c r="AJ43" s="20">
        <v>1</v>
      </c>
      <c r="AK43" s="229"/>
      <c r="AL43" s="20"/>
      <c r="AM43" s="229"/>
      <c r="AN43" s="20"/>
      <c r="AO43" s="229"/>
      <c r="AP43" s="20"/>
      <c r="AQ43" s="229"/>
      <c r="AR43" s="20"/>
      <c r="AS43" s="229"/>
      <c r="AT43" s="20"/>
      <c r="AU43" s="229"/>
      <c r="AV43" s="20">
        <v>1</v>
      </c>
      <c r="AW43" s="229"/>
      <c r="AX43" s="20"/>
      <c r="AY43" s="229"/>
      <c r="AZ43" s="20"/>
      <c r="BA43" s="229"/>
      <c r="BB43" s="20">
        <v>1</v>
      </c>
      <c r="BC43" s="229">
        <f t="shared" si="19"/>
        <v>1</v>
      </c>
      <c r="BD43" s="48">
        <f t="shared" si="11"/>
        <v>3</v>
      </c>
      <c r="BE43" s="19">
        <v>0</v>
      </c>
      <c r="BF43" s="229">
        <f t="shared" si="20"/>
        <v>1</v>
      </c>
      <c r="BG43" s="210">
        <f t="shared" ref="BG43:BG74" si="21">AC43+BD43</f>
        <v>3</v>
      </c>
      <c r="BH43" s="210">
        <f t="shared" ref="BH43:BH74" si="22">AD43+BE43</f>
        <v>0</v>
      </c>
      <c r="BI43" s="213" t="e">
        <f t="shared" ref="BI43:BI74" si="23">BG43/BH43*100</f>
        <v>#DIV/0!</v>
      </c>
      <c r="BJ43" s="141"/>
      <c r="BK43" s="201"/>
      <c r="BL43" s="198"/>
      <c r="BM43" s="198"/>
    </row>
    <row r="44" spans="1:65" s="17" customFormat="1" ht="15.95" customHeight="1">
      <c r="A44" s="123">
        <v>34</v>
      </c>
      <c r="B44" s="9" t="s">
        <v>55</v>
      </c>
      <c r="C44" s="11" t="s">
        <v>56</v>
      </c>
      <c r="D44" s="229"/>
      <c r="E44" s="13"/>
      <c r="F44" s="229"/>
      <c r="G44" s="13"/>
      <c r="H44" s="229"/>
      <c r="I44" s="13"/>
      <c r="J44" s="229"/>
      <c r="K44" s="13"/>
      <c r="L44" s="229"/>
      <c r="M44" s="13"/>
      <c r="N44" s="229"/>
      <c r="O44" s="13"/>
      <c r="P44" s="229"/>
      <c r="Q44" s="13"/>
      <c r="R44" s="229"/>
      <c r="S44" s="13"/>
      <c r="T44" s="229"/>
      <c r="U44" s="13"/>
      <c r="V44" s="229"/>
      <c r="W44" s="13"/>
      <c r="X44" s="229"/>
      <c r="Y44" s="13"/>
      <c r="Z44" s="229"/>
      <c r="AA44" s="13"/>
      <c r="AB44" s="229">
        <f t="shared" si="18"/>
        <v>0</v>
      </c>
      <c r="AC44" s="228">
        <f t="shared" si="10"/>
        <v>0</v>
      </c>
      <c r="AD44" s="21">
        <v>2</v>
      </c>
      <c r="AE44" s="229"/>
      <c r="AF44" s="20"/>
      <c r="AG44" s="229"/>
      <c r="AH44" s="20"/>
      <c r="AI44" s="229"/>
      <c r="AJ44" s="20"/>
      <c r="AK44" s="229"/>
      <c r="AL44" s="20"/>
      <c r="AM44" s="229"/>
      <c r="AN44" s="20"/>
      <c r="AO44" s="229">
        <v>1</v>
      </c>
      <c r="AP44" s="20">
        <v>1</v>
      </c>
      <c r="AQ44" s="229"/>
      <c r="AR44" s="20"/>
      <c r="AS44" s="229"/>
      <c r="AT44" s="20"/>
      <c r="AU44" s="229"/>
      <c r="AV44" s="20"/>
      <c r="AW44" s="229"/>
      <c r="AX44" s="20"/>
      <c r="AY44" s="229"/>
      <c r="AZ44" s="20"/>
      <c r="BA44" s="229"/>
      <c r="BB44" s="20">
        <v>1</v>
      </c>
      <c r="BC44" s="229">
        <f t="shared" si="19"/>
        <v>1</v>
      </c>
      <c r="BD44" s="48">
        <f t="shared" si="11"/>
        <v>2</v>
      </c>
      <c r="BE44" s="19">
        <v>2</v>
      </c>
      <c r="BF44" s="229">
        <f t="shared" si="20"/>
        <v>1</v>
      </c>
      <c r="BG44" s="210">
        <f t="shared" si="21"/>
        <v>2</v>
      </c>
      <c r="BH44" s="210">
        <f t="shared" si="22"/>
        <v>4</v>
      </c>
      <c r="BI44" s="213">
        <f t="shared" si="23"/>
        <v>50</v>
      </c>
      <c r="BJ44" s="141"/>
      <c r="BK44" s="201"/>
      <c r="BL44" s="198"/>
      <c r="BM44" s="198"/>
    </row>
    <row r="45" spans="1:65" s="17" customFormat="1" ht="15.95" customHeight="1">
      <c r="A45" s="123">
        <v>35</v>
      </c>
      <c r="B45" s="9" t="s">
        <v>2633</v>
      </c>
      <c r="C45" s="11" t="s">
        <v>2634</v>
      </c>
      <c r="D45" s="229"/>
      <c r="E45" s="13"/>
      <c r="F45" s="229"/>
      <c r="G45" s="13"/>
      <c r="H45" s="229"/>
      <c r="I45" s="13"/>
      <c r="J45" s="229"/>
      <c r="K45" s="13"/>
      <c r="L45" s="229"/>
      <c r="M45" s="13"/>
      <c r="N45" s="229"/>
      <c r="O45" s="13"/>
      <c r="P45" s="229"/>
      <c r="Q45" s="13"/>
      <c r="R45" s="229"/>
      <c r="S45" s="13"/>
      <c r="T45" s="229"/>
      <c r="U45" s="13"/>
      <c r="V45" s="229"/>
      <c r="W45" s="13"/>
      <c r="X45" s="229"/>
      <c r="Y45" s="13"/>
      <c r="Z45" s="229"/>
      <c r="AA45" s="13"/>
      <c r="AB45" s="229">
        <f t="shared" si="18"/>
        <v>0</v>
      </c>
      <c r="AC45" s="228">
        <f t="shared" ref="AC45:AC76" si="24">E45+G45+I45+K45+M45+O45+Q45+S45+U45+W45+Y45+AA45</f>
        <v>0</v>
      </c>
      <c r="AD45" s="21">
        <v>0</v>
      </c>
      <c r="AE45" s="229"/>
      <c r="AF45" s="20"/>
      <c r="AG45" s="229"/>
      <c r="AH45" s="20"/>
      <c r="AI45" s="229">
        <v>1</v>
      </c>
      <c r="AJ45" s="20">
        <v>1</v>
      </c>
      <c r="AK45" s="229"/>
      <c r="AL45" s="20"/>
      <c r="AM45" s="229"/>
      <c r="AN45" s="20"/>
      <c r="AO45" s="229"/>
      <c r="AP45" s="20"/>
      <c r="AQ45" s="229"/>
      <c r="AR45" s="20"/>
      <c r="AS45" s="229"/>
      <c r="AT45" s="20"/>
      <c r="AU45" s="229"/>
      <c r="AV45" s="20"/>
      <c r="AW45" s="229"/>
      <c r="AX45" s="20"/>
      <c r="AY45" s="229"/>
      <c r="AZ45" s="20"/>
      <c r="BA45" s="229"/>
      <c r="BB45" s="20"/>
      <c r="BC45" s="229">
        <f t="shared" si="19"/>
        <v>1</v>
      </c>
      <c r="BD45" s="48">
        <f t="shared" ref="BD45:BD76" si="25">AF45+AH45+AJ45+AL45+AN45+AP45+AR45+AT45+AV45+AX45+AZ45+BB45</f>
        <v>1</v>
      </c>
      <c r="BE45" s="19">
        <v>3</v>
      </c>
      <c r="BF45" s="229">
        <f t="shared" si="20"/>
        <v>1</v>
      </c>
      <c r="BG45" s="210">
        <f t="shared" si="21"/>
        <v>1</v>
      </c>
      <c r="BH45" s="210">
        <f t="shared" si="22"/>
        <v>3</v>
      </c>
      <c r="BI45" s="213">
        <f t="shared" si="23"/>
        <v>33.333333333333329</v>
      </c>
      <c r="BJ45" s="141"/>
      <c r="BK45" s="201"/>
      <c r="BL45" s="198"/>
      <c r="BM45" s="198"/>
    </row>
    <row r="46" spans="1:65" s="17" customFormat="1" ht="15.95" customHeight="1">
      <c r="A46" s="123">
        <v>36</v>
      </c>
      <c r="B46" s="9" t="s">
        <v>1536</v>
      </c>
      <c r="C46" s="11" t="s">
        <v>2525</v>
      </c>
      <c r="D46" s="229"/>
      <c r="E46" s="13"/>
      <c r="F46" s="229"/>
      <c r="G46" s="13"/>
      <c r="H46" s="229"/>
      <c r="I46" s="13"/>
      <c r="J46" s="229"/>
      <c r="K46" s="13"/>
      <c r="L46" s="229"/>
      <c r="M46" s="13"/>
      <c r="N46" s="229"/>
      <c r="O46" s="13"/>
      <c r="P46" s="229"/>
      <c r="Q46" s="13"/>
      <c r="R46" s="229"/>
      <c r="S46" s="13"/>
      <c r="T46" s="229"/>
      <c r="U46" s="13"/>
      <c r="V46" s="229"/>
      <c r="W46" s="13"/>
      <c r="X46" s="229"/>
      <c r="Y46" s="13"/>
      <c r="Z46" s="229"/>
      <c r="AA46" s="13"/>
      <c r="AB46" s="229">
        <f t="shared" si="18"/>
        <v>0</v>
      </c>
      <c r="AC46" s="228">
        <f t="shared" si="24"/>
        <v>0</v>
      </c>
      <c r="AD46" s="21">
        <v>1</v>
      </c>
      <c r="AE46" s="229"/>
      <c r="AF46" s="20"/>
      <c r="AG46" s="229"/>
      <c r="AH46" s="20"/>
      <c r="AI46" s="229"/>
      <c r="AJ46" s="20"/>
      <c r="AK46" s="229"/>
      <c r="AL46" s="20"/>
      <c r="AM46" s="229"/>
      <c r="AN46" s="20"/>
      <c r="AO46" s="229"/>
      <c r="AP46" s="20"/>
      <c r="AQ46" s="229"/>
      <c r="AR46" s="20"/>
      <c r="AS46" s="229"/>
      <c r="AT46" s="20"/>
      <c r="AU46" s="229"/>
      <c r="AV46" s="20">
        <v>1</v>
      </c>
      <c r="AW46" s="229"/>
      <c r="AX46" s="20"/>
      <c r="AY46" s="229"/>
      <c r="AZ46" s="20"/>
      <c r="BA46" s="229"/>
      <c r="BB46" s="20">
        <v>1</v>
      </c>
      <c r="BC46" s="229">
        <f t="shared" si="19"/>
        <v>0</v>
      </c>
      <c r="BD46" s="48">
        <f t="shared" si="25"/>
        <v>2</v>
      </c>
      <c r="BE46" s="19">
        <v>1</v>
      </c>
      <c r="BF46" s="229">
        <f t="shared" si="20"/>
        <v>0</v>
      </c>
      <c r="BG46" s="210">
        <f t="shared" si="21"/>
        <v>2</v>
      </c>
      <c r="BH46" s="210">
        <f t="shared" si="22"/>
        <v>2</v>
      </c>
      <c r="BI46" s="213">
        <f t="shared" si="23"/>
        <v>100</v>
      </c>
      <c r="BJ46" s="141"/>
      <c r="BK46" s="201"/>
      <c r="BL46" s="198"/>
      <c r="BM46" s="198"/>
    </row>
    <row r="47" spans="1:65" s="17" customFormat="1" ht="15.95" customHeight="1">
      <c r="A47" s="123">
        <v>37</v>
      </c>
      <c r="B47" s="9" t="s">
        <v>1840</v>
      </c>
      <c r="C47" s="11" t="s">
        <v>1841</v>
      </c>
      <c r="D47" s="229"/>
      <c r="E47" s="13"/>
      <c r="F47" s="229"/>
      <c r="G47" s="13"/>
      <c r="H47" s="229"/>
      <c r="I47" s="13"/>
      <c r="J47" s="229"/>
      <c r="K47" s="13"/>
      <c r="L47" s="229"/>
      <c r="M47" s="13"/>
      <c r="N47" s="229"/>
      <c r="O47" s="13"/>
      <c r="P47" s="229"/>
      <c r="Q47" s="13"/>
      <c r="R47" s="229"/>
      <c r="S47" s="13"/>
      <c r="T47" s="229"/>
      <c r="U47" s="13"/>
      <c r="V47" s="229"/>
      <c r="W47" s="13"/>
      <c r="X47" s="229"/>
      <c r="Y47" s="13"/>
      <c r="Z47" s="229"/>
      <c r="AA47" s="13"/>
      <c r="AB47" s="229">
        <f t="shared" si="18"/>
        <v>0</v>
      </c>
      <c r="AC47" s="228">
        <f t="shared" si="24"/>
        <v>0</v>
      </c>
      <c r="AD47" s="21">
        <v>0</v>
      </c>
      <c r="AE47" s="229"/>
      <c r="AF47" s="20"/>
      <c r="AG47" s="229"/>
      <c r="AH47" s="20"/>
      <c r="AI47" s="229"/>
      <c r="AJ47" s="20"/>
      <c r="AK47" s="229"/>
      <c r="AL47" s="20"/>
      <c r="AM47" s="229"/>
      <c r="AN47" s="20"/>
      <c r="AO47" s="229">
        <v>1</v>
      </c>
      <c r="AP47" s="20">
        <v>1</v>
      </c>
      <c r="AQ47" s="229"/>
      <c r="AR47" s="20"/>
      <c r="AS47" s="229"/>
      <c r="AT47" s="20"/>
      <c r="AU47" s="229"/>
      <c r="AV47" s="20"/>
      <c r="AW47" s="229"/>
      <c r="AX47" s="20"/>
      <c r="AY47" s="229"/>
      <c r="AZ47" s="20"/>
      <c r="BA47" s="229"/>
      <c r="BB47" s="20"/>
      <c r="BC47" s="229">
        <f t="shared" si="19"/>
        <v>1</v>
      </c>
      <c r="BD47" s="48">
        <f t="shared" si="25"/>
        <v>1</v>
      </c>
      <c r="BE47" s="19">
        <v>1</v>
      </c>
      <c r="BF47" s="229">
        <f t="shared" si="20"/>
        <v>1</v>
      </c>
      <c r="BG47" s="210">
        <f t="shared" si="21"/>
        <v>1</v>
      </c>
      <c r="BH47" s="210">
        <f t="shared" si="22"/>
        <v>1</v>
      </c>
      <c r="BI47" s="213">
        <f t="shared" si="23"/>
        <v>100</v>
      </c>
      <c r="BJ47" s="141"/>
      <c r="BK47" s="201"/>
      <c r="BL47" s="198"/>
      <c r="BM47" s="198"/>
    </row>
    <row r="48" spans="1:65" s="17" customFormat="1" ht="15.95" customHeight="1">
      <c r="A48" s="123">
        <v>38</v>
      </c>
      <c r="B48" s="9" t="s">
        <v>1842</v>
      </c>
      <c r="C48" s="11" t="s">
        <v>2524</v>
      </c>
      <c r="D48" s="229"/>
      <c r="E48" s="13"/>
      <c r="F48" s="229"/>
      <c r="G48" s="13"/>
      <c r="H48" s="229"/>
      <c r="I48" s="13"/>
      <c r="J48" s="229"/>
      <c r="K48" s="13"/>
      <c r="L48" s="229"/>
      <c r="M48" s="13"/>
      <c r="N48" s="229"/>
      <c r="O48" s="13"/>
      <c r="P48" s="229"/>
      <c r="Q48" s="13"/>
      <c r="R48" s="229"/>
      <c r="S48" s="13"/>
      <c r="T48" s="229"/>
      <c r="U48" s="13"/>
      <c r="V48" s="229"/>
      <c r="W48" s="13"/>
      <c r="X48" s="229"/>
      <c r="Y48" s="13"/>
      <c r="Z48" s="229"/>
      <c r="AA48" s="13"/>
      <c r="AB48" s="229">
        <f t="shared" si="18"/>
        <v>0</v>
      </c>
      <c r="AC48" s="228">
        <f t="shared" si="24"/>
        <v>0</v>
      </c>
      <c r="AD48" s="21">
        <v>0</v>
      </c>
      <c r="AE48" s="229"/>
      <c r="AF48" s="20"/>
      <c r="AG48" s="229"/>
      <c r="AH48" s="20"/>
      <c r="AI48" s="229"/>
      <c r="AJ48" s="20"/>
      <c r="AK48" s="229"/>
      <c r="AL48" s="20"/>
      <c r="AM48" s="229"/>
      <c r="AN48" s="20"/>
      <c r="AO48" s="229"/>
      <c r="AP48" s="20"/>
      <c r="AQ48" s="229"/>
      <c r="AR48" s="20"/>
      <c r="AS48" s="229"/>
      <c r="AT48" s="20"/>
      <c r="AU48" s="229"/>
      <c r="AV48" s="20"/>
      <c r="AW48" s="229"/>
      <c r="AX48" s="20"/>
      <c r="AY48" s="229"/>
      <c r="AZ48" s="20"/>
      <c r="BA48" s="229"/>
      <c r="BB48" s="20"/>
      <c r="BC48" s="229">
        <f t="shared" si="19"/>
        <v>0</v>
      </c>
      <c r="BD48" s="48">
        <f t="shared" si="25"/>
        <v>0</v>
      </c>
      <c r="BE48" s="19">
        <v>1</v>
      </c>
      <c r="BF48" s="229">
        <f t="shared" si="20"/>
        <v>0</v>
      </c>
      <c r="BG48" s="210">
        <f t="shared" si="21"/>
        <v>0</v>
      </c>
      <c r="BH48" s="210">
        <f t="shared" si="22"/>
        <v>1</v>
      </c>
      <c r="BI48" s="213">
        <f t="shared" si="23"/>
        <v>0</v>
      </c>
      <c r="BJ48" s="141"/>
      <c r="BK48" s="201"/>
      <c r="BL48" s="198"/>
      <c r="BM48" s="198"/>
    </row>
    <row r="49" spans="1:65" s="17" customFormat="1" ht="15.95" customHeight="1">
      <c r="A49" s="123">
        <v>39</v>
      </c>
      <c r="B49" s="9" t="s">
        <v>1607</v>
      </c>
      <c r="C49" s="11" t="s">
        <v>1608</v>
      </c>
      <c r="D49" s="229"/>
      <c r="E49" s="13"/>
      <c r="F49" s="229"/>
      <c r="G49" s="13"/>
      <c r="H49" s="229"/>
      <c r="I49" s="13"/>
      <c r="J49" s="229"/>
      <c r="K49" s="13"/>
      <c r="L49" s="229"/>
      <c r="M49" s="13"/>
      <c r="N49" s="229"/>
      <c r="O49" s="13"/>
      <c r="P49" s="229"/>
      <c r="Q49" s="13"/>
      <c r="R49" s="229"/>
      <c r="S49" s="13"/>
      <c r="T49" s="229"/>
      <c r="U49" s="13"/>
      <c r="V49" s="229"/>
      <c r="W49" s="13"/>
      <c r="X49" s="229"/>
      <c r="Y49" s="13"/>
      <c r="Z49" s="229"/>
      <c r="AA49" s="13"/>
      <c r="AB49" s="229">
        <f t="shared" si="18"/>
        <v>0</v>
      </c>
      <c r="AC49" s="228">
        <f t="shared" si="24"/>
        <v>0</v>
      </c>
      <c r="AD49" s="21">
        <v>0</v>
      </c>
      <c r="AE49" s="229"/>
      <c r="AF49" s="20"/>
      <c r="AG49" s="229"/>
      <c r="AH49" s="20"/>
      <c r="AI49" s="229"/>
      <c r="AJ49" s="20"/>
      <c r="AK49" s="229"/>
      <c r="AL49" s="20"/>
      <c r="AM49" s="229"/>
      <c r="AN49" s="20"/>
      <c r="AO49" s="229">
        <v>1</v>
      </c>
      <c r="AP49" s="20">
        <v>1</v>
      </c>
      <c r="AQ49" s="229"/>
      <c r="AR49" s="20"/>
      <c r="AS49" s="229"/>
      <c r="AT49" s="20"/>
      <c r="AU49" s="229"/>
      <c r="AV49" s="20"/>
      <c r="AW49" s="229"/>
      <c r="AX49" s="20"/>
      <c r="AY49" s="229"/>
      <c r="AZ49" s="20"/>
      <c r="BA49" s="229"/>
      <c r="BB49" s="20"/>
      <c r="BC49" s="229">
        <f t="shared" si="19"/>
        <v>1</v>
      </c>
      <c r="BD49" s="48">
        <f t="shared" si="25"/>
        <v>1</v>
      </c>
      <c r="BE49" s="19">
        <v>1</v>
      </c>
      <c r="BF49" s="229">
        <f t="shared" si="20"/>
        <v>1</v>
      </c>
      <c r="BG49" s="210">
        <f t="shared" si="21"/>
        <v>1</v>
      </c>
      <c r="BH49" s="210">
        <f t="shared" si="22"/>
        <v>1</v>
      </c>
      <c r="BI49" s="213">
        <f t="shared" si="23"/>
        <v>100</v>
      </c>
      <c r="BJ49" s="141"/>
      <c r="BK49" s="201"/>
      <c r="BL49" s="198"/>
      <c r="BM49" s="198"/>
    </row>
    <row r="50" spans="1:65" s="17" customFormat="1" ht="15.95" customHeight="1">
      <c r="A50" s="123">
        <v>40</v>
      </c>
      <c r="B50" s="9" t="s">
        <v>3186</v>
      </c>
      <c r="C50" s="322" t="s">
        <v>3197</v>
      </c>
      <c r="D50" s="323"/>
      <c r="E50" s="324"/>
      <c r="F50" s="323"/>
      <c r="G50" s="324"/>
      <c r="H50" s="323"/>
      <c r="I50" s="324"/>
      <c r="J50" s="323"/>
      <c r="K50" s="324"/>
      <c r="L50" s="323"/>
      <c r="M50" s="324"/>
      <c r="N50" s="323"/>
      <c r="O50" s="324"/>
      <c r="P50" s="323"/>
      <c r="Q50" s="324"/>
      <c r="R50" s="323"/>
      <c r="S50" s="324"/>
      <c r="T50" s="323"/>
      <c r="U50" s="324"/>
      <c r="V50" s="323"/>
      <c r="W50" s="324"/>
      <c r="X50" s="323"/>
      <c r="Y50" s="324"/>
      <c r="Z50" s="323"/>
      <c r="AA50" s="324"/>
      <c r="AB50" s="323"/>
      <c r="AC50" s="228">
        <f t="shared" si="24"/>
        <v>0</v>
      </c>
      <c r="AD50" s="329">
        <v>0</v>
      </c>
      <c r="AE50" s="323"/>
      <c r="AF50" s="327"/>
      <c r="AG50" s="323"/>
      <c r="AH50" s="327"/>
      <c r="AI50" s="323"/>
      <c r="AJ50" s="327"/>
      <c r="AK50" s="323"/>
      <c r="AL50" s="327"/>
      <c r="AM50" s="323"/>
      <c r="AN50" s="327"/>
      <c r="AO50" s="323"/>
      <c r="AP50" s="327"/>
      <c r="AQ50" s="323"/>
      <c r="AR50" s="327"/>
      <c r="AS50" s="323"/>
      <c r="AT50" s="327"/>
      <c r="AU50" s="323"/>
      <c r="AV50" s="327"/>
      <c r="AW50" s="323"/>
      <c r="AX50" s="327"/>
      <c r="AY50" s="323"/>
      <c r="AZ50" s="327"/>
      <c r="BA50" s="323"/>
      <c r="BB50" s="327">
        <v>1</v>
      </c>
      <c r="BC50" s="323"/>
      <c r="BD50" s="48">
        <f t="shared" si="25"/>
        <v>1</v>
      </c>
      <c r="BE50" s="326">
        <v>0</v>
      </c>
      <c r="BF50" s="323"/>
      <c r="BG50" s="210">
        <f t="shared" ref="BG50" si="26">AC50+BD50</f>
        <v>1</v>
      </c>
      <c r="BH50" s="210">
        <f t="shared" ref="BH50" si="27">AD50+BE50</f>
        <v>0</v>
      </c>
      <c r="BI50" s="213" t="e">
        <f t="shared" ref="BI50" si="28">BG50/BH50*100</f>
        <v>#DIV/0!</v>
      </c>
      <c r="BJ50" s="141"/>
      <c r="BK50" s="201"/>
      <c r="BL50" s="198"/>
      <c r="BM50" s="198"/>
    </row>
    <row r="51" spans="1:65" s="17" customFormat="1" ht="15.95" customHeight="1">
      <c r="A51" s="123">
        <v>41</v>
      </c>
      <c r="B51" s="9" t="s">
        <v>57</v>
      </c>
      <c r="C51" s="11" t="s">
        <v>58</v>
      </c>
      <c r="D51" s="229"/>
      <c r="E51" s="13"/>
      <c r="F51" s="229"/>
      <c r="G51" s="13"/>
      <c r="H51" s="229"/>
      <c r="I51" s="13"/>
      <c r="J51" s="229"/>
      <c r="K51" s="13"/>
      <c r="L51" s="229"/>
      <c r="M51" s="13"/>
      <c r="N51" s="229"/>
      <c r="O51" s="13"/>
      <c r="P51" s="229"/>
      <c r="Q51" s="13"/>
      <c r="R51" s="229"/>
      <c r="S51" s="13"/>
      <c r="T51" s="229"/>
      <c r="U51" s="13"/>
      <c r="V51" s="229"/>
      <c r="W51" s="13"/>
      <c r="X51" s="229"/>
      <c r="Y51" s="13"/>
      <c r="Z51" s="229"/>
      <c r="AA51" s="13"/>
      <c r="AB51" s="229">
        <f t="shared" si="18"/>
        <v>0</v>
      </c>
      <c r="AC51" s="228">
        <f t="shared" si="24"/>
        <v>0</v>
      </c>
      <c r="AD51" s="21">
        <v>0</v>
      </c>
      <c r="AE51" s="229"/>
      <c r="AF51" s="20"/>
      <c r="AG51" s="229"/>
      <c r="AH51" s="20"/>
      <c r="AI51" s="229">
        <v>5</v>
      </c>
      <c r="AJ51" s="20">
        <v>5</v>
      </c>
      <c r="AK51" s="229"/>
      <c r="AL51" s="20"/>
      <c r="AM51" s="229"/>
      <c r="AN51" s="20"/>
      <c r="AO51" s="229"/>
      <c r="AP51" s="20"/>
      <c r="AQ51" s="229"/>
      <c r="AR51" s="20"/>
      <c r="AS51" s="229"/>
      <c r="AT51" s="20"/>
      <c r="AU51" s="229"/>
      <c r="AV51" s="20">
        <v>1</v>
      </c>
      <c r="AW51" s="229"/>
      <c r="AX51" s="20"/>
      <c r="AY51" s="229"/>
      <c r="AZ51" s="20"/>
      <c r="BA51" s="229"/>
      <c r="BB51" s="20"/>
      <c r="BC51" s="229">
        <f t="shared" si="19"/>
        <v>5</v>
      </c>
      <c r="BD51" s="48">
        <f t="shared" si="25"/>
        <v>6</v>
      </c>
      <c r="BE51" s="19">
        <v>1</v>
      </c>
      <c r="BF51" s="229">
        <f t="shared" si="20"/>
        <v>5</v>
      </c>
      <c r="BG51" s="210">
        <f t="shared" si="21"/>
        <v>6</v>
      </c>
      <c r="BH51" s="210">
        <f t="shared" si="22"/>
        <v>1</v>
      </c>
      <c r="BI51" s="213">
        <f t="shared" si="23"/>
        <v>600</v>
      </c>
      <c r="BJ51" s="141"/>
      <c r="BK51" s="201"/>
      <c r="BL51" s="198"/>
      <c r="BM51" s="198"/>
    </row>
    <row r="52" spans="1:65" s="17" customFormat="1" ht="15.95" customHeight="1">
      <c r="A52" s="123">
        <v>42</v>
      </c>
      <c r="B52" s="9" t="s">
        <v>2173</v>
      </c>
      <c r="C52" s="11" t="s">
        <v>2384</v>
      </c>
      <c r="D52" s="229"/>
      <c r="E52" s="13"/>
      <c r="F52" s="229"/>
      <c r="G52" s="13"/>
      <c r="H52" s="229"/>
      <c r="I52" s="13"/>
      <c r="J52" s="229"/>
      <c r="K52" s="13"/>
      <c r="L52" s="229"/>
      <c r="M52" s="13"/>
      <c r="N52" s="229"/>
      <c r="O52" s="13"/>
      <c r="P52" s="229"/>
      <c r="Q52" s="13"/>
      <c r="R52" s="229"/>
      <c r="S52" s="13"/>
      <c r="T52" s="229"/>
      <c r="U52" s="13"/>
      <c r="V52" s="229"/>
      <c r="W52" s="13"/>
      <c r="X52" s="229"/>
      <c r="Y52" s="13"/>
      <c r="Z52" s="229"/>
      <c r="AA52" s="13"/>
      <c r="AB52" s="229">
        <f t="shared" si="18"/>
        <v>0</v>
      </c>
      <c r="AC52" s="228">
        <f t="shared" si="24"/>
        <v>0</v>
      </c>
      <c r="AD52" s="21">
        <v>0</v>
      </c>
      <c r="AE52" s="229"/>
      <c r="AF52" s="20"/>
      <c r="AG52" s="229"/>
      <c r="AH52" s="20"/>
      <c r="AI52" s="229"/>
      <c r="AJ52" s="20"/>
      <c r="AK52" s="229"/>
      <c r="AL52" s="20"/>
      <c r="AM52" s="229"/>
      <c r="AN52" s="20"/>
      <c r="AO52" s="229"/>
      <c r="AP52" s="20"/>
      <c r="AQ52" s="229"/>
      <c r="AR52" s="20"/>
      <c r="AS52" s="229"/>
      <c r="AT52" s="20"/>
      <c r="AU52" s="229"/>
      <c r="AV52" s="20"/>
      <c r="AW52" s="229"/>
      <c r="AX52" s="20"/>
      <c r="AY52" s="229"/>
      <c r="AZ52" s="20"/>
      <c r="BA52" s="229"/>
      <c r="BB52" s="20">
        <v>1</v>
      </c>
      <c r="BC52" s="229">
        <f t="shared" si="19"/>
        <v>0</v>
      </c>
      <c r="BD52" s="48">
        <f t="shared" si="25"/>
        <v>1</v>
      </c>
      <c r="BE52" s="19">
        <v>6</v>
      </c>
      <c r="BF52" s="229">
        <f t="shared" si="20"/>
        <v>0</v>
      </c>
      <c r="BG52" s="210">
        <f t="shared" si="21"/>
        <v>1</v>
      </c>
      <c r="BH52" s="210">
        <f t="shared" si="22"/>
        <v>6</v>
      </c>
      <c r="BI52" s="213">
        <f t="shared" si="23"/>
        <v>16.666666666666664</v>
      </c>
      <c r="BJ52" s="141"/>
      <c r="BK52" s="201"/>
      <c r="BL52" s="198"/>
      <c r="BM52" s="198"/>
    </row>
    <row r="53" spans="1:65" s="17" customFormat="1" ht="15.95" customHeight="1">
      <c r="A53" s="123">
        <v>43</v>
      </c>
      <c r="B53" s="9" t="s">
        <v>2953</v>
      </c>
      <c r="C53" s="11" t="s">
        <v>2952</v>
      </c>
      <c r="D53" s="229"/>
      <c r="E53" s="13"/>
      <c r="F53" s="229"/>
      <c r="G53" s="13"/>
      <c r="H53" s="229"/>
      <c r="I53" s="13"/>
      <c r="J53" s="229"/>
      <c r="K53" s="13"/>
      <c r="L53" s="229"/>
      <c r="M53" s="13"/>
      <c r="N53" s="229"/>
      <c r="O53" s="13"/>
      <c r="P53" s="229"/>
      <c r="Q53" s="13"/>
      <c r="R53" s="229"/>
      <c r="S53" s="13"/>
      <c r="T53" s="229"/>
      <c r="U53" s="13"/>
      <c r="V53" s="229"/>
      <c r="W53" s="13"/>
      <c r="X53" s="229"/>
      <c r="Y53" s="13"/>
      <c r="Z53" s="229"/>
      <c r="AA53" s="13"/>
      <c r="AB53" s="229">
        <f t="shared" si="18"/>
        <v>0</v>
      </c>
      <c r="AC53" s="228">
        <f t="shared" si="24"/>
        <v>0</v>
      </c>
      <c r="AD53" s="21">
        <v>0</v>
      </c>
      <c r="AE53" s="229"/>
      <c r="AF53" s="20"/>
      <c r="AG53" s="229"/>
      <c r="AH53" s="20"/>
      <c r="AI53" s="229">
        <v>1</v>
      </c>
      <c r="AJ53" s="20">
        <v>1</v>
      </c>
      <c r="AK53" s="229"/>
      <c r="AL53" s="20"/>
      <c r="AM53" s="229"/>
      <c r="AN53" s="20"/>
      <c r="AO53" s="229"/>
      <c r="AP53" s="20"/>
      <c r="AQ53" s="229"/>
      <c r="AR53" s="20"/>
      <c r="AS53" s="229"/>
      <c r="AT53" s="20"/>
      <c r="AU53" s="229"/>
      <c r="AV53" s="20">
        <v>1</v>
      </c>
      <c r="AW53" s="229"/>
      <c r="AX53" s="20"/>
      <c r="AY53" s="229"/>
      <c r="AZ53" s="20"/>
      <c r="BA53" s="229"/>
      <c r="BB53" s="20"/>
      <c r="BC53" s="229">
        <f t="shared" si="19"/>
        <v>1</v>
      </c>
      <c r="BD53" s="48">
        <f t="shared" si="25"/>
        <v>2</v>
      </c>
      <c r="BE53" s="19">
        <v>0</v>
      </c>
      <c r="BF53" s="229">
        <f t="shared" si="20"/>
        <v>1</v>
      </c>
      <c r="BG53" s="210">
        <f t="shared" si="21"/>
        <v>2</v>
      </c>
      <c r="BH53" s="210">
        <f t="shared" si="22"/>
        <v>0</v>
      </c>
      <c r="BI53" s="213" t="e">
        <f t="shared" si="23"/>
        <v>#DIV/0!</v>
      </c>
      <c r="BJ53" s="141"/>
      <c r="BK53" s="201"/>
      <c r="BL53" s="198"/>
      <c r="BM53" s="198"/>
    </row>
    <row r="54" spans="1:65" s="17" customFormat="1" ht="15.95" customHeight="1">
      <c r="A54" s="123">
        <v>44</v>
      </c>
      <c r="B54" s="9" t="s">
        <v>1534</v>
      </c>
      <c r="C54" s="11" t="s">
        <v>1535</v>
      </c>
      <c r="D54" s="229"/>
      <c r="E54" s="13"/>
      <c r="F54" s="229"/>
      <c r="G54" s="13"/>
      <c r="H54" s="229"/>
      <c r="I54" s="13"/>
      <c r="J54" s="229"/>
      <c r="K54" s="13"/>
      <c r="L54" s="229"/>
      <c r="M54" s="13"/>
      <c r="N54" s="229"/>
      <c r="O54" s="13"/>
      <c r="P54" s="229"/>
      <c r="Q54" s="13"/>
      <c r="R54" s="229"/>
      <c r="S54" s="13"/>
      <c r="T54" s="229"/>
      <c r="U54" s="13"/>
      <c r="V54" s="229"/>
      <c r="W54" s="13"/>
      <c r="X54" s="229"/>
      <c r="Y54" s="13"/>
      <c r="Z54" s="229"/>
      <c r="AA54" s="13"/>
      <c r="AB54" s="229">
        <f t="shared" si="18"/>
        <v>0</v>
      </c>
      <c r="AC54" s="228">
        <f t="shared" si="24"/>
        <v>0</v>
      </c>
      <c r="AD54" s="21">
        <v>0</v>
      </c>
      <c r="AE54" s="229"/>
      <c r="AF54" s="20"/>
      <c r="AG54" s="229"/>
      <c r="AH54" s="20"/>
      <c r="AI54" s="229">
        <v>1</v>
      </c>
      <c r="AJ54" s="20">
        <v>1</v>
      </c>
      <c r="AK54" s="229"/>
      <c r="AL54" s="20"/>
      <c r="AM54" s="229"/>
      <c r="AN54" s="20"/>
      <c r="AO54" s="229">
        <v>1</v>
      </c>
      <c r="AP54" s="20">
        <v>1</v>
      </c>
      <c r="AQ54" s="229"/>
      <c r="AR54" s="20"/>
      <c r="AS54" s="229"/>
      <c r="AT54" s="20"/>
      <c r="AU54" s="229"/>
      <c r="AV54" s="20">
        <v>1</v>
      </c>
      <c r="AW54" s="229"/>
      <c r="AX54" s="20"/>
      <c r="AY54" s="229"/>
      <c r="AZ54" s="20"/>
      <c r="BA54" s="229"/>
      <c r="BB54" s="20">
        <v>1</v>
      </c>
      <c r="BC54" s="229">
        <f t="shared" si="19"/>
        <v>2</v>
      </c>
      <c r="BD54" s="48">
        <f t="shared" si="25"/>
        <v>4</v>
      </c>
      <c r="BE54" s="19">
        <v>2</v>
      </c>
      <c r="BF54" s="229">
        <f t="shared" si="20"/>
        <v>2</v>
      </c>
      <c r="BG54" s="210">
        <f t="shared" si="21"/>
        <v>4</v>
      </c>
      <c r="BH54" s="210">
        <f t="shared" si="22"/>
        <v>2</v>
      </c>
      <c r="BI54" s="213">
        <f t="shared" si="23"/>
        <v>200</v>
      </c>
      <c r="BJ54" s="141"/>
      <c r="BK54" s="201"/>
      <c r="BL54" s="198"/>
      <c r="BM54" s="198"/>
    </row>
    <row r="55" spans="1:65" s="17" customFormat="1" ht="15.95" customHeight="1">
      <c r="A55" s="123">
        <v>45</v>
      </c>
      <c r="B55" s="9" t="s">
        <v>3087</v>
      </c>
      <c r="C55" s="11" t="s">
        <v>3088</v>
      </c>
      <c r="D55" s="229"/>
      <c r="E55" s="13"/>
      <c r="F55" s="229"/>
      <c r="G55" s="13"/>
      <c r="H55" s="229"/>
      <c r="I55" s="13"/>
      <c r="J55" s="229"/>
      <c r="K55" s="13"/>
      <c r="L55" s="229"/>
      <c r="M55" s="13"/>
      <c r="N55" s="229"/>
      <c r="O55" s="13"/>
      <c r="P55" s="229"/>
      <c r="Q55" s="13"/>
      <c r="R55" s="229"/>
      <c r="S55" s="13"/>
      <c r="T55" s="229"/>
      <c r="U55" s="13"/>
      <c r="V55" s="229"/>
      <c r="W55" s="13"/>
      <c r="X55" s="229"/>
      <c r="Y55" s="13"/>
      <c r="Z55" s="229"/>
      <c r="AA55" s="13"/>
      <c r="AB55" s="229"/>
      <c r="AC55" s="228">
        <f t="shared" si="24"/>
        <v>0</v>
      </c>
      <c r="AD55" s="21">
        <v>0</v>
      </c>
      <c r="AE55" s="229"/>
      <c r="AF55" s="20"/>
      <c r="AG55" s="229"/>
      <c r="AH55" s="20"/>
      <c r="AI55" s="229"/>
      <c r="AJ55" s="20"/>
      <c r="AK55" s="229"/>
      <c r="AL55" s="20"/>
      <c r="AM55" s="229"/>
      <c r="AN55" s="20"/>
      <c r="AO55" s="229"/>
      <c r="AP55" s="20">
        <v>2</v>
      </c>
      <c r="AQ55" s="229"/>
      <c r="AR55" s="20"/>
      <c r="AS55" s="229"/>
      <c r="AT55" s="20"/>
      <c r="AU55" s="229"/>
      <c r="AV55" s="20">
        <v>1</v>
      </c>
      <c r="AW55" s="229"/>
      <c r="AX55" s="20"/>
      <c r="AY55" s="229"/>
      <c r="AZ55" s="20"/>
      <c r="BA55" s="229"/>
      <c r="BB55" s="20"/>
      <c r="BC55" s="229"/>
      <c r="BD55" s="48">
        <f t="shared" si="25"/>
        <v>3</v>
      </c>
      <c r="BE55" s="19">
        <v>0</v>
      </c>
      <c r="BF55" s="229"/>
      <c r="BG55" s="210">
        <f t="shared" si="21"/>
        <v>3</v>
      </c>
      <c r="BH55" s="210">
        <f t="shared" si="22"/>
        <v>0</v>
      </c>
      <c r="BI55" s="213" t="e">
        <f t="shared" si="23"/>
        <v>#DIV/0!</v>
      </c>
      <c r="BJ55" s="141"/>
      <c r="BK55" s="201"/>
      <c r="BL55" s="198"/>
      <c r="BM55" s="198"/>
    </row>
    <row r="56" spans="1:65" s="17" customFormat="1" ht="15.95" customHeight="1">
      <c r="A56" s="123">
        <v>46</v>
      </c>
      <c r="B56" s="9" t="s">
        <v>866</v>
      </c>
      <c r="C56" s="11" t="s">
        <v>867</v>
      </c>
      <c r="D56" s="229"/>
      <c r="E56" s="13"/>
      <c r="F56" s="229"/>
      <c r="G56" s="13"/>
      <c r="H56" s="229">
        <v>2</v>
      </c>
      <c r="I56" s="13">
        <v>2</v>
      </c>
      <c r="J56" s="229"/>
      <c r="K56" s="13"/>
      <c r="L56" s="229"/>
      <c r="M56" s="13"/>
      <c r="N56" s="229"/>
      <c r="O56" s="13"/>
      <c r="P56" s="229"/>
      <c r="Q56" s="13"/>
      <c r="R56" s="229"/>
      <c r="S56" s="13"/>
      <c r="T56" s="229"/>
      <c r="U56" s="13">
        <v>2</v>
      </c>
      <c r="V56" s="229"/>
      <c r="W56" s="13"/>
      <c r="X56" s="229"/>
      <c r="Y56" s="13"/>
      <c r="Z56" s="229"/>
      <c r="AA56" s="13">
        <v>2</v>
      </c>
      <c r="AB56" s="229">
        <f t="shared" ref="AB56:AB77" si="29">D56+F56+H56+J56+L56+N56+P56+R56+T56+V56+X56+Z56</f>
        <v>2</v>
      </c>
      <c r="AC56" s="228">
        <f t="shared" si="24"/>
        <v>6</v>
      </c>
      <c r="AD56" s="21">
        <v>4</v>
      </c>
      <c r="AE56" s="229"/>
      <c r="AF56" s="20"/>
      <c r="AG56" s="229"/>
      <c r="AH56" s="20"/>
      <c r="AI56" s="229">
        <f>1+2+4</f>
        <v>7</v>
      </c>
      <c r="AJ56" s="20">
        <f>1+2+4</f>
        <v>7</v>
      </c>
      <c r="AK56" s="229"/>
      <c r="AL56" s="20"/>
      <c r="AM56" s="229"/>
      <c r="AN56" s="20"/>
      <c r="AO56" s="229">
        <f>4+4+2</f>
        <v>10</v>
      </c>
      <c r="AP56" s="20">
        <f>4+4+2</f>
        <v>10</v>
      </c>
      <c r="AQ56" s="229"/>
      <c r="AR56" s="20"/>
      <c r="AS56" s="229"/>
      <c r="AT56" s="20"/>
      <c r="AU56" s="229"/>
      <c r="AV56" s="20">
        <v>2</v>
      </c>
      <c r="AW56" s="229"/>
      <c r="AX56" s="20"/>
      <c r="AY56" s="229"/>
      <c r="AZ56" s="20"/>
      <c r="BA56" s="229"/>
      <c r="BB56" s="20">
        <f>3+2</f>
        <v>5</v>
      </c>
      <c r="BC56" s="229">
        <f t="shared" ref="BC56:BC77" si="30">AE56+AG56+AI56+AK56+AM56+AO56+AQ56+AS56+AU56+AW56+AY56+BA56</f>
        <v>17</v>
      </c>
      <c r="BD56" s="48">
        <f t="shared" si="25"/>
        <v>24</v>
      </c>
      <c r="BE56" s="19">
        <v>18</v>
      </c>
      <c r="BF56" s="229">
        <f t="shared" ref="BF56:BF77" si="31">AB56+BC56</f>
        <v>19</v>
      </c>
      <c r="BG56" s="210">
        <f t="shared" si="21"/>
        <v>30</v>
      </c>
      <c r="BH56" s="210">
        <f t="shared" si="22"/>
        <v>22</v>
      </c>
      <c r="BI56" s="213">
        <f t="shared" si="23"/>
        <v>136.36363636363635</v>
      </c>
      <c r="BJ56" s="141"/>
      <c r="BK56" s="201"/>
      <c r="BL56" s="198"/>
      <c r="BM56" s="198"/>
    </row>
    <row r="57" spans="1:65" s="17" customFormat="1" ht="15.95" customHeight="1">
      <c r="A57" s="123">
        <v>47</v>
      </c>
      <c r="B57" s="9" t="s">
        <v>1562</v>
      </c>
      <c r="C57" s="11" t="s">
        <v>1563</v>
      </c>
      <c r="D57" s="229"/>
      <c r="E57" s="13"/>
      <c r="F57" s="229"/>
      <c r="G57" s="13"/>
      <c r="H57" s="229"/>
      <c r="I57" s="13"/>
      <c r="J57" s="229"/>
      <c r="K57" s="13"/>
      <c r="L57" s="229"/>
      <c r="M57" s="13"/>
      <c r="N57" s="229"/>
      <c r="O57" s="13"/>
      <c r="P57" s="229"/>
      <c r="Q57" s="13"/>
      <c r="R57" s="229"/>
      <c r="S57" s="13"/>
      <c r="T57" s="229"/>
      <c r="U57" s="13"/>
      <c r="V57" s="229"/>
      <c r="W57" s="13"/>
      <c r="X57" s="229"/>
      <c r="Y57" s="13"/>
      <c r="Z57" s="229"/>
      <c r="AA57" s="13"/>
      <c r="AB57" s="229">
        <f t="shared" si="29"/>
        <v>0</v>
      </c>
      <c r="AC57" s="228">
        <f t="shared" si="24"/>
        <v>0</v>
      </c>
      <c r="AD57" s="21">
        <v>0</v>
      </c>
      <c r="AE57" s="229"/>
      <c r="AF57" s="20"/>
      <c r="AG57" s="229"/>
      <c r="AH57" s="20"/>
      <c r="AI57" s="229"/>
      <c r="AJ57" s="20"/>
      <c r="AK57" s="229"/>
      <c r="AL57" s="20"/>
      <c r="AM57" s="229"/>
      <c r="AN57" s="20"/>
      <c r="AO57" s="229"/>
      <c r="AP57" s="20"/>
      <c r="AQ57" s="229"/>
      <c r="AR57" s="20"/>
      <c r="AS57" s="229"/>
      <c r="AT57" s="20"/>
      <c r="AU57" s="229"/>
      <c r="AV57" s="20"/>
      <c r="AW57" s="229"/>
      <c r="AX57" s="20"/>
      <c r="AY57" s="229"/>
      <c r="AZ57" s="20"/>
      <c r="BA57" s="229"/>
      <c r="BB57" s="20"/>
      <c r="BC57" s="229">
        <f t="shared" si="30"/>
        <v>0</v>
      </c>
      <c r="BD57" s="48">
        <f t="shared" si="25"/>
        <v>0</v>
      </c>
      <c r="BE57" s="19">
        <v>3</v>
      </c>
      <c r="BF57" s="229">
        <f t="shared" si="31"/>
        <v>0</v>
      </c>
      <c r="BG57" s="210">
        <f t="shared" si="21"/>
        <v>0</v>
      </c>
      <c r="BH57" s="210">
        <f t="shared" si="22"/>
        <v>3</v>
      </c>
      <c r="BI57" s="213">
        <f t="shared" si="23"/>
        <v>0</v>
      </c>
      <c r="BJ57" s="141"/>
      <c r="BK57" s="201"/>
      <c r="BL57" s="198"/>
      <c r="BM57" s="198"/>
    </row>
    <row r="58" spans="1:65" s="17" customFormat="1" ht="15.95" customHeight="1">
      <c r="A58" s="123">
        <v>48</v>
      </c>
      <c r="B58" s="9" t="s">
        <v>63</v>
      </c>
      <c r="C58" s="11" t="s">
        <v>64</v>
      </c>
      <c r="D58" s="229"/>
      <c r="E58" s="13"/>
      <c r="F58" s="229"/>
      <c r="G58" s="13"/>
      <c r="H58" s="229"/>
      <c r="I58" s="13"/>
      <c r="J58" s="229"/>
      <c r="K58" s="13"/>
      <c r="L58" s="229"/>
      <c r="M58" s="13"/>
      <c r="N58" s="229"/>
      <c r="O58" s="13"/>
      <c r="P58" s="229"/>
      <c r="Q58" s="13"/>
      <c r="R58" s="229"/>
      <c r="S58" s="13"/>
      <c r="T58" s="229"/>
      <c r="U58" s="13"/>
      <c r="V58" s="229"/>
      <c r="W58" s="13"/>
      <c r="X58" s="229"/>
      <c r="Y58" s="13"/>
      <c r="Z58" s="229"/>
      <c r="AA58" s="13"/>
      <c r="AB58" s="229">
        <f t="shared" si="29"/>
        <v>0</v>
      </c>
      <c r="AC58" s="228">
        <f t="shared" si="24"/>
        <v>0</v>
      </c>
      <c r="AD58" s="21">
        <v>0</v>
      </c>
      <c r="AE58" s="229"/>
      <c r="AF58" s="20"/>
      <c r="AG58" s="229"/>
      <c r="AH58" s="20"/>
      <c r="AI58" s="229"/>
      <c r="AJ58" s="20"/>
      <c r="AK58" s="229"/>
      <c r="AL58" s="20"/>
      <c r="AM58" s="229"/>
      <c r="AN58" s="20"/>
      <c r="AO58" s="229">
        <v>9</v>
      </c>
      <c r="AP58" s="20">
        <v>9</v>
      </c>
      <c r="AQ58" s="229"/>
      <c r="AR58" s="20"/>
      <c r="AS58" s="229"/>
      <c r="AT58" s="20"/>
      <c r="AU58" s="229"/>
      <c r="AV58" s="20">
        <v>4</v>
      </c>
      <c r="AW58" s="229"/>
      <c r="AX58" s="20"/>
      <c r="AY58" s="229"/>
      <c r="AZ58" s="20"/>
      <c r="BA58" s="229"/>
      <c r="BB58" s="20">
        <v>8</v>
      </c>
      <c r="BC58" s="229">
        <f t="shared" si="30"/>
        <v>9</v>
      </c>
      <c r="BD58" s="48">
        <f t="shared" si="25"/>
        <v>21</v>
      </c>
      <c r="BE58" s="19">
        <v>63</v>
      </c>
      <c r="BF58" s="229">
        <f t="shared" si="31"/>
        <v>9</v>
      </c>
      <c r="BG58" s="210">
        <f t="shared" si="21"/>
        <v>21</v>
      </c>
      <c r="BH58" s="210">
        <f t="shared" si="22"/>
        <v>63</v>
      </c>
      <c r="BI58" s="213">
        <f t="shared" si="23"/>
        <v>33.333333333333329</v>
      </c>
      <c r="BJ58" s="141"/>
      <c r="BK58" s="201"/>
      <c r="BL58" s="198"/>
      <c r="BM58" s="198"/>
    </row>
    <row r="59" spans="1:65" s="17" customFormat="1" ht="15.95" customHeight="1">
      <c r="A59" s="123">
        <v>49</v>
      </c>
      <c r="B59" s="9" t="s">
        <v>65</v>
      </c>
      <c r="C59" s="11" t="s">
        <v>66</v>
      </c>
      <c r="D59" s="229"/>
      <c r="E59" s="13"/>
      <c r="F59" s="229"/>
      <c r="G59" s="13"/>
      <c r="H59" s="229"/>
      <c r="I59" s="13"/>
      <c r="J59" s="229"/>
      <c r="K59" s="13"/>
      <c r="L59" s="229"/>
      <c r="M59" s="13"/>
      <c r="N59" s="229"/>
      <c r="O59" s="13"/>
      <c r="P59" s="229"/>
      <c r="Q59" s="13"/>
      <c r="R59" s="229"/>
      <c r="S59" s="13"/>
      <c r="T59" s="229"/>
      <c r="U59" s="13"/>
      <c r="V59" s="229"/>
      <c r="W59" s="13"/>
      <c r="X59" s="229"/>
      <c r="Y59" s="13"/>
      <c r="Z59" s="229"/>
      <c r="AA59" s="13"/>
      <c r="AB59" s="229">
        <f t="shared" si="29"/>
        <v>0</v>
      </c>
      <c r="AC59" s="228">
        <f t="shared" si="24"/>
        <v>0</v>
      </c>
      <c r="AD59" s="21">
        <v>0</v>
      </c>
      <c r="AE59" s="229"/>
      <c r="AF59" s="20"/>
      <c r="AG59" s="229"/>
      <c r="AH59" s="20"/>
      <c r="AI59" s="229">
        <f>4+1</f>
        <v>5</v>
      </c>
      <c r="AJ59" s="20">
        <f>4+1</f>
        <v>5</v>
      </c>
      <c r="AK59" s="229"/>
      <c r="AL59" s="20"/>
      <c r="AM59" s="229"/>
      <c r="AN59" s="20"/>
      <c r="AO59" s="229">
        <v>2</v>
      </c>
      <c r="AP59" s="20">
        <v>2</v>
      </c>
      <c r="AQ59" s="229"/>
      <c r="AR59" s="20"/>
      <c r="AS59" s="229"/>
      <c r="AT59" s="20"/>
      <c r="AU59" s="229"/>
      <c r="AV59" s="20">
        <v>6</v>
      </c>
      <c r="AW59" s="229"/>
      <c r="AX59" s="20"/>
      <c r="AY59" s="229"/>
      <c r="AZ59" s="20"/>
      <c r="BA59" s="229"/>
      <c r="BB59" s="20">
        <v>9</v>
      </c>
      <c r="BC59" s="229">
        <f t="shared" si="30"/>
        <v>7</v>
      </c>
      <c r="BD59" s="48">
        <f t="shared" si="25"/>
        <v>22</v>
      </c>
      <c r="BE59" s="19">
        <v>19</v>
      </c>
      <c r="BF59" s="229">
        <f t="shared" si="31"/>
        <v>7</v>
      </c>
      <c r="BG59" s="210">
        <f t="shared" si="21"/>
        <v>22</v>
      </c>
      <c r="BH59" s="210">
        <f t="shared" si="22"/>
        <v>19</v>
      </c>
      <c r="BI59" s="213">
        <f t="shared" si="23"/>
        <v>115.78947368421053</v>
      </c>
      <c r="BJ59" s="141"/>
      <c r="BK59" s="201"/>
      <c r="BL59" s="198"/>
      <c r="BM59" s="198"/>
    </row>
    <row r="60" spans="1:65" s="17" customFormat="1" ht="15.95" customHeight="1">
      <c r="A60" s="123">
        <v>50</v>
      </c>
      <c r="B60" s="9" t="s">
        <v>67</v>
      </c>
      <c r="C60" s="11" t="s">
        <v>68</v>
      </c>
      <c r="D60" s="229"/>
      <c r="E60" s="13"/>
      <c r="F60" s="229"/>
      <c r="G60" s="13"/>
      <c r="H60" s="229"/>
      <c r="I60" s="13"/>
      <c r="J60" s="229"/>
      <c r="K60" s="13"/>
      <c r="L60" s="229"/>
      <c r="M60" s="13"/>
      <c r="N60" s="229"/>
      <c r="O60" s="13"/>
      <c r="P60" s="229"/>
      <c r="Q60" s="13"/>
      <c r="R60" s="229"/>
      <c r="S60" s="13"/>
      <c r="T60" s="229"/>
      <c r="U60" s="13"/>
      <c r="V60" s="229"/>
      <c r="W60" s="13"/>
      <c r="X60" s="229"/>
      <c r="Y60" s="13"/>
      <c r="Z60" s="229"/>
      <c r="AA60" s="13"/>
      <c r="AB60" s="229">
        <f t="shared" si="29"/>
        <v>0</v>
      </c>
      <c r="AC60" s="228">
        <f t="shared" si="24"/>
        <v>0</v>
      </c>
      <c r="AD60" s="21">
        <v>0</v>
      </c>
      <c r="AE60" s="229"/>
      <c r="AF60" s="20"/>
      <c r="AG60" s="229"/>
      <c r="AH60" s="20"/>
      <c r="AI60" s="229">
        <f>7+5</f>
        <v>12</v>
      </c>
      <c r="AJ60" s="20">
        <f>7+5</f>
        <v>12</v>
      </c>
      <c r="AK60" s="229"/>
      <c r="AL60" s="20"/>
      <c r="AM60" s="229"/>
      <c r="AN60" s="20"/>
      <c r="AO60" s="229">
        <v>15</v>
      </c>
      <c r="AP60" s="20">
        <v>15</v>
      </c>
      <c r="AQ60" s="229"/>
      <c r="AR60" s="20"/>
      <c r="AS60" s="229"/>
      <c r="AT60" s="20"/>
      <c r="AU60" s="229"/>
      <c r="AV60" s="20">
        <f>2+12</f>
        <v>14</v>
      </c>
      <c r="AW60" s="229"/>
      <c r="AX60" s="20"/>
      <c r="AY60" s="229"/>
      <c r="AZ60" s="20"/>
      <c r="BA60" s="229"/>
      <c r="BB60" s="20">
        <v>9</v>
      </c>
      <c r="BC60" s="229">
        <f t="shared" si="30"/>
        <v>27</v>
      </c>
      <c r="BD60" s="48">
        <f t="shared" si="25"/>
        <v>50</v>
      </c>
      <c r="BE60" s="19">
        <v>31</v>
      </c>
      <c r="BF60" s="229">
        <f t="shared" si="31"/>
        <v>27</v>
      </c>
      <c r="BG60" s="210">
        <f t="shared" si="21"/>
        <v>50</v>
      </c>
      <c r="BH60" s="210">
        <f t="shared" si="22"/>
        <v>31</v>
      </c>
      <c r="BI60" s="213">
        <f t="shared" si="23"/>
        <v>161.29032258064515</v>
      </c>
      <c r="BJ60" s="141"/>
      <c r="BK60" s="201"/>
      <c r="BL60" s="198"/>
      <c r="BM60" s="198"/>
    </row>
    <row r="61" spans="1:65" s="17" customFormat="1" ht="15.95" customHeight="1">
      <c r="A61" s="123">
        <v>51</v>
      </c>
      <c r="B61" s="9" t="s">
        <v>69</v>
      </c>
      <c r="C61" s="11" t="s">
        <v>70</v>
      </c>
      <c r="D61" s="229"/>
      <c r="E61" s="13"/>
      <c r="F61" s="229"/>
      <c r="G61" s="13"/>
      <c r="H61" s="229"/>
      <c r="I61" s="13"/>
      <c r="J61" s="229"/>
      <c r="K61" s="13"/>
      <c r="L61" s="229"/>
      <c r="M61" s="13"/>
      <c r="N61" s="229"/>
      <c r="O61" s="13"/>
      <c r="P61" s="229"/>
      <c r="Q61" s="13"/>
      <c r="R61" s="229"/>
      <c r="S61" s="13"/>
      <c r="T61" s="229"/>
      <c r="U61" s="13"/>
      <c r="V61" s="229"/>
      <c r="W61" s="13"/>
      <c r="X61" s="229"/>
      <c r="Y61" s="13"/>
      <c r="Z61" s="229"/>
      <c r="AA61" s="13"/>
      <c r="AB61" s="229">
        <f t="shared" si="29"/>
        <v>0</v>
      </c>
      <c r="AC61" s="228">
        <f t="shared" si="24"/>
        <v>0</v>
      </c>
      <c r="AD61" s="21">
        <v>0</v>
      </c>
      <c r="AE61" s="229"/>
      <c r="AF61" s="20"/>
      <c r="AG61" s="229"/>
      <c r="AH61" s="20"/>
      <c r="AI61" s="229">
        <v>4</v>
      </c>
      <c r="AJ61" s="20">
        <v>4</v>
      </c>
      <c r="AK61" s="229"/>
      <c r="AL61" s="20"/>
      <c r="AM61" s="229"/>
      <c r="AN61" s="20"/>
      <c r="AO61" s="229">
        <v>5</v>
      </c>
      <c r="AP61" s="20">
        <v>5</v>
      </c>
      <c r="AQ61" s="229"/>
      <c r="AR61" s="20"/>
      <c r="AS61" s="229"/>
      <c r="AT61" s="20"/>
      <c r="AU61" s="229"/>
      <c r="AV61" s="20">
        <f>2+5</f>
        <v>7</v>
      </c>
      <c r="AW61" s="229"/>
      <c r="AX61" s="20"/>
      <c r="AY61" s="229"/>
      <c r="AZ61" s="20"/>
      <c r="BA61" s="229"/>
      <c r="BB61" s="20">
        <v>10</v>
      </c>
      <c r="BC61" s="229">
        <f t="shared" si="30"/>
        <v>9</v>
      </c>
      <c r="BD61" s="48">
        <f t="shared" si="25"/>
        <v>26</v>
      </c>
      <c r="BE61" s="19">
        <v>18</v>
      </c>
      <c r="BF61" s="229">
        <f t="shared" si="31"/>
        <v>9</v>
      </c>
      <c r="BG61" s="210">
        <f t="shared" si="21"/>
        <v>26</v>
      </c>
      <c r="BH61" s="210">
        <f t="shared" si="22"/>
        <v>18</v>
      </c>
      <c r="BI61" s="213">
        <f t="shared" si="23"/>
        <v>144.44444444444443</v>
      </c>
      <c r="BJ61" s="141"/>
      <c r="BK61" s="201"/>
      <c r="BL61" s="198"/>
      <c r="BM61" s="198"/>
    </row>
    <row r="62" spans="1:65" s="17" customFormat="1" ht="21.95" customHeight="1">
      <c r="A62" s="123">
        <v>52</v>
      </c>
      <c r="B62" s="9" t="s">
        <v>1447</v>
      </c>
      <c r="C62" s="10" t="s">
        <v>1448</v>
      </c>
      <c r="D62" s="229"/>
      <c r="E62" s="13"/>
      <c r="F62" s="229"/>
      <c r="G62" s="13"/>
      <c r="H62" s="229"/>
      <c r="I62" s="13"/>
      <c r="J62" s="229"/>
      <c r="K62" s="13"/>
      <c r="L62" s="229"/>
      <c r="M62" s="13"/>
      <c r="N62" s="229"/>
      <c r="O62" s="13"/>
      <c r="P62" s="229"/>
      <c r="Q62" s="13"/>
      <c r="R62" s="229"/>
      <c r="S62" s="13"/>
      <c r="T62" s="229"/>
      <c r="U62" s="13"/>
      <c r="V62" s="229"/>
      <c r="W62" s="13"/>
      <c r="X62" s="229"/>
      <c r="Y62" s="13"/>
      <c r="Z62" s="229"/>
      <c r="AA62" s="13"/>
      <c r="AB62" s="229">
        <f t="shared" si="29"/>
        <v>0</v>
      </c>
      <c r="AC62" s="228">
        <f t="shared" si="24"/>
        <v>0</v>
      </c>
      <c r="AD62" s="21">
        <v>0</v>
      </c>
      <c r="AE62" s="229"/>
      <c r="AF62" s="20"/>
      <c r="AG62" s="229"/>
      <c r="AH62" s="20"/>
      <c r="AI62" s="229"/>
      <c r="AJ62" s="20"/>
      <c r="AK62" s="229"/>
      <c r="AL62" s="20"/>
      <c r="AM62" s="229"/>
      <c r="AN62" s="20"/>
      <c r="AO62" s="229"/>
      <c r="AP62" s="20"/>
      <c r="AQ62" s="229"/>
      <c r="AR62" s="20"/>
      <c r="AS62" s="229"/>
      <c r="AT62" s="20"/>
      <c r="AU62" s="229"/>
      <c r="AV62" s="20"/>
      <c r="AW62" s="229"/>
      <c r="AX62" s="20"/>
      <c r="AY62" s="229"/>
      <c r="AZ62" s="20"/>
      <c r="BA62" s="229"/>
      <c r="BB62" s="20">
        <v>1</v>
      </c>
      <c r="BC62" s="229">
        <f t="shared" si="30"/>
        <v>0</v>
      </c>
      <c r="BD62" s="48">
        <f t="shared" si="25"/>
        <v>1</v>
      </c>
      <c r="BE62" s="19">
        <v>5</v>
      </c>
      <c r="BF62" s="229">
        <f t="shared" si="31"/>
        <v>0</v>
      </c>
      <c r="BG62" s="210">
        <f t="shared" si="21"/>
        <v>1</v>
      </c>
      <c r="BH62" s="210">
        <f t="shared" si="22"/>
        <v>5</v>
      </c>
      <c r="BI62" s="213">
        <f t="shared" si="23"/>
        <v>20</v>
      </c>
      <c r="BJ62" s="141"/>
      <c r="BK62" s="201"/>
      <c r="BL62" s="198"/>
      <c r="BM62" s="198"/>
    </row>
    <row r="63" spans="1:65" s="17" customFormat="1" ht="15.95" customHeight="1">
      <c r="A63" s="123">
        <v>53</v>
      </c>
      <c r="B63" s="9" t="s">
        <v>71</v>
      </c>
      <c r="C63" s="11" t="s">
        <v>2521</v>
      </c>
      <c r="D63" s="229"/>
      <c r="E63" s="13"/>
      <c r="F63" s="229"/>
      <c r="G63" s="13"/>
      <c r="H63" s="229"/>
      <c r="I63" s="13"/>
      <c r="J63" s="229"/>
      <c r="K63" s="13"/>
      <c r="L63" s="229"/>
      <c r="M63" s="13"/>
      <c r="N63" s="229"/>
      <c r="O63" s="13"/>
      <c r="P63" s="229"/>
      <c r="Q63" s="13"/>
      <c r="R63" s="229"/>
      <c r="S63" s="13"/>
      <c r="T63" s="229"/>
      <c r="U63" s="13"/>
      <c r="V63" s="229"/>
      <c r="W63" s="13"/>
      <c r="X63" s="229"/>
      <c r="Y63" s="13"/>
      <c r="Z63" s="229"/>
      <c r="AA63" s="13"/>
      <c r="AB63" s="229">
        <f t="shared" si="29"/>
        <v>0</v>
      </c>
      <c r="AC63" s="228">
        <f t="shared" si="24"/>
        <v>0</v>
      </c>
      <c r="AD63" s="21">
        <v>0</v>
      </c>
      <c r="AE63" s="229"/>
      <c r="AF63" s="20"/>
      <c r="AG63" s="229"/>
      <c r="AH63" s="20"/>
      <c r="AI63" s="229">
        <v>1</v>
      </c>
      <c r="AJ63" s="20">
        <v>1</v>
      </c>
      <c r="AK63" s="229"/>
      <c r="AL63" s="20"/>
      <c r="AM63" s="229"/>
      <c r="AN63" s="20"/>
      <c r="AO63" s="229"/>
      <c r="AP63" s="20"/>
      <c r="AQ63" s="229"/>
      <c r="AR63" s="20"/>
      <c r="AS63" s="229"/>
      <c r="AT63" s="20"/>
      <c r="AU63" s="229"/>
      <c r="AV63" s="20"/>
      <c r="AW63" s="229"/>
      <c r="AX63" s="20"/>
      <c r="AY63" s="229"/>
      <c r="AZ63" s="20"/>
      <c r="BA63" s="229"/>
      <c r="BB63" s="20"/>
      <c r="BC63" s="229">
        <f t="shared" si="30"/>
        <v>1</v>
      </c>
      <c r="BD63" s="48">
        <f t="shared" si="25"/>
        <v>1</v>
      </c>
      <c r="BE63" s="19">
        <v>3</v>
      </c>
      <c r="BF63" s="229">
        <f t="shared" si="31"/>
        <v>1</v>
      </c>
      <c r="BG63" s="210">
        <f t="shared" si="21"/>
        <v>1</v>
      </c>
      <c r="BH63" s="210">
        <f t="shared" si="22"/>
        <v>3</v>
      </c>
      <c r="BI63" s="213">
        <f t="shared" si="23"/>
        <v>33.333333333333329</v>
      </c>
      <c r="BJ63" s="141"/>
      <c r="BK63" s="201"/>
      <c r="BL63" s="198"/>
      <c r="BM63" s="198"/>
    </row>
    <row r="64" spans="1:65" s="17" customFormat="1" ht="15.95" customHeight="1">
      <c r="A64" s="123">
        <v>54</v>
      </c>
      <c r="B64" s="9" t="s">
        <v>2362</v>
      </c>
      <c r="C64" s="11" t="s">
        <v>2363</v>
      </c>
      <c r="D64" s="229"/>
      <c r="E64" s="13"/>
      <c r="F64" s="229"/>
      <c r="G64" s="13"/>
      <c r="H64" s="229"/>
      <c r="I64" s="13"/>
      <c r="J64" s="229"/>
      <c r="K64" s="13"/>
      <c r="L64" s="229"/>
      <c r="M64" s="13"/>
      <c r="N64" s="229"/>
      <c r="O64" s="13"/>
      <c r="P64" s="229"/>
      <c r="Q64" s="13"/>
      <c r="R64" s="229"/>
      <c r="S64" s="13"/>
      <c r="T64" s="229"/>
      <c r="U64" s="13"/>
      <c r="V64" s="229"/>
      <c r="W64" s="13"/>
      <c r="X64" s="229"/>
      <c r="Y64" s="13"/>
      <c r="Z64" s="229"/>
      <c r="AA64" s="13"/>
      <c r="AB64" s="229">
        <f t="shared" si="29"/>
        <v>0</v>
      </c>
      <c r="AC64" s="228">
        <f t="shared" si="24"/>
        <v>0</v>
      </c>
      <c r="AD64" s="21">
        <v>0</v>
      </c>
      <c r="AE64" s="229"/>
      <c r="AF64" s="20"/>
      <c r="AG64" s="229"/>
      <c r="AH64" s="20"/>
      <c r="AI64" s="229"/>
      <c r="AJ64" s="20"/>
      <c r="AK64" s="229"/>
      <c r="AL64" s="20"/>
      <c r="AM64" s="229"/>
      <c r="AN64" s="20"/>
      <c r="AO64" s="229">
        <v>1</v>
      </c>
      <c r="AP64" s="20">
        <v>1</v>
      </c>
      <c r="AQ64" s="229"/>
      <c r="AR64" s="20"/>
      <c r="AS64" s="229"/>
      <c r="AT64" s="20"/>
      <c r="AU64" s="229"/>
      <c r="AV64" s="20">
        <v>1</v>
      </c>
      <c r="AW64" s="229"/>
      <c r="AX64" s="20"/>
      <c r="AY64" s="229"/>
      <c r="AZ64" s="20"/>
      <c r="BA64" s="229"/>
      <c r="BB64" s="20">
        <v>2</v>
      </c>
      <c r="BC64" s="229">
        <f t="shared" si="30"/>
        <v>1</v>
      </c>
      <c r="BD64" s="48">
        <f t="shared" si="25"/>
        <v>4</v>
      </c>
      <c r="BE64" s="19">
        <v>2</v>
      </c>
      <c r="BF64" s="229">
        <f t="shared" si="31"/>
        <v>1</v>
      </c>
      <c r="BG64" s="210">
        <f t="shared" si="21"/>
        <v>4</v>
      </c>
      <c r="BH64" s="210">
        <f t="shared" si="22"/>
        <v>2</v>
      </c>
      <c r="BI64" s="213">
        <f t="shared" si="23"/>
        <v>200</v>
      </c>
      <c r="BJ64" s="141"/>
      <c r="BK64" s="201"/>
      <c r="BL64" s="198"/>
      <c r="BM64" s="198"/>
    </row>
    <row r="65" spans="1:65" s="17" customFormat="1" ht="15.95" customHeight="1">
      <c r="A65" s="123">
        <v>55</v>
      </c>
      <c r="B65" s="9" t="s">
        <v>1658</v>
      </c>
      <c r="C65" s="11" t="s">
        <v>1659</v>
      </c>
      <c r="D65" s="229"/>
      <c r="E65" s="13"/>
      <c r="F65" s="229"/>
      <c r="G65" s="13"/>
      <c r="H65" s="229"/>
      <c r="I65" s="13"/>
      <c r="J65" s="229"/>
      <c r="K65" s="13"/>
      <c r="L65" s="229"/>
      <c r="M65" s="13"/>
      <c r="N65" s="229"/>
      <c r="O65" s="13"/>
      <c r="P65" s="229"/>
      <c r="Q65" s="13"/>
      <c r="R65" s="229"/>
      <c r="S65" s="13"/>
      <c r="T65" s="229"/>
      <c r="U65" s="13"/>
      <c r="V65" s="229"/>
      <c r="W65" s="13"/>
      <c r="X65" s="229"/>
      <c r="Y65" s="13"/>
      <c r="Z65" s="229"/>
      <c r="AA65" s="13"/>
      <c r="AB65" s="229">
        <f t="shared" si="29"/>
        <v>0</v>
      </c>
      <c r="AC65" s="228">
        <f t="shared" si="24"/>
        <v>0</v>
      </c>
      <c r="AD65" s="21">
        <v>0</v>
      </c>
      <c r="AE65" s="229"/>
      <c r="AF65" s="20"/>
      <c r="AG65" s="229"/>
      <c r="AH65" s="20"/>
      <c r="AI65" s="229">
        <v>2</v>
      </c>
      <c r="AJ65" s="20">
        <v>2</v>
      </c>
      <c r="AK65" s="229"/>
      <c r="AL65" s="20"/>
      <c r="AM65" s="229"/>
      <c r="AN65" s="20"/>
      <c r="AO65" s="229">
        <v>1</v>
      </c>
      <c r="AP65" s="20">
        <v>1</v>
      </c>
      <c r="AQ65" s="229"/>
      <c r="AR65" s="20"/>
      <c r="AS65" s="229"/>
      <c r="AT65" s="20"/>
      <c r="AU65" s="229"/>
      <c r="AV65" s="20">
        <v>2</v>
      </c>
      <c r="AW65" s="229"/>
      <c r="AX65" s="20"/>
      <c r="AY65" s="229"/>
      <c r="AZ65" s="20"/>
      <c r="BA65" s="229"/>
      <c r="BB65" s="20">
        <v>1</v>
      </c>
      <c r="BC65" s="229">
        <f t="shared" si="30"/>
        <v>3</v>
      </c>
      <c r="BD65" s="48">
        <f t="shared" si="25"/>
        <v>6</v>
      </c>
      <c r="BE65" s="19">
        <v>2</v>
      </c>
      <c r="BF65" s="229">
        <f t="shared" si="31"/>
        <v>3</v>
      </c>
      <c r="BG65" s="210">
        <f t="shared" si="21"/>
        <v>6</v>
      </c>
      <c r="BH65" s="210">
        <f t="shared" si="22"/>
        <v>2</v>
      </c>
      <c r="BI65" s="213">
        <f t="shared" si="23"/>
        <v>300</v>
      </c>
      <c r="BJ65" s="141"/>
      <c r="BK65" s="201"/>
      <c r="BL65" s="198"/>
      <c r="BM65" s="198"/>
    </row>
    <row r="66" spans="1:65" s="17" customFormat="1" ht="15.95" customHeight="1">
      <c r="A66" s="123">
        <v>56</v>
      </c>
      <c r="B66" s="9" t="s">
        <v>74</v>
      </c>
      <c r="C66" s="11" t="s">
        <v>2520</v>
      </c>
      <c r="D66" s="229"/>
      <c r="E66" s="13"/>
      <c r="F66" s="229"/>
      <c r="G66" s="13"/>
      <c r="H66" s="229"/>
      <c r="I66" s="13"/>
      <c r="J66" s="229"/>
      <c r="K66" s="13"/>
      <c r="L66" s="229"/>
      <c r="M66" s="13"/>
      <c r="N66" s="229"/>
      <c r="O66" s="13"/>
      <c r="P66" s="229"/>
      <c r="Q66" s="13"/>
      <c r="R66" s="229"/>
      <c r="S66" s="13"/>
      <c r="T66" s="229"/>
      <c r="U66" s="13"/>
      <c r="V66" s="229"/>
      <c r="W66" s="13"/>
      <c r="X66" s="229"/>
      <c r="Y66" s="13"/>
      <c r="Z66" s="229"/>
      <c r="AA66" s="13"/>
      <c r="AB66" s="229">
        <f t="shared" si="29"/>
        <v>0</v>
      </c>
      <c r="AC66" s="228">
        <f t="shared" si="24"/>
        <v>0</v>
      </c>
      <c r="AD66" s="21">
        <v>0</v>
      </c>
      <c r="AE66" s="229"/>
      <c r="AF66" s="20"/>
      <c r="AG66" s="229"/>
      <c r="AH66" s="20"/>
      <c r="AI66" s="229"/>
      <c r="AJ66" s="20"/>
      <c r="AK66" s="229"/>
      <c r="AL66" s="20"/>
      <c r="AM66" s="229"/>
      <c r="AN66" s="20"/>
      <c r="AO66" s="229"/>
      <c r="AP66" s="20"/>
      <c r="AQ66" s="229"/>
      <c r="AR66" s="20"/>
      <c r="AS66" s="229"/>
      <c r="AT66" s="20"/>
      <c r="AU66" s="229"/>
      <c r="AV66" s="20"/>
      <c r="AW66" s="229"/>
      <c r="AX66" s="20"/>
      <c r="AY66" s="229"/>
      <c r="AZ66" s="20"/>
      <c r="BA66" s="229"/>
      <c r="BB66" s="20"/>
      <c r="BC66" s="229">
        <f t="shared" si="30"/>
        <v>0</v>
      </c>
      <c r="BD66" s="48">
        <f t="shared" si="25"/>
        <v>0</v>
      </c>
      <c r="BE66" s="19">
        <v>1</v>
      </c>
      <c r="BF66" s="229">
        <f t="shared" si="31"/>
        <v>0</v>
      </c>
      <c r="BG66" s="210">
        <f t="shared" si="21"/>
        <v>0</v>
      </c>
      <c r="BH66" s="210">
        <f t="shared" si="22"/>
        <v>1</v>
      </c>
      <c r="BI66" s="213">
        <f t="shared" si="23"/>
        <v>0</v>
      </c>
      <c r="BJ66" s="141"/>
      <c r="BK66" s="201"/>
      <c r="BL66" s="198"/>
      <c r="BM66" s="198"/>
    </row>
    <row r="67" spans="1:65" s="17" customFormat="1" ht="15.95" customHeight="1">
      <c r="A67" s="123">
        <v>57</v>
      </c>
      <c r="B67" s="9" t="s">
        <v>234</v>
      </c>
      <c r="C67" s="11" t="s">
        <v>235</v>
      </c>
      <c r="D67" s="229"/>
      <c r="E67" s="13"/>
      <c r="F67" s="229"/>
      <c r="G67" s="13"/>
      <c r="H67" s="229"/>
      <c r="I67" s="13"/>
      <c r="J67" s="229"/>
      <c r="K67" s="13"/>
      <c r="L67" s="229"/>
      <c r="M67" s="13"/>
      <c r="N67" s="229"/>
      <c r="O67" s="13"/>
      <c r="P67" s="229"/>
      <c r="Q67" s="13"/>
      <c r="R67" s="229"/>
      <c r="S67" s="13"/>
      <c r="T67" s="229"/>
      <c r="U67" s="13"/>
      <c r="V67" s="229"/>
      <c r="W67" s="13"/>
      <c r="X67" s="229"/>
      <c r="Y67" s="13"/>
      <c r="Z67" s="229"/>
      <c r="AA67" s="13"/>
      <c r="AB67" s="229">
        <f t="shared" si="29"/>
        <v>0</v>
      </c>
      <c r="AC67" s="228">
        <f t="shared" si="24"/>
        <v>0</v>
      </c>
      <c r="AD67" s="21">
        <v>0</v>
      </c>
      <c r="AE67" s="229"/>
      <c r="AF67" s="20"/>
      <c r="AG67" s="229"/>
      <c r="AH67" s="20"/>
      <c r="AI67" s="229"/>
      <c r="AJ67" s="20"/>
      <c r="AK67" s="229"/>
      <c r="AL67" s="20"/>
      <c r="AM67" s="229"/>
      <c r="AN67" s="20"/>
      <c r="AO67" s="229">
        <v>1</v>
      </c>
      <c r="AP67" s="20">
        <v>1</v>
      </c>
      <c r="AQ67" s="229"/>
      <c r="AR67" s="20"/>
      <c r="AS67" s="229"/>
      <c r="AT67" s="20"/>
      <c r="AU67" s="229"/>
      <c r="AV67" s="20"/>
      <c r="AW67" s="229"/>
      <c r="AX67" s="20"/>
      <c r="AY67" s="229"/>
      <c r="AZ67" s="20"/>
      <c r="BA67" s="229"/>
      <c r="BB67" s="20"/>
      <c r="BC67" s="229">
        <f t="shared" si="30"/>
        <v>1</v>
      </c>
      <c r="BD67" s="48">
        <f t="shared" si="25"/>
        <v>1</v>
      </c>
      <c r="BE67" s="19">
        <v>3</v>
      </c>
      <c r="BF67" s="229">
        <f t="shared" si="31"/>
        <v>1</v>
      </c>
      <c r="BG67" s="210">
        <f t="shared" si="21"/>
        <v>1</v>
      </c>
      <c r="BH67" s="210">
        <f t="shared" si="22"/>
        <v>3</v>
      </c>
      <c r="BI67" s="213">
        <f t="shared" si="23"/>
        <v>33.333333333333329</v>
      </c>
      <c r="BJ67" s="141"/>
      <c r="BK67" s="201"/>
      <c r="BL67" s="198"/>
      <c r="BM67" s="198"/>
    </row>
    <row r="68" spans="1:65" s="17" customFormat="1" ht="15.95" customHeight="1">
      <c r="A68" s="123">
        <v>58</v>
      </c>
      <c r="B68" s="9" t="s">
        <v>1564</v>
      </c>
      <c r="C68" s="11" t="s">
        <v>1565</v>
      </c>
      <c r="D68" s="229"/>
      <c r="E68" s="13"/>
      <c r="F68" s="229"/>
      <c r="G68" s="13"/>
      <c r="H68" s="229"/>
      <c r="I68" s="13"/>
      <c r="J68" s="229"/>
      <c r="K68" s="13"/>
      <c r="L68" s="229"/>
      <c r="M68" s="13"/>
      <c r="N68" s="229"/>
      <c r="O68" s="13"/>
      <c r="P68" s="229"/>
      <c r="Q68" s="13"/>
      <c r="R68" s="229"/>
      <c r="S68" s="13"/>
      <c r="T68" s="229"/>
      <c r="U68" s="13"/>
      <c r="V68" s="229"/>
      <c r="W68" s="13"/>
      <c r="X68" s="229"/>
      <c r="Y68" s="13"/>
      <c r="Z68" s="229"/>
      <c r="AA68" s="13"/>
      <c r="AB68" s="229">
        <f t="shared" si="29"/>
        <v>0</v>
      </c>
      <c r="AC68" s="228">
        <f t="shared" si="24"/>
        <v>0</v>
      </c>
      <c r="AD68" s="21">
        <v>0</v>
      </c>
      <c r="AE68" s="229"/>
      <c r="AF68" s="20"/>
      <c r="AG68" s="229"/>
      <c r="AH68" s="20"/>
      <c r="AI68" s="229"/>
      <c r="AJ68" s="20"/>
      <c r="AK68" s="229"/>
      <c r="AL68" s="20"/>
      <c r="AM68" s="229"/>
      <c r="AN68" s="20"/>
      <c r="AO68" s="229"/>
      <c r="AP68" s="20"/>
      <c r="AQ68" s="229"/>
      <c r="AR68" s="20"/>
      <c r="AS68" s="229"/>
      <c r="AT68" s="20"/>
      <c r="AU68" s="229"/>
      <c r="AV68" s="20"/>
      <c r="AW68" s="229"/>
      <c r="AX68" s="20"/>
      <c r="AY68" s="229"/>
      <c r="AZ68" s="20"/>
      <c r="BA68" s="229"/>
      <c r="BB68" s="20"/>
      <c r="BC68" s="229">
        <f t="shared" si="30"/>
        <v>0</v>
      </c>
      <c r="BD68" s="48">
        <f t="shared" si="25"/>
        <v>0</v>
      </c>
      <c r="BE68" s="19">
        <v>3</v>
      </c>
      <c r="BF68" s="229">
        <f t="shared" si="31"/>
        <v>0</v>
      </c>
      <c r="BG68" s="210">
        <f t="shared" si="21"/>
        <v>0</v>
      </c>
      <c r="BH68" s="210">
        <f t="shared" si="22"/>
        <v>3</v>
      </c>
      <c r="BI68" s="213">
        <f t="shared" si="23"/>
        <v>0</v>
      </c>
      <c r="BJ68" s="141"/>
      <c r="BK68" s="201"/>
      <c r="BL68" s="198"/>
      <c r="BM68" s="198"/>
    </row>
    <row r="69" spans="1:65" s="17" customFormat="1" ht="15.95" customHeight="1">
      <c r="A69" s="123">
        <v>59</v>
      </c>
      <c r="B69" s="9" t="s">
        <v>75</v>
      </c>
      <c r="C69" s="11" t="s">
        <v>236</v>
      </c>
      <c r="D69" s="229"/>
      <c r="E69" s="13"/>
      <c r="F69" s="229"/>
      <c r="G69" s="13"/>
      <c r="H69" s="229"/>
      <c r="I69" s="13"/>
      <c r="J69" s="229"/>
      <c r="K69" s="13"/>
      <c r="L69" s="229"/>
      <c r="M69" s="13"/>
      <c r="N69" s="229"/>
      <c r="O69" s="13"/>
      <c r="P69" s="229"/>
      <c r="Q69" s="13"/>
      <c r="R69" s="229"/>
      <c r="S69" s="13"/>
      <c r="T69" s="229"/>
      <c r="U69" s="13"/>
      <c r="V69" s="229"/>
      <c r="W69" s="13"/>
      <c r="X69" s="229"/>
      <c r="Y69" s="13"/>
      <c r="Z69" s="229"/>
      <c r="AA69" s="13"/>
      <c r="AB69" s="229">
        <f t="shared" si="29"/>
        <v>0</v>
      </c>
      <c r="AC69" s="228">
        <f t="shared" si="24"/>
        <v>0</v>
      </c>
      <c r="AD69" s="21">
        <v>0</v>
      </c>
      <c r="AE69" s="229"/>
      <c r="AF69" s="20"/>
      <c r="AG69" s="229"/>
      <c r="AH69" s="20"/>
      <c r="AI69" s="229"/>
      <c r="AJ69" s="20"/>
      <c r="AK69" s="229"/>
      <c r="AL69" s="20"/>
      <c r="AM69" s="229"/>
      <c r="AN69" s="20"/>
      <c r="AO69" s="229"/>
      <c r="AP69" s="20"/>
      <c r="AQ69" s="229"/>
      <c r="AR69" s="20"/>
      <c r="AS69" s="229"/>
      <c r="AT69" s="20"/>
      <c r="AU69" s="229"/>
      <c r="AV69" s="20">
        <v>1</v>
      </c>
      <c r="AW69" s="229"/>
      <c r="AX69" s="20"/>
      <c r="AY69" s="229"/>
      <c r="AZ69" s="20"/>
      <c r="BA69" s="229"/>
      <c r="BB69" s="20">
        <v>2</v>
      </c>
      <c r="BC69" s="229">
        <f t="shared" si="30"/>
        <v>0</v>
      </c>
      <c r="BD69" s="48">
        <f t="shared" si="25"/>
        <v>3</v>
      </c>
      <c r="BE69" s="19">
        <v>4</v>
      </c>
      <c r="BF69" s="229">
        <f t="shared" si="31"/>
        <v>0</v>
      </c>
      <c r="BG69" s="210">
        <f t="shared" si="21"/>
        <v>3</v>
      </c>
      <c r="BH69" s="210">
        <f t="shared" si="22"/>
        <v>4</v>
      </c>
      <c r="BI69" s="213">
        <f t="shared" si="23"/>
        <v>75</v>
      </c>
      <c r="BJ69" s="141"/>
      <c r="BK69" s="201"/>
      <c r="BL69" s="198"/>
      <c r="BM69" s="198"/>
    </row>
    <row r="70" spans="1:65" s="17" customFormat="1" ht="15.95" customHeight="1">
      <c r="A70" s="123">
        <v>60</v>
      </c>
      <c r="B70" s="9" t="s">
        <v>76</v>
      </c>
      <c r="C70" s="11" t="s">
        <v>77</v>
      </c>
      <c r="D70" s="229"/>
      <c r="E70" s="13"/>
      <c r="F70" s="229"/>
      <c r="G70" s="13"/>
      <c r="H70" s="229"/>
      <c r="I70" s="13"/>
      <c r="J70" s="229"/>
      <c r="K70" s="13"/>
      <c r="L70" s="229"/>
      <c r="M70" s="13"/>
      <c r="N70" s="229"/>
      <c r="O70" s="13"/>
      <c r="P70" s="229"/>
      <c r="Q70" s="13"/>
      <c r="R70" s="229"/>
      <c r="S70" s="13"/>
      <c r="T70" s="229"/>
      <c r="U70" s="13"/>
      <c r="V70" s="229"/>
      <c r="W70" s="13"/>
      <c r="X70" s="229"/>
      <c r="Y70" s="13"/>
      <c r="Z70" s="229"/>
      <c r="AA70" s="13"/>
      <c r="AB70" s="229">
        <f t="shared" si="29"/>
        <v>0</v>
      </c>
      <c r="AC70" s="228">
        <f t="shared" si="24"/>
        <v>0</v>
      </c>
      <c r="AD70" s="21">
        <v>0</v>
      </c>
      <c r="AE70" s="229"/>
      <c r="AF70" s="20"/>
      <c r="AG70" s="229"/>
      <c r="AH70" s="20"/>
      <c r="AI70" s="229">
        <v>1</v>
      </c>
      <c r="AJ70" s="20">
        <v>3</v>
      </c>
      <c r="AK70" s="229"/>
      <c r="AL70" s="20"/>
      <c r="AM70" s="229"/>
      <c r="AN70" s="20"/>
      <c r="AO70" s="229"/>
      <c r="AP70" s="20"/>
      <c r="AQ70" s="229"/>
      <c r="AR70" s="20"/>
      <c r="AS70" s="229"/>
      <c r="AT70" s="20"/>
      <c r="AU70" s="229"/>
      <c r="AV70" s="20"/>
      <c r="AW70" s="229"/>
      <c r="AX70" s="20"/>
      <c r="AY70" s="229"/>
      <c r="AZ70" s="20"/>
      <c r="BA70" s="229"/>
      <c r="BB70" s="20"/>
      <c r="BC70" s="229">
        <f t="shared" si="30"/>
        <v>1</v>
      </c>
      <c r="BD70" s="48">
        <f t="shared" si="25"/>
        <v>3</v>
      </c>
      <c r="BE70" s="19">
        <v>4</v>
      </c>
      <c r="BF70" s="229">
        <f t="shared" si="31"/>
        <v>1</v>
      </c>
      <c r="BG70" s="210">
        <f t="shared" si="21"/>
        <v>3</v>
      </c>
      <c r="BH70" s="210">
        <f t="shared" si="22"/>
        <v>4</v>
      </c>
      <c r="BI70" s="213">
        <f t="shared" si="23"/>
        <v>75</v>
      </c>
      <c r="BJ70" s="141"/>
      <c r="BK70" s="201"/>
      <c r="BL70" s="198"/>
      <c r="BM70" s="198"/>
    </row>
    <row r="71" spans="1:65" s="17" customFormat="1" ht="15.95" customHeight="1">
      <c r="A71" s="123">
        <v>61</v>
      </c>
      <c r="B71" s="9" t="s">
        <v>78</v>
      </c>
      <c r="C71" s="11" t="s">
        <v>79</v>
      </c>
      <c r="D71" s="229"/>
      <c r="E71" s="13"/>
      <c r="F71" s="229"/>
      <c r="G71" s="13"/>
      <c r="H71" s="229"/>
      <c r="I71" s="13"/>
      <c r="J71" s="229"/>
      <c r="K71" s="13"/>
      <c r="L71" s="229"/>
      <c r="M71" s="13"/>
      <c r="N71" s="229"/>
      <c r="O71" s="13"/>
      <c r="P71" s="229"/>
      <c r="Q71" s="13"/>
      <c r="R71" s="229"/>
      <c r="S71" s="13"/>
      <c r="T71" s="229"/>
      <c r="U71" s="13"/>
      <c r="V71" s="229"/>
      <c r="W71" s="13"/>
      <c r="X71" s="229"/>
      <c r="Y71" s="13"/>
      <c r="Z71" s="229"/>
      <c r="AA71" s="13"/>
      <c r="AB71" s="229">
        <f t="shared" si="29"/>
        <v>0</v>
      </c>
      <c r="AC71" s="228">
        <f t="shared" si="24"/>
        <v>0</v>
      </c>
      <c r="AD71" s="21">
        <v>0</v>
      </c>
      <c r="AE71" s="229"/>
      <c r="AF71" s="20"/>
      <c r="AG71" s="229"/>
      <c r="AH71" s="20"/>
      <c r="AI71" s="229"/>
      <c r="AJ71" s="20"/>
      <c r="AK71" s="229"/>
      <c r="AL71" s="20"/>
      <c r="AM71" s="229"/>
      <c r="AN71" s="20"/>
      <c r="AO71" s="229">
        <v>1</v>
      </c>
      <c r="AP71" s="20">
        <v>1</v>
      </c>
      <c r="AQ71" s="229"/>
      <c r="AR71" s="20"/>
      <c r="AS71" s="229"/>
      <c r="AT71" s="20"/>
      <c r="AU71" s="229"/>
      <c r="AV71" s="20">
        <v>1</v>
      </c>
      <c r="AW71" s="229"/>
      <c r="AX71" s="20"/>
      <c r="AY71" s="229"/>
      <c r="AZ71" s="20"/>
      <c r="BA71" s="229"/>
      <c r="BB71" s="20"/>
      <c r="BC71" s="229">
        <f t="shared" si="30"/>
        <v>1</v>
      </c>
      <c r="BD71" s="48">
        <f t="shared" si="25"/>
        <v>2</v>
      </c>
      <c r="BE71" s="19">
        <v>5</v>
      </c>
      <c r="BF71" s="229">
        <f t="shared" si="31"/>
        <v>1</v>
      </c>
      <c r="BG71" s="210">
        <f t="shared" si="21"/>
        <v>2</v>
      </c>
      <c r="BH71" s="210">
        <f t="shared" si="22"/>
        <v>5</v>
      </c>
      <c r="BI71" s="213">
        <f t="shared" si="23"/>
        <v>40</v>
      </c>
      <c r="BJ71" s="141"/>
      <c r="BK71" s="201"/>
      <c r="BL71" s="198"/>
      <c r="BM71" s="198"/>
    </row>
    <row r="72" spans="1:65" s="17" customFormat="1" ht="15.95" customHeight="1">
      <c r="A72" s="123">
        <v>62</v>
      </c>
      <c r="B72" s="9" t="s">
        <v>80</v>
      </c>
      <c r="C72" s="11" t="s">
        <v>1591</v>
      </c>
      <c r="D72" s="229"/>
      <c r="E72" s="13"/>
      <c r="F72" s="229"/>
      <c r="G72" s="13"/>
      <c r="H72" s="229"/>
      <c r="I72" s="13"/>
      <c r="J72" s="229"/>
      <c r="K72" s="13"/>
      <c r="L72" s="229"/>
      <c r="M72" s="13"/>
      <c r="N72" s="229"/>
      <c r="O72" s="13"/>
      <c r="P72" s="229"/>
      <c r="Q72" s="13"/>
      <c r="R72" s="229"/>
      <c r="S72" s="13"/>
      <c r="T72" s="229"/>
      <c r="U72" s="13"/>
      <c r="V72" s="229"/>
      <c r="W72" s="13"/>
      <c r="X72" s="229"/>
      <c r="Y72" s="13"/>
      <c r="Z72" s="229"/>
      <c r="AA72" s="13"/>
      <c r="AB72" s="229">
        <f t="shared" si="29"/>
        <v>0</v>
      </c>
      <c r="AC72" s="228">
        <f t="shared" si="24"/>
        <v>0</v>
      </c>
      <c r="AD72" s="21">
        <v>0</v>
      </c>
      <c r="AE72" s="229"/>
      <c r="AF72" s="20"/>
      <c r="AG72" s="229"/>
      <c r="AH72" s="20"/>
      <c r="AI72" s="229">
        <v>3</v>
      </c>
      <c r="AJ72" s="20">
        <v>3</v>
      </c>
      <c r="AK72" s="229"/>
      <c r="AL72" s="20"/>
      <c r="AM72" s="229"/>
      <c r="AN72" s="20"/>
      <c r="AO72" s="229">
        <v>5</v>
      </c>
      <c r="AP72" s="20">
        <v>5</v>
      </c>
      <c r="AQ72" s="229"/>
      <c r="AR72" s="20"/>
      <c r="AS72" s="229"/>
      <c r="AT72" s="20"/>
      <c r="AU72" s="229"/>
      <c r="AV72" s="20">
        <v>3</v>
      </c>
      <c r="AW72" s="229"/>
      <c r="AX72" s="20"/>
      <c r="AY72" s="229"/>
      <c r="AZ72" s="20"/>
      <c r="BA72" s="229"/>
      <c r="BB72" s="20">
        <v>3</v>
      </c>
      <c r="BC72" s="229">
        <f t="shared" si="30"/>
        <v>8</v>
      </c>
      <c r="BD72" s="48">
        <f t="shared" si="25"/>
        <v>14</v>
      </c>
      <c r="BE72" s="19">
        <v>9</v>
      </c>
      <c r="BF72" s="229">
        <f t="shared" si="31"/>
        <v>8</v>
      </c>
      <c r="BG72" s="210">
        <f t="shared" si="21"/>
        <v>14</v>
      </c>
      <c r="BH72" s="210">
        <f t="shared" si="22"/>
        <v>9</v>
      </c>
      <c r="BI72" s="213">
        <f t="shared" si="23"/>
        <v>155.55555555555557</v>
      </c>
      <c r="BJ72" s="141"/>
      <c r="BK72" s="201"/>
      <c r="BL72" s="198"/>
      <c r="BM72" s="198"/>
    </row>
    <row r="73" spans="1:65" s="17" customFormat="1" ht="15.95" customHeight="1">
      <c r="A73" s="123">
        <v>63</v>
      </c>
      <c r="B73" s="9" t="s">
        <v>81</v>
      </c>
      <c r="C73" s="11" t="s">
        <v>2518</v>
      </c>
      <c r="D73" s="229"/>
      <c r="E73" s="13"/>
      <c r="F73" s="229"/>
      <c r="G73" s="13"/>
      <c r="H73" s="229"/>
      <c r="I73" s="13"/>
      <c r="J73" s="229"/>
      <c r="K73" s="13"/>
      <c r="L73" s="229"/>
      <c r="M73" s="13"/>
      <c r="N73" s="229"/>
      <c r="O73" s="13"/>
      <c r="P73" s="229"/>
      <c r="Q73" s="13"/>
      <c r="R73" s="229"/>
      <c r="S73" s="13"/>
      <c r="T73" s="229"/>
      <c r="U73" s="13"/>
      <c r="V73" s="229"/>
      <c r="W73" s="13"/>
      <c r="X73" s="229"/>
      <c r="Y73" s="13"/>
      <c r="Z73" s="229"/>
      <c r="AA73" s="13"/>
      <c r="AB73" s="229">
        <f t="shared" si="29"/>
        <v>0</v>
      </c>
      <c r="AC73" s="228">
        <f t="shared" si="24"/>
        <v>0</v>
      </c>
      <c r="AD73" s="21">
        <v>0</v>
      </c>
      <c r="AE73" s="229"/>
      <c r="AF73" s="20"/>
      <c r="AG73" s="229"/>
      <c r="AH73" s="20"/>
      <c r="AI73" s="229">
        <v>4</v>
      </c>
      <c r="AJ73" s="20">
        <v>4</v>
      </c>
      <c r="AK73" s="229"/>
      <c r="AL73" s="20"/>
      <c r="AM73" s="229"/>
      <c r="AN73" s="20"/>
      <c r="AO73" s="229">
        <v>6</v>
      </c>
      <c r="AP73" s="20">
        <v>6</v>
      </c>
      <c r="AQ73" s="229"/>
      <c r="AR73" s="20"/>
      <c r="AS73" s="229"/>
      <c r="AT73" s="20"/>
      <c r="AU73" s="229"/>
      <c r="AV73" s="20">
        <v>6</v>
      </c>
      <c r="AW73" s="229"/>
      <c r="AX73" s="20"/>
      <c r="AY73" s="229"/>
      <c r="AZ73" s="20"/>
      <c r="BA73" s="229"/>
      <c r="BB73" s="20">
        <v>5</v>
      </c>
      <c r="BC73" s="229">
        <f t="shared" si="30"/>
        <v>10</v>
      </c>
      <c r="BD73" s="48">
        <f t="shared" si="25"/>
        <v>21</v>
      </c>
      <c r="BE73" s="19">
        <v>7</v>
      </c>
      <c r="BF73" s="229">
        <f t="shared" si="31"/>
        <v>10</v>
      </c>
      <c r="BG73" s="210">
        <f t="shared" si="21"/>
        <v>21</v>
      </c>
      <c r="BH73" s="210">
        <f t="shared" si="22"/>
        <v>7</v>
      </c>
      <c r="BI73" s="213">
        <f t="shared" si="23"/>
        <v>300</v>
      </c>
      <c r="BJ73" s="141"/>
      <c r="BK73" s="201"/>
      <c r="BL73" s="198"/>
      <c r="BM73" s="198"/>
    </row>
    <row r="74" spans="1:65" s="17" customFormat="1" ht="15.95" customHeight="1">
      <c r="A74" s="123">
        <v>64</v>
      </c>
      <c r="B74" s="9" t="s">
        <v>2637</v>
      </c>
      <c r="C74" s="11" t="s">
        <v>2638</v>
      </c>
      <c r="D74" s="229"/>
      <c r="E74" s="13"/>
      <c r="F74" s="229"/>
      <c r="G74" s="13"/>
      <c r="H74" s="229"/>
      <c r="I74" s="13"/>
      <c r="J74" s="229"/>
      <c r="K74" s="13"/>
      <c r="L74" s="229"/>
      <c r="M74" s="13"/>
      <c r="N74" s="229"/>
      <c r="O74" s="13"/>
      <c r="P74" s="229"/>
      <c r="Q74" s="13"/>
      <c r="R74" s="229"/>
      <c r="S74" s="13"/>
      <c r="T74" s="229"/>
      <c r="U74" s="13"/>
      <c r="V74" s="229"/>
      <c r="W74" s="13"/>
      <c r="X74" s="229"/>
      <c r="Y74" s="13"/>
      <c r="Z74" s="229"/>
      <c r="AA74" s="13"/>
      <c r="AB74" s="229">
        <f t="shared" si="29"/>
        <v>0</v>
      </c>
      <c r="AC74" s="228">
        <f t="shared" si="24"/>
        <v>0</v>
      </c>
      <c r="AD74" s="21">
        <v>0</v>
      </c>
      <c r="AE74" s="229"/>
      <c r="AF74" s="20"/>
      <c r="AG74" s="229"/>
      <c r="AH74" s="20"/>
      <c r="AI74" s="229"/>
      <c r="AJ74" s="20"/>
      <c r="AK74" s="229"/>
      <c r="AL74" s="20"/>
      <c r="AM74" s="229"/>
      <c r="AN74" s="20"/>
      <c r="AO74" s="229"/>
      <c r="AP74" s="20"/>
      <c r="AQ74" s="229"/>
      <c r="AR74" s="20"/>
      <c r="AS74" s="229"/>
      <c r="AT74" s="20"/>
      <c r="AU74" s="229"/>
      <c r="AV74" s="20"/>
      <c r="AW74" s="229"/>
      <c r="AX74" s="20"/>
      <c r="AY74" s="229"/>
      <c r="AZ74" s="20"/>
      <c r="BA74" s="229"/>
      <c r="BB74" s="20"/>
      <c r="BC74" s="229">
        <f t="shared" si="30"/>
        <v>0</v>
      </c>
      <c r="BD74" s="48">
        <f t="shared" si="25"/>
        <v>0</v>
      </c>
      <c r="BE74" s="19">
        <v>2</v>
      </c>
      <c r="BF74" s="229">
        <f t="shared" si="31"/>
        <v>0</v>
      </c>
      <c r="BG74" s="210">
        <f t="shared" si="21"/>
        <v>0</v>
      </c>
      <c r="BH74" s="210">
        <f t="shared" si="22"/>
        <v>2</v>
      </c>
      <c r="BI74" s="213">
        <f t="shared" si="23"/>
        <v>0</v>
      </c>
      <c r="BJ74" s="141"/>
      <c r="BK74" s="201"/>
      <c r="BL74" s="198"/>
      <c r="BM74" s="198"/>
    </row>
    <row r="75" spans="1:65" s="17" customFormat="1" ht="15.95" customHeight="1">
      <c r="A75" s="123">
        <v>65</v>
      </c>
      <c r="B75" s="9" t="s">
        <v>82</v>
      </c>
      <c r="C75" s="11" t="s">
        <v>83</v>
      </c>
      <c r="D75" s="229"/>
      <c r="E75" s="13"/>
      <c r="F75" s="229"/>
      <c r="G75" s="13"/>
      <c r="H75" s="229"/>
      <c r="I75" s="13"/>
      <c r="J75" s="229"/>
      <c r="K75" s="13"/>
      <c r="L75" s="229"/>
      <c r="M75" s="13"/>
      <c r="N75" s="229"/>
      <c r="O75" s="13"/>
      <c r="P75" s="229"/>
      <c r="Q75" s="13"/>
      <c r="R75" s="229"/>
      <c r="S75" s="13"/>
      <c r="T75" s="229"/>
      <c r="U75" s="13"/>
      <c r="V75" s="229"/>
      <c r="W75" s="13"/>
      <c r="X75" s="229"/>
      <c r="Y75" s="13"/>
      <c r="Z75" s="229"/>
      <c r="AA75" s="13"/>
      <c r="AB75" s="229">
        <f t="shared" si="29"/>
        <v>0</v>
      </c>
      <c r="AC75" s="228">
        <f t="shared" si="24"/>
        <v>0</v>
      </c>
      <c r="AD75" s="21">
        <v>0</v>
      </c>
      <c r="AE75" s="229"/>
      <c r="AF75" s="20"/>
      <c r="AG75" s="229"/>
      <c r="AH75" s="20"/>
      <c r="AI75" s="229"/>
      <c r="AJ75" s="20"/>
      <c r="AK75" s="229"/>
      <c r="AL75" s="20"/>
      <c r="AM75" s="229"/>
      <c r="AN75" s="20"/>
      <c r="AO75" s="229"/>
      <c r="AP75" s="20"/>
      <c r="AQ75" s="229"/>
      <c r="AR75" s="20"/>
      <c r="AS75" s="229"/>
      <c r="AT75" s="20"/>
      <c r="AU75" s="229"/>
      <c r="AV75" s="20">
        <v>2</v>
      </c>
      <c r="AW75" s="229"/>
      <c r="AX75" s="20"/>
      <c r="AY75" s="229"/>
      <c r="AZ75" s="20"/>
      <c r="BA75" s="229"/>
      <c r="BB75" s="20">
        <v>1</v>
      </c>
      <c r="BC75" s="229">
        <f t="shared" si="30"/>
        <v>0</v>
      </c>
      <c r="BD75" s="48">
        <f t="shared" si="25"/>
        <v>3</v>
      </c>
      <c r="BE75" s="19">
        <v>4</v>
      </c>
      <c r="BF75" s="229">
        <f t="shared" si="31"/>
        <v>0</v>
      </c>
      <c r="BG75" s="210">
        <f t="shared" ref="BG75:BG90" si="32">AC75+BD75</f>
        <v>3</v>
      </c>
      <c r="BH75" s="210">
        <f t="shared" ref="BH75:BH90" si="33">AD75+BE75</f>
        <v>4</v>
      </c>
      <c r="BI75" s="213">
        <f t="shared" ref="BI75:BI90" si="34">BG75/BH75*100</f>
        <v>75</v>
      </c>
      <c r="BJ75" s="141"/>
      <c r="BK75" s="201"/>
      <c r="BL75" s="198"/>
      <c r="BM75" s="198"/>
    </row>
    <row r="76" spans="1:65" s="17" customFormat="1" ht="15.95" customHeight="1">
      <c r="A76" s="123">
        <v>66</v>
      </c>
      <c r="B76" s="9" t="s">
        <v>1488</v>
      </c>
      <c r="C76" s="11" t="s">
        <v>1720</v>
      </c>
      <c r="D76" s="229"/>
      <c r="E76" s="13"/>
      <c r="F76" s="229"/>
      <c r="G76" s="13"/>
      <c r="H76" s="229"/>
      <c r="I76" s="13"/>
      <c r="J76" s="229"/>
      <c r="K76" s="13"/>
      <c r="L76" s="229"/>
      <c r="M76" s="13"/>
      <c r="N76" s="229"/>
      <c r="O76" s="13"/>
      <c r="P76" s="229"/>
      <c r="Q76" s="13"/>
      <c r="R76" s="229"/>
      <c r="S76" s="13"/>
      <c r="T76" s="229"/>
      <c r="U76" s="13"/>
      <c r="V76" s="229"/>
      <c r="W76" s="13"/>
      <c r="X76" s="229"/>
      <c r="Y76" s="13"/>
      <c r="Z76" s="229"/>
      <c r="AA76" s="13"/>
      <c r="AB76" s="229">
        <f t="shared" si="29"/>
        <v>0</v>
      </c>
      <c r="AC76" s="228">
        <f t="shared" si="24"/>
        <v>0</v>
      </c>
      <c r="AD76" s="21">
        <v>0</v>
      </c>
      <c r="AE76" s="229"/>
      <c r="AF76" s="20"/>
      <c r="AG76" s="229"/>
      <c r="AH76" s="20"/>
      <c r="AI76" s="229">
        <v>2</v>
      </c>
      <c r="AJ76" s="20">
        <v>2</v>
      </c>
      <c r="AK76" s="229"/>
      <c r="AL76" s="20"/>
      <c r="AM76" s="229"/>
      <c r="AN76" s="20"/>
      <c r="AO76" s="229">
        <v>1</v>
      </c>
      <c r="AP76" s="20">
        <v>1</v>
      </c>
      <c r="AQ76" s="229"/>
      <c r="AR76" s="20"/>
      <c r="AS76" s="229"/>
      <c r="AT76" s="20"/>
      <c r="AU76" s="229"/>
      <c r="AV76" s="20"/>
      <c r="AW76" s="229"/>
      <c r="AX76" s="20"/>
      <c r="AY76" s="229"/>
      <c r="AZ76" s="20"/>
      <c r="BA76" s="229"/>
      <c r="BB76" s="20">
        <v>3</v>
      </c>
      <c r="BC76" s="229">
        <f t="shared" si="30"/>
        <v>3</v>
      </c>
      <c r="BD76" s="48">
        <f t="shared" si="25"/>
        <v>6</v>
      </c>
      <c r="BE76" s="19">
        <v>6</v>
      </c>
      <c r="BF76" s="229">
        <f t="shared" si="31"/>
        <v>3</v>
      </c>
      <c r="BG76" s="210">
        <f t="shared" si="32"/>
        <v>6</v>
      </c>
      <c r="BH76" s="210">
        <f t="shared" si="33"/>
        <v>6</v>
      </c>
      <c r="BI76" s="213">
        <f t="shared" si="34"/>
        <v>100</v>
      </c>
      <c r="BJ76" s="141"/>
      <c r="BK76" s="201"/>
      <c r="BL76" s="198"/>
      <c r="BM76" s="198"/>
    </row>
    <row r="77" spans="1:65" s="17" customFormat="1" ht="15.95" customHeight="1">
      <c r="A77" s="123">
        <v>67</v>
      </c>
      <c r="B77" s="9" t="s">
        <v>490</v>
      </c>
      <c r="C77" s="11" t="s">
        <v>491</v>
      </c>
      <c r="D77" s="229"/>
      <c r="E77" s="13"/>
      <c r="F77" s="229"/>
      <c r="G77" s="13"/>
      <c r="H77" s="229"/>
      <c r="I77" s="13"/>
      <c r="J77" s="229"/>
      <c r="K77" s="13"/>
      <c r="L77" s="229"/>
      <c r="M77" s="13"/>
      <c r="N77" s="229"/>
      <c r="O77" s="13"/>
      <c r="P77" s="229"/>
      <c r="Q77" s="13"/>
      <c r="R77" s="229"/>
      <c r="S77" s="13"/>
      <c r="T77" s="229"/>
      <c r="U77" s="13"/>
      <c r="V77" s="229"/>
      <c r="W77" s="13"/>
      <c r="X77" s="229"/>
      <c r="Y77" s="13"/>
      <c r="Z77" s="229"/>
      <c r="AA77" s="13"/>
      <c r="AB77" s="229">
        <f t="shared" si="29"/>
        <v>0</v>
      </c>
      <c r="AC77" s="228">
        <f t="shared" ref="AC77:AC90" si="35">E77+G77+I77+K77+M77+O77+Q77+S77+U77+W77+Y77+AA77</f>
        <v>0</v>
      </c>
      <c r="AD77" s="21">
        <v>0</v>
      </c>
      <c r="AE77" s="229"/>
      <c r="AF77" s="20"/>
      <c r="AG77" s="229"/>
      <c r="AH77" s="20"/>
      <c r="AI77" s="229">
        <v>1</v>
      </c>
      <c r="AJ77" s="20">
        <v>1</v>
      </c>
      <c r="AK77" s="229"/>
      <c r="AL77" s="20"/>
      <c r="AM77" s="229"/>
      <c r="AN77" s="20"/>
      <c r="AO77" s="229">
        <v>2</v>
      </c>
      <c r="AP77" s="20">
        <v>2</v>
      </c>
      <c r="AQ77" s="229"/>
      <c r="AR77" s="20"/>
      <c r="AS77" s="229"/>
      <c r="AT77" s="20"/>
      <c r="AU77" s="229"/>
      <c r="AV77" s="20">
        <v>1</v>
      </c>
      <c r="AW77" s="229"/>
      <c r="AX77" s="20"/>
      <c r="AY77" s="229"/>
      <c r="AZ77" s="20"/>
      <c r="BA77" s="229"/>
      <c r="BB77" s="20"/>
      <c r="BC77" s="229">
        <f t="shared" si="30"/>
        <v>3</v>
      </c>
      <c r="BD77" s="48">
        <f t="shared" ref="BD77:BD90" si="36">AF77+AH77+AJ77+AL77+AN77+AP77+AR77+AT77+AV77+AX77+AZ77+BB77</f>
        <v>4</v>
      </c>
      <c r="BE77" s="19">
        <v>2</v>
      </c>
      <c r="BF77" s="229">
        <f t="shared" si="31"/>
        <v>3</v>
      </c>
      <c r="BG77" s="210">
        <f t="shared" si="32"/>
        <v>4</v>
      </c>
      <c r="BH77" s="210">
        <f t="shared" si="33"/>
        <v>2</v>
      </c>
      <c r="BI77" s="213">
        <f t="shared" si="34"/>
        <v>200</v>
      </c>
      <c r="BJ77" s="141"/>
      <c r="BK77" s="201"/>
      <c r="BL77" s="198"/>
      <c r="BM77" s="198"/>
    </row>
    <row r="78" spans="1:65" s="17" customFormat="1" ht="15.95" customHeight="1">
      <c r="A78" s="123">
        <v>68</v>
      </c>
      <c r="B78" s="9" t="s">
        <v>3093</v>
      </c>
      <c r="C78" s="11" t="s">
        <v>3094</v>
      </c>
      <c r="D78" s="229"/>
      <c r="E78" s="13"/>
      <c r="F78" s="229"/>
      <c r="G78" s="13"/>
      <c r="H78" s="229"/>
      <c r="I78" s="13"/>
      <c r="J78" s="229"/>
      <c r="K78" s="13"/>
      <c r="L78" s="229"/>
      <c r="M78" s="13"/>
      <c r="N78" s="229"/>
      <c r="O78" s="13"/>
      <c r="P78" s="229"/>
      <c r="Q78" s="13"/>
      <c r="R78" s="229"/>
      <c r="S78" s="13"/>
      <c r="T78" s="229"/>
      <c r="U78" s="13"/>
      <c r="V78" s="229"/>
      <c r="W78" s="13"/>
      <c r="X78" s="229"/>
      <c r="Y78" s="13"/>
      <c r="Z78" s="229"/>
      <c r="AA78" s="13"/>
      <c r="AB78" s="229"/>
      <c r="AC78" s="228">
        <f t="shared" si="35"/>
        <v>0</v>
      </c>
      <c r="AD78" s="21">
        <v>0</v>
      </c>
      <c r="AE78" s="229"/>
      <c r="AF78" s="20"/>
      <c r="AG78" s="229"/>
      <c r="AH78" s="20"/>
      <c r="AI78" s="229"/>
      <c r="AJ78" s="20"/>
      <c r="AK78" s="229"/>
      <c r="AL78" s="20"/>
      <c r="AM78" s="229"/>
      <c r="AN78" s="20"/>
      <c r="AO78" s="229"/>
      <c r="AP78" s="20">
        <v>1</v>
      </c>
      <c r="AQ78" s="229"/>
      <c r="AR78" s="20"/>
      <c r="AS78" s="229"/>
      <c r="AT78" s="20"/>
      <c r="AU78" s="229"/>
      <c r="AV78" s="20"/>
      <c r="AW78" s="229"/>
      <c r="AX78" s="20"/>
      <c r="AY78" s="229"/>
      <c r="AZ78" s="20"/>
      <c r="BA78" s="229"/>
      <c r="BB78" s="20">
        <v>1</v>
      </c>
      <c r="BC78" s="229"/>
      <c r="BD78" s="48">
        <f t="shared" si="36"/>
        <v>2</v>
      </c>
      <c r="BE78" s="19">
        <v>0</v>
      </c>
      <c r="BF78" s="229"/>
      <c r="BG78" s="210">
        <f t="shared" si="32"/>
        <v>2</v>
      </c>
      <c r="BH78" s="210">
        <f t="shared" si="33"/>
        <v>0</v>
      </c>
      <c r="BI78" s="213" t="e">
        <f t="shared" si="34"/>
        <v>#DIV/0!</v>
      </c>
      <c r="BJ78" s="141"/>
      <c r="BK78" s="201"/>
      <c r="BL78" s="198"/>
      <c r="BM78" s="198"/>
    </row>
    <row r="79" spans="1:65" s="17" customFormat="1" ht="15.95" customHeight="1">
      <c r="A79" s="123">
        <v>69</v>
      </c>
      <c r="B79" s="9" t="s">
        <v>1660</v>
      </c>
      <c r="C79" s="11" t="s">
        <v>1661</v>
      </c>
      <c r="D79" s="229"/>
      <c r="E79" s="13"/>
      <c r="F79" s="229"/>
      <c r="G79" s="13"/>
      <c r="H79" s="229"/>
      <c r="I79" s="13"/>
      <c r="J79" s="229"/>
      <c r="K79" s="13"/>
      <c r="L79" s="229"/>
      <c r="M79" s="13"/>
      <c r="N79" s="229"/>
      <c r="O79" s="13"/>
      <c r="P79" s="229"/>
      <c r="Q79" s="13"/>
      <c r="R79" s="229"/>
      <c r="S79" s="13"/>
      <c r="T79" s="229"/>
      <c r="U79" s="13"/>
      <c r="V79" s="229"/>
      <c r="W79" s="13"/>
      <c r="X79" s="229"/>
      <c r="Y79" s="13"/>
      <c r="Z79" s="229"/>
      <c r="AA79" s="13"/>
      <c r="AB79" s="229">
        <f>D79+F79+H79+J79+L79+N79+P79+R79+T79+V79+X79+Z79</f>
        <v>0</v>
      </c>
      <c r="AC79" s="228">
        <f t="shared" si="35"/>
        <v>0</v>
      </c>
      <c r="AD79" s="21">
        <v>0</v>
      </c>
      <c r="AE79" s="229"/>
      <c r="AF79" s="20"/>
      <c r="AG79" s="229"/>
      <c r="AH79" s="20"/>
      <c r="AI79" s="229"/>
      <c r="AJ79" s="20"/>
      <c r="AK79" s="229"/>
      <c r="AL79" s="20"/>
      <c r="AM79" s="229"/>
      <c r="AN79" s="20"/>
      <c r="AO79" s="229"/>
      <c r="AP79" s="20"/>
      <c r="AQ79" s="229"/>
      <c r="AR79" s="20"/>
      <c r="AS79" s="229"/>
      <c r="AT79" s="20"/>
      <c r="AU79" s="229"/>
      <c r="AV79" s="20"/>
      <c r="AW79" s="229"/>
      <c r="AX79" s="20"/>
      <c r="AY79" s="229"/>
      <c r="AZ79" s="20"/>
      <c r="BA79" s="229"/>
      <c r="BB79" s="20"/>
      <c r="BC79" s="229">
        <f>AE79+AG79+AI79+AK79+AM79+AO79+AQ79+AS79+AU79+AW79+AY79+BA79</f>
        <v>0</v>
      </c>
      <c r="BD79" s="48">
        <f t="shared" si="36"/>
        <v>0</v>
      </c>
      <c r="BE79" s="19">
        <v>1</v>
      </c>
      <c r="BF79" s="229">
        <f>AB79+BC79</f>
        <v>0</v>
      </c>
      <c r="BG79" s="210">
        <f t="shared" si="32"/>
        <v>0</v>
      </c>
      <c r="BH79" s="210">
        <f t="shared" si="33"/>
        <v>1</v>
      </c>
      <c r="BI79" s="213">
        <f t="shared" si="34"/>
        <v>0</v>
      </c>
      <c r="BJ79" s="141"/>
      <c r="BK79" s="201"/>
      <c r="BL79" s="198"/>
      <c r="BM79" s="198"/>
    </row>
    <row r="80" spans="1:65" s="17" customFormat="1" ht="23.25" customHeight="1">
      <c r="A80" s="123">
        <v>70</v>
      </c>
      <c r="B80" s="9" t="s">
        <v>3091</v>
      </c>
      <c r="C80" s="10" t="s">
        <v>3092</v>
      </c>
      <c r="D80" s="229"/>
      <c r="E80" s="13"/>
      <c r="F80" s="229"/>
      <c r="G80" s="13"/>
      <c r="H80" s="229"/>
      <c r="I80" s="13"/>
      <c r="J80" s="229"/>
      <c r="K80" s="13"/>
      <c r="L80" s="229"/>
      <c r="M80" s="13"/>
      <c r="N80" s="229"/>
      <c r="O80" s="13"/>
      <c r="P80" s="229"/>
      <c r="Q80" s="13"/>
      <c r="R80" s="229"/>
      <c r="S80" s="13"/>
      <c r="T80" s="229"/>
      <c r="U80" s="13"/>
      <c r="V80" s="229"/>
      <c r="W80" s="13"/>
      <c r="X80" s="229"/>
      <c r="Y80" s="13"/>
      <c r="Z80" s="229"/>
      <c r="AA80" s="13"/>
      <c r="AB80" s="229"/>
      <c r="AC80" s="228">
        <f t="shared" si="35"/>
        <v>0</v>
      </c>
      <c r="AD80" s="21">
        <v>0</v>
      </c>
      <c r="AE80" s="229"/>
      <c r="AF80" s="20"/>
      <c r="AG80" s="229"/>
      <c r="AH80" s="20"/>
      <c r="AI80" s="229"/>
      <c r="AJ80" s="20"/>
      <c r="AK80" s="229"/>
      <c r="AL80" s="20"/>
      <c r="AM80" s="229"/>
      <c r="AN80" s="20"/>
      <c r="AO80" s="229"/>
      <c r="AP80" s="20">
        <v>1</v>
      </c>
      <c r="AQ80" s="229"/>
      <c r="AR80" s="20"/>
      <c r="AS80" s="229"/>
      <c r="AT80" s="20"/>
      <c r="AU80" s="229"/>
      <c r="AV80" s="20">
        <v>1</v>
      </c>
      <c r="AW80" s="229"/>
      <c r="AX80" s="20"/>
      <c r="AY80" s="229"/>
      <c r="AZ80" s="20"/>
      <c r="BA80" s="229"/>
      <c r="BB80" s="20"/>
      <c r="BC80" s="229"/>
      <c r="BD80" s="48">
        <f t="shared" si="36"/>
        <v>2</v>
      </c>
      <c r="BE80" s="19">
        <v>0</v>
      </c>
      <c r="BF80" s="229"/>
      <c r="BG80" s="210">
        <f t="shared" si="32"/>
        <v>2</v>
      </c>
      <c r="BH80" s="210">
        <f t="shared" si="33"/>
        <v>0</v>
      </c>
      <c r="BI80" s="213" t="e">
        <f t="shared" si="34"/>
        <v>#DIV/0!</v>
      </c>
      <c r="BJ80" s="141"/>
      <c r="BK80" s="201"/>
      <c r="BL80" s="198"/>
      <c r="BM80" s="198"/>
    </row>
    <row r="81" spans="1:65" s="17" customFormat="1" ht="15.95" customHeight="1">
      <c r="A81" s="123">
        <v>71</v>
      </c>
      <c r="B81" s="9" t="s">
        <v>84</v>
      </c>
      <c r="C81" s="11" t="s">
        <v>2493</v>
      </c>
      <c r="D81" s="229"/>
      <c r="E81" s="13"/>
      <c r="F81" s="229"/>
      <c r="G81" s="13"/>
      <c r="H81" s="229"/>
      <c r="I81" s="13"/>
      <c r="J81" s="229"/>
      <c r="K81" s="13"/>
      <c r="L81" s="229"/>
      <c r="M81" s="13"/>
      <c r="N81" s="229"/>
      <c r="O81" s="13"/>
      <c r="P81" s="229"/>
      <c r="Q81" s="13"/>
      <c r="R81" s="229"/>
      <c r="S81" s="13"/>
      <c r="T81" s="229"/>
      <c r="U81" s="13"/>
      <c r="V81" s="229"/>
      <c r="W81" s="13"/>
      <c r="X81" s="229"/>
      <c r="Y81" s="13"/>
      <c r="Z81" s="229"/>
      <c r="AA81" s="13"/>
      <c r="AB81" s="229">
        <f t="shared" ref="AB81:AB90" si="37">D81+F81+H81+J81+L81+N81+P81+R81+T81+V81+X81+Z81</f>
        <v>0</v>
      </c>
      <c r="AC81" s="228">
        <f t="shared" si="35"/>
        <v>0</v>
      </c>
      <c r="AD81" s="21">
        <v>0</v>
      </c>
      <c r="AE81" s="229"/>
      <c r="AF81" s="20"/>
      <c r="AG81" s="229"/>
      <c r="AH81" s="20"/>
      <c r="AI81" s="229"/>
      <c r="AJ81" s="20"/>
      <c r="AK81" s="229"/>
      <c r="AL81" s="20"/>
      <c r="AM81" s="229"/>
      <c r="AN81" s="20"/>
      <c r="AO81" s="229"/>
      <c r="AP81" s="20"/>
      <c r="AQ81" s="229"/>
      <c r="AR81" s="20"/>
      <c r="AS81" s="229"/>
      <c r="AT81" s="20"/>
      <c r="AU81" s="229"/>
      <c r="AV81" s="20"/>
      <c r="AW81" s="229"/>
      <c r="AX81" s="20"/>
      <c r="AY81" s="229"/>
      <c r="AZ81" s="20"/>
      <c r="BA81" s="229"/>
      <c r="BB81" s="20"/>
      <c r="BC81" s="229">
        <f t="shared" ref="BC81:BC90" si="38">AE81+AG81+AI81+AK81+AM81+AO81+AQ81+AS81+AU81+AW81+AY81+BA81</f>
        <v>0</v>
      </c>
      <c r="BD81" s="48">
        <f t="shared" si="36"/>
        <v>0</v>
      </c>
      <c r="BE81" s="19">
        <v>1</v>
      </c>
      <c r="BF81" s="229">
        <f t="shared" ref="BF81:BF90" si="39">AB81+BC81</f>
        <v>0</v>
      </c>
      <c r="BG81" s="210">
        <f t="shared" si="32"/>
        <v>0</v>
      </c>
      <c r="BH81" s="210">
        <f t="shared" si="33"/>
        <v>1</v>
      </c>
      <c r="BI81" s="213">
        <f t="shared" si="34"/>
        <v>0</v>
      </c>
      <c r="BJ81" s="141"/>
      <c r="BK81" s="201"/>
      <c r="BL81" s="198"/>
      <c r="BM81" s="198"/>
    </row>
    <row r="82" spans="1:65" s="17" customFormat="1" ht="15.95" customHeight="1">
      <c r="A82" s="123">
        <v>72</v>
      </c>
      <c r="B82" s="9" t="s">
        <v>2954</v>
      </c>
      <c r="C82" s="11" t="s">
        <v>2955</v>
      </c>
      <c r="D82" s="229"/>
      <c r="E82" s="13"/>
      <c r="F82" s="229"/>
      <c r="G82" s="13"/>
      <c r="H82" s="229"/>
      <c r="I82" s="13"/>
      <c r="J82" s="229"/>
      <c r="K82" s="13"/>
      <c r="L82" s="229"/>
      <c r="M82" s="13"/>
      <c r="N82" s="229"/>
      <c r="O82" s="13"/>
      <c r="P82" s="229"/>
      <c r="Q82" s="13"/>
      <c r="R82" s="229"/>
      <c r="S82" s="13"/>
      <c r="T82" s="229"/>
      <c r="U82" s="13"/>
      <c r="V82" s="229"/>
      <c r="W82" s="13"/>
      <c r="X82" s="229"/>
      <c r="Y82" s="13"/>
      <c r="Z82" s="229"/>
      <c r="AA82" s="13"/>
      <c r="AB82" s="229">
        <f t="shared" si="37"/>
        <v>0</v>
      </c>
      <c r="AC82" s="228">
        <f t="shared" si="35"/>
        <v>0</v>
      </c>
      <c r="AD82" s="21">
        <v>0</v>
      </c>
      <c r="AE82" s="229"/>
      <c r="AF82" s="20"/>
      <c r="AG82" s="229"/>
      <c r="AH82" s="20"/>
      <c r="AI82" s="229">
        <v>1</v>
      </c>
      <c r="AJ82" s="20">
        <v>1</v>
      </c>
      <c r="AK82" s="229"/>
      <c r="AL82" s="20"/>
      <c r="AM82" s="229"/>
      <c r="AN82" s="20"/>
      <c r="AO82" s="229"/>
      <c r="AP82" s="20"/>
      <c r="AQ82" s="229"/>
      <c r="AR82" s="20"/>
      <c r="AS82" s="229"/>
      <c r="AT82" s="20"/>
      <c r="AU82" s="229"/>
      <c r="AV82" s="20"/>
      <c r="AW82" s="229"/>
      <c r="AX82" s="20"/>
      <c r="AY82" s="229"/>
      <c r="AZ82" s="20"/>
      <c r="BA82" s="229"/>
      <c r="BB82" s="20"/>
      <c r="BC82" s="229">
        <f t="shared" si="38"/>
        <v>1</v>
      </c>
      <c r="BD82" s="48">
        <f t="shared" si="36"/>
        <v>1</v>
      </c>
      <c r="BE82" s="19">
        <v>0</v>
      </c>
      <c r="BF82" s="229">
        <f t="shared" si="39"/>
        <v>1</v>
      </c>
      <c r="BG82" s="210">
        <f t="shared" si="32"/>
        <v>1</v>
      </c>
      <c r="BH82" s="210">
        <f t="shared" si="33"/>
        <v>0</v>
      </c>
      <c r="BI82" s="213" t="e">
        <f t="shared" si="34"/>
        <v>#DIV/0!</v>
      </c>
      <c r="BJ82" s="141"/>
      <c r="BK82" s="201"/>
      <c r="BL82" s="198"/>
      <c r="BM82" s="198"/>
    </row>
    <row r="83" spans="1:65" s="17" customFormat="1" ht="15.95" customHeight="1">
      <c r="A83" s="123">
        <v>73</v>
      </c>
      <c r="B83" s="9" t="s">
        <v>2176</v>
      </c>
      <c r="C83" s="11" t="s">
        <v>2177</v>
      </c>
      <c r="D83" s="229"/>
      <c r="E83" s="13"/>
      <c r="F83" s="229"/>
      <c r="G83" s="13"/>
      <c r="H83" s="229"/>
      <c r="I83" s="13"/>
      <c r="J83" s="229"/>
      <c r="K83" s="13"/>
      <c r="L83" s="229"/>
      <c r="M83" s="13"/>
      <c r="N83" s="229"/>
      <c r="O83" s="13"/>
      <c r="P83" s="229"/>
      <c r="Q83" s="13"/>
      <c r="R83" s="229"/>
      <c r="S83" s="13"/>
      <c r="T83" s="229"/>
      <c r="U83" s="13"/>
      <c r="V83" s="229"/>
      <c r="W83" s="13"/>
      <c r="X83" s="229"/>
      <c r="Y83" s="13"/>
      <c r="Z83" s="229"/>
      <c r="AA83" s="13"/>
      <c r="AB83" s="229">
        <f t="shared" si="37"/>
        <v>0</v>
      </c>
      <c r="AC83" s="228">
        <f t="shared" si="35"/>
        <v>0</v>
      </c>
      <c r="AD83" s="21">
        <v>0</v>
      </c>
      <c r="AE83" s="229"/>
      <c r="AF83" s="20"/>
      <c r="AG83" s="229"/>
      <c r="AH83" s="20"/>
      <c r="AI83" s="229"/>
      <c r="AJ83" s="20"/>
      <c r="AK83" s="229"/>
      <c r="AL83" s="20"/>
      <c r="AM83" s="229"/>
      <c r="AN83" s="20"/>
      <c r="AO83" s="229"/>
      <c r="AP83" s="20"/>
      <c r="AQ83" s="229"/>
      <c r="AR83" s="20"/>
      <c r="AS83" s="229"/>
      <c r="AT83" s="20"/>
      <c r="AU83" s="229"/>
      <c r="AV83" s="20"/>
      <c r="AW83" s="229"/>
      <c r="AX83" s="20"/>
      <c r="AY83" s="229"/>
      <c r="AZ83" s="20"/>
      <c r="BA83" s="229"/>
      <c r="BB83" s="20">
        <v>1</v>
      </c>
      <c r="BC83" s="229">
        <f t="shared" si="38"/>
        <v>0</v>
      </c>
      <c r="BD83" s="48">
        <f t="shared" si="36"/>
        <v>1</v>
      </c>
      <c r="BE83" s="19">
        <v>1</v>
      </c>
      <c r="BF83" s="229">
        <f t="shared" si="39"/>
        <v>0</v>
      </c>
      <c r="BG83" s="210">
        <f t="shared" si="32"/>
        <v>1</v>
      </c>
      <c r="BH83" s="210">
        <f t="shared" si="33"/>
        <v>1</v>
      </c>
      <c r="BI83" s="213">
        <f t="shared" si="34"/>
        <v>100</v>
      </c>
      <c r="BJ83" s="141"/>
      <c r="BK83" s="201"/>
      <c r="BL83" s="198"/>
      <c r="BM83" s="198"/>
    </row>
    <row r="84" spans="1:65" s="17" customFormat="1" ht="15.95" customHeight="1">
      <c r="A84" s="123">
        <v>74</v>
      </c>
      <c r="B84" s="9" t="s">
        <v>1433</v>
      </c>
      <c r="C84" s="11" t="s">
        <v>1434</v>
      </c>
      <c r="D84" s="229"/>
      <c r="E84" s="13"/>
      <c r="F84" s="229"/>
      <c r="G84" s="13"/>
      <c r="H84" s="229"/>
      <c r="I84" s="13"/>
      <c r="J84" s="229"/>
      <c r="K84" s="13"/>
      <c r="L84" s="229"/>
      <c r="M84" s="13"/>
      <c r="N84" s="229"/>
      <c r="O84" s="13"/>
      <c r="P84" s="229"/>
      <c r="Q84" s="13"/>
      <c r="R84" s="229"/>
      <c r="S84" s="13"/>
      <c r="T84" s="229"/>
      <c r="U84" s="13"/>
      <c r="V84" s="229"/>
      <c r="W84" s="13"/>
      <c r="X84" s="229"/>
      <c r="Y84" s="13"/>
      <c r="Z84" s="229"/>
      <c r="AA84" s="13"/>
      <c r="AB84" s="229">
        <f t="shared" si="37"/>
        <v>0</v>
      </c>
      <c r="AC84" s="228">
        <f t="shared" si="35"/>
        <v>0</v>
      </c>
      <c r="AD84" s="21">
        <v>0</v>
      </c>
      <c r="AE84" s="229"/>
      <c r="AF84" s="20"/>
      <c r="AG84" s="229"/>
      <c r="AH84" s="20"/>
      <c r="AI84" s="229"/>
      <c r="AJ84" s="20"/>
      <c r="AK84" s="229"/>
      <c r="AL84" s="20"/>
      <c r="AM84" s="229"/>
      <c r="AN84" s="20"/>
      <c r="AO84" s="229"/>
      <c r="AP84" s="20"/>
      <c r="AQ84" s="229"/>
      <c r="AR84" s="20"/>
      <c r="AS84" s="229"/>
      <c r="AT84" s="20"/>
      <c r="AU84" s="229"/>
      <c r="AV84" s="20">
        <v>1</v>
      </c>
      <c r="AW84" s="229"/>
      <c r="AX84" s="20"/>
      <c r="AY84" s="229"/>
      <c r="AZ84" s="20"/>
      <c r="BA84" s="229"/>
      <c r="BB84" s="20"/>
      <c r="BC84" s="229">
        <f t="shared" si="38"/>
        <v>0</v>
      </c>
      <c r="BD84" s="48">
        <f t="shared" si="36"/>
        <v>1</v>
      </c>
      <c r="BE84" s="19">
        <v>4</v>
      </c>
      <c r="BF84" s="229">
        <f t="shared" si="39"/>
        <v>0</v>
      </c>
      <c r="BG84" s="210">
        <f t="shared" si="32"/>
        <v>1</v>
      </c>
      <c r="BH84" s="210">
        <f t="shared" si="33"/>
        <v>4</v>
      </c>
      <c r="BI84" s="213">
        <f t="shared" si="34"/>
        <v>25</v>
      </c>
      <c r="BJ84" s="141"/>
      <c r="BK84" s="201"/>
      <c r="BL84" s="198"/>
      <c r="BM84" s="198"/>
    </row>
    <row r="85" spans="1:65" s="17" customFormat="1" ht="15.95" customHeight="1">
      <c r="A85" s="123">
        <v>75</v>
      </c>
      <c r="B85" s="9" t="s">
        <v>87</v>
      </c>
      <c r="C85" s="11" t="s">
        <v>88</v>
      </c>
      <c r="D85" s="229"/>
      <c r="E85" s="13"/>
      <c r="F85" s="229"/>
      <c r="G85" s="13"/>
      <c r="H85" s="229"/>
      <c r="I85" s="13"/>
      <c r="J85" s="229"/>
      <c r="K85" s="13"/>
      <c r="L85" s="229"/>
      <c r="M85" s="13"/>
      <c r="N85" s="229"/>
      <c r="O85" s="13"/>
      <c r="P85" s="229"/>
      <c r="Q85" s="13"/>
      <c r="R85" s="229"/>
      <c r="S85" s="13"/>
      <c r="T85" s="229"/>
      <c r="U85" s="13"/>
      <c r="V85" s="229"/>
      <c r="W85" s="13"/>
      <c r="X85" s="229"/>
      <c r="Y85" s="13"/>
      <c r="Z85" s="229"/>
      <c r="AA85" s="13"/>
      <c r="AB85" s="229">
        <f t="shared" si="37"/>
        <v>0</v>
      </c>
      <c r="AC85" s="228">
        <f t="shared" si="35"/>
        <v>0</v>
      </c>
      <c r="AD85" s="21">
        <v>1</v>
      </c>
      <c r="AE85" s="229"/>
      <c r="AF85" s="20"/>
      <c r="AG85" s="229"/>
      <c r="AH85" s="20"/>
      <c r="AI85" s="229"/>
      <c r="AJ85" s="20"/>
      <c r="AK85" s="229"/>
      <c r="AL85" s="20"/>
      <c r="AM85" s="229"/>
      <c r="AN85" s="20"/>
      <c r="AO85" s="229">
        <v>2</v>
      </c>
      <c r="AP85" s="20">
        <v>2</v>
      </c>
      <c r="AQ85" s="229"/>
      <c r="AR85" s="20"/>
      <c r="AS85" s="229"/>
      <c r="AT85" s="20"/>
      <c r="AU85" s="229"/>
      <c r="AV85" s="20">
        <f>2+1</f>
        <v>3</v>
      </c>
      <c r="AW85" s="229"/>
      <c r="AX85" s="20"/>
      <c r="AY85" s="229"/>
      <c r="AZ85" s="20"/>
      <c r="BA85" s="229"/>
      <c r="BB85" s="20"/>
      <c r="BC85" s="229">
        <f t="shared" si="38"/>
        <v>2</v>
      </c>
      <c r="BD85" s="48">
        <f t="shared" si="36"/>
        <v>5</v>
      </c>
      <c r="BE85" s="19">
        <v>2</v>
      </c>
      <c r="BF85" s="229">
        <f t="shared" si="39"/>
        <v>2</v>
      </c>
      <c r="BG85" s="210">
        <f t="shared" si="32"/>
        <v>5</v>
      </c>
      <c r="BH85" s="210">
        <f t="shared" si="33"/>
        <v>3</v>
      </c>
      <c r="BI85" s="213">
        <f t="shared" si="34"/>
        <v>166.66666666666669</v>
      </c>
      <c r="BJ85" s="141"/>
      <c r="BK85" s="201"/>
      <c r="BL85" s="198"/>
      <c r="BM85" s="198"/>
    </row>
    <row r="86" spans="1:65" s="17" customFormat="1" ht="15.95" customHeight="1">
      <c r="A86" s="123">
        <v>76</v>
      </c>
      <c r="B86" s="9" t="s">
        <v>89</v>
      </c>
      <c r="C86" s="11" t="s">
        <v>2454</v>
      </c>
      <c r="D86" s="229"/>
      <c r="E86" s="13"/>
      <c r="F86" s="229"/>
      <c r="G86" s="13"/>
      <c r="H86" s="229"/>
      <c r="I86" s="13"/>
      <c r="J86" s="229"/>
      <c r="K86" s="13"/>
      <c r="L86" s="229"/>
      <c r="M86" s="13"/>
      <c r="N86" s="229"/>
      <c r="O86" s="13"/>
      <c r="P86" s="229"/>
      <c r="Q86" s="13"/>
      <c r="R86" s="229"/>
      <c r="S86" s="13"/>
      <c r="T86" s="229"/>
      <c r="U86" s="13"/>
      <c r="V86" s="229"/>
      <c r="W86" s="13"/>
      <c r="X86" s="229"/>
      <c r="Y86" s="13"/>
      <c r="Z86" s="229"/>
      <c r="AA86" s="13"/>
      <c r="AB86" s="229">
        <f t="shared" si="37"/>
        <v>0</v>
      </c>
      <c r="AC86" s="228">
        <f t="shared" si="35"/>
        <v>0</v>
      </c>
      <c r="AD86" s="21">
        <v>5</v>
      </c>
      <c r="AE86" s="229"/>
      <c r="AF86" s="20"/>
      <c r="AG86" s="229"/>
      <c r="AH86" s="20"/>
      <c r="AI86" s="229">
        <v>1</v>
      </c>
      <c r="AJ86" s="20">
        <v>1</v>
      </c>
      <c r="AK86" s="229"/>
      <c r="AL86" s="20"/>
      <c r="AM86" s="229"/>
      <c r="AN86" s="20"/>
      <c r="AO86" s="229">
        <f>1+1</f>
        <v>2</v>
      </c>
      <c r="AP86" s="20">
        <f>1+1</f>
        <v>2</v>
      </c>
      <c r="AQ86" s="229"/>
      <c r="AR86" s="20"/>
      <c r="AS86" s="229"/>
      <c r="AT86" s="20"/>
      <c r="AU86" s="229"/>
      <c r="AV86" s="20"/>
      <c r="AW86" s="229"/>
      <c r="AX86" s="20"/>
      <c r="AY86" s="229"/>
      <c r="AZ86" s="20"/>
      <c r="BA86" s="229"/>
      <c r="BB86" s="20"/>
      <c r="BC86" s="229">
        <f t="shared" si="38"/>
        <v>3</v>
      </c>
      <c r="BD86" s="48">
        <f t="shared" si="36"/>
        <v>3</v>
      </c>
      <c r="BE86" s="19">
        <v>5</v>
      </c>
      <c r="BF86" s="229">
        <f t="shared" si="39"/>
        <v>3</v>
      </c>
      <c r="BG86" s="210">
        <f t="shared" si="32"/>
        <v>3</v>
      </c>
      <c r="BH86" s="210">
        <f t="shared" si="33"/>
        <v>10</v>
      </c>
      <c r="BI86" s="213">
        <f t="shared" si="34"/>
        <v>30</v>
      </c>
      <c r="BJ86" s="141"/>
      <c r="BK86" s="201"/>
      <c r="BL86" s="198"/>
      <c r="BM86" s="198"/>
    </row>
    <row r="87" spans="1:65" s="17" customFormat="1" ht="15.95" customHeight="1">
      <c r="A87" s="123">
        <v>77</v>
      </c>
      <c r="B87" s="9" t="s">
        <v>1767</v>
      </c>
      <c r="C87" s="11" t="s">
        <v>1911</v>
      </c>
      <c r="D87" s="229"/>
      <c r="E87" s="13"/>
      <c r="F87" s="229"/>
      <c r="G87" s="13"/>
      <c r="H87" s="229"/>
      <c r="I87" s="13"/>
      <c r="J87" s="229"/>
      <c r="K87" s="13"/>
      <c r="L87" s="229"/>
      <c r="M87" s="13"/>
      <c r="N87" s="229"/>
      <c r="O87" s="13"/>
      <c r="P87" s="229"/>
      <c r="Q87" s="13"/>
      <c r="R87" s="229"/>
      <c r="S87" s="13"/>
      <c r="T87" s="229"/>
      <c r="U87" s="13"/>
      <c r="V87" s="229"/>
      <c r="W87" s="13"/>
      <c r="X87" s="229"/>
      <c r="Y87" s="13"/>
      <c r="Z87" s="229"/>
      <c r="AA87" s="13"/>
      <c r="AB87" s="229">
        <f t="shared" si="37"/>
        <v>0</v>
      </c>
      <c r="AC87" s="228">
        <f t="shared" si="35"/>
        <v>0</v>
      </c>
      <c r="AD87" s="21">
        <v>0</v>
      </c>
      <c r="AE87" s="229"/>
      <c r="AF87" s="20"/>
      <c r="AG87" s="229"/>
      <c r="AH87" s="20"/>
      <c r="AI87" s="229"/>
      <c r="AJ87" s="20"/>
      <c r="AK87" s="229"/>
      <c r="AL87" s="20"/>
      <c r="AM87" s="229"/>
      <c r="AN87" s="20"/>
      <c r="AO87" s="229"/>
      <c r="AP87" s="20"/>
      <c r="AQ87" s="229"/>
      <c r="AR87" s="20"/>
      <c r="AS87" s="229"/>
      <c r="AT87" s="20"/>
      <c r="AU87" s="229"/>
      <c r="AV87" s="20"/>
      <c r="AW87" s="229"/>
      <c r="AX87" s="20"/>
      <c r="AY87" s="229"/>
      <c r="AZ87" s="20"/>
      <c r="BA87" s="229"/>
      <c r="BB87" s="20"/>
      <c r="BC87" s="229">
        <f t="shared" si="38"/>
        <v>0</v>
      </c>
      <c r="BD87" s="48">
        <f t="shared" si="36"/>
        <v>0</v>
      </c>
      <c r="BE87" s="19">
        <v>1</v>
      </c>
      <c r="BF87" s="229">
        <f t="shared" si="39"/>
        <v>0</v>
      </c>
      <c r="BG87" s="210">
        <f t="shared" si="32"/>
        <v>0</v>
      </c>
      <c r="BH87" s="210">
        <f t="shared" si="33"/>
        <v>1</v>
      </c>
      <c r="BI87" s="213">
        <f t="shared" si="34"/>
        <v>0</v>
      </c>
      <c r="BJ87" s="141"/>
      <c r="BK87" s="201"/>
      <c r="BL87" s="198"/>
      <c r="BM87" s="198"/>
    </row>
    <row r="88" spans="1:65" s="17" customFormat="1" ht="15.95" customHeight="1">
      <c r="A88" s="123">
        <v>78</v>
      </c>
      <c r="B88" s="9" t="s">
        <v>1616</v>
      </c>
      <c r="C88" s="11" t="s">
        <v>1653</v>
      </c>
      <c r="D88" s="229"/>
      <c r="E88" s="13"/>
      <c r="F88" s="229"/>
      <c r="G88" s="13"/>
      <c r="H88" s="229"/>
      <c r="I88" s="13"/>
      <c r="J88" s="229"/>
      <c r="K88" s="13"/>
      <c r="L88" s="229"/>
      <c r="M88" s="13"/>
      <c r="N88" s="229"/>
      <c r="O88" s="13"/>
      <c r="P88" s="229"/>
      <c r="Q88" s="13"/>
      <c r="R88" s="229"/>
      <c r="S88" s="13"/>
      <c r="T88" s="229"/>
      <c r="U88" s="13"/>
      <c r="V88" s="229"/>
      <c r="W88" s="13"/>
      <c r="X88" s="229"/>
      <c r="Y88" s="13"/>
      <c r="Z88" s="229"/>
      <c r="AA88" s="13"/>
      <c r="AB88" s="229">
        <f t="shared" si="37"/>
        <v>0</v>
      </c>
      <c r="AC88" s="228">
        <f t="shared" si="35"/>
        <v>0</v>
      </c>
      <c r="AD88" s="21">
        <v>0</v>
      </c>
      <c r="AE88" s="229"/>
      <c r="AF88" s="20"/>
      <c r="AG88" s="229"/>
      <c r="AH88" s="20"/>
      <c r="AI88" s="229"/>
      <c r="AJ88" s="20"/>
      <c r="AK88" s="229"/>
      <c r="AL88" s="20"/>
      <c r="AM88" s="229"/>
      <c r="AN88" s="20"/>
      <c r="AO88" s="229"/>
      <c r="AP88" s="20"/>
      <c r="AQ88" s="229"/>
      <c r="AR88" s="20"/>
      <c r="AS88" s="229"/>
      <c r="AT88" s="20"/>
      <c r="AU88" s="229"/>
      <c r="AV88" s="20"/>
      <c r="AW88" s="229"/>
      <c r="AX88" s="20"/>
      <c r="AY88" s="229"/>
      <c r="AZ88" s="20"/>
      <c r="BA88" s="229"/>
      <c r="BB88" s="20"/>
      <c r="BC88" s="229">
        <f t="shared" si="38"/>
        <v>0</v>
      </c>
      <c r="BD88" s="48">
        <f t="shared" si="36"/>
        <v>0</v>
      </c>
      <c r="BE88" s="19">
        <v>1</v>
      </c>
      <c r="BF88" s="229">
        <f t="shared" si="39"/>
        <v>0</v>
      </c>
      <c r="BG88" s="210">
        <f t="shared" si="32"/>
        <v>0</v>
      </c>
      <c r="BH88" s="210">
        <f t="shared" si="33"/>
        <v>1</v>
      </c>
      <c r="BI88" s="213">
        <f t="shared" si="34"/>
        <v>0</v>
      </c>
      <c r="BJ88" s="141"/>
      <c r="BK88" s="201"/>
      <c r="BL88" s="198"/>
      <c r="BM88" s="198"/>
    </row>
    <row r="89" spans="1:65" s="17" customFormat="1" ht="15.95" customHeight="1">
      <c r="A89" s="123">
        <v>79</v>
      </c>
      <c r="B89" s="9" t="s">
        <v>720</v>
      </c>
      <c r="C89" s="11" t="s">
        <v>721</v>
      </c>
      <c r="D89" s="229"/>
      <c r="E89" s="13"/>
      <c r="F89" s="229"/>
      <c r="G89" s="13"/>
      <c r="H89" s="229">
        <v>8</v>
      </c>
      <c r="I89" s="13">
        <v>8</v>
      </c>
      <c r="J89" s="229"/>
      <c r="K89" s="13"/>
      <c r="L89" s="229"/>
      <c r="M89" s="13"/>
      <c r="N89" s="229"/>
      <c r="O89" s="13"/>
      <c r="P89" s="229"/>
      <c r="Q89" s="13"/>
      <c r="R89" s="229"/>
      <c r="S89" s="13"/>
      <c r="T89" s="229"/>
      <c r="U89" s="13">
        <v>23</v>
      </c>
      <c r="V89" s="229"/>
      <c r="W89" s="13"/>
      <c r="X89" s="229"/>
      <c r="Y89" s="13"/>
      <c r="Z89" s="229"/>
      <c r="AA89" s="13">
        <f>17+2</f>
        <v>19</v>
      </c>
      <c r="AB89" s="229">
        <f t="shared" si="37"/>
        <v>8</v>
      </c>
      <c r="AC89" s="228">
        <f t="shared" si="35"/>
        <v>50</v>
      </c>
      <c r="AD89" s="19">
        <v>76</v>
      </c>
      <c r="AE89" s="229"/>
      <c r="AF89" s="20"/>
      <c r="AG89" s="229"/>
      <c r="AH89" s="20"/>
      <c r="AI89" s="229"/>
      <c r="AJ89" s="20"/>
      <c r="AK89" s="229"/>
      <c r="AL89" s="20"/>
      <c r="AM89" s="229"/>
      <c r="AN89" s="20"/>
      <c r="AO89" s="229">
        <f>3+3+1+20</f>
        <v>27</v>
      </c>
      <c r="AP89" s="20">
        <f>4+3+1+20</f>
        <v>28</v>
      </c>
      <c r="AQ89" s="229"/>
      <c r="AR89" s="20"/>
      <c r="AS89" s="229"/>
      <c r="AT89" s="20"/>
      <c r="AU89" s="229"/>
      <c r="AV89" s="20">
        <v>3</v>
      </c>
      <c r="AW89" s="229"/>
      <c r="AX89" s="20"/>
      <c r="AY89" s="229"/>
      <c r="AZ89" s="20"/>
      <c r="BA89" s="229"/>
      <c r="BB89" s="20"/>
      <c r="BC89" s="229">
        <f t="shared" si="38"/>
        <v>27</v>
      </c>
      <c r="BD89" s="48">
        <f t="shared" si="36"/>
        <v>31</v>
      </c>
      <c r="BE89" s="19">
        <v>4</v>
      </c>
      <c r="BF89" s="229">
        <f t="shared" si="39"/>
        <v>35</v>
      </c>
      <c r="BG89" s="210">
        <f t="shared" si="32"/>
        <v>81</v>
      </c>
      <c r="BH89" s="210">
        <f t="shared" si="33"/>
        <v>80</v>
      </c>
      <c r="BI89" s="213">
        <f t="shared" si="34"/>
        <v>101.25</v>
      </c>
      <c r="BJ89" s="141"/>
      <c r="BK89" s="201"/>
      <c r="BL89" s="198"/>
      <c r="BM89" s="198"/>
    </row>
    <row r="90" spans="1:65" s="17" customFormat="1" ht="15.95" customHeight="1">
      <c r="A90" s="123">
        <v>80</v>
      </c>
      <c r="B90" s="9" t="s">
        <v>94</v>
      </c>
      <c r="C90" s="11" t="s">
        <v>95</v>
      </c>
      <c r="D90" s="229"/>
      <c r="E90" s="13"/>
      <c r="F90" s="229"/>
      <c r="G90" s="13"/>
      <c r="H90" s="229"/>
      <c r="I90" s="13"/>
      <c r="J90" s="229"/>
      <c r="K90" s="13"/>
      <c r="L90" s="229"/>
      <c r="M90" s="13"/>
      <c r="N90" s="229"/>
      <c r="O90" s="13"/>
      <c r="P90" s="229"/>
      <c r="Q90" s="13"/>
      <c r="R90" s="229"/>
      <c r="S90" s="13"/>
      <c r="T90" s="229"/>
      <c r="U90" s="13"/>
      <c r="V90" s="229"/>
      <c r="W90" s="13"/>
      <c r="X90" s="229"/>
      <c r="Y90" s="13"/>
      <c r="Z90" s="229"/>
      <c r="AA90" s="13"/>
      <c r="AB90" s="229">
        <f t="shared" si="37"/>
        <v>0</v>
      </c>
      <c r="AC90" s="228">
        <f t="shared" si="35"/>
        <v>0</v>
      </c>
      <c r="AD90" s="21">
        <v>0</v>
      </c>
      <c r="AE90" s="229"/>
      <c r="AF90" s="20"/>
      <c r="AG90" s="229"/>
      <c r="AH90" s="20"/>
      <c r="AI90" s="229"/>
      <c r="AJ90" s="20"/>
      <c r="AK90" s="229"/>
      <c r="AL90" s="20"/>
      <c r="AM90" s="229"/>
      <c r="AN90" s="20"/>
      <c r="AO90" s="229">
        <v>3</v>
      </c>
      <c r="AP90" s="20">
        <v>3</v>
      </c>
      <c r="AQ90" s="229"/>
      <c r="AR90" s="20"/>
      <c r="AS90" s="229"/>
      <c r="AT90" s="20"/>
      <c r="AU90" s="229"/>
      <c r="AV90" s="20"/>
      <c r="AW90" s="229"/>
      <c r="AX90" s="20"/>
      <c r="AY90" s="229"/>
      <c r="AZ90" s="20"/>
      <c r="BA90" s="229"/>
      <c r="BB90" s="20">
        <v>1</v>
      </c>
      <c r="BC90" s="229">
        <f t="shared" si="38"/>
        <v>3</v>
      </c>
      <c r="BD90" s="48">
        <f t="shared" si="36"/>
        <v>4</v>
      </c>
      <c r="BE90" s="19">
        <v>3</v>
      </c>
      <c r="BF90" s="229">
        <f t="shared" si="39"/>
        <v>3</v>
      </c>
      <c r="BG90" s="210">
        <f t="shared" si="32"/>
        <v>4</v>
      </c>
      <c r="BH90" s="210">
        <f t="shared" si="33"/>
        <v>3</v>
      </c>
      <c r="BI90" s="213">
        <f t="shared" si="34"/>
        <v>133.33333333333331</v>
      </c>
      <c r="BJ90" s="141"/>
      <c r="BK90" s="201"/>
      <c r="BL90" s="198"/>
      <c r="BM90" s="198"/>
    </row>
    <row r="91" spans="1:65" s="17" customFormat="1" ht="21.95" customHeight="1">
      <c r="A91" s="385" t="s">
        <v>2752</v>
      </c>
      <c r="B91" s="385"/>
      <c r="C91" s="385"/>
      <c r="D91" s="90">
        <f t="shared" ref="D91:AA91" si="40">SUM(D92:D113)</f>
        <v>0</v>
      </c>
      <c r="E91" s="90">
        <f t="shared" si="40"/>
        <v>0</v>
      </c>
      <c r="F91" s="90">
        <f t="shared" si="40"/>
        <v>0</v>
      </c>
      <c r="G91" s="90">
        <f t="shared" si="40"/>
        <v>0</v>
      </c>
      <c r="H91" s="90">
        <f t="shared" si="40"/>
        <v>0</v>
      </c>
      <c r="I91" s="90">
        <f t="shared" si="40"/>
        <v>0</v>
      </c>
      <c r="J91" s="90">
        <f t="shared" si="40"/>
        <v>0</v>
      </c>
      <c r="K91" s="90">
        <f t="shared" si="40"/>
        <v>0</v>
      </c>
      <c r="L91" s="90">
        <f t="shared" si="40"/>
        <v>0</v>
      </c>
      <c r="M91" s="90">
        <f t="shared" si="40"/>
        <v>0</v>
      </c>
      <c r="N91" s="90">
        <f t="shared" si="40"/>
        <v>0</v>
      </c>
      <c r="O91" s="90">
        <f t="shared" si="40"/>
        <v>0</v>
      </c>
      <c r="P91" s="90">
        <f t="shared" si="40"/>
        <v>0</v>
      </c>
      <c r="Q91" s="90">
        <f t="shared" si="40"/>
        <v>0</v>
      </c>
      <c r="R91" s="90">
        <f t="shared" si="40"/>
        <v>0</v>
      </c>
      <c r="S91" s="90">
        <f t="shared" si="40"/>
        <v>0</v>
      </c>
      <c r="T91" s="90">
        <f t="shared" si="40"/>
        <v>0</v>
      </c>
      <c r="U91" s="90">
        <f t="shared" si="40"/>
        <v>0</v>
      </c>
      <c r="V91" s="90">
        <f t="shared" si="40"/>
        <v>0</v>
      </c>
      <c r="W91" s="90">
        <f t="shared" si="40"/>
        <v>0</v>
      </c>
      <c r="X91" s="90">
        <f t="shared" si="40"/>
        <v>0</v>
      </c>
      <c r="Y91" s="90">
        <f t="shared" si="40"/>
        <v>0</v>
      </c>
      <c r="Z91" s="90">
        <f t="shared" si="40"/>
        <v>0</v>
      </c>
      <c r="AA91" s="90">
        <f t="shared" si="40"/>
        <v>0</v>
      </c>
      <c r="AB91" s="90">
        <f t="shared" ref="AB91:AB114" si="41">D91+F91+H91+J91+L91+N91+P91+R91+T91+V91+X91+Z91</f>
        <v>0</v>
      </c>
      <c r="AC91" s="90">
        <f t="shared" ref="AC91:AC114" si="42">E91+G91+I91+K91+M91+O91+Q91+S91+U91+W91+Y91+AA91</f>
        <v>0</v>
      </c>
      <c r="AD91" s="112">
        <f t="shared" ref="AD91:BB91" si="43">SUM(AD92:AD113)</f>
        <v>0</v>
      </c>
      <c r="AE91" s="90">
        <f t="shared" si="43"/>
        <v>0</v>
      </c>
      <c r="AF91" s="91">
        <f t="shared" si="43"/>
        <v>0</v>
      </c>
      <c r="AG91" s="90">
        <f t="shared" si="43"/>
        <v>0</v>
      </c>
      <c r="AH91" s="91">
        <f t="shared" si="43"/>
        <v>0</v>
      </c>
      <c r="AI91" s="90">
        <f t="shared" si="43"/>
        <v>92</v>
      </c>
      <c r="AJ91" s="91">
        <f t="shared" si="43"/>
        <v>94</v>
      </c>
      <c r="AK91" s="90">
        <f t="shared" si="43"/>
        <v>0</v>
      </c>
      <c r="AL91" s="91">
        <f t="shared" si="43"/>
        <v>0</v>
      </c>
      <c r="AM91" s="90">
        <f t="shared" si="43"/>
        <v>0</v>
      </c>
      <c r="AN91" s="91">
        <f t="shared" si="43"/>
        <v>0</v>
      </c>
      <c r="AO91" s="90">
        <f t="shared" si="43"/>
        <v>104</v>
      </c>
      <c r="AP91" s="91">
        <f t="shared" si="43"/>
        <v>104</v>
      </c>
      <c r="AQ91" s="90">
        <f t="shared" si="43"/>
        <v>0</v>
      </c>
      <c r="AR91" s="91">
        <f t="shared" si="43"/>
        <v>0</v>
      </c>
      <c r="AS91" s="90">
        <f t="shared" si="43"/>
        <v>0</v>
      </c>
      <c r="AT91" s="91">
        <f t="shared" si="43"/>
        <v>0</v>
      </c>
      <c r="AU91" s="90">
        <f t="shared" si="43"/>
        <v>0</v>
      </c>
      <c r="AV91" s="91">
        <f t="shared" si="43"/>
        <v>88</v>
      </c>
      <c r="AW91" s="90">
        <f t="shared" si="43"/>
        <v>0</v>
      </c>
      <c r="AX91" s="91">
        <f t="shared" si="43"/>
        <v>0</v>
      </c>
      <c r="AY91" s="90">
        <f t="shared" si="43"/>
        <v>0</v>
      </c>
      <c r="AZ91" s="91">
        <f t="shared" si="43"/>
        <v>0</v>
      </c>
      <c r="BA91" s="90">
        <f t="shared" si="43"/>
        <v>0</v>
      </c>
      <c r="BB91" s="91">
        <f t="shared" si="43"/>
        <v>95</v>
      </c>
      <c r="BC91" s="90">
        <f t="shared" ref="BC91:BC114" si="44">AE91+AG91+AI91+AK91+AM91+AO91+AQ91+AS91+AU91+AW91+AY91+BA91</f>
        <v>196</v>
      </c>
      <c r="BD91" s="91">
        <f t="shared" ref="BD91:BD114" si="45">AF91+AH91+AJ91+AL91+AN91+AP91+AR91+AT91+AV91+AX91+AZ91+BB91</f>
        <v>381</v>
      </c>
      <c r="BE91" s="91">
        <f>SUM(BE92:BE113)</f>
        <v>578</v>
      </c>
      <c r="BF91" s="90">
        <f t="shared" ref="BF91:BF114" si="46">AB91+BC91</f>
        <v>196</v>
      </c>
      <c r="BG91" s="91">
        <f t="shared" ref="BG91:BG114" si="47">AC91+BD91</f>
        <v>381</v>
      </c>
      <c r="BH91" s="91">
        <f t="shared" ref="BH91:BH114" si="48">AD91+BE91</f>
        <v>578</v>
      </c>
      <c r="BI91" s="272">
        <f t="shared" ref="BI91:BI114" si="49">BG91/BH91*100</f>
        <v>65.916955017301035</v>
      </c>
      <c r="BJ91" s="140">
        <v>578</v>
      </c>
      <c r="BK91" s="203">
        <f>BJ91-BH91</f>
        <v>0</v>
      </c>
      <c r="BL91" s="198">
        <v>359</v>
      </c>
      <c r="BM91" s="199">
        <f>BG91-BL91</f>
        <v>22</v>
      </c>
    </row>
    <row r="92" spans="1:65" s="17" customFormat="1" ht="15.95" customHeight="1">
      <c r="A92" s="123">
        <v>1</v>
      </c>
      <c r="B92" s="9" t="s">
        <v>21</v>
      </c>
      <c r="C92" s="11" t="s">
        <v>22</v>
      </c>
      <c r="D92" s="229"/>
      <c r="E92" s="13"/>
      <c r="F92" s="229"/>
      <c r="G92" s="13"/>
      <c r="H92" s="229"/>
      <c r="I92" s="13"/>
      <c r="J92" s="229"/>
      <c r="K92" s="13"/>
      <c r="L92" s="229"/>
      <c r="M92" s="13"/>
      <c r="N92" s="229"/>
      <c r="O92" s="13"/>
      <c r="P92" s="229"/>
      <c r="Q92" s="13"/>
      <c r="R92" s="229"/>
      <c r="S92" s="13"/>
      <c r="T92" s="229"/>
      <c r="U92" s="13"/>
      <c r="V92" s="229"/>
      <c r="W92" s="13"/>
      <c r="X92" s="229"/>
      <c r="Y92" s="13"/>
      <c r="Z92" s="229"/>
      <c r="AA92" s="13"/>
      <c r="AB92" s="229">
        <f t="shared" ref="AB92:AB113" si="50">D92+F92+H92+J92+L92+N92+P92+R92+T92+V92+X92+Z92</f>
        <v>0</v>
      </c>
      <c r="AC92" s="228">
        <f t="shared" si="42"/>
        <v>0</v>
      </c>
      <c r="AD92" s="21">
        <v>0</v>
      </c>
      <c r="AE92" s="229"/>
      <c r="AF92" s="20"/>
      <c r="AG92" s="229"/>
      <c r="AH92" s="20"/>
      <c r="AI92" s="229">
        <f>1+1</f>
        <v>2</v>
      </c>
      <c r="AJ92" s="20">
        <f>1+1</f>
        <v>2</v>
      </c>
      <c r="AK92" s="229"/>
      <c r="AL92" s="20"/>
      <c r="AM92" s="229"/>
      <c r="AN92" s="20"/>
      <c r="AO92" s="229">
        <v>2</v>
      </c>
      <c r="AP92" s="20">
        <v>2</v>
      </c>
      <c r="AQ92" s="229"/>
      <c r="AR92" s="20"/>
      <c r="AS92" s="229"/>
      <c r="AT92" s="20"/>
      <c r="AU92" s="229"/>
      <c r="AV92" s="20">
        <f>1+2</f>
        <v>3</v>
      </c>
      <c r="AW92" s="229"/>
      <c r="AX92" s="20"/>
      <c r="AY92" s="229"/>
      <c r="AZ92" s="20"/>
      <c r="BA92" s="229"/>
      <c r="BB92" s="20">
        <f>1+2</f>
        <v>3</v>
      </c>
      <c r="BC92" s="229">
        <f t="shared" ref="BC92:BC113" si="51">AE92+AG92+AI92+AK92+AM92+AO92+AQ92+AS92+AU92+AW92+AY92+BA92</f>
        <v>4</v>
      </c>
      <c r="BD92" s="48">
        <f t="shared" si="45"/>
        <v>10</v>
      </c>
      <c r="BE92" s="19">
        <v>10</v>
      </c>
      <c r="BF92" s="229">
        <f t="shared" ref="BF92:BF113" si="52">AB92+BC92</f>
        <v>4</v>
      </c>
      <c r="BG92" s="210">
        <f t="shared" si="47"/>
        <v>10</v>
      </c>
      <c r="BH92" s="210">
        <f t="shared" si="48"/>
        <v>10</v>
      </c>
      <c r="BI92" s="213">
        <f t="shared" ref="BI92:BI113" si="53">BG92/BH92*100</f>
        <v>100</v>
      </c>
      <c r="BJ92" s="141"/>
      <c r="BK92" s="201"/>
      <c r="BL92" s="198"/>
      <c r="BM92" s="198"/>
    </row>
    <row r="93" spans="1:65" s="17" customFormat="1" ht="15.95" customHeight="1">
      <c r="A93" s="123">
        <v>2</v>
      </c>
      <c r="B93" s="9" t="s">
        <v>96</v>
      </c>
      <c r="C93" s="11" t="s">
        <v>97</v>
      </c>
      <c r="D93" s="229"/>
      <c r="E93" s="13"/>
      <c r="F93" s="229"/>
      <c r="G93" s="13"/>
      <c r="H93" s="229"/>
      <c r="I93" s="13"/>
      <c r="J93" s="229"/>
      <c r="K93" s="13"/>
      <c r="L93" s="229"/>
      <c r="M93" s="13"/>
      <c r="N93" s="229"/>
      <c r="O93" s="13"/>
      <c r="P93" s="229"/>
      <c r="Q93" s="13"/>
      <c r="R93" s="229"/>
      <c r="S93" s="13"/>
      <c r="T93" s="229"/>
      <c r="U93" s="13"/>
      <c r="V93" s="229"/>
      <c r="W93" s="13"/>
      <c r="X93" s="229"/>
      <c r="Y93" s="13"/>
      <c r="Z93" s="229"/>
      <c r="AA93" s="13"/>
      <c r="AB93" s="229">
        <f t="shared" si="50"/>
        <v>0</v>
      </c>
      <c r="AC93" s="228">
        <f t="shared" si="42"/>
        <v>0</v>
      </c>
      <c r="AD93" s="21">
        <v>0</v>
      </c>
      <c r="AE93" s="229"/>
      <c r="AF93" s="20"/>
      <c r="AG93" s="229"/>
      <c r="AH93" s="20"/>
      <c r="AI93" s="229">
        <v>3</v>
      </c>
      <c r="AJ93" s="20">
        <v>3</v>
      </c>
      <c r="AK93" s="229"/>
      <c r="AL93" s="20"/>
      <c r="AM93" s="229"/>
      <c r="AN93" s="20"/>
      <c r="AO93" s="229">
        <v>2</v>
      </c>
      <c r="AP93" s="20">
        <v>2</v>
      </c>
      <c r="AQ93" s="229"/>
      <c r="AR93" s="20"/>
      <c r="AS93" s="229"/>
      <c r="AT93" s="20"/>
      <c r="AU93" s="229"/>
      <c r="AV93" s="20">
        <f>1+14</f>
        <v>15</v>
      </c>
      <c r="AW93" s="229"/>
      <c r="AX93" s="20"/>
      <c r="AY93" s="229"/>
      <c r="AZ93" s="20"/>
      <c r="BA93" s="229"/>
      <c r="BB93" s="20">
        <v>6</v>
      </c>
      <c r="BC93" s="229">
        <f t="shared" si="51"/>
        <v>5</v>
      </c>
      <c r="BD93" s="48">
        <f t="shared" si="45"/>
        <v>26</v>
      </c>
      <c r="BE93" s="19">
        <v>17</v>
      </c>
      <c r="BF93" s="229">
        <f t="shared" si="52"/>
        <v>5</v>
      </c>
      <c r="BG93" s="210">
        <f t="shared" si="47"/>
        <v>26</v>
      </c>
      <c r="BH93" s="210">
        <f t="shared" si="48"/>
        <v>17</v>
      </c>
      <c r="BI93" s="213">
        <f t="shared" si="53"/>
        <v>152.94117647058823</v>
      </c>
      <c r="BJ93" s="141"/>
      <c r="BK93" s="201"/>
      <c r="BL93" s="198"/>
      <c r="BM93" s="198"/>
    </row>
    <row r="94" spans="1:65" s="17" customFormat="1" ht="15.95" customHeight="1">
      <c r="A94" s="123">
        <v>3</v>
      </c>
      <c r="B94" s="9" t="s">
        <v>98</v>
      </c>
      <c r="C94" s="11" t="s">
        <v>99</v>
      </c>
      <c r="D94" s="229"/>
      <c r="E94" s="13"/>
      <c r="F94" s="229"/>
      <c r="G94" s="13"/>
      <c r="H94" s="229"/>
      <c r="I94" s="13"/>
      <c r="J94" s="229"/>
      <c r="K94" s="13"/>
      <c r="L94" s="229"/>
      <c r="M94" s="13"/>
      <c r="N94" s="229"/>
      <c r="O94" s="13"/>
      <c r="P94" s="229"/>
      <c r="Q94" s="13"/>
      <c r="R94" s="229"/>
      <c r="S94" s="13"/>
      <c r="T94" s="229"/>
      <c r="U94" s="13"/>
      <c r="V94" s="229"/>
      <c r="W94" s="13"/>
      <c r="X94" s="229"/>
      <c r="Y94" s="13"/>
      <c r="Z94" s="229"/>
      <c r="AA94" s="13"/>
      <c r="AB94" s="229">
        <f t="shared" si="50"/>
        <v>0</v>
      </c>
      <c r="AC94" s="228">
        <f t="shared" si="42"/>
        <v>0</v>
      </c>
      <c r="AD94" s="21">
        <v>0</v>
      </c>
      <c r="AE94" s="229"/>
      <c r="AF94" s="20"/>
      <c r="AG94" s="229"/>
      <c r="AH94" s="20"/>
      <c r="AI94" s="229">
        <v>7</v>
      </c>
      <c r="AJ94" s="20">
        <v>7</v>
      </c>
      <c r="AK94" s="229"/>
      <c r="AL94" s="20"/>
      <c r="AM94" s="229"/>
      <c r="AN94" s="20"/>
      <c r="AO94" s="229">
        <f>1+9</f>
        <v>10</v>
      </c>
      <c r="AP94" s="20">
        <f>1+9</f>
        <v>10</v>
      </c>
      <c r="AQ94" s="229"/>
      <c r="AR94" s="20"/>
      <c r="AS94" s="229"/>
      <c r="AT94" s="20"/>
      <c r="AU94" s="229"/>
      <c r="AV94" s="20">
        <v>6</v>
      </c>
      <c r="AW94" s="229"/>
      <c r="AX94" s="20"/>
      <c r="AY94" s="229"/>
      <c r="AZ94" s="20"/>
      <c r="BA94" s="229"/>
      <c r="BB94" s="20">
        <v>8</v>
      </c>
      <c r="BC94" s="229">
        <f t="shared" si="51"/>
        <v>17</v>
      </c>
      <c r="BD94" s="48">
        <f t="shared" si="45"/>
        <v>31</v>
      </c>
      <c r="BE94" s="19">
        <v>35</v>
      </c>
      <c r="BF94" s="229">
        <f t="shared" si="52"/>
        <v>17</v>
      </c>
      <c r="BG94" s="210">
        <f t="shared" si="47"/>
        <v>31</v>
      </c>
      <c r="BH94" s="210">
        <f t="shared" si="48"/>
        <v>35</v>
      </c>
      <c r="BI94" s="213">
        <f t="shared" si="53"/>
        <v>88.571428571428569</v>
      </c>
      <c r="BJ94" s="141"/>
      <c r="BK94" s="201"/>
      <c r="BL94" s="198"/>
      <c r="BM94" s="198"/>
    </row>
    <row r="95" spans="1:65" s="17" customFormat="1" ht="15.95" customHeight="1">
      <c r="A95" s="123">
        <v>4</v>
      </c>
      <c r="B95" s="9" t="s">
        <v>23</v>
      </c>
      <c r="C95" s="11" t="s">
        <v>24</v>
      </c>
      <c r="D95" s="229"/>
      <c r="E95" s="13"/>
      <c r="F95" s="229"/>
      <c r="G95" s="13"/>
      <c r="H95" s="229"/>
      <c r="I95" s="13"/>
      <c r="J95" s="229"/>
      <c r="K95" s="13"/>
      <c r="L95" s="229"/>
      <c r="M95" s="13"/>
      <c r="N95" s="229"/>
      <c r="O95" s="13"/>
      <c r="P95" s="229"/>
      <c r="Q95" s="13"/>
      <c r="R95" s="229"/>
      <c r="S95" s="13"/>
      <c r="T95" s="229"/>
      <c r="U95" s="13"/>
      <c r="V95" s="229"/>
      <c r="W95" s="13"/>
      <c r="X95" s="229"/>
      <c r="Y95" s="13"/>
      <c r="Z95" s="229"/>
      <c r="AA95" s="13"/>
      <c r="AB95" s="229">
        <f t="shared" si="50"/>
        <v>0</v>
      </c>
      <c r="AC95" s="228">
        <f t="shared" si="42"/>
        <v>0</v>
      </c>
      <c r="AD95" s="21">
        <v>0</v>
      </c>
      <c r="AE95" s="229"/>
      <c r="AF95" s="20"/>
      <c r="AG95" s="229"/>
      <c r="AH95" s="20"/>
      <c r="AI95" s="229">
        <v>31</v>
      </c>
      <c r="AJ95" s="20">
        <v>32</v>
      </c>
      <c r="AK95" s="229"/>
      <c r="AL95" s="20"/>
      <c r="AM95" s="229"/>
      <c r="AN95" s="20"/>
      <c r="AO95" s="229">
        <f>1+32</f>
        <v>33</v>
      </c>
      <c r="AP95" s="20">
        <f>1+32</f>
        <v>33</v>
      </c>
      <c r="AQ95" s="229"/>
      <c r="AR95" s="20"/>
      <c r="AS95" s="229"/>
      <c r="AT95" s="20"/>
      <c r="AU95" s="229"/>
      <c r="AV95" s="20">
        <v>22</v>
      </c>
      <c r="AW95" s="229"/>
      <c r="AX95" s="20"/>
      <c r="AY95" s="229"/>
      <c r="AZ95" s="20"/>
      <c r="BA95" s="229"/>
      <c r="BB95" s="20">
        <v>25</v>
      </c>
      <c r="BC95" s="229">
        <f t="shared" si="51"/>
        <v>64</v>
      </c>
      <c r="BD95" s="48">
        <f t="shared" si="45"/>
        <v>112</v>
      </c>
      <c r="BE95" s="19">
        <v>214</v>
      </c>
      <c r="BF95" s="229">
        <f t="shared" si="52"/>
        <v>64</v>
      </c>
      <c r="BG95" s="210">
        <f t="shared" si="47"/>
        <v>112</v>
      </c>
      <c r="BH95" s="210">
        <f t="shared" si="48"/>
        <v>214</v>
      </c>
      <c r="BI95" s="213">
        <f t="shared" si="53"/>
        <v>52.336448598130836</v>
      </c>
      <c r="BJ95" s="141"/>
      <c r="BK95" s="201"/>
      <c r="BL95" s="198"/>
      <c r="BM95" s="198"/>
    </row>
    <row r="96" spans="1:65" s="17" customFormat="1" ht="15.95" customHeight="1">
      <c r="A96" s="123">
        <v>5</v>
      </c>
      <c r="B96" s="9" t="s">
        <v>25</v>
      </c>
      <c r="C96" s="11" t="s">
        <v>100</v>
      </c>
      <c r="D96" s="229"/>
      <c r="E96" s="13"/>
      <c r="F96" s="229"/>
      <c r="G96" s="13"/>
      <c r="H96" s="229"/>
      <c r="I96" s="13"/>
      <c r="J96" s="229"/>
      <c r="K96" s="13"/>
      <c r="L96" s="229"/>
      <c r="M96" s="13"/>
      <c r="N96" s="229"/>
      <c r="O96" s="13"/>
      <c r="P96" s="229"/>
      <c r="Q96" s="13"/>
      <c r="R96" s="229"/>
      <c r="S96" s="13"/>
      <c r="T96" s="229"/>
      <c r="U96" s="13"/>
      <c r="V96" s="229"/>
      <c r="W96" s="13"/>
      <c r="X96" s="229"/>
      <c r="Y96" s="13"/>
      <c r="Z96" s="229"/>
      <c r="AA96" s="13"/>
      <c r="AB96" s="229">
        <f t="shared" si="50"/>
        <v>0</v>
      </c>
      <c r="AC96" s="228">
        <f t="shared" si="42"/>
        <v>0</v>
      </c>
      <c r="AD96" s="21">
        <v>0</v>
      </c>
      <c r="AE96" s="229"/>
      <c r="AF96" s="20"/>
      <c r="AG96" s="229"/>
      <c r="AH96" s="20"/>
      <c r="AI96" s="229">
        <v>47</v>
      </c>
      <c r="AJ96" s="20">
        <v>48</v>
      </c>
      <c r="AK96" s="229"/>
      <c r="AL96" s="20"/>
      <c r="AM96" s="229"/>
      <c r="AN96" s="20"/>
      <c r="AO96" s="229">
        <v>45</v>
      </c>
      <c r="AP96" s="20">
        <v>45</v>
      </c>
      <c r="AQ96" s="229"/>
      <c r="AR96" s="20"/>
      <c r="AS96" s="229"/>
      <c r="AT96" s="20"/>
      <c r="AU96" s="229"/>
      <c r="AV96" s="20">
        <v>40</v>
      </c>
      <c r="AW96" s="229"/>
      <c r="AX96" s="20"/>
      <c r="AY96" s="229"/>
      <c r="AZ96" s="20"/>
      <c r="BA96" s="229"/>
      <c r="BB96" s="20">
        <v>50</v>
      </c>
      <c r="BC96" s="229">
        <f t="shared" si="51"/>
        <v>92</v>
      </c>
      <c r="BD96" s="48">
        <f t="shared" si="45"/>
        <v>183</v>
      </c>
      <c r="BE96" s="19">
        <v>258</v>
      </c>
      <c r="BF96" s="229">
        <f t="shared" si="52"/>
        <v>92</v>
      </c>
      <c r="BG96" s="210">
        <f t="shared" si="47"/>
        <v>183</v>
      </c>
      <c r="BH96" s="210">
        <f t="shared" si="48"/>
        <v>258</v>
      </c>
      <c r="BI96" s="213">
        <f t="shared" si="53"/>
        <v>70.930232558139537</v>
      </c>
      <c r="BJ96" s="141"/>
      <c r="BK96" s="201"/>
      <c r="BL96" s="198"/>
      <c r="BM96" s="198"/>
    </row>
    <row r="97" spans="1:67" s="17" customFormat="1" ht="15.95" customHeight="1">
      <c r="A97" s="123">
        <v>6</v>
      </c>
      <c r="B97" s="9" t="s">
        <v>1439</v>
      </c>
      <c r="C97" s="11" t="s">
        <v>2604</v>
      </c>
      <c r="D97" s="229"/>
      <c r="E97" s="13"/>
      <c r="F97" s="229"/>
      <c r="G97" s="13"/>
      <c r="H97" s="229"/>
      <c r="I97" s="13"/>
      <c r="J97" s="229"/>
      <c r="K97" s="13"/>
      <c r="L97" s="229"/>
      <c r="M97" s="13"/>
      <c r="N97" s="229"/>
      <c r="O97" s="13"/>
      <c r="P97" s="229"/>
      <c r="Q97" s="13"/>
      <c r="R97" s="229"/>
      <c r="S97" s="13"/>
      <c r="T97" s="229"/>
      <c r="U97" s="13"/>
      <c r="V97" s="229"/>
      <c r="W97" s="13"/>
      <c r="X97" s="229"/>
      <c r="Y97" s="13"/>
      <c r="Z97" s="229"/>
      <c r="AA97" s="13"/>
      <c r="AB97" s="229">
        <f t="shared" si="50"/>
        <v>0</v>
      </c>
      <c r="AC97" s="228">
        <f t="shared" si="42"/>
        <v>0</v>
      </c>
      <c r="AD97" s="21">
        <v>0</v>
      </c>
      <c r="AE97" s="229"/>
      <c r="AF97" s="20"/>
      <c r="AG97" s="229"/>
      <c r="AH97" s="20"/>
      <c r="AI97" s="229"/>
      <c r="AJ97" s="20"/>
      <c r="AK97" s="229"/>
      <c r="AL97" s="20"/>
      <c r="AM97" s="229"/>
      <c r="AN97" s="20"/>
      <c r="AO97" s="229"/>
      <c r="AP97" s="20"/>
      <c r="AQ97" s="229"/>
      <c r="AR97" s="20"/>
      <c r="AS97" s="229"/>
      <c r="AT97" s="20"/>
      <c r="AU97" s="229"/>
      <c r="AV97" s="20"/>
      <c r="AW97" s="229"/>
      <c r="AX97" s="20"/>
      <c r="AY97" s="229"/>
      <c r="AZ97" s="20"/>
      <c r="BA97" s="229"/>
      <c r="BB97" s="20">
        <v>1</v>
      </c>
      <c r="BC97" s="229">
        <f t="shared" si="51"/>
        <v>0</v>
      </c>
      <c r="BD97" s="48">
        <f t="shared" si="45"/>
        <v>1</v>
      </c>
      <c r="BE97" s="19">
        <v>1</v>
      </c>
      <c r="BF97" s="229">
        <f t="shared" si="52"/>
        <v>0</v>
      </c>
      <c r="BG97" s="210">
        <f t="shared" si="47"/>
        <v>1</v>
      </c>
      <c r="BH97" s="210">
        <f t="shared" si="48"/>
        <v>1</v>
      </c>
      <c r="BI97" s="213">
        <f t="shared" si="53"/>
        <v>100</v>
      </c>
      <c r="BJ97" s="141"/>
      <c r="BK97" s="201"/>
      <c r="BL97" s="198"/>
      <c r="BM97" s="198"/>
      <c r="BO97" s="247">
        <f>SUM(BG92:BG97)</f>
        <v>363</v>
      </c>
    </row>
    <row r="98" spans="1:67" s="17" customFormat="1" ht="15.95" customHeight="1">
      <c r="A98" s="123">
        <v>7</v>
      </c>
      <c r="B98" s="9" t="s">
        <v>18</v>
      </c>
      <c r="C98" s="12" t="s">
        <v>1728</v>
      </c>
      <c r="D98" s="229"/>
      <c r="E98" s="13"/>
      <c r="F98" s="229"/>
      <c r="G98" s="13"/>
      <c r="H98" s="229"/>
      <c r="I98" s="13"/>
      <c r="J98" s="229"/>
      <c r="K98" s="13"/>
      <c r="L98" s="229"/>
      <c r="M98" s="13"/>
      <c r="N98" s="229"/>
      <c r="O98" s="13"/>
      <c r="P98" s="229"/>
      <c r="Q98" s="13"/>
      <c r="R98" s="229"/>
      <c r="S98" s="13"/>
      <c r="T98" s="229"/>
      <c r="U98" s="13"/>
      <c r="V98" s="229"/>
      <c r="W98" s="13"/>
      <c r="X98" s="229"/>
      <c r="Y98" s="13"/>
      <c r="Z98" s="229"/>
      <c r="AA98" s="13"/>
      <c r="AB98" s="229">
        <f t="shared" si="50"/>
        <v>0</v>
      </c>
      <c r="AC98" s="228">
        <f t="shared" si="42"/>
        <v>0</v>
      </c>
      <c r="AD98" s="21">
        <v>0</v>
      </c>
      <c r="AE98" s="229"/>
      <c r="AF98" s="20"/>
      <c r="AG98" s="229"/>
      <c r="AH98" s="20"/>
      <c r="AI98" s="229"/>
      <c r="AJ98" s="20"/>
      <c r="AK98" s="229"/>
      <c r="AL98" s="20"/>
      <c r="AM98" s="229"/>
      <c r="AN98" s="20"/>
      <c r="AO98" s="229"/>
      <c r="AP98" s="20"/>
      <c r="AQ98" s="229"/>
      <c r="AR98" s="20"/>
      <c r="AS98" s="229"/>
      <c r="AT98" s="20"/>
      <c r="AU98" s="229"/>
      <c r="AV98" s="20"/>
      <c r="AW98" s="229"/>
      <c r="AX98" s="20"/>
      <c r="AY98" s="229"/>
      <c r="AZ98" s="20"/>
      <c r="BA98" s="229"/>
      <c r="BB98" s="20"/>
      <c r="BC98" s="229">
        <f t="shared" si="51"/>
        <v>0</v>
      </c>
      <c r="BD98" s="48">
        <f t="shared" si="45"/>
        <v>0</v>
      </c>
      <c r="BE98" s="19">
        <v>1</v>
      </c>
      <c r="BF98" s="229">
        <f t="shared" si="52"/>
        <v>0</v>
      </c>
      <c r="BG98" s="210">
        <f t="shared" si="47"/>
        <v>0</v>
      </c>
      <c r="BH98" s="210">
        <f t="shared" si="48"/>
        <v>1</v>
      </c>
      <c r="BI98" s="213">
        <f t="shared" si="53"/>
        <v>0</v>
      </c>
      <c r="BJ98" s="141"/>
      <c r="BK98" s="201"/>
      <c r="BL98" s="198"/>
      <c r="BM98" s="198"/>
    </row>
    <row r="99" spans="1:67" s="17" customFormat="1" ht="15.95" customHeight="1">
      <c r="A99" s="123">
        <v>8</v>
      </c>
      <c r="B99" s="9" t="s">
        <v>955</v>
      </c>
      <c r="C99" s="11" t="s">
        <v>956</v>
      </c>
      <c r="D99" s="229"/>
      <c r="E99" s="13"/>
      <c r="F99" s="229"/>
      <c r="G99" s="13"/>
      <c r="H99" s="229"/>
      <c r="I99" s="13"/>
      <c r="J99" s="229"/>
      <c r="K99" s="13"/>
      <c r="L99" s="229"/>
      <c r="M99" s="13"/>
      <c r="N99" s="229"/>
      <c r="O99" s="13"/>
      <c r="P99" s="229"/>
      <c r="Q99" s="13"/>
      <c r="R99" s="229"/>
      <c r="S99" s="13"/>
      <c r="T99" s="229"/>
      <c r="U99" s="13"/>
      <c r="V99" s="229"/>
      <c r="W99" s="13"/>
      <c r="X99" s="229"/>
      <c r="Y99" s="13"/>
      <c r="Z99" s="229"/>
      <c r="AA99" s="13"/>
      <c r="AB99" s="229">
        <f t="shared" si="50"/>
        <v>0</v>
      </c>
      <c r="AC99" s="228">
        <f t="shared" si="42"/>
        <v>0</v>
      </c>
      <c r="AD99" s="19">
        <v>0</v>
      </c>
      <c r="AE99" s="229"/>
      <c r="AF99" s="20"/>
      <c r="AG99" s="229"/>
      <c r="AH99" s="20"/>
      <c r="AI99" s="229"/>
      <c r="AJ99" s="20"/>
      <c r="AK99" s="229"/>
      <c r="AL99" s="20"/>
      <c r="AM99" s="229"/>
      <c r="AN99" s="20"/>
      <c r="AO99" s="229"/>
      <c r="AP99" s="20"/>
      <c r="AQ99" s="229"/>
      <c r="AR99" s="20"/>
      <c r="AS99" s="229"/>
      <c r="AT99" s="20"/>
      <c r="AU99" s="229"/>
      <c r="AV99" s="20"/>
      <c r="AW99" s="229"/>
      <c r="AX99" s="20"/>
      <c r="AY99" s="229"/>
      <c r="AZ99" s="20"/>
      <c r="BA99" s="229"/>
      <c r="BB99" s="20"/>
      <c r="BC99" s="229">
        <f t="shared" si="51"/>
        <v>0</v>
      </c>
      <c r="BD99" s="48">
        <f t="shared" si="45"/>
        <v>0</v>
      </c>
      <c r="BE99" s="19">
        <v>1</v>
      </c>
      <c r="BF99" s="229">
        <f t="shared" si="52"/>
        <v>0</v>
      </c>
      <c r="BG99" s="210">
        <f t="shared" si="47"/>
        <v>0</v>
      </c>
      <c r="BH99" s="210">
        <f t="shared" si="48"/>
        <v>1</v>
      </c>
      <c r="BI99" s="213">
        <f t="shared" si="53"/>
        <v>0</v>
      </c>
      <c r="BJ99" s="141"/>
      <c r="BK99" s="201"/>
      <c r="BL99" s="198"/>
      <c r="BM99" s="198"/>
    </row>
    <row r="100" spans="1:67" s="17" customFormat="1" ht="15.95" customHeight="1">
      <c r="A100" s="123">
        <v>9</v>
      </c>
      <c r="B100" s="9" t="s">
        <v>26</v>
      </c>
      <c r="C100" s="11" t="s">
        <v>27</v>
      </c>
      <c r="D100" s="229"/>
      <c r="E100" s="13"/>
      <c r="F100" s="229"/>
      <c r="G100" s="13"/>
      <c r="H100" s="229"/>
      <c r="I100" s="13"/>
      <c r="J100" s="229"/>
      <c r="K100" s="13"/>
      <c r="L100" s="229"/>
      <c r="M100" s="13"/>
      <c r="N100" s="229"/>
      <c r="O100" s="13"/>
      <c r="P100" s="229"/>
      <c r="Q100" s="13"/>
      <c r="R100" s="229"/>
      <c r="S100" s="13"/>
      <c r="T100" s="229"/>
      <c r="U100" s="13"/>
      <c r="V100" s="229"/>
      <c r="W100" s="13"/>
      <c r="X100" s="229"/>
      <c r="Y100" s="13"/>
      <c r="Z100" s="229"/>
      <c r="AA100" s="13"/>
      <c r="AB100" s="229">
        <f t="shared" si="50"/>
        <v>0</v>
      </c>
      <c r="AC100" s="228">
        <f t="shared" si="42"/>
        <v>0</v>
      </c>
      <c r="AD100" s="21">
        <v>0</v>
      </c>
      <c r="AE100" s="229"/>
      <c r="AF100" s="20"/>
      <c r="AG100" s="229"/>
      <c r="AH100" s="20"/>
      <c r="AI100" s="229"/>
      <c r="AJ100" s="20"/>
      <c r="AK100" s="229"/>
      <c r="AL100" s="20"/>
      <c r="AM100" s="229"/>
      <c r="AN100" s="20"/>
      <c r="AO100" s="229"/>
      <c r="AP100" s="20"/>
      <c r="AQ100" s="229"/>
      <c r="AR100" s="20"/>
      <c r="AS100" s="229"/>
      <c r="AT100" s="20"/>
      <c r="AU100" s="229"/>
      <c r="AV100" s="20"/>
      <c r="AW100" s="229"/>
      <c r="AX100" s="20"/>
      <c r="AY100" s="229"/>
      <c r="AZ100" s="20"/>
      <c r="BA100" s="229"/>
      <c r="BB100" s="20"/>
      <c r="BC100" s="229">
        <f t="shared" si="51"/>
        <v>0</v>
      </c>
      <c r="BD100" s="48">
        <f t="shared" si="45"/>
        <v>0</v>
      </c>
      <c r="BE100" s="19">
        <v>2</v>
      </c>
      <c r="BF100" s="229">
        <f t="shared" si="52"/>
        <v>0</v>
      </c>
      <c r="BG100" s="210">
        <f t="shared" si="47"/>
        <v>0</v>
      </c>
      <c r="BH100" s="210">
        <f t="shared" si="48"/>
        <v>2</v>
      </c>
      <c r="BI100" s="213">
        <f t="shared" si="53"/>
        <v>0</v>
      </c>
      <c r="BJ100" s="141"/>
      <c r="BK100" s="201"/>
      <c r="BL100" s="198"/>
      <c r="BM100" s="198"/>
    </row>
    <row r="101" spans="1:67" s="17" customFormat="1" ht="15.95" customHeight="1">
      <c r="A101" s="123">
        <v>10</v>
      </c>
      <c r="B101" s="9" t="s">
        <v>28</v>
      </c>
      <c r="C101" s="11" t="s">
        <v>29</v>
      </c>
      <c r="D101" s="229"/>
      <c r="E101" s="13"/>
      <c r="F101" s="229"/>
      <c r="G101" s="13"/>
      <c r="H101" s="229"/>
      <c r="I101" s="13"/>
      <c r="J101" s="229"/>
      <c r="K101" s="13"/>
      <c r="L101" s="229"/>
      <c r="M101" s="13"/>
      <c r="N101" s="229"/>
      <c r="O101" s="13"/>
      <c r="P101" s="229"/>
      <c r="Q101" s="13"/>
      <c r="R101" s="229"/>
      <c r="S101" s="13"/>
      <c r="T101" s="229"/>
      <c r="U101" s="13"/>
      <c r="V101" s="229"/>
      <c r="W101" s="13"/>
      <c r="X101" s="229"/>
      <c r="Y101" s="13"/>
      <c r="Z101" s="229"/>
      <c r="AA101" s="13"/>
      <c r="AB101" s="229">
        <f t="shared" si="50"/>
        <v>0</v>
      </c>
      <c r="AC101" s="228">
        <f t="shared" si="42"/>
        <v>0</v>
      </c>
      <c r="AD101" s="21">
        <v>0</v>
      </c>
      <c r="AE101" s="229"/>
      <c r="AF101" s="20"/>
      <c r="AG101" s="229"/>
      <c r="AH101" s="20"/>
      <c r="AI101" s="229"/>
      <c r="AJ101" s="20"/>
      <c r="AK101" s="229"/>
      <c r="AL101" s="20"/>
      <c r="AM101" s="229"/>
      <c r="AN101" s="20"/>
      <c r="AO101" s="229">
        <v>1</v>
      </c>
      <c r="AP101" s="20">
        <v>1</v>
      </c>
      <c r="AQ101" s="229"/>
      <c r="AR101" s="20"/>
      <c r="AS101" s="229"/>
      <c r="AT101" s="20"/>
      <c r="AU101" s="229"/>
      <c r="AV101" s="20"/>
      <c r="AW101" s="229"/>
      <c r="AX101" s="20"/>
      <c r="AY101" s="229"/>
      <c r="AZ101" s="20"/>
      <c r="BA101" s="229"/>
      <c r="BB101" s="20"/>
      <c r="BC101" s="229">
        <f t="shared" si="51"/>
        <v>1</v>
      </c>
      <c r="BD101" s="48">
        <f t="shared" si="45"/>
        <v>1</v>
      </c>
      <c r="BE101" s="19">
        <v>2</v>
      </c>
      <c r="BF101" s="229">
        <f t="shared" si="52"/>
        <v>1</v>
      </c>
      <c r="BG101" s="210">
        <f t="shared" si="47"/>
        <v>1</v>
      </c>
      <c r="BH101" s="210">
        <f t="shared" si="48"/>
        <v>2</v>
      </c>
      <c r="BI101" s="213">
        <f t="shared" si="53"/>
        <v>50</v>
      </c>
      <c r="BJ101" s="141"/>
      <c r="BK101" s="201"/>
      <c r="BL101" s="198"/>
      <c r="BM101" s="198"/>
    </row>
    <row r="102" spans="1:67" s="17" customFormat="1" ht="15.95" customHeight="1">
      <c r="A102" s="123">
        <v>11</v>
      </c>
      <c r="B102" s="9" t="s">
        <v>483</v>
      </c>
      <c r="C102" s="15" t="s">
        <v>2587</v>
      </c>
      <c r="D102" s="229"/>
      <c r="E102" s="13"/>
      <c r="F102" s="229"/>
      <c r="G102" s="13"/>
      <c r="H102" s="229"/>
      <c r="I102" s="13"/>
      <c r="J102" s="229"/>
      <c r="K102" s="13"/>
      <c r="L102" s="229"/>
      <c r="M102" s="13"/>
      <c r="N102" s="229"/>
      <c r="O102" s="13"/>
      <c r="P102" s="229"/>
      <c r="Q102" s="13"/>
      <c r="R102" s="229"/>
      <c r="S102" s="13"/>
      <c r="T102" s="229"/>
      <c r="U102" s="13"/>
      <c r="V102" s="229"/>
      <c r="W102" s="13"/>
      <c r="X102" s="229"/>
      <c r="Y102" s="13"/>
      <c r="Z102" s="229"/>
      <c r="AA102" s="13"/>
      <c r="AB102" s="229">
        <f t="shared" si="50"/>
        <v>0</v>
      </c>
      <c r="AC102" s="228">
        <f t="shared" si="42"/>
        <v>0</v>
      </c>
      <c r="AD102" s="21">
        <v>0</v>
      </c>
      <c r="AE102" s="229"/>
      <c r="AF102" s="20"/>
      <c r="AG102" s="229"/>
      <c r="AH102" s="20"/>
      <c r="AI102" s="229"/>
      <c r="AJ102" s="20"/>
      <c r="AK102" s="229"/>
      <c r="AL102" s="20"/>
      <c r="AM102" s="229"/>
      <c r="AN102" s="20"/>
      <c r="AO102" s="229">
        <v>1</v>
      </c>
      <c r="AP102" s="20">
        <v>1</v>
      </c>
      <c r="AQ102" s="229"/>
      <c r="AR102" s="20"/>
      <c r="AS102" s="229"/>
      <c r="AT102" s="20"/>
      <c r="AU102" s="229"/>
      <c r="AV102" s="20"/>
      <c r="AW102" s="229"/>
      <c r="AX102" s="20"/>
      <c r="AY102" s="229"/>
      <c r="AZ102" s="20"/>
      <c r="BA102" s="229"/>
      <c r="BB102" s="20">
        <v>2</v>
      </c>
      <c r="BC102" s="229">
        <f t="shared" si="51"/>
        <v>1</v>
      </c>
      <c r="BD102" s="48">
        <f t="shared" si="45"/>
        <v>3</v>
      </c>
      <c r="BE102" s="19">
        <v>3</v>
      </c>
      <c r="BF102" s="229">
        <f t="shared" si="52"/>
        <v>1</v>
      </c>
      <c r="BG102" s="210">
        <f t="shared" si="47"/>
        <v>3</v>
      </c>
      <c r="BH102" s="210">
        <f t="shared" si="48"/>
        <v>3</v>
      </c>
      <c r="BI102" s="213">
        <f t="shared" si="53"/>
        <v>100</v>
      </c>
      <c r="BJ102" s="141"/>
      <c r="BK102" s="201"/>
      <c r="BL102" s="198"/>
      <c r="BM102" s="198"/>
    </row>
    <row r="103" spans="1:67" s="17" customFormat="1" ht="15.95" customHeight="1">
      <c r="A103" s="123">
        <v>12</v>
      </c>
      <c r="B103" s="9" t="s">
        <v>866</v>
      </c>
      <c r="C103" s="11" t="s">
        <v>867</v>
      </c>
      <c r="D103" s="229"/>
      <c r="E103" s="13"/>
      <c r="F103" s="229"/>
      <c r="G103" s="13"/>
      <c r="H103" s="229"/>
      <c r="I103" s="13"/>
      <c r="J103" s="229"/>
      <c r="K103" s="13"/>
      <c r="L103" s="229"/>
      <c r="M103" s="13"/>
      <c r="N103" s="229"/>
      <c r="O103" s="13"/>
      <c r="P103" s="229"/>
      <c r="Q103" s="13"/>
      <c r="R103" s="229"/>
      <c r="S103" s="13"/>
      <c r="T103" s="229"/>
      <c r="U103" s="13"/>
      <c r="V103" s="229"/>
      <c r="W103" s="13"/>
      <c r="X103" s="229"/>
      <c r="Y103" s="13"/>
      <c r="Z103" s="229"/>
      <c r="AA103" s="13"/>
      <c r="AB103" s="229">
        <f t="shared" si="50"/>
        <v>0</v>
      </c>
      <c r="AC103" s="228">
        <f t="shared" si="42"/>
        <v>0</v>
      </c>
      <c r="AD103" s="21">
        <v>0</v>
      </c>
      <c r="AE103" s="229"/>
      <c r="AF103" s="20"/>
      <c r="AG103" s="229"/>
      <c r="AH103" s="20"/>
      <c r="AI103" s="229"/>
      <c r="AJ103" s="20"/>
      <c r="AK103" s="229"/>
      <c r="AL103" s="20"/>
      <c r="AM103" s="229"/>
      <c r="AN103" s="20"/>
      <c r="AO103" s="229"/>
      <c r="AP103" s="20"/>
      <c r="AQ103" s="229"/>
      <c r="AR103" s="20"/>
      <c r="AS103" s="229"/>
      <c r="AT103" s="20"/>
      <c r="AU103" s="229"/>
      <c r="AV103" s="20"/>
      <c r="AW103" s="229"/>
      <c r="AX103" s="20"/>
      <c r="AY103" s="229"/>
      <c r="AZ103" s="20"/>
      <c r="BA103" s="229"/>
      <c r="BB103" s="20"/>
      <c r="BC103" s="229">
        <f t="shared" si="51"/>
        <v>0</v>
      </c>
      <c r="BD103" s="48">
        <f t="shared" si="45"/>
        <v>0</v>
      </c>
      <c r="BE103" s="19">
        <v>1</v>
      </c>
      <c r="BF103" s="229">
        <f t="shared" si="52"/>
        <v>0</v>
      </c>
      <c r="BG103" s="210">
        <f t="shared" si="47"/>
        <v>0</v>
      </c>
      <c r="BH103" s="210">
        <f t="shared" si="48"/>
        <v>1</v>
      </c>
      <c r="BI103" s="213">
        <f t="shared" si="53"/>
        <v>0</v>
      </c>
      <c r="BJ103" s="141"/>
      <c r="BK103" s="201"/>
      <c r="BL103" s="198"/>
      <c r="BM103" s="198"/>
    </row>
    <row r="104" spans="1:67" s="17" customFormat="1" ht="15.95" customHeight="1">
      <c r="A104" s="123">
        <v>13</v>
      </c>
      <c r="B104" s="9" t="s">
        <v>63</v>
      </c>
      <c r="C104" s="11" t="s">
        <v>1329</v>
      </c>
      <c r="D104" s="229"/>
      <c r="E104" s="13"/>
      <c r="F104" s="229"/>
      <c r="G104" s="13"/>
      <c r="H104" s="229"/>
      <c r="I104" s="13"/>
      <c r="J104" s="229"/>
      <c r="K104" s="13"/>
      <c r="L104" s="229"/>
      <c r="M104" s="13"/>
      <c r="N104" s="229"/>
      <c r="O104" s="13"/>
      <c r="P104" s="229"/>
      <c r="Q104" s="13"/>
      <c r="R104" s="229"/>
      <c r="S104" s="13"/>
      <c r="T104" s="229"/>
      <c r="U104" s="13"/>
      <c r="V104" s="229"/>
      <c r="W104" s="13"/>
      <c r="X104" s="229"/>
      <c r="Y104" s="13"/>
      <c r="Z104" s="229"/>
      <c r="AA104" s="13"/>
      <c r="AB104" s="229">
        <f t="shared" si="50"/>
        <v>0</v>
      </c>
      <c r="AC104" s="228">
        <f t="shared" si="42"/>
        <v>0</v>
      </c>
      <c r="AD104" s="21">
        <v>0</v>
      </c>
      <c r="AE104" s="229"/>
      <c r="AF104" s="20"/>
      <c r="AG104" s="229"/>
      <c r="AH104" s="20"/>
      <c r="AI104" s="229">
        <v>1</v>
      </c>
      <c r="AJ104" s="20">
        <v>1</v>
      </c>
      <c r="AK104" s="229"/>
      <c r="AL104" s="20"/>
      <c r="AM104" s="229"/>
      <c r="AN104" s="20"/>
      <c r="AO104" s="229">
        <v>2</v>
      </c>
      <c r="AP104" s="20">
        <v>2</v>
      </c>
      <c r="AQ104" s="229"/>
      <c r="AR104" s="20"/>
      <c r="AS104" s="229"/>
      <c r="AT104" s="20"/>
      <c r="AU104" s="229"/>
      <c r="AV104" s="20">
        <v>2</v>
      </c>
      <c r="AW104" s="229"/>
      <c r="AX104" s="20"/>
      <c r="AY104" s="229"/>
      <c r="AZ104" s="20"/>
      <c r="BA104" s="229"/>
      <c r="BB104" s="20"/>
      <c r="BC104" s="229">
        <f t="shared" si="51"/>
        <v>3</v>
      </c>
      <c r="BD104" s="48">
        <f t="shared" si="45"/>
        <v>5</v>
      </c>
      <c r="BE104" s="19">
        <v>1</v>
      </c>
      <c r="BF104" s="229">
        <f t="shared" si="52"/>
        <v>3</v>
      </c>
      <c r="BG104" s="210">
        <f t="shared" si="47"/>
        <v>5</v>
      </c>
      <c r="BH104" s="210">
        <f t="shared" si="48"/>
        <v>1</v>
      </c>
      <c r="BI104" s="213">
        <f t="shared" si="53"/>
        <v>500</v>
      </c>
      <c r="BJ104" s="141"/>
      <c r="BK104" s="201"/>
      <c r="BL104" s="198"/>
      <c r="BM104" s="198"/>
    </row>
    <row r="105" spans="1:67" s="17" customFormat="1" ht="15.95" customHeight="1">
      <c r="A105" s="123">
        <v>14</v>
      </c>
      <c r="B105" s="9" t="s">
        <v>67</v>
      </c>
      <c r="C105" s="11" t="s">
        <v>68</v>
      </c>
      <c r="D105" s="229"/>
      <c r="E105" s="13"/>
      <c r="F105" s="229"/>
      <c r="G105" s="13"/>
      <c r="H105" s="229"/>
      <c r="I105" s="13"/>
      <c r="J105" s="229"/>
      <c r="K105" s="13"/>
      <c r="L105" s="229"/>
      <c r="M105" s="13"/>
      <c r="N105" s="229"/>
      <c r="O105" s="13"/>
      <c r="P105" s="229"/>
      <c r="Q105" s="13"/>
      <c r="R105" s="229"/>
      <c r="S105" s="13"/>
      <c r="T105" s="229"/>
      <c r="U105" s="13"/>
      <c r="V105" s="229"/>
      <c r="W105" s="13"/>
      <c r="X105" s="229"/>
      <c r="Y105" s="13"/>
      <c r="Z105" s="229"/>
      <c r="AA105" s="13"/>
      <c r="AB105" s="229">
        <f t="shared" si="50"/>
        <v>0</v>
      </c>
      <c r="AC105" s="228">
        <f t="shared" si="42"/>
        <v>0</v>
      </c>
      <c r="AD105" s="21">
        <v>0</v>
      </c>
      <c r="AE105" s="229"/>
      <c r="AF105" s="20"/>
      <c r="AG105" s="229"/>
      <c r="AH105" s="20"/>
      <c r="AI105" s="229"/>
      <c r="AJ105" s="20"/>
      <c r="AK105" s="229"/>
      <c r="AL105" s="20"/>
      <c r="AM105" s="229"/>
      <c r="AN105" s="20"/>
      <c r="AO105" s="229"/>
      <c r="AP105" s="20"/>
      <c r="AQ105" s="229"/>
      <c r="AR105" s="20"/>
      <c r="AS105" s="229"/>
      <c r="AT105" s="20"/>
      <c r="AU105" s="229"/>
      <c r="AV105" s="20"/>
      <c r="AW105" s="229"/>
      <c r="AX105" s="20"/>
      <c r="AY105" s="229"/>
      <c r="AZ105" s="20"/>
      <c r="BA105" s="229"/>
      <c r="BB105" s="20"/>
      <c r="BC105" s="229">
        <f t="shared" si="51"/>
        <v>0</v>
      </c>
      <c r="BD105" s="48">
        <f t="shared" si="45"/>
        <v>0</v>
      </c>
      <c r="BE105" s="19">
        <v>1</v>
      </c>
      <c r="BF105" s="229">
        <f t="shared" si="52"/>
        <v>0</v>
      </c>
      <c r="BG105" s="210">
        <f t="shared" si="47"/>
        <v>0</v>
      </c>
      <c r="BH105" s="210">
        <f t="shared" si="48"/>
        <v>1</v>
      </c>
      <c r="BI105" s="213">
        <f t="shared" si="53"/>
        <v>0</v>
      </c>
      <c r="BJ105" s="141"/>
      <c r="BK105" s="201"/>
      <c r="BL105" s="198"/>
      <c r="BM105" s="198"/>
    </row>
    <row r="106" spans="1:67" s="17" customFormat="1" ht="15.95" customHeight="1">
      <c r="A106" s="123">
        <v>15</v>
      </c>
      <c r="B106" s="9" t="s">
        <v>1894</v>
      </c>
      <c r="C106" s="11" t="s">
        <v>1895</v>
      </c>
      <c r="D106" s="229"/>
      <c r="E106" s="13"/>
      <c r="F106" s="229"/>
      <c r="G106" s="13"/>
      <c r="H106" s="229"/>
      <c r="I106" s="13"/>
      <c r="J106" s="229"/>
      <c r="K106" s="13"/>
      <c r="L106" s="229"/>
      <c r="M106" s="13"/>
      <c r="N106" s="229"/>
      <c r="O106" s="13"/>
      <c r="P106" s="229"/>
      <c r="Q106" s="13"/>
      <c r="R106" s="229"/>
      <c r="S106" s="13"/>
      <c r="T106" s="229"/>
      <c r="U106" s="13"/>
      <c r="V106" s="229"/>
      <c r="W106" s="13"/>
      <c r="X106" s="229"/>
      <c r="Y106" s="13"/>
      <c r="Z106" s="229"/>
      <c r="AA106" s="13"/>
      <c r="AB106" s="229">
        <f t="shared" si="50"/>
        <v>0</v>
      </c>
      <c r="AC106" s="228">
        <f t="shared" si="42"/>
        <v>0</v>
      </c>
      <c r="AD106" s="21">
        <v>0</v>
      </c>
      <c r="AE106" s="229"/>
      <c r="AF106" s="20"/>
      <c r="AG106" s="229"/>
      <c r="AH106" s="20"/>
      <c r="AI106" s="229"/>
      <c r="AJ106" s="20"/>
      <c r="AK106" s="229"/>
      <c r="AL106" s="20"/>
      <c r="AM106" s="229"/>
      <c r="AN106" s="20"/>
      <c r="AO106" s="229"/>
      <c r="AP106" s="20"/>
      <c r="AQ106" s="229"/>
      <c r="AR106" s="20"/>
      <c r="AS106" s="229"/>
      <c r="AT106" s="20"/>
      <c r="AU106" s="229"/>
      <c r="AV106" s="20"/>
      <c r="AW106" s="229"/>
      <c r="AX106" s="20"/>
      <c r="AY106" s="229"/>
      <c r="AZ106" s="20"/>
      <c r="BA106" s="229"/>
      <c r="BB106" s="20"/>
      <c r="BC106" s="229">
        <f t="shared" si="51"/>
        <v>0</v>
      </c>
      <c r="BD106" s="48">
        <f t="shared" si="45"/>
        <v>0</v>
      </c>
      <c r="BE106" s="19">
        <v>1</v>
      </c>
      <c r="BF106" s="229">
        <f t="shared" si="52"/>
        <v>0</v>
      </c>
      <c r="BG106" s="210">
        <f t="shared" si="47"/>
        <v>0</v>
      </c>
      <c r="BH106" s="210">
        <f t="shared" si="48"/>
        <v>1</v>
      </c>
      <c r="BI106" s="213">
        <f t="shared" si="53"/>
        <v>0</v>
      </c>
      <c r="BJ106" s="141"/>
      <c r="BK106" s="201"/>
      <c r="BL106" s="198"/>
      <c r="BM106" s="198"/>
    </row>
    <row r="107" spans="1:67" s="17" customFormat="1" ht="15.95" customHeight="1">
      <c r="A107" s="123">
        <v>16</v>
      </c>
      <c r="B107" s="9" t="s">
        <v>1655</v>
      </c>
      <c r="C107" s="11" t="s">
        <v>1656</v>
      </c>
      <c r="D107" s="229"/>
      <c r="E107" s="13"/>
      <c r="F107" s="229"/>
      <c r="G107" s="13"/>
      <c r="H107" s="229"/>
      <c r="I107" s="13"/>
      <c r="J107" s="229"/>
      <c r="K107" s="13"/>
      <c r="L107" s="229"/>
      <c r="M107" s="13"/>
      <c r="N107" s="229"/>
      <c r="O107" s="13"/>
      <c r="P107" s="229"/>
      <c r="Q107" s="13"/>
      <c r="R107" s="229"/>
      <c r="S107" s="13"/>
      <c r="T107" s="229"/>
      <c r="U107" s="13"/>
      <c r="V107" s="229"/>
      <c r="W107" s="13"/>
      <c r="X107" s="229"/>
      <c r="Y107" s="13"/>
      <c r="Z107" s="229"/>
      <c r="AA107" s="13"/>
      <c r="AB107" s="229">
        <f t="shared" si="50"/>
        <v>0</v>
      </c>
      <c r="AC107" s="228">
        <f t="shared" si="42"/>
        <v>0</v>
      </c>
      <c r="AD107" s="21">
        <v>0</v>
      </c>
      <c r="AE107" s="229"/>
      <c r="AF107" s="20"/>
      <c r="AG107" s="229"/>
      <c r="AH107" s="20"/>
      <c r="AI107" s="229"/>
      <c r="AJ107" s="20"/>
      <c r="AK107" s="229"/>
      <c r="AL107" s="20"/>
      <c r="AM107" s="229"/>
      <c r="AN107" s="20"/>
      <c r="AO107" s="229">
        <v>4</v>
      </c>
      <c r="AP107" s="20">
        <v>4</v>
      </c>
      <c r="AQ107" s="229"/>
      <c r="AR107" s="20"/>
      <c r="AS107" s="229"/>
      <c r="AT107" s="20"/>
      <c r="AU107" s="229"/>
      <c r="AV107" s="20"/>
      <c r="AW107" s="229"/>
      <c r="AX107" s="20"/>
      <c r="AY107" s="229"/>
      <c r="AZ107" s="20"/>
      <c r="BA107" s="229"/>
      <c r="BB107" s="20"/>
      <c r="BC107" s="229">
        <f t="shared" si="51"/>
        <v>4</v>
      </c>
      <c r="BD107" s="48">
        <f t="shared" si="45"/>
        <v>4</v>
      </c>
      <c r="BE107" s="19">
        <v>6</v>
      </c>
      <c r="BF107" s="229">
        <f t="shared" si="52"/>
        <v>4</v>
      </c>
      <c r="BG107" s="210">
        <f t="shared" si="47"/>
        <v>4</v>
      </c>
      <c r="BH107" s="210">
        <f t="shared" si="48"/>
        <v>6</v>
      </c>
      <c r="BI107" s="213">
        <f t="shared" si="53"/>
        <v>66.666666666666657</v>
      </c>
      <c r="BJ107" s="141"/>
      <c r="BK107" s="201"/>
      <c r="BL107" s="198"/>
      <c r="BM107" s="198"/>
    </row>
    <row r="108" spans="1:67" s="17" customFormat="1" ht="15.95" customHeight="1">
      <c r="A108" s="123">
        <v>17</v>
      </c>
      <c r="B108" s="9" t="s">
        <v>1896</v>
      </c>
      <c r="C108" s="11" t="s">
        <v>2519</v>
      </c>
      <c r="D108" s="229"/>
      <c r="E108" s="13"/>
      <c r="F108" s="229"/>
      <c r="G108" s="13"/>
      <c r="H108" s="229"/>
      <c r="I108" s="13"/>
      <c r="J108" s="229"/>
      <c r="K108" s="13"/>
      <c r="L108" s="229"/>
      <c r="M108" s="13"/>
      <c r="N108" s="229"/>
      <c r="O108" s="13"/>
      <c r="P108" s="229"/>
      <c r="Q108" s="13"/>
      <c r="R108" s="229"/>
      <c r="S108" s="13"/>
      <c r="T108" s="229"/>
      <c r="U108" s="13"/>
      <c r="V108" s="229"/>
      <c r="W108" s="13"/>
      <c r="X108" s="229"/>
      <c r="Y108" s="13"/>
      <c r="Z108" s="229"/>
      <c r="AA108" s="13"/>
      <c r="AB108" s="229">
        <f t="shared" si="50"/>
        <v>0</v>
      </c>
      <c r="AC108" s="228">
        <f t="shared" si="42"/>
        <v>0</v>
      </c>
      <c r="AD108" s="21">
        <v>0</v>
      </c>
      <c r="AE108" s="229"/>
      <c r="AF108" s="20"/>
      <c r="AG108" s="229"/>
      <c r="AH108" s="20"/>
      <c r="AI108" s="229"/>
      <c r="AJ108" s="20"/>
      <c r="AK108" s="229"/>
      <c r="AL108" s="20"/>
      <c r="AM108" s="229"/>
      <c r="AN108" s="20"/>
      <c r="AO108" s="229"/>
      <c r="AP108" s="20"/>
      <c r="AQ108" s="229"/>
      <c r="AR108" s="20"/>
      <c r="AS108" s="229"/>
      <c r="AT108" s="20"/>
      <c r="AU108" s="229"/>
      <c r="AV108" s="20"/>
      <c r="AW108" s="229"/>
      <c r="AX108" s="20"/>
      <c r="AY108" s="229"/>
      <c r="AZ108" s="20"/>
      <c r="BA108" s="229"/>
      <c r="BB108" s="20"/>
      <c r="BC108" s="229">
        <f t="shared" si="51"/>
        <v>0</v>
      </c>
      <c r="BD108" s="48">
        <f t="shared" si="45"/>
        <v>0</v>
      </c>
      <c r="BE108" s="19">
        <v>2</v>
      </c>
      <c r="BF108" s="229">
        <f t="shared" si="52"/>
        <v>0</v>
      </c>
      <c r="BG108" s="210">
        <f t="shared" si="47"/>
        <v>0</v>
      </c>
      <c r="BH108" s="210">
        <f t="shared" si="48"/>
        <v>2</v>
      </c>
      <c r="BI108" s="213">
        <f t="shared" si="53"/>
        <v>0</v>
      </c>
      <c r="BJ108" s="141"/>
      <c r="BK108" s="201"/>
      <c r="BL108" s="198"/>
      <c r="BM108" s="198"/>
    </row>
    <row r="109" spans="1:67" s="17" customFormat="1" ht="15.95" customHeight="1">
      <c r="A109" s="123">
        <v>18</v>
      </c>
      <c r="B109" s="9" t="s">
        <v>2635</v>
      </c>
      <c r="C109" s="11" t="s">
        <v>2636</v>
      </c>
      <c r="D109" s="229"/>
      <c r="E109" s="13"/>
      <c r="F109" s="229"/>
      <c r="G109" s="13"/>
      <c r="H109" s="229"/>
      <c r="I109" s="13"/>
      <c r="J109" s="229"/>
      <c r="K109" s="13"/>
      <c r="L109" s="229"/>
      <c r="M109" s="13"/>
      <c r="N109" s="229"/>
      <c r="O109" s="13"/>
      <c r="P109" s="229"/>
      <c r="Q109" s="13"/>
      <c r="R109" s="229"/>
      <c r="S109" s="13"/>
      <c r="T109" s="229"/>
      <c r="U109" s="13"/>
      <c r="V109" s="229"/>
      <c r="W109" s="13"/>
      <c r="X109" s="229"/>
      <c r="Y109" s="13"/>
      <c r="Z109" s="229"/>
      <c r="AA109" s="13"/>
      <c r="AB109" s="229">
        <f t="shared" si="50"/>
        <v>0</v>
      </c>
      <c r="AC109" s="228">
        <f t="shared" si="42"/>
        <v>0</v>
      </c>
      <c r="AD109" s="21">
        <v>0</v>
      </c>
      <c r="AE109" s="229"/>
      <c r="AF109" s="20"/>
      <c r="AG109" s="229"/>
      <c r="AH109" s="20"/>
      <c r="AI109" s="229"/>
      <c r="AJ109" s="20"/>
      <c r="AK109" s="229"/>
      <c r="AL109" s="20"/>
      <c r="AM109" s="229"/>
      <c r="AN109" s="20"/>
      <c r="AO109" s="229">
        <v>1</v>
      </c>
      <c r="AP109" s="20">
        <v>1</v>
      </c>
      <c r="AQ109" s="229"/>
      <c r="AR109" s="20"/>
      <c r="AS109" s="229"/>
      <c r="AT109" s="20"/>
      <c r="AU109" s="229"/>
      <c r="AV109" s="20"/>
      <c r="AW109" s="229"/>
      <c r="AX109" s="20"/>
      <c r="AY109" s="229"/>
      <c r="AZ109" s="20"/>
      <c r="BA109" s="229"/>
      <c r="BB109" s="20"/>
      <c r="BC109" s="229">
        <f t="shared" si="51"/>
        <v>1</v>
      </c>
      <c r="BD109" s="48">
        <f t="shared" si="45"/>
        <v>1</v>
      </c>
      <c r="BE109" s="19">
        <v>5</v>
      </c>
      <c r="BF109" s="229">
        <f t="shared" si="52"/>
        <v>1</v>
      </c>
      <c r="BG109" s="210">
        <f t="shared" si="47"/>
        <v>1</v>
      </c>
      <c r="BH109" s="210">
        <f t="shared" si="48"/>
        <v>5</v>
      </c>
      <c r="BI109" s="213">
        <f t="shared" si="53"/>
        <v>20</v>
      </c>
      <c r="BJ109" s="141"/>
      <c r="BK109" s="201"/>
      <c r="BL109" s="198"/>
      <c r="BM109" s="198"/>
    </row>
    <row r="110" spans="1:67" s="17" customFormat="1" ht="15.95" customHeight="1">
      <c r="A110" s="123">
        <v>19</v>
      </c>
      <c r="B110" s="9" t="s">
        <v>75</v>
      </c>
      <c r="C110" s="11" t="s">
        <v>236</v>
      </c>
      <c r="D110" s="229"/>
      <c r="E110" s="13"/>
      <c r="F110" s="229"/>
      <c r="G110" s="13"/>
      <c r="H110" s="229"/>
      <c r="I110" s="13"/>
      <c r="J110" s="229"/>
      <c r="K110" s="13"/>
      <c r="L110" s="229"/>
      <c r="M110" s="13"/>
      <c r="N110" s="229"/>
      <c r="O110" s="13"/>
      <c r="P110" s="229"/>
      <c r="Q110" s="13"/>
      <c r="R110" s="229"/>
      <c r="S110" s="13"/>
      <c r="T110" s="229"/>
      <c r="U110" s="13"/>
      <c r="V110" s="229"/>
      <c r="W110" s="13"/>
      <c r="X110" s="229"/>
      <c r="Y110" s="13"/>
      <c r="Z110" s="229"/>
      <c r="AA110" s="13"/>
      <c r="AB110" s="229">
        <f t="shared" si="50"/>
        <v>0</v>
      </c>
      <c r="AC110" s="228">
        <f t="shared" si="42"/>
        <v>0</v>
      </c>
      <c r="AD110" s="21">
        <v>0</v>
      </c>
      <c r="AE110" s="229"/>
      <c r="AF110" s="20"/>
      <c r="AG110" s="229"/>
      <c r="AH110" s="20"/>
      <c r="AI110" s="229">
        <v>1</v>
      </c>
      <c r="AJ110" s="20">
        <v>1</v>
      </c>
      <c r="AK110" s="229"/>
      <c r="AL110" s="20"/>
      <c r="AM110" s="229"/>
      <c r="AN110" s="20"/>
      <c r="AO110" s="229">
        <v>3</v>
      </c>
      <c r="AP110" s="20">
        <v>3</v>
      </c>
      <c r="AQ110" s="229"/>
      <c r="AR110" s="20"/>
      <c r="AS110" s="229"/>
      <c r="AT110" s="20"/>
      <c r="AU110" s="229"/>
      <c r="AV110" s="20"/>
      <c r="AW110" s="229"/>
      <c r="AX110" s="20"/>
      <c r="AY110" s="229"/>
      <c r="AZ110" s="20"/>
      <c r="BA110" s="229"/>
      <c r="BB110" s="20"/>
      <c r="BC110" s="229">
        <f t="shared" si="51"/>
        <v>4</v>
      </c>
      <c r="BD110" s="48">
        <f t="shared" si="45"/>
        <v>4</v>
      </c>
      <c r="BE110" s="19">
        <v>1</v>
      </c>
      <c r="BF110" s="229">
        <f t="shared" si="52"/>
        <v>4</v>
      </c>
      <c r="BG110" s="210">
        <f t="shared" si="47"/>
        <v>4</v>
      </c>
      <c r="BH110" s="210">
        <f t="shared" si="48"/>
        <v>1</v>
      </c>
      <c r="BI110" s="213">
        <f t="shared" si="53"/>
        <v>400</v>
      </c>
      <c r="BJ110" s="141"/>
      <c r="BK110" s="201"/>
      <c r="BL110" s="198"/>
      <c r="BM110" s="198"/>
    </row>
    <row r="111" spans="1:67" s="17" customFormat="1" ht="15.95" customHeight="1">
      <c r="A111" s="123">
        <v>20</v>
      </c>
      <c r="B111" s="9" t="s">
        <v>872</v>
      </c>
      <c r="C111" s="11" t="s">
        <v>873</v>
      </c>
      <c r="D111" s="229"/>
      <c r="E111" s="13"/>
      <c r="F111" s="229"/>
      <c r="G111" s="13"/>
      <c r="H111" s="229"/>
      <c r="I111" s="13"/>
      <c r="J111" s="229"/>
      <c r="K111" s="13"/>
      <c r="L111" s="229"/>
      <c r="M111" s="13"/>
      <c r="N111" s="229"/>
      <c r="O111" s="13"/>
      <c r="P111" s="229"/>
      <c r="Q111" s="13"/>
      <c r="R111" s="229"/>
      <c r="S111" s="13"/>
      <c r="T111" s="229"/>
      <c r="U111" s="13"/>
      <c r="V111" s="229"/>
      <c r="W111" s="13"/>
      <c r="X111" s="229"/>
      <c r="Y111" s="13"/>
      <c r="Z111" s="229"/>
      <c r="AA111" s="13"/>
      <c r="AB111" s="229">
        <f t="shared" si="50"/>
        <v>0</v>
      </c>
      <c r="AC111" s="228">
        <f t="shared" si="42"/>
        <v>0</v>
      </c>
      <c r="AD111" s="21">
        <v>0</v>
      </c>
      <c r="AE111" s="229"/>
      <c r="AF111" s="20"/>
      <c r="AG111" s="229"/>
      <c r="AH111" s="20"/>
      <c r="AI111" s="229"/>
      <c r="AJ111" s="20"/>
      <c r="AK111" s="229"/>
      <c r="AL111" s="20"/>
      <c r="AM111" s="229"/>
      <c r="AN111" s="20"/>
      <c r="AO111" s="229"/>
      <c r="AP111" s="20"/>
      <c r="AQ111" s="229"/>
      <c r="AR111" s="20"/>
      <c r="AS111" s="229"/>
      <c r="AT111" s="20"/>
      <c r="AU111" s="229"/>
      <c r="AV111" s="20"/>
      <c r="AW111" s="229"/>
      <c r="AX111" s="20"/>
      <c r="AY111" s="229"/>
      <c r="AZ111" s="20"/>
      <c r="BA111" s="229"/>
      <c r="BB111" s="20"/>
      <c r="BC111" s="229">
        <f t="shared" si="51"/>
        <v>0</v>
      </c>
      <c r="BD111" s="48">
        <f t="shared" si="45"/>
        <v>0</v>
      </c>
      <c r="BE111" s="19">
        <v>5</v>
      </c>
      <c r="BF111" s="229">
        <f t="shared" si="52"/>
        <v>0</v>
      </c>
      <c r="BG111" s="210">
        <f t="shared" si="47"/>
        <v>0</v>
      </c>
      <c r="BH111" s="210">
        <f t="shared" si="48"/>
        <v>5</v>
      </c>
      <c r="BI111" s="213">
        <f t="shared" si="53"/>
        <v>0</v>
      </c>
      <c r="BJ111" s="141"/>
      <c r="BK111" s="201"/>
      <c r="BL111" s="198"/>
      <c r="BM111" s="198"/>
    </row>
    <row r="112" spans="1:67" s="17" customFormat="1" ht="15.95" customHeight="1">
      <c r="A112" s="123">
        <v>21</v>
      </c>
      <c r="B112" s="9" t="s">
        <v>1425</v>
      </c>
      <c r="C112" s="11" t="s">
        <v>1426</v>
      </c>
      <c r="D112" s="229"/>
      <c r="E112" s="13"/>
      <c r="F112" s="229"/>
      <c r="G112" s="13"/>
      <c r="H112" s="229"/>
      <c r="I112" s="13"/>
      <c r="J112" s="229"/>
      <c r="K112" s="13"/>
      <c r="L112" s="229"/>
      <c r="M112" s="13"/>
      <c r="N112" s="229"/>
      <c r="O112" s="13"/>
      <c r="P112" s="229"/>
      <c r="Q112" s="13"/>
      <c r="R112" s="229"/>
      <c r="S112" s="13"/>
      <c r="T112" s="229"/>
      <c r="U112" s="13"/>
      <c r="V112" s="229"/>
      <c r="W112" s="13"/>
      <c r="X112" s="229"/>
      <c r="Y112" s="13"/>
      <c r="Z112" s="229"/>
      <c r="AA112" s="13"/>
      <c r="AB112" s="229">
        <f t="shared" si="50"/>
        <v>0</v>
      </c>
      <c r="AC112" s="228">
        <f t="shared" si="42"/>
        <v>0</v>
      </c>
      <c r="AD112" s="21">
        <v>0</v>
      </c>
      <c r="AE112" s="229"/>
      <c r="AF112" s="20"/>
      <c r="AG112" s="229"/>
      <c r="AH112" s="20"/>
      <c r="AI112" s="229"/>
      <c r="AJ112" s="20"/>
      <c r="AK112" s="229"/>
      <c r="AL112" s="20"/>
      <c r="AM112" s="229"/>
      <c r="AN112" s="20"/>
      <c r="AO112" s="229"/>
      <c r="AP112" s="20"/>
      <c r="AQ112" s="229"/>
      <c r="AR112" s="20"/>
      <c r="AS112" s="229"/>
      <c r="AT112" s="20"/>
      <c r="AU112" s="229"/>
      <c r="AV112" s="20"/>
      <c r="AW112" s="229"/>
      <c r="AX112" s="20"/>
      <c r="AY112" s="229"/>
      <c r="AZ112" s="20"/>
      <c r="BA112" s="229"/>
      <c r="BB112" s="20"/>
      <c r="BC112" s="229">
        <f t="shared" si="51"/>
        <v>0</v>
      </c>
      <c r="BD112" s="48">
        <f t="shared" si="45"/>
        <v>0</v>
      </c>
      <c r="BE112" s="19">
        <v>1</v>
      </c>
      <c r="BF112" s="229">
        <f t="shared" si="52"/>
        <v>0</v>
      </c>
      <c r="BG112" s="210">
        <f t="shared" si="47"/>
        <v>0</v>
      </c>
      <c r="BH112" s="210">
        <f t="shared" si="48"/>
        <v>1</v>
      </c>
      <c r="BI112" s="213">
        <f t="shared" si="53"/>
        <v>0</v>
      </c>
      <c r="BJ112" s="141"/>
      <c r="BK112" s="201"/>
      <c r="BL112" s="198"/>
      <c r="BM112" s="198"/>
    </row>
    <row r="113" spans="1:65" s="17" customFormat="1" ht="15.95" customHeight="1">
      <c r="A113" s="123">
        <v>22</v>
      </c>
      <c r="B113" s="321" t="s">
        <v>492</v>
      </c>
      <c r="C113" s="322" t="s">
        <v>493</v>
      </c>
      <c r="D113" s="323"/>
      <c r="E113" s="324"/>
      <c r="F113" s="323"/>
      <c r="G113" s="324"/>
      <c r="H113" s="323"/>
      <c r="I113" s="324"/>
      <c r="J113" s="323"/>
      <c r="K113" s="324"/>
      <c r="L113" s="323"/>
      <c r="M113" s="324"/>
      <c r="N113" s="323"/>
      <c r="O113" s="324"/>
      <c r="P113" s="323"/>
      <c r="Q113" s="324"/>
      <c r="R113" s="323"/>
      <c r="S113" s="324"/>
      <c r="T113" s="323"/>
      <c r="U113" s="324"/>
      <c r="V113" s="323"/>
      <c r="W113" s="324"/>
      <c r="X113" s="323"/>
      <c r="Y113" s="324"/>
      <c r="Z113" s="323"/>
      <c r="AA113" s="324"/>
      <c r="AB113" s="323">
        <f t="shared" si="50"/>
        <v>0</v>
      </c>
      <c r="AC113" s="228">
        <f t="shared" si="42"/>
        <v>0</v>
      </c>
      <c r="AD113" s="329">
        <v>0</v>
      </c>
      <c r="AE113" s="323"/>
      <c r="AF113" s="327"/>
      <c r="AG113" s="323"/>
      <c r="AH113" s="327"/>
      <c r="AI113" s="323"/>
      <c r="AJ113" s="327"/>
      <c r="AK113" s="323"/>
      <c r="AL113" s="327"/>
      <c r="AM113" s="323"/>
      <c r="AN113" s="327"/>
      <c r="AO113" s="323"/>
      <c r="AP113" s="327"/>
      <c r="AQ113" s="323"/>
      <c r="AR113" s="327"/>
      <c r="AS113" s="323"/>
      <c r="AT113" s="327"/>
      <c r="AU113" s="323"/>
      <c r="AV113" s="327"/>
      <c r="AW113" s="323"/>
      <c r="AX113" s="327"/>
      <c r="AY113" s="323"/>
      <c r="AZ113" s="327"/>
      <c r="BA113" s="323"/>
      <c r="BB113" s="327"/>
      <c r="BC113" s="323">
        <f t="shared" si="51"/>
        <v>0</v>
      </c>
      <c r="BD113" s="48">
        <f t="shared" si="45"/>
        <v>0</v>
      </c>
      <c r="BE113" s="326">
        <v>10</v>
      </c>
      <c r="BF113" s="323">
        <f t="shared" si="52"/>
        <v>0</v>
      </c>
      <c r="BG113" s="210">
        <f t="shared" si="47"/>
        <v>0</v>
      </c>
      <c r="BH113" s="210">
        <f t="shared" si="48"/>
        <v>10</v>
      </c>
      <c r="BI113" s="213">
        <f t="shared" si="53"/>
        <v>0</v>
      </c>
      <c r="BJ113" s="141"/>
      <c r="BK113" s="201"/>
      <c r="BL113" s="198"/>
      <c r="BM113" s="198"/>
    </row>
    <row r="114" spans="1:65" s="17" customFormat="1" ht="21.95" customHeight="1">
      <c r="A114" s="384" t="s">
        <v>2753</v>
      </c>
      <c r="B114" s="384"/>
      <c r="C114" s="384"/>
      <c r="D114" s="90">
        <f t="shared" ref="D114:AA114" si="54">SUM(D115:D445)</f>
        <v>0</v>
      </c>
      <c r="E114" s="90">
        <f t="shared" si="54"/>
        <v>0</v>
      </c>
      <c r="F114" s="90">
        <f t="shared" si="54"/>
        <v>0</v>
      </c>
      <c r="G114" s="90">
        <f t="shared" si="54"/>
        <v>0</v>
      </c>
      <c r="H114" s="90">
        <f t="shared" si="54"/>
        <v>66</v>
      </c>
      <c r="I114" s="90">
        <f t="shared" si="54"/>
        <v>72</v>
      </c>
      <c r="J114" s="90">
        <f t="shared" si="54"/>
        <v>0</v>
      </c>
      <c r="K114" s="90">
        <f t="shared" si="54"/>
        <v>0</v>
      </c>
      <c r="L114" s="90">
        <f t="shared" si="54"/>
        <v>0</v>
      </c>
      <c r="M114" s="90">
        <f t="shared" si="54"/>
        <v>0</v>
      </c>
      <c r="N114" s="90">
        <f t="shared" si="54"/>
        <v>3</v>
      </c>
      <c r="O114" s="90">
        <f t="shared" si="54"/>
        <v>3</v>
      </c>
      <c r="P114" s="90">
        <f t="shared" si="54"/>
        <v>0</v>
      </c>
      <c r="Q114" s="90">
        <f t="shared" si="54"/>
        <v>0</v>
      </c>
      <c r="R114" s="90">
        <f t="shared" si="54"/>
        <v>0</v>
      </c>
      <c r="S114" s="90">
        <f t="shared" si="54"/>
        <v>0</v>
      </c>
      <c r="T114" s="90">
        <f t="shared" si="54"/>
        <v>0</v>
      </c>
      <c r="U114" s="90">
        <f t="shared" si="54"/>
        <v>132</v>
      </c>
      <c r="V114" s="90">
        <f t="shared" si="54"/>
        <v>0</v>
      </c>
      <c r="W114" s="90">
        <f t="shared" si="54"/>
        <v>0</v>
      </c>
      <c r="X114" s="90">
        <f t="shared" si="54"/>
        <v>0</v>
      </c>
      <c r="Y114" s="90">
        <f t="shared" si="54"/>
        <v>0</v>
      </c>
      <c r="Z114" s="90">
        <f t="shared" si="54"/>
        <v>0</v>
      </c>
      <c r="AA114" s="90">
        <f t="shared" si="54"/>
        <v>117</v>
      </c>
      <c r="AB114" s="90">
        <f t="shared" si="41"/>
        <v>69</v>
      </c>
      <c r="AC114" s="90">
        <f t="shared" si="42"/>
        <v>324</v>
      </c>
      <c r="AD114" s="112">
        <f t="shared" ref="AD114:BB114" si="55">SUM(AD115:AD445)</f>
        <v>1185</v>
      </c>
      <c r="AE114" s="90">
        <f t="shared" si="55"/>
        <v>0</v>
      </c>
      <c r="AF114" s="91">
        <f t="shared" si="55"/>
        <v>0</v>
      </c>
      <c r="AG114" s="90">
        <f t="shared" si="55"/>
        <v>0</v>
      </c>
      <c r="AH114" s="91">
        <f t="shared" si="55"/>
        <v>0</v>
      </c>
      <c r="AI114" s="90">
        <f t="shared" si="55"/>
        <v>1188</v>
      </c>
      <c r="AJ114" s="91">
        <f t="shared" si="55"/>
        <v>1208</v>
      </c>
      <c r="AK114" s="90">
        <f t="shared" si="55"/>
        <v>0</v>
      </c>
      <c r="AL114" s="91">
        <f t="shared" si="55"/>
        <v>0</v>
      </c>
      <c r="AM114" s="90">
        <f t="shared" si="55"/>
        <v>0</v>
      </c>
      <c r="AN114" s="91">
        <f t="shared" si="55"/>
        <v>0</v>
      </c>
      <c r="AO114" s="90">
        <f t="shared" si="55"/>
        <v>1183</v>
      </c>
      <c r="AP114" s="91">
        <f t="shared" si="55"/>
        <v>1237</v>
      </c>
      <c r="AQ114" s="90">
        <f t="shared" si="55"/>
        <v>0</v>
      </c>
      <c r="AR114" s="91">
        <f t="shared" si="55"/>
        <v>0</v>
      </c>
      <c r="AS114" s="90">
        <f t="shared" si="55"/>
        <v>0</v>
      </c>
      <c r="AT114" s="91">
        <f t="shared" si="55"/>
        <v>0</v>
      </c>
      <c r="AU114" s="90">
        <f t="shared" si="55"/>
        <v>0</v>
      </c>
      <c r="AV114" s="91">
        <f t="shared" si="55"/>
        <v>918</v>
      </c>
      <c r="AW114" s="90">
        <f t="shared" si="55"/>
        <v>0</v>
      </c>
      <c r="AX114" s="91">
        <f t="shared" si="55"/>
        <v>0</v>
      </c>
      <c r="AY114" s="90">
        <f t="shared" si="55"/>
        <v>0</v>
      </c>
      <c r="AZ114" s="91">
        <f t="shared" si="55"/>
        <v>0</v>
      </c>
      <c r="BA114" s="90">
        <f t="shared" si="55"/>
        <v>0</v>
      </c>
      <c r="BB114" s="91">
        <f t="shared" si="55"/>
        <v>1239</v>
      </c>
      <c r="BC114" s="90">
        <f t="shared" si="44"/>
        <v>2371</v>
      </c>
      <c r="BD114" s="91">
        <f t="shared" si="45"/>
        <v>4602</v>
      </c>
      <c r="BE114" s="91">
        <f>SUM(BE115:BE445)</f>
        <v>4658</v>
      </c>
      <c r="BF114" s="90">
        <f t="shared" si="46"/>
        <v>2440</v>
      </c>
      <c r="BG114" s="91">
        <f t="shared" si="47"/>
        <v>4926</v>
      </c>
      <c r="BH114" s="91">
        <f t="shared" si="48"/>
        <v>5843</v>
      </c>
      <c r="BI114" s="272">
        <f t="shared" si="49"/>
        <v>84.306007188088302</v>
      </c>
      <c r="BJ114" s="140">
        <v>5843</v>
      </c>
      <c r="BK114" s="203">
        <f>BJ114-BH114</f>
        <v>0</v>
      </c>
      <c r="BL114" s="198">
        <v>3869</v>
      </c>
      <c r="BM114" s="199">
        <f>BG114-BL114</f>
        <v>1057</v>
      </c>
    </row>
    <row r="115" spans="1:65" s="17" customFormat="1" ht="15.95" customHeight="1">
      <c r="A115" s="123">
        <v>1</v>
      </c>
      <c r="B115" s="9" t="s">
        <v>2639</v>
      </c>
      <c r="C115" s="11" t="s">
        <v>2640</v>
      </c>
      <c r="D115" s="229"/>
      <c r="E115" s="13"/>
      <c r="F115" s="229"/>
      <c r="G115" s="13"/>
      <c r="H115" s="229"/>
      <c r="I115" s="13"/>
      <c r="J115" s="229"/>
      <c r="K115" s="13"/>
      <c r="L115" s="229"/>
      <c r="M115" s="13"/>
      <c r="N115" s="229">
        <v>1</v>
      </c>
      <c r="O115" s="13">
        <v>1</v>
      </c>
      <c r="P115" s="229"/>
      <c r="Q115" s="13"/>
      <c r="R115" s="229"/>
      <c r="S115" s="13"/>
      <c r="T115" s="229"/>
      <c r="U115" s="13"/>
      <c r="V115" s="229"/>
      <c r="W115" s="13"/>
      <c r="X115" s="229"/>
      <c r="Y115" s="13"/>
      <c r="Z115" s="229"/>
      <c r="AA115" s="13"/>
      <c r="AB115" s="229">
        <f t="shared" ref="AB115:AB148" si="56">D115+F115+H115+J115+L115+N115+P115+R115+T115+V115+X115+Z115</f>
        <v>1</v>
      </c>
      <c r="AC115" s="228">
        <f t="shared" ref="AC115:AC148" si="57">E115+G115+I115+K115+M115+O115+Q115+S115+U115+W115+Y115+AA115</f>
        <v>1</v>
      </c>
      <c r="AD115" s="19">
        <v>6</v>
      </c>
      <c r="AE115" s="229"/>
      <c r="AF115" s="20"/>
      <c r="AG115" s="229"/>
      <c r="AH115" s="20"/>
      <c r="AI115" s="229"/>
      <c r="AJ115" s="20"/>
      <c r="AK115" s="229"/>
      <c r="AL115" s="20"/>
      <c r="AM115" s="229"/>
      <c r="AN115" s="20"/>
      <c r="AO115" s="229"/>
      <c r="AP115" s="20"/>
      <c r="AQ115" s="229"/>
      <c r="AR115" s="20"/>
      <c r="AS115" s="229"/>
      <c r="AT115" s="20"/>
      <c r="AU115" s="229"/>
      <c r="AV115" s="20"/>
      <c r="AW115" s="229"/>
      <c r="AX115" s="20"/>
      <c r="AY115" s="229"/>
      <c r="AZ115" s="20"/>
      <c r="BA115" s="229"/>
      <c r="BB115" s="20">
        <v>2</v>
      </c>
      <c r="BC115" s="229">
        <f t="shared" ref="BC115:BC148" si="58">AE115+AG115+AI115+AK115+AM115+AO115+AQ115+AS115+AU115+AW115+AY115+BA115</f>
        <v>0</v>
      </c>
      <c r="BD115" s="48">
        <f t="shared" ref="BD115:BD148" si="59">AF115+AH115+AJ115+AL115+AN115+AP115+AR115+AT115+AV115+AX115+AZ115+BB115</f>
        <v>2</v>
      </c>
      <c r="BE115" s="19">
        <v>0</v>
      </c>
      <c r="BF115" s="229">
        <f t="shared" ref="BF115:BF125" si="60">AB115+BC115</f>
        <v>1</v>
      </c>
      <c r="BG115" s="210">
        <f t="shared" ref="BG115:BG125" si="61">AC115+BD115</f>
        <v>3</v>
      </c>
      <c r="BH115" s="210">
        <f t="shared" ref="BH115:BH125" si="62">AD115+BE115</f>
        <v>6</v>
      </c>
      <c r="BI115" s="213">
        <f t="shared" ref="BI115:BI178" si="63">BG115/BH115*100</f>
        <v>50</v>
      </c>
      <c r="BJ115" s="270" t="s">
        <v>2857</v>
      </c>
      <c r="BK115" s="201"/>
      <c r="BL115" s="198"/>
      <c r="BM115" s="198"/>
    </row>
    <row r="116" spans="1:65" s="17" customFormat="1" ht="15.95" customHeight="1">
      <c r="A116" s="123">
        <v>2</v>
      </c>
      <c r="B116" s="9" t="s">
        <v>2130</v>
      </c>
      <c r="C116" s="11" t="s">
        <v>2131</v>
      </c>
      <c r="D116" s="229"/>
      <c r="E116" s="13"/>
      <c r="F116" s="229"/>
      <c r="G116" s="13"/>
      <c r="H116" s="229"/>
      <c r="I116" s="13"/>
      <c r="J116" s="229"/>
      <c r="K116" s="13"/>
      <c r="L116" s="229"/>
      <c r="M116" s="13"/>
      <c r="N116" s="229"/>
      <c r="O116" s="13"/>
      <c r="P116" s="229"/>
      <c r="Q116" s="13"/>
      <c r="R116" s="229"/>
      <c r="S116" s="13"/>
      <c r="T116" s="229"/>
      <c r="U116" s="13"/>
      <c r="V116" s="229"/>
      <c r="W116" s="13"/>
      <c r="X116" s="229"/>
      <c r="Y116" s="13"/>
      <c r="Z116" s="229"/>
      <c r="AA116" s="13"/>
      <c r="AB116" s="229">
        <f t="shared" si="56"/>
        <v>0</v>
      </c>
      <c r="AC116" s="228">
        <f t="shared" si="57"/>
        <v>0</v>
      </c>
      <c r="AD116" s="19">
        <v>5</v>
      </c>
      <c r="AE116" s="229"/>
      <c r="AF116" s="20"/>
      <c r="AG116" s="229"/>
      <c r="AH116" s="20"/>
      <c r="AI116" s="229"/>
      <c r="AJ116" s="20"/>
      <c r="AK116" s="229"/>
      <c r="AL116" s="20"/>
      <c r="AM116" s="229"/>
      <c r="AN116" s="20"/>
      <c r="AO116" s="229"/>
      <c r="AP116" s="20"/>
      <c r="AQ116" s="229"/>
      <c r="AR116" s="20"/>
      <c r="AS116" s="229"/>
      <c r="AT116" s="20"/>
      <c r="AU116" s="229"/>
      <c r="AV116" s="20"/>
      <c r="AW116" s="229"/>
      <c r="AX116" s="20"/>
      <c r="AY116" s="229"/>
      <c r="AZ116" s="20"/>
      <c r="BA116" s="229"/>
      <c r="BB116" s="20"/>
      <c r="BC116" s="229">
        <f t="shared" si="58"/>
        <v>0</v>
      </c>
      <c r="BD116" s="48">
        <f t="shared" si="59"/>
        <v>0</v>
      </c>
      <c r="BE116" s="19">
        <v>0</v>
      </c>
      <c r="BF116" s="229">
        <f t="shared" si="60"/>
        <v>0</v>
      </c>
      <c r="BG116" s="210">
        <f t="shared" si="61"/>
        <v>0</v>
      </c>
      <c r="BH116" s="210">
        <f t="shared" si="62"/>
        <v>5</v>
      </c>
      <c r="BI116" s="213">
        <f t="shared" si="63"/>
        <v>0</v>
      </c>
      <c r="BJ116" s="270" t="s">
        <v>2857</v>
      </c>
      <c r="BK116" s="201"/>
      <c r="BL116" s="198"/>
      <c r="BM116" s="198"/>
    </row>
    <row r="117" spans="1:65" s="17" customFormat="1" ht="15.95" customHeight="1">
      <c r="A117" s="123">
        <v>3</v>
      </c>
      <c r="B117" s="9" t="s">
        <v>2258</v>
      </c>
      <c r="C117" s="11" t="s">
        <v>2259</v>
      </c>
      <c r="D117" s="229"/>
      <c r="E117" s="13"/>
      <c r="F117" s="229"/>
      <c r="G117" s="13"/>
      <c r="H117" s="229"/>
      <c r="I117" s="13"/>
      <c r="J117" s="229"/>
      <c r="K117" s="13"/>
      <c r="L117" s="229"/>
      <c r="M117" s="13"/>
      <c r="N117" s="229">
        <v>2</v>
      </c>
      <c r="O117" s="13">
        <v>2</v>
      </c>
      <c r="P117" s="229"/>
      <c r="Q117" s="13"/>
      <c r="R117" s="229"/>
      <c r="S117" s="13"/>
      <c r="T117" s="229"/>
      <c r="U117" s="13"/>
      <c r="V117" s="229"/>
      <c r="W117" s="13"/>
      <c r="X117" s="229"/>
      <c r="Y117" s="13"/>
      <c r="Z117" s="229"/>
      <c r="AA117" s="13"/>
      <c r="AB117" s="229">
        <f t="shared" si="56"/>
        <v>2</v>
      </c>
      <c r="AC117" s="228">
        <f t="shared" si="57"/>
        <v>2</v>
      </c>
      <c r="AD117" s="19">
        <v>5</v>
      </c>
      <c r="AE117" s="229"/>
      <c r="AF117" s="20"/>
      <c r="AG117" s="229"/>
      <c r="AH117" s="20"/>
      <c r="AI117" s="229"/>
      <c r="AJ117" s="20"/>
      <c r="AK117" s="229"/>
      <c r="AL117" s="20"/>
      <c r="AM117" s="229"/>
      <c r="AN117" s="20"/>
      <c r="AO117" s="229"/>
      <c r="AP117" s="20"/>
      <c r="AQ117" s="229"/>
      <c r="AR117" s="20"/>
      <c r="AS117" s="229"/>
      <c r="AT117" s="20"/>
      <c r="AU117" s="229"/>
      <c r="AV117" s="20"/>
      <c r="AW117" s="229"/>
      <c r="AX117" s="20"/>
      <c r="AY117" s="229"/>
      <c r="AZ117" s="20"/>
      <c r="BA117" s="229"/>
      <c r="BB117" s="20">
        <v>2</v>
      </c>
      <c r="BC117" s="229">
        <f t="shared" si="58"/>
        <v>0</v>
      </c>
      <c r="BD117" s="48">
        <f t="shared" si="59"/>
        <v>2</v>
      </c>
      <c r="BE117" s="19">
        <v>0</v>
      </c>
      <c r="BF117" s="229">
        <f t="shared" si="60"/>
        <v>2</v>
      </c>
      <c r="BG117" s="210">
        <f t="shared" si="61"/>
        <v>4</v>
      </c>
      <c r="BH117" s="210">
        <f t="shared" si="62"/>
        <v>5</v>
      </c>
      <c r="BI117" s="213">
        <f t="shared" si="63"/>
        <v>80</v>
      </c>
      <c r="BJ117" s="270" t="s">
        <v>2857</v>
      </c>
      <c r="BK117" s="201"/>
      <c r="BL117" s="198"/>
      <c r="BM117" s="198"/>
    </row>
    <row r="118" spans="1:65" s="17" customFormat="1" ht="15.95" customHeight="1">
      <c r="A118" s="123">
        <v>4</v>
      </c>
      <c r="B118" s="9" t="s">
        <v>2134</v>
      </c>
      <c r="C118" s="11" t="s">
        <v>2135</v>
      </c>
      <c r="D118" s="229"/>
      <c r="E118" s="13"/>
      <c r="F118" s="229"/>
      <c r="G118" s="13"/>
      <c r="H118" s="229"/>
      <c r="I118" s="13"/>
      <c r="J118" s="229"/>
      <c r="K118" s="13"/>
      <c r="L118" s="229"/>
      <c r="M118" s="13"/>
      <c r="N118" s="229"/>
      <c r="O118" s="13"/>
      <c r="P118" s="229"/>
      <c r="Q118" s="13"/>
      <c r="R118" s="229"/>
      <c r="S118" s="13"/>
      <c r="T118" s="229"/>
      <c r="U118" s="13"/>
      <c r="V118" s="229"/>
      <c r="W118" s="13"/>
      <c r="X118" s="229"/>
      <c r="Y118" s="13"/>
      <c r="Z118" s="229"/>
      <c r="AA118" s="13"/>
      <c r="AB118" s="229">
        <f t="shared" si="56"/>
        <v>0</v>
      </c>
      <c r="AC118" s="228">
        <f t="shared" si="57"/>
        <v>0</v>
      </c>
      <c r="AD118" s="19">
        <v>72</v>
      </c>
      <c r="AE118" s="229"/>
      <c r="AF118" s="20"/>
      <c r="AG118" s="229"/>
      <c r="AH118" s="20"/>
      <c r="AI118" s="229"/>
      <c r="AJ118" s="20"/>
      <c r="AK118" s="229"/>
      <c r="AL118" s="20"/>
      <c r="AM118" s="229"/>
      <c r="AN118" s="20"/>
      <c r="AO118" s="229"/>
      <c r="AP118" s="20"/>
      <c r="AQ118" s="229"/>
      <c r="AR118" s="20"/>
      <c r="AS118" s="229"/>
      <c r="AT118" s="20"/>
      <c r="AU118" s="229"/>
      <c r="AV118" s="20">
        <v>3</v>
      </c>
      <c r="AW118" s="229"/>
      <c r="AX118" s="20"/>
      <c r="AY118" s="229"/>
      <c r="AZ118" s="20"/>
      <c r="BA118" s="229"/>
      <c r="BB118" s="20">
        <v>3</v>
      </c>
      <c r="BC118" s="229">
        <f t="shared" si="58"/>
        <v>0</v>
      </c>
      <c r="BD118" s="48">
        <f t="shared" si="59"/>
        <v>6</v>
      </c>
      <c r="BE118" s="19">
        <v>0</v>
      </c>
      <c r="BF118" s="229">
        <f t="shared" si="60"/>
        <v>0</v>
      </c>
      <c r="BG118" s="210">
        <f t="shared" si="61"/>
        <v>6</v>
      </c>
      <c r="BH118" s="210">
        <f t="shared" si="62"/>
        <v>72</v>
      </c>
      <c r="BI118" s="213">
        <f t="shared" si="63"/>
        <v>8.3333333333333321</v>
      </c>
      <c r="BJ118" s="141"/>
      <c r="BK118" s="201"/>
      <c r="BL118" s="198"/>
      <c r="BM118" s="198"/>
    </row>
    <row r="119" spans="1:65" s="17" customFormat="1" ht="21.95" customHeight="1">
      <c r="A119" s="123">
        <v>5</v>
      </c>
      <c r="B119" s="9" t="s">
        <v>2326</v>
      </c>
      <c r="C119" s="10" t="s">
        <v>2327</v>
      </c>
      <c r="D119" s="229"/>
      <c r="E119" s="13"/>
      <c r="F119" s="229"/>
      <c r="G119" s="13"/>
      <c r="H119" s="229"/>
      <c r="I119" s="13"/>
      <c r="J119" s="229"/>
      <c r="K119" s="13"/>
      <c r="L119" s="229"/>
      <c r="M119" s="13"/>
      <c r="N119" s="229"/>
      <c r="O119" s="13"/>
      <c r="P119" s="229"/>
      <c r="Q119" s="13"/>
      <c r="R119" s="229"/>
      <c r="S119" s="13"/>
      <c r="T119" s="229"/>
      <c r="U119" s="13"/>
      <c r="V119" s="229"/>
      <c r="W119" s="13"/>
      <c r="X119" s="229"/>
      <c r="Y119" s="13"/>
      <c r="Z119" s="229"/>
      <c r="AA119" s="13">
        <v>1</v>
      </c>
      <c r="AB119" s="229">
        <f t="shared" si="56"/>
        <v>0</v>
      </c>
      <c r="AC119" s="228">
        <f t="shared" si="57"/>
        <v>1</v>
      </c>
      <c r="AD119" s="19">
        <v>3</v>
      </c>
      <c r="AE119" s="229"/>
      <c r="AF119" s="20"/>
      <c r="AG119" s="229"/>
      <c r="AH119" s="20"/>
      <c r="AI119" s="229"/>
      <c r="AJ119" s="20"/>
      <c r="AK119" s="229"/>
      <c r="AL119" s="20"/>
      <c r="AM119" s="229"/>
      <c r="AN119" s="20"/>
      <c r="AO119" s="229"/>
      <c r="AP119" s="20"/>
      <c r="AQ119" s="229"/>
      <c r="AR119" s="20"/>
      <c r="AS119" s="229"/>
      <c r="AT119" s="20"/>
      <c r="AU119" s="229"/>
      <c r="AV119" s="20"/>
      <c r="AW119" s="229"/>
      <c r="AX119" s="20"/>
      <c r="AY119" s="229"/>
      <c r="AZ119" s="20"/>
      <c r="BA119" s="229"/>
      <c r="BB119" s="20"/>
      <c r="BC119" s="229">
        <f t="shared" si="58"/>
        <v>0</v>
      </c>
      <c r="BD119" s="48">
        <f t="shared" si="59"/>
        <v>0</v>
      </c>
      <c r="BE119" s="19">
        <v>0</v>
      </c>
      <c r="BF119" s="229">
        <f t="shared" si="60"/>
        <v>0</v>
      </c>
      <c r="BG119" s="210">
        <f t="shared" si="61"/>
        <v>1</v>
      </c>
      <c r="BH119" s="210">
        <f t="shared" si="62"/>
        <v>3</v>
      </c>
      <c r="BI119" s="213">
        <f t="shared" si="63"/>
        <v>33.333333333333329</v>
      </c>
      <c r="BJ119" s="270" t="s">
        <v>2857</v>
      </c>
      <c r="BK119" s="201"/>
      <c r="BL119" s="198"/>
      <c r="BM119" s="198"/>
    </row>
    <row r="120" spans="1:65" s="17" customFormat="1" ht="15.95" customHeight="1">
      <c r="A120" s="123">
        <v>6</v>
      </c>
      <c r="B120" s="9" t="s">
        <v>2330</v>
      </c>
      <c r="C120" s="11" t="s">
        <v>2331</v>
      </c>
      <c r="D120" s="229"/>
      <c r="E120" s="13"/>
      <c r="F120" s="229"/>
      <c r="G120" s="13"/>
      <c r="H120" s="229"/>
      <c r="I120" s="13"/>
      <c r="J120" s="229"/>
      <c r="K120" s="13"/>
      <c r="L120" s="229"/>
      <c r="M120" s="13"/>
      <c r="N120" s="229"/>
      <c r="O120" s="13"/>
      <c r="P120" s="229"/>
      <c r="Q120" s="13"/>
      <c r="R120" s="229"/>
      <c r="S120" s="13"/>
      <c r="T120" s="229"/>
      <c r="U120" s="13"/>
      <c r="V120" s="229"/>
      <c r="W120" s="13"/>
      <c r="X120" s="229"/>
      <c r="Y120" s="13"/>
      <c r="Z120" s="229"/>
      <c r="AA120" s="13"/>
      <c r="AB120" s="229">
        <f t="shared" si="56"/>
        <v>0</v>
      </c>
      <c r="AC120" s="228">
        <f t="shared" si="57"/>
        <v>0</v>
      </c>
      <c r="AD120" s="19">
        <v>4</v>
      </c>
      <c r="AE120" s="229"/>
      <c r="AF120" s="20"/>
      <c r="AG120" s="229"/>
      <c r="AH120" s="20"/>
      <c r="AI120" s="229"/>
      <c r="AJ120" s="20"/>
      <c r="AK120" s="229"/>
      <c r="AL120" s="20"/>
      <c r="AM120" s="229"/>
      <c r="AN120" s="20"/>
      <c r="AO120" s="229"/>
      <c r="AP120" s="20"/>
      <c r="AQ120" s="229"/>
      <c r="AR120" s="20"/>
      <c r="AS120" s="229"/>
      <c r="AT120" s="20"/>
      <c r="AU120" s="229"/>
      <c r="AV120" s="20"/>
      <c r="AW120" s="229"/>
      <c r="AX120" s="20"/>
      <c r="AY120" s="229"/>
      <c r="AZ120" s="20"/>
      <c r="BA120" s="229"/>
      <c r="BB120" s="20"/>
      <c r="BC120" s="229">
        <f t="shared" si="58"/>
        <v>0</v>
      </c>
      <c r="BD120" s="48">
        <f t="shared" si="59"/>
        <v>0</v>
      </c>
      <c r="BE120" s="19">
        <v>0</v>
      </c>
      <c r="BF120" s="229">
        <f t="shared" si="60"/>
        <v>0</v>
      </c>
      <c r="BG120" s="210">
        <f t="shared" si="61"/>
        <v>0</v>
      </c>
      <c r="BH120" s="210">
        <f t="shared" si="62"/>
        <v>4</v>
      </c>
      <c r="BI120" s="213">
        <f t="shared" si="63"/>
        <v>0</v>
      </c>
      <c r="BJ120" s="270" t="s">
        <v>2857</v>
      </c>
      <c r="BK120" s="201"/>
      <c r="BL120" s="198"/>
      <c r="BM120" s="198"/>
    </row>
    <row r="121" spans="1:65" s="17" customFormat="1" ht="15.95" customHeight="1">
      <c r="A121" s="123">
        <v>7</v>
      </c>
      <c r="B121" s="9" t="s">
        <v>2641</v>
      </c>
      <c r="C121" s="11" t="s">
        <v>2642</v>
      </c>
      <c r="D121" s="229"/>
      <c r="E121" s="13"/>
      <c r="F121" s="229"/>
      <c r="G121" s="13"/>
      <c r="H121" s="229"/>
      <c r="I121" s="13"/>
      <c r="J121" s="229"/>
      <c r="K121" s="13"/>
      <c r="L121" s="229"/>
      <c r="M121" s="13"/>
      <c r="N121" s="229"/>
      <c r="O121" s="13"/>
      <c r="P121" s="229"/>
      <c r="Q121" s="13"/>
      <c r="R121" s="229"/>
      <c r="S121" s="13"/>
      <c r="T121" s="229"/>
      <c r="U121" s="13"/>
      <c r="V121" s="229"/>
      <c r="W121" s="13"/>
      <c r="X121" s="229"/>
      <c r="Y121" s="13"/>
      <c r="Z121" s="229"/>
      <c r="AA121" s="13"/>
      <c r="AB121" s="229">
        <f t="shared" si="56"/>
        <v>0</v>
      </c>
      <c r="AC121" s="228">
        <f t="shared" si="57"/>
        <v>0</v>
      </c>
      <c r="AD121" s="19">
        <v>4</v>
      </c>
      <c r="AE121" s="229"/>
      <c r="AF121" s="20"/>
      <c r="AG121" s="229"/>
      <c r="AH121" s="20"/>
      <c r="AI121" s="229"/>
      <c r="AJ121" s="20"/>
      <c r="AK121" s="229"/>
      <c r="AL121" s="20"/>
      <c r="AM121" s="229"/>
      <c r="AN121" s="20"/>
      <c r="AO121" s="229"/>
      <c r="AP121" s="20"/>
      <c r="AQ121" s="229"/>
      <c r="AR121" s="20"/>
      <c r="AS121" s="229"/>
      <c r="AT121" s="20"/>
      <c r="AU121" s="229"/>
      <c r="AV121" s="20"/>
      <c r="AW121" s="229"/>
      <c r="AX121" s="20"/>
      <c r="AY121" s="229"/>
      <c r="AZ121" s="20"/>
      <c r="BA121" s="229"/>
      <c r="BB121" s="20"/>
      <c r="BC121" s="229">
        <f t="shared" si="58"/>
        <v>0</v>
      </c>
      <c r="BD121" s="48">
        <f t="shared" si="59"/>
        <v>0</v>
      </c>
      <c r="BE121" s="19">
        <v>0</v>
      </c>
      <c r="BF121" s="229">
        <f t="shared" si="60"/>
        <v>0</v>
      </c>
      <c r="BG121" s="210">
        <f t="shared" si="61"/>
        <v>0</v>
      </c>
      <c r="BH121" s="210">
        <f t="shared" si="62"/>
        <v>4</v>
      </c>
      <c r="BI121" s="213">
        <f t="shared" si="63"/>
        <v>0</v>
      </c>
      <c r="BJ121" s="270" t="s">
        <v>2857</v>
      </c>
      <c r="BK121" s="201"/>
      <c r="BL121" s="198"/>
      <c r="BM121" s="198"/>
    </row>
    <row r="122" spans="1:65" s="17" customFormat="1" ht="15.95" customHeight="1">
      <c r="A122" s="123">
        <v>8</v>
      </c>
      <c r="B122" s="9" t="s">
        <v>109</v>
      </c>
      <c r="C122" s="11" t="s">
        <v>110</v>
      </c>
      <c r="D122" s="229"/>
      <c r="E122" s="13"/>
      <c r="F122" s="229"/>
      <c r="G122" s="13"/>
      <c r="H122" s="229">
        <f>8+2</f>
        <v>10</v>
      </c>
      <c r="I122" s="13">
        <f>8+2</f>
        <v>10</v>
      </c>
      <c r="J122" s="229"/>
      <c r="K122" s="13"/>
      <c r="L122" s="229"/>
      <c r="M122" s="13"/>
      <c r="N122" s="229"/>
      <c r="O122" s="13"/>
      <c r="P122" s="229"/>
      <c r="Q122" s="13"/>
      <c r="R122" s="229"/>
      <c r="S122" s="13"/>
      <c r="T122" s="229"/>
      <c r="U122" s="13">
        <f>1+28</f>
        <v>29</v>
      </c>
      <c r="V122" s="229"/>
      <c r="W122" s="13"/>
      <c r="X122" s="229"/>
      <c r="Y122" s="13"/>
      <c r="Z122" s="229"/>
      <c r="AA122" s="13">
        <v>23</v>
      </c>
      <c r="AB122" s="229">
        <f t="shared" si="56"/>
        <v>10</v>
      </c>
      <c r="AC122" s="228">
        <f t="shared" si="57"/>
        <v>62</v>
      </c>
      <c r="AD122" s="21">
        <f>156+2</f>
        <v>158</v>
      </c>
      <c r="AE122" s="229"/>
      <c r="AF122" s="20"/>
      <c r="AG122" s="229"/>
      <c r="AH122" s="20"/>
      <c r="AI122" s="229">
        <v>4</v>
      </c>
      <c r="AJ122" s="20">
        <v>5</v>
      </c>
      <c r="AK122" s="229"/>
      <c r="AL122" s="20"/>
      <c r="AM122" s="229"/>
      <c r="AN122" s="20"/>
      <c r="AO122" s="229">
        <f>3+18</f>
        <v>21</v>
      </c>
      <c r="AP122" s="20">
        <f>3+21</f>
        <v>24</v>
      </c>
      <c r="AQ122" s="229"/>
      <c r="AR122" s="20"/>
      <c r="AS122" s="229"/>
      <c r="AT122" s="20"/>
      <c r="AU122" s="229"/>
      <c r="AV122" s="20">
        <v>5</v>
      </c>
      <c r="AW122" s="229"/>
      <c r="AX122" s="20"/>
      <c r="AY122" s="229"/>
      <c r="AZ122" s="20"/>
      <c r="BA122" s="229"/>
      <c r="BB122" s="20">
        <v>5</v>
      </c>
      <c r="BC122" s="229">
        <f t="shared" si="58"/>
        <v>25</v>
      </c>
      <c r="BD122" s="48">
        <f t="shared" si="59"/>
        <v>39</v>
      </c>
      <c r="BE122" s="19">
        <f>13+6</f>
        <v>19</v>
      </c>
      <c r="BF122" s="229">
        <f t="shared" si="60"/>
        <v>35</v>
      </c>
      <c r="BG122" s="210">
        <f t="shared" si="61"/>
        <v>101</v>
      </c>
      <c r="BH122" s="210">
        <f t="shared" si="62"/>
        <v>177</v>
      </c>
      <c r="BI122" s="213">
        <f t="shared" si="63"/>
        <v>57.062146892655363</v>
      </c>
      <c r="BJ122" s="141"/>
      <c r="BK122" s="201"/>
      <c r="BL122" s="198"/>
      <c r="BM122" s="198"/>
    </row>
    <row r="123" spans="1:65" s="17" customFormat="1" ht="15.95" customHeight="1">
      <c r="A123" s="123">
        <v>9</v>
      </c>
      <c r="B123" s="9" t="s">
        <v>111</v>
      </c>
      <c r="C123" s="109" t="s">
        <v>1362</v>
      </c>
      <c r="D123" s="229"/>
      <c r="E123" s="13"/>
      <c r="F123" s="229"/>
      <c r="G123" s="13"/>
      <c r="H123" s="229"/>
      <c r="I123" s="13"/>
      <c r="J123" s="229"/>
      <c r="K123" s="13"/>
      <c r="L123" s="229"/>
      <c r="M123" s="13"/>
      <c r="N123" s="229"/>
      <c r="O123" s="13"/>
      <c r="P123" s="229"/>
      <c r="Q123" s="13"/>
      <c r="R123" s="229"/>
      <c r="S123" s="13"/>
      <c r="T123" s="229"/>
      <c r="U123" s="13"/>
      <c r="V123" s="229"/>
      <c r="W123" s="13"/>
      <c r="X123" s="229"/>
      <c r="Y123" s="13"/>
      <c r="Z123" s="229"/>
      <c r="AA123" s="13"/>
      <c r="AB123" s="229">
        <f t="shared" si="56"/>
        <v>0</v>
      </c>
      <c r="AC123" s="228">
        <f t="shared" si="57"/>
        <v>0</v>
      </c>
      <c r="AD123" s="21">
        <v>0</v>
      </c>
      <c r="AE123" s="229"/>
      <c r="AF123" s="20"/>
      <c r="AG123" s="229"/>
      <c r="AH123" s="20"/>
      <c r="AI123" s="229">
        <f>2+1</f>
        <v>3</v>
      </c>
      <c r="AJ123" s="20">
        <f>2+1</f>
        <v>3</v>
      </c>
      <c r="AK123" s="229"/>
      <c r="AL123" s="20"/>
      <c r="AM123" s="229"/>
      <c r="AN123" s="20"/>
      <c r="AO123" s="229"/>
      <c r="AP123" s="20"/>
      <c r="AQ123" s="229"/>
      <c r="AR123" s="20"/>
      <c r="AS123" s="229"/>
      <c r="AT123" s="20"/>
      <c r="AU123" s="229"/>
      <c r="AV123" s="20"/>
      <c r="AW123" s="229"/>
      <c r="AX123" s="20"/>
      <c r="AY123" s="229"/>
      <c r="AZ123" s="20"/>
      <c r="BA123" s="229"/>
      <c r="BB123" s="20">
        <v>4</v>
      </c>
      <c r="BC123" s="229">
        <f t="shared" si="58"/>
        <v>3</v>
      </c>
      <c r="BD123" s="48">
        <f t="shared" si="59"/>
        <v>7</v>
      </c>
      <c r="BE123" s="19">
        <f>3+7</f>
        <v>10</v>
      </c>
      <c r="BF123" s="229">
        <f t="shared" si="60"/>
        <v>3</v>
      </c>
      <c r="BG123" s="210">
        <f t="shared" si="61"/>
        <v>7</v>
      </c>
      <c r="BH123" s="210">
        <f t="shared" si="62"/>
        <v>10</v>
      </c>
      <c r="BI123" s="213">
        <f t="shared" si="63"/>
        <v>70</v>
      </c>
      <c r="BJ123" s="141"/>
      <c r="BK123" s="201"/>
      <c r="BL123" s="198"/>
      <c r="BM123" s="198"/>
    </row>
    <row r="124" spans="1:65" s="17" customFormat="1" ht="15.95" customHeight="1">
      <c r="A124" s="123">
        <v>10</v>
      </c>
      <c r="B124" s="9" t="s">
        <v>852</v>
      </c>
      <c r="C124" s="11" t="s">
        <v>949</v>
      </c>
      <c r="D124" s="229"/>
      <c r="E124" s="13"/>
      <c r="F124" s="229"/>
      <c r="G124" s="13"/>
      <c r="H124" s="229">
        <v>3</v>
      </c>
      <c r="I124" s="13">
        <v>3</v>
      </c>
      <c r="J124" s="229"/>
      <c r="K124" s="13"/>
      <c r="L124" s="229"/>
      <c r="M124" s="13"/>
      <c r="N124" s="229"/>
      <c r="O124" s="13"/>
      <c r="P124" s="229"/>
      <c r="Q124" s="13"/>
      <c r="R124" s="229"/>
      <c r="S124" s="13"/>
      <c r="T124" s="229"/>
      <c r="U124" s="13"/>
      <c r="V124" s="229"/>
      <c r="W124" s="13"/>
      <c r="X124" s="229"/>
      <c r="Y124" s="13"/>
      <c r="Z124" s="229"/>
      <c r="AA124" s="13">
        <v>1</v>
      </c>
      <c r="AB124" s="229">
        <f t="shared" si="56"/>
        <v>3</v>
      </c>
      <c r="AC124" s="228">
        <f t="shared" si="57"/>
        <v>4</v>
      </c>
      <c r="AD124" s="19">
        <v>10</v>
      </c>
      <c r="AE124" s="229"/>
      <c r="AF124" s="20"/>
      <c r="AG124" s="229"/>
      <c r="AH124" s="20"/>
      <c r="AI124" s="229">
        <v>3</v>
      </c>
      <c r="AJ124" s="20">
        <v>5</v>
      </c>
      <c r="AK124" s="229"/>
      <c r="AL124" s="20"/>
      <c r="AM124" s="229"/>
      <c r="AN124" s="20"/>
      <c r="AO124" s="229">
        <v>5</v>
      </c>
      <c r="AP124" s="20">
        <v>5</v>
      </c>
      <c r="AQ124" s="229"/>
      <c r="AR124" s="20"/>
      <c r="AS124" s="229"/>
      <c r="AT124" s="20"/>
      <c r="AU124" s="229"/>
      <c r="AV124" s="20">
        <v>7</v>
      </c>
      <c r="AW124" s="229"/>
      <c r="AX124" s="20"/>
      <c r="AY124" s="229"/>
      <c r="AZ124" s="20"/>
      <c r="BA124" s="229"/>
      <c r="BB124" s="20">
        <f>1+10</f>
        <v>11</v>
      </c>
      <c r="BC124" s="229">
        <f t="shared" si="58"/>
        <v>8</v>
      </c>
      <c r="BD124" s="48">
        <f t="shared" si="59"/>
        <v>28</v>
      </c>
      <c r="BE124" s="19">
        <v>40</v>
      </c>
      <c r="BF124" s="229">
        <f t="shared" si="60"/>
        <v>11</v>
      </c>
      <c r="BG124" s="210">
        <f t="shared" si="61"/>
        <v>32</v>
      </c>
      <c r="BH124" s="210">
        <f t="shared" si="62"/>
        <v>50</v>
      </c>
      <c r="BI124" s="213">
        <f t="shared" si="63"/>
        <v>64</v>
      </c>
      <c r="BJ124" s="141"/>
      <c r="BK124" s="201"/>
      <c r="BL124" s="198"/>
      <c r="BM124" s="198"/>
    </row>
    <row r="125" spans="1:65" s="17" customFormat="1" ht="21.95" customHeight="1">
      <c r="A125" s="123">
        <v>11</v>
      </c>
      <c r="B125" s="9" t="s">
        <v>494</v>
      </c>
      <c r="C125" s="10" t="s">
        <v>1848</v>
      </c>
      <c r="D125" s="229"/>
      <c r="E125" s="13"/>
      <c r="F125" s="229"/>
      <c r="G125" s="13"/>
      <c r="H125" s="229"/>
      <c r="I125" s="13"/>
      <c r="J125" s="229"/>
      <c r="K125" s="13"/>
      <c r="L125" s="229"/>
      <c r="M125" s="13"/>
      <c r="N125" s="229"/>
      <c r="O125" s="13"/>
      <c r="P125" s="229"/>
      <c r="Q125" s="13"/>
      <c r="R125" s="229"/>
      <c r="S125" s="13"/>
      <c r="T125" s="229"/>
      <c r="U125" s="13"/>
      <c r="V125" s="229"/>
      <c r="W125" s="13"/>
      <c r="X125" s="229"/>
      <c r="Y125" s="13"/>
      <c r="Z125" s="229"/>
      <c r="AA125" s="13"/>
      <c r="AB125" s="229">
        <f t="shared" si="56"/>
        <v>0</v>
      </c>
      <c r="AC125" s="228">
        <f t="shared" si="57"/>
        <v>0</v>
      </c>
      <c r="AD125" s="21">
        <v>0</v>
      </c>
      <c r="AE125" s="229"/>
      <c r="AF125" s="20"/>
      <c r="AG125" s="229"/>
      <c r="AH125" s="20"/>
      <c r="AI125" s="229">
        <v>1</v>
      </c>
      <c r="AJ125" s="20">
        <v>1</v>
      </c>
      <c r="AK125" s="229"/>
      <c r="AL125" s="20"/>
      <c r="AM125" s="229"/>
      <c r="AN125" s="20"/>
      <c r="AO125" s="229"/>
      <c r="AP125" s="20"/>
      <c r="AQ125" s="229"/>
      <c r="AR125" s="20"/>
      <c r="AS125" s="229"/>
      <c r="AT125" s="20"/>
      <c r="AU125" s="229"/>
      <c r="AV125" s="20"/>
      <c r="AW125" s="229"/>
      <c r="AX125" s="20"/>
      <c r="AY125" s="229"/>
      <c r="AZ125" s="20"/>
      <c r="BA125" s="229"/>
      <c r="BB125" s="20"/>
      <c r="BC125" s="229">
        <f t="shared" si="58"/>
        <v>1</v>
      </c>
      <c r="BD125" s="48">
        <f t="shared" si="59"/>
        <v>1</v>
      </c>
      <c r="BE125" s="19">
        <v>1</v>
      </c>
      <c r="BF125" s="229">
        <f t="shared" si="60"/>
        <v>1</v>
      </c>
      <c r="BG125" s="210">
        <f t="shared" si="61"/>
        <v>1</v>
      </c>
      <c r="BH125" s="210">
        <f t="shared" si="62"/>
        <v>1</v>
      </c>
      <c r="BI125" s="213">
        <f t="shared" si="63"/>
        <v>100</v>
      </c>
      <c r="BJ125" s="141"/>
      <c r="BK125" s="201"/>
      <c r="BL125" s="198"/>
      <c r="BM125" s="198"/>
    </row>
    <row r="126" spans="1:65" s="17" customFormat="1" ht="15.95" customHeight="1">
      <c r="A126" s="123">
        <v>12</v>
      </c>
      <c r="B126" s="9" t="s">
        <v>1498</v>
      </c>
      <c r="C126" s="11" t="s">
        <v>1499</v>
      </c>
      <c r="D126" s="229"/>
      <c r="E126" s="13"/>
      <c r="F126" s="229"/>
      <c r="G126" s="13"/>
      <c r="H126" s="229"/>
      <c r="I126" s="13"/>
      <c r="J126" s="229"/>
      <c r="K126" s="13"/>
      <c r="L126" s="229"/>
      <c r="M126" s="13"/>
      <c r="N126" s="229"/>
      <c r="O126" s="13"/>
      <c r="P126" s="229"/>
      <c r="Q126" s="13"/>
      <c r="R126" s="229"/>
      <c r="S126" s="13"/>
      <c r="T126" s="229"/>
      <c r="U126" s="13"/>
      <c r="V126" s="229"/>
      <c r="W126" s="13"/>
      <c r="X126" s="229"/>
      <c r="Y126" s="13"/>
      <c r="Z126" s="229"/>
      <c r="AA126" s="13"/>
      <c r="AB126" s="229">
        <f t="shared" si="56"/>
        <v>0</v>
      </c>
      <c r="AC126" s="228">
        <f t="shared" si="57"/>
        <v>0</v>
      </c>
      <c r="AD126" s="21">
        <v>0</v>
      </c>
      <c r="AE126" s="229"/>
      <c r="AF126" s="20"/>
      <c r="AG126" s="229"/>
      <c r="AH126" s="20"/>
      <c r="AI126" s="229"/>
      <c r="AJ126" s="20"/>
      <c r="AK126" s="229"/>
      <c r="AL126" s="20"/>
      <c r="AM126" s="229"/>
      <c r="AN126" s="20"/>
      <c r="AO126" s="229"/>
      <c r="AP126" s="20"/>
      <c r="AQ126" s="229"/>
      <c r="AR126" s="20"/>
      <c r="AS126" s="229"/>
      <c r="AT126" s="20"/>
      <c r="AU126" s="229"/>
      <c r="AV126" s="20"/>
      <c r="AW126" s="229"/>
      <c r="AX126" s="20"/>
      <c r="AY126" s="229"/>
      <c r="AZ126" s="20"/>
      <c r="BA126" s="229"/>
      <c r="BB126" s="20">
        <v>2</v>
      </c>
      <c r="BC126" s="229">
        <f t="shared" si="58"/>
        <v>0</v>
      </c>
      <c r="BD126" s="48">
        <f t="shared" si="59"/>
        <v>2</v>
      </c>
      <c r="BE126" s="19">
        <v>3</v>
      </c>
      <c r="BF126" s="229">
        <f t="shared" ref="BF126:BF148" si="64">AB126+BC126</f>
        <v>0</v>
      </c>
      <c r="BG126" s="210">
        <f t="shared" ref="BG126:BG148" si="65">AC126+BD126</f>
        <v>2</v>
      </c>
      <c r="BH126" s="210">
        <v>2</v>
      </c>
      <c r="BI126" s="213">
        <f t="shared" si="63"/>
        <v>100</v>
      </c>
      <c r="BJ126" s="141"/>
      <c r="BK126" s="201"/>
      <c r="BL126" s="198"/>
      <c r="BM126" s="198"/>
    </row>
    <row r="127" spans="1:65" s="17" customFormat="1" ht="15.95" customHeight="1">
      <c r="A127" s="123">
        <v>13</v>
      </c>
      <c r="B127" s="9" t="s">
        <v>495</v>
      </c>
      <c r="C127" s="11" t="s">
        <v>2610</v>
      </c>
      <c r="D127" s="229"/>
      <c r="E127" s="13"/>
      <c r="F127" s="229"/>
      <c r="G127" s="13"/>
      <c r="H127" s="229"/>
      <c r="I127" s="13"/>
      <c r="J127" s="229"/>
      <c r="K127" s="13"/>
      <c r="L127" s="229"/>
      <c r="M127" s="13"/>
      <c r="N127" s="229"/>
      <c r="O127" s="13"/>
      <c r="P127" s="229"/>
      <c r="Q127" s="13"/>
      <c r="R127" s="229"/>
      <c r="S127" s="13"/>
      <c r="T127" s="229"/>
      <c r="U127" s="13"/>
      <c r="V127" s="229"/>
      <c r="W127" s="13"/>
      <c r="X127" s="229"/>
      <c r="Y127" s="13"/>
      <c r="Z127" s="229"/>
      <c r="AA127" s="13"/>
      <c r="AB127" s="229">
        <f t="shared" si="56"/>
        <v>0</v>
      </c>
      <c r="AC127" s="228">
        <f t="shared" si="57"/>
        <v>0</v>
      </c>
      <c r="AD127" s="19">
        <v>384</v>
      </c>
      <c r="AE127" s="229"/>
      <c r="AF127" s="20"/>
      <c r="AG127" s="229"/>
      <c r="AH127" s="20"/>
      <c r="AI127" s="229"/>
      <c r="AJ127" s="20"/>
      <c r="AK127" s="229"/>
      <c r="AL127" s="20"/>
      <c r="AM127" s="229"/>
      <c r="AN127" s="20"/>
      <c r="AO127" s="229">
        <v>2</v>
      </c>
      <c r="AP127" s="20">
        <v>2</v>
      </c>
      <c r="AQ127" s="229"/>
      <c r="AR127" s="20"/>
      <c r="AS127" s="229"/>
      <c r="AT127" s="20"/>
      <c r="AU127" s="229"/>
      <c r="AV127" s="20"/>
      <c r="AW127" s="229"/>
      <c r="AX127" s="20"/>
      <c r="AY127" s="229"/>
      <c r="AZ127" s="20"/>
      <c r="BA127" s="229"/>
      <c r="BB127" s="20"/>
      <c r="BC127" s="229">
        <f t="shared" si="58"/>
        <v>2</v>
      </c>
      <c r="BD127" s="48">
        <f t="shared" si="59"/>
        <v>2</v>
      </c>
      <c r="BE127" s="19">
        <v>0</v>
      </c>
      <c r="BF127" s="229">
        <f t="shared" si="64"/>
        <v>2</v>
      </c>
      <c r="BG127" s="210">
        <f t="shared" si="65"/>
        <v>2</v>
      </c>
      <c r="BH127" s="210">
        <f t="shared" ref="BH127:BH190" si="66">AD127+BE127</f>
        <v>384</v>
      </c>
      <c r="BI127" s="213">
        <f t="shared" si="63"/>
        <v>0.52083333333333326</v>
      </c>
      <c r="BJ127" s="141"/>
      <c r="BK127" s="201"/>
      <c r="BL127" s="198"/>
      <c r="BM127" s="198"/>
    </row>
    <row r="128" spans="1:65" s="17" customFormat="1" ht="15.95" customHeight="1">
      <c r="A128" s="123">
        <v>14</v>
      </c>
      <c r="B128" s="9" t="s">
        <v>950</v>
      </c>
      <c r="C128" s="11" t="s">
        <v>951</v>
      </c>
      <c r="D128" s="229"/>
      <c r="E128" s="13"/>
      <c r="F128" s="229"/>
      <c r="G128" s="13"/>
      <c r="H128" s="229">
        <v>1</v>
      </c>
      <c r="I128" s="13">
        <v>1</v>
      </c>
      <c r="J128" s="229"/>
      <c r="K128" s="13"/>
      <c r="L128" s="229"/>
      <c r="M128" s="13"/>
      <c r="N128" s="229"/>
      <c r="O128" s="13"/>
      <c r="P128" s="229"/>
      <c r="Q128" s="13"/>
      <c r="R128" s="229"/>
      <c r="S128" s="13"/>
      <c r="T128" s="229"/>
      <c r="U128" s="13">
        <v>1</v>
      </c>
      <c r="V128" s="229"/>
      <c r="W128" s="13"/>
      <c r="X128" s="229"/>
      <c r="Y128" s="13"/>
      <c r="Z128" s="229"/>
      <c r="AA128" s="13">
        <v>1</v>
      </c>
      <c r="AB128" s="229">
        <f t="shared" si="56"/>
        <v>1</v>
      </c>
      <c r="AC128" s="228">
        <f t="shared" si="57"/>
        <v>3</v>
      </c>
      <c r="AD128" s="19">
        <v>4</v>
      </c>
      <c r="AE128" s="229"/>
      <c r="AF128" s="20"/>
      <c r="AG128" s="229"/>
      <c r="AH128" s="20"/>
      <c r="AI128" s="229"/>
      <c r="AJ128" s="20"/>
      <c r="AK128" s="229"/>
      <c r="AL128" s="20"/>
      <c r="AM128" s="229"/>
      <c r="AN128" s="20"/>
      <c r="AO128" s="229">
        <v>3</v>
      </c>
      <c r="AP128" s="20">
        <v>3</v>
      </c>
      <c r="AQ128" s="229"/>
      <c r="AR128" s="20"/>
      <c r="AS128" s="229"/>
      <c r="AT128" s="20"/>
      <c r="AU128" s="229"/>
      <c r="AV128" s="20">
        <v>1</v>
      </c>
      <c r="AW128" s="229"/>
      <c r="AX128" s="20"/>
      <c r="AY128" s="229"/>
      <c r="AZ128" s="20"/>
      <c r="BA128" s="229"/>
      <c r="BB128" s="20">
        <v>1</v>
      </c>
      <c r="BC128" s="229">
        <f t="shared" si="58"/>
        <v>3</v>
      </c>
      <c r="BD128" s="48">
        <f t="shared" si="59"/>
        <v>5</v>
      </c>
      <c r="BE128" s="19">
        <v>1</v>
      </c>
      <c r="BF128" s="229">
        <f t="shared" si="64"/>
        <v>4</v>
      </c>
      <c r="BG128" s="210">
        <f t="shared" si="65"/>
        <v>8</v>
      </c>
      <c r="BH128" s="210">
        <f t="shared" si="66"/>
        <v>5</v>
      </c>
      <c r="BI128" s="213">
        <f t="shared" si="63"/>
        <v>160</v>
      </c>
      <c r="BJ128" s="141"/>
      <c r="BK128" s="201"/>
      <c r="BL128" s="198"/>
      <c r="BM128" s="198"/>
    </row>
    <row r="129" spans="1:65" s="17" customFormat="1" ht="15.95" customHeight="1">
      <c r="A129" s="123">
        <v>15</v>
      </c>
      <c r="B129" s="9" t="s">
        <v>496</v>
      </c>
      <c r="C129" s="11" t="s">
        <v>497</v>
      </c>
      <c r="D129" s="229"/>
      <c r="E129" s="13"/>
      <c r="F129" s="229"/>
      <c r="G129" s="13"/>
      <c r="H129" s="229">
        <v>6</v>
      </c>
      <c r="I129" s="13">
        <v>6</v>
      </c>
      <c r="J129" s="229"/>
      <c r="K129" s="13"/>
      <c r="L129" s="229"/>
      <c r="M129" s="13"/>
      <c r="N129" s="229"/>
      <c r="O129" s="13"/>
      <c r="P129" s="229"/>
      <c r="Q129" s="13"/>
      <c r="R129" s="229"/>
      <c r="S129" s="13"/>
      <c r="T129" s="229"/>
      <c r="U129" s="13">
        <v>9</v>
      </c>
      <c r="V129" s="229"/>
      <c r="W129" s="13"/>
      <c r="X129" s="229"/>
      <c r="Y129" s="13"/>
      <c r="Z129" s="229"/>
      <c r="AA129" s="13">
        <v>9</v>
      </c>
      <c r="AB129" s="229">
        <f t="shared" si="56"/>
        <v>6</v>
      </c>
      <c r="AC129" s="228">
        <f t="shared" si="57"/>
        <v>24</v>
      </c>
      <c r="AD129" s="21">
        <v>47</v>
      </c>
      <c r="AE129" s="229"/>
      <c r="AF129" s="20"/>
      <c r="AG129" s="229"/>
      <c r="AH129" s="20"/>
      <c r="AI129" s="229">
        <v>1</v>
      </c>
      <c r="AJ129" s="20">
        <v>1</v>
      </c>
      <c r="AK129" s="229"/>
      <c r="AL129" s="20"/>
      <c r="AM129" s="229"/>
      <c r="AN129" s="20"/>
      <c r="AO129" s="229">
        <f>1+6</f>
        <v>7</v>
      </c>
      <c r="AP129" s="20">
        <f>1+6</f>
        <v>7</v>
      </c>
      <c r="AQ129" s="229"/>
      <c r="AR129" s="20"/>
      <c r="AS129" s="229"/>
      <c r="AT129" s="20"/>
      <c r="AU129" s="229"/>
      <c r="AV129" s="20"/>
      <c r="AW129" s="229"/>
      <c r="AX129" s="20"/>
      <c r="AY129" s="229"/>
      <c r="AZ129" s="20"/>
      <c r="BA129" s="229"/>
      <c r="BB129" s="20"/>
      <c r="BC129" s="229">
        <f t="shared" si="58"/>
        <v>8</v>
      </c>
      <c r="BD129" s="48">
        <f t="shared" si="59"/>
        <v>8</v>
      </c>
      <c r="BE129" s="19">
        <v>12</v>
      </c>
      <c r="BF129" s="229">
        <f t="shared" si="64"/>
        <v>14</v>
      </c>
      <c r="BG129" s="210">
        <f t="shared" si="65"/>
        <v>32</v>
      </c>
      <c r="BH129" s="210">
        <f t="shared" si="66"/>
        <v>59</v>
      </c>
      <c r="BI129" s="213">
        <f t="shared" si="63"/>
        <v>54.237288135593218</v>
      </c>
      <c r="BJ129" s="141"/>
      <c r="BK129" s="201"/>
      <c r="BL129" s="198"/>
      <c r="BM129" s="198"/>
    </row>
    <row r="130" spans="1:65" s="17" customFormat="1" ht="15.95" customHeight="1">
      <c r="A130" s="123">
        <v>16</v>
      </c>
      <c r="B130" s="9" t="s">
        <v>478</v>
      </c>
      <c r="C130" s="11" t="s">
        <v>479</v>
      </c>
      <c r="D130" s="229"/>
      <c r="E130" s="13"/>
      <c r="F130" s="229"/>
      <c r="G130" s="13"/>
      <c r="H130" s="229">
        <v>2</v>
      </c>
      <c r="I130" s="13">
        <v>2</v>
      </c>
      <c r="J130" s="229"/>
      <c r="K130" s="13"/>
      <c r="L130" s="229"/>
      <c r="M130" s="13"/>
      <c r="N130" s="229"/>
      <c r="O130" s="13"/>
      <c r="P130" s="229"/>
      <c r="Q130" s="13"/>
      <c r="R130" s="229"/>
      <c r="S130" s="13"/>
      <c r="T130" s="229"/>
      <c r="U130" s="13">
        <v>1</v>
      </c>
      <c r="V130" s="229"/>
      <c r="W130" s="13"/>
      <c r="X130" s="229"/>
      <c r="Y130" s="13"/>
      <c r="Z130" s="229"/>
      <c r="AA130" s="13">
        <v>1</v>
      </c>
      <c r="AB130" s="229">
        <f t="shared" si="56"/>
        <v>2</v>
      </c>
      <c r="AC130" s="228">
        <f t="shared" si="57"/>
        <v>4</v>
      </c>
      <c r="AD130" s="21">
        <v>2</v>
      </c>
      <c r="AE130" s="229"/>
      <c r="AF130" s="20"/>
      <c r="AG130" s="229"/>
      <c r="AH130" s="20"/>
      <c r="AI130" s="229">
        <v>6</v>
      </c>
      <c r="AJ130" s="20">
        <v>6</v>
      </c>
      <c r="AK130" s="229"/>
      <c r="AL130" s="20"/>
      <c r="AM130" s="229"/>
      <c r="AN130" s="20"/>
      <c r="AO130" s="229">
        <v>3</v>
      </c>
      <c r="AP130" s="20">
        <v>3</v>
      </c>
      <c r="AQ130" s="229"/>
      <c r="AR130" s="20"/>
      <c r="AS130" s="229"/>
      <c r="AT130" s="20"/>
      <c r="AU130" s="229"/>
      <c r="AV130" s="20">
        <v>2</v>
      </c>
      <c r="AW130" s="229"/>
      <c r="AX130" s="20"/>
      <c r="AY130" s="229"/>
      <c r="AZ130" s="20"/>
      <c r="BA130" s="229"/>
      <c r="BB130" s="20">
        <v>6</v>
      </c>
      <c r="BC130" s="229">
        <f t="shared" si="58"/>
        <v>9</v>
      </c>
      <c r="BD130" s="48">
        <f t="shared" si="59"/>
        <v>17</v>
      </c>
      <c r="BE130" s="19">
        <v>34</v>
      </c>
      <c r="BF130" s="229">
        <f t="shared" si="64"/>
        <v>11</v>
      </c>
      <c r="BG130" s="210">
        <f t="shared" si="65"/>
        <v>21</v>
      </c>
      <c r="BH130" s="210">
        <f t="shared" si="66"/>
        <v>36</v>
      </c>
      <c r="BI130" s="213">
        <f t="shared" si="63"/>
        <v>58.333333333333336</v>
      </c>
      <c r="BJ130" s="141"/>
      <c r="BK130" s="201"/>
      <c r="BL130" s="198"/>
      <c r="BM130" s="198"/>
    </row>
    <row r="131" spans="1:65" s="17" customFormat="1" ht="15.95" customHeight="1">
      <c r="A131" s="123">
        <v>17</v>
      </c>
      <c r="B131" s="9" t="s">
        <v>472</v>
      </c>
      <c r="C131" s="11" t="s">
        <v>473</v>
      </c>
      <c r="D131" s="229"/>
      <c r="E131" s="13"/>
      <c r="F131" s="229"/>
      <c r="G131" s="13"/>
      <c r="H131" s="229">
        <v>2</v>
      </c>
      <c r="I131" s="13">
        <v>2</v>
      </c>
      <c r="J131" s="229"/>
      <c r="K131" s="13"/>
      <c r="L131" s="229"/>
      <c r="M131" s="13"/>
      <c r="N131" s="229"/>
      <c r="O131" s="13"/>
      <c r="P131" s="229"/>
      <c r="Q131" s="13"/>
      <c r="R131" s="229"/>
      <c r="S131" s="13"/>
      <c r="T131" s="229"/>
      <c r="U131" s="13"/>
      <c r="V131" s="229"/>
      <c r="W131" s="13"/>
      <c r="X131" s="229"/>
      <c r="Y131" s="13"/>
      <c r="Z131" s="229"/>
      <c r="AA131" s="13"/>
      <c r="AB131" s="229">
        <f t="shared" si="56"/>
        <v>2</v>
      </c>
      <c r="AC131" s="228">
        <f t="shared" si="57"/>
        <v>2</v>
      </c>
      <c r="AD131" s="21">
        <v>4</v>
      </c>
      <c r="AE131" s="229"/>
      <c r="AF131" s="20"/>
      <c r="AG131" s="229"/>
      <c r="AH131" s="20"/>
      <c r="AI131" s="229">
        <v>1</v>
      </c>
      <c r="AJ131" s="20">
        <v>1</v>
      </c>
      <c r="AK131" s="229"/>
      <c r="AL131" s="20"/>
      <c r="AM131" s="229"/>
      <c r="AN131" s="20"/>
      <c r="AO131" s="229">
        <f>2+1</f>
        <v>3</v>
      </c>
      <c r="AP131" s="20">
        <f>2+1</f>
        <v>3</v>
      </c>
      <c r="AQ131" s="229"/>
      <c r="AR131" s="20"/>
      <c r="AS131" s="229"/>
      <c r="AT131" s="20"/>
      <c r="AU131" s="229"/>
      <c r="AV131" s="20">
        <v>6</v>
      </c>
      <c r="AW131" s="229"/>
      <c r="AX131" s="20"/>
      <c r="AY131" s="229"/>
      <c r="AZ131" s="20"/>
      <c r="BA131" s="229"/>
      <c r="BB131" s="20"/>
      <c r="BC131" s="229">
        <f t="shared" si="58"/>
        <v>4</v>
      </c>
      <c r="BD131" s="48">
        <f t="shared" si="59"/>
        <v>10</v>
      </c>
      <c r="BE131" s="19">
        <v>62</v>
      </c>
      <c r="BF131" s="229">
        <f t="shared" si="64"/>
        <v>6</v>
      </c>
      <c r="BG131" s="210">
        <f t="shared" si="65"/>
        <v>12</v>
      </c>
      <c r="BH131" s="210">
        <f t="shared" si="66"/>
        <v>66</v>
      </c>
      <c r="BI131" s="213">
        <f t="shared" si="63"/>
        <v>18.181818181818183</v>
      </c>
      <c r="BJ131" s="141"/>
      <c r="BK131" s="201"/>
      <c r="BL131" s="198"/>
      <c r="BM131" s="198"/>
    </row>
    <row r="132" spans="1:65" s="17" customFormat="1" ht="15.95" customHeight="1">
      <c r="A132" s="123">
        <v>18</v>
      </c>
      <c r="B132" s="9" t="s">
        <v>2956</v>
      </c>
      <c r="C132" s="11" t="s">
        <v>2957</v>
      </c>
      <c r="D132" s="229"/>
      <c r="E132" s="13"/>
      <c r="F132" s="229"/>
      <c r="G132" s="13"/>
      <c r="H132" s="229"/>
      <c r="I132" s="13"/>
      <c r="J132" s="229"/>
      <c r="K132" s="13"/>
      <c r="L132" s="229"/>
      <c r="M132" s="13"/>
      <c r="N132" s="229"/>
      <c r="O132" s="13"/>
      <c r="P132" s="229"/>
      <c r="Q132" s="13"/>
      <c r="R132" s="229"/>
      <c r="S132" s="13"/>
      <c r="T132" s="229"/>
      <c r="U132" s="13"/>
      <c r="V132" s="229"/>
      <c r="W132" s="13"/>
      <c r="X132" s="229"/>
      <c r="Y132" s="13"/>
      <c r="Z132" s="229"/>
      <c r="AA132" s="13"/>
      <c r="AB132" s="229">
        <f t="shared" si="56"/>
        <v>0</v>
      </c>
      <c r="AC132" s="228">
        <f t="shared" si="57"/>
        <v>0</v>
      </c>
      <c r="AD132" s="21">
        <v>0</v>
      </c>
      <c r="AE132" s="229"/>
      <c r="AF132" s="20"/>
      <c r="AG132" s="229"/>
      <c r="AH132" s="20"/>
      <c r="AI132" s="229">
        <v>1</v>
      </c>
      <c r="AJ132" s="20">
        <v>1</v>
      </c>
      <c r="AK132" s="229"/>
      <c r="AL132" s="20"/>
      <c r="AM132" s="229"/>
      <c r="AN132" s="20"/>
      <c r="AO132" s="229"/>
      <c r="AP132" s="20"/>
      <c r="AQ132" s="229"/>
      <c r="AR132" s="20"/>
      <c r="AS132" s="229"/>
      <c r="AT132" s="20"/>
      <c r="AU132" s="229"/>
      <c r="AV132" s="20"/>
      <c r="AW132" s="229"/>
      <c r="AX132" s="20"/>
      <c r="AY132" s="229"/>
      <c r="AZ132" s="20"/>
      <c r="BA132" s="229"/>
      <c r="BB132" s="20"/>
      <c r="BC132" s="229">
        <f t="shared" si="58"/>
        <v>1</v>
      </c>
      <c r="BD132" s="48">
        <f t="shared" si="59"/>
        <v>1</v>
      </c>
      <c r="BE132" s="19">
        <v>0</v>
      </c>
      <c r="BF132" s="229">
        <f t="shared" si="64"/>
        <v>1</v>
      </c>
      <c r="BG132" s="210">
        <f t="shared" si="65"/>
        <v>1</v>
      </c>
      <c r="BH132" s="210">
        <f t="shared" si="66"/>
        <v>0</v>
      </c>
      <c r="BI132" s="213" t="e">
        <f t="shared" si="63"/>
        <v>#DIV/0!</v>
      </c>
      <c r="BJ132" s="141"/>
      <c r="BK132" s="201"/>
      <c r="BL132" s="198"/>
      <c r="BM132" s="198"/>
    </row>
    <row r="133" spans="1:65" s="17" customFormat="1" ht="15.95" customHeight="1">
      <c r="A133" s="123">
        <v>19</v>
      </c>
      <c r="B133" s="9" t="s">
        <v>1440</v>
      </c>
      <c r="C133" s="11" t="s">
        <v>1441</v>
      </c>
      <c r="D133" s="229"/>
      <c r="E133" s="13"/>
      <c r="F133" s="229"/>
      <c r="G133" s="13"/>
      <c r="H133" s="229"/>
      <c r="I133" s="13"/>
      <c r="J133" s="229"/>
      <c r="K133" s="13"/>
      <c r="L133" s="229"/>
      <c r="M133" s="13"/>
      <c r="N133" s="229"/>
      <c r="O133" s="13"/>
      <c r="P133" s="229"/>
      <c r="Q133" s="13"/>
      <c r="R133" s="229"/>
      <c r="S133" s="13"/>
      <c r="T133" s="229"/>
      <c r="U133" s="13"/>
      <c r="V133" s="229"/>
      <c r="W133" s="13"/>
      <c r="X133" s="229"/>
      <c r="Y133" s="13"/>
      <c r="Z133" s="229"/>
      <c r="AA133" s="13"/>
      <c r="AB133" s="229">
        <f t="shared" si="56"/>
        <v>0</v>
      </c>
      <c r="AC133" s="228">
        <f t="shared" si="57"/>
        <v>0</v>
      </c>
      <c r="AD133" s="21">
        <v>0</v>
      </c>
      <c r="AE133" s="229"/>
      <c r="AF133" s="20"/>
      <c r="AG133" s="229"/>
      <c r="AH133" s="20"/>
      <c r="AI133" s="229">
        <v>2</v>
      </c>
      <c r="AJ133" s="20">
        <v>2</v>
      </c>
      <c r="AK133" s="229"/>
      <c r="AL133" s="20"/>
      <c r="AM133" s="229"/>
      <c r="AN133" s="20"/>
      <c r="AO133" s="229"/>
      <c r="AP133" s="20"/>
      <c r="AQ133" s="229"/>
      <c r="AR133" s="20"/>
      <c r="AS133" s="229"/>
      <c r="AT133" s="20"/>
      <c r="AU133" s="229"/>
      <c r="AV133" s="20"/>
      <c r="AW133" s="229"/>
      <c r="AX133" s="20"/>
      <c r="AY133" s="229"/>
      <c r="AZ133" s="20"/>
      <c r="BA133" s="229"/>
      <c r="BB133" s="20"/>
      <c r="BC133" s="229">
        <f t="shared" si="58"/>
        <v>2</v>
      </c>
      <c r="BD133" s="48">
        <f t="shared" si="59"/>
        <v>2</v>
      </c>
      <c r="BE133" s="19">
        <v>1</v>
      </c>
      <c r="BF133" s="229">
        <f t="shared" si="64"/>
        <v>2</v>
      </c>
      <c r="BG133" s="210">
        <f t="shared" si="65"/>
        <v>2</v>
      </c>
      <c r="BH133" s="210">
        <f t="shared" si="66"/>
        <v>1</v>
      </c>
      <c r="BI133" s="213">
        <f t="shared" si="63"/>
        <v>200</v>
      </c>
      <c r="BJ133" s="141"/>
      <c r="BK133" s="201"/>
      <c r="BL133" s="198"/>
      <c r="BM133" s="198"/>
    </row>
    <row r="134" spans="1:65" s="17" customFormat="1" ht="15.95" customHeight="1">
      <c r="A134" s="123">
        <v>20</v>
      </c>
      <c r="B134" s="9" t="s">
        <v>112</v>
      </c>
      <c r="C134" s="11" t="s">
        <v>113</v>
      </c>
      <c r="D134" s="229"/>
      <c r="E134" s="13"/>
      <c r="F134" s="229"/>
      <c r="G134" s="13"/>
      <c r="H134" s="229"/>
      <c r="I134" s="13"/>
      <c r="J134" s="229"/>
      <c r="K134" s="13"/>
      <c r="L134" s="229"/>
      <c r="M134" s="13"/>
      <c r="N134" s="229"/>
      <c r="O134" s="13"/>
      <c r="P134" s="229"/>
      <c r="Q134" s="13"/>
      <c r="R134" s="229"/>
      <c r="S134" s="13"/>
      <c r="T134" s="229"/>
      <c r="U134" s="13"/>
      <c r="V134" s="229"/>
      <c r="W134" s="13"/>
      <c r="X134" s="229"/>
      <c r="Y134" s="13"/>
      <c r="Z134" s="229"/>
      <c r="AA134" s="13"/>
      <c r="AB134" s="229">
        <f t="shared" si="56"/>
        <v>0</v>
      </c>
      <c r="AC134" s="228">
        <f t="shared" si="57"/>
        <v>0</v>
      </c>
      <c r="AD134" s="21">
        <v>0</v>
      </c>
      <c r="AE134" s="229"/>
      <c r="AF134" s="20"/>
      <c r="AG134" s="229"/>
      <c r="AH134" s="20"/>
      <c r="AI134" s="229"/>
      <c r="AJ134" s="20"/>
      <c r="AK134" s="229"/>
      <c r="AL134" s="20"/>
      <c r="AM134" s="229"/>
      <c r="AN134" s="20"/>
      <c r="AO134" s="229"/>
      <c r="AP134" s="20"/>
      <c r="AQ134" s="229"/>
      <c r="AR134" s="20"/>
      <c r="AS134" s="229"/>
      <c r="AT134" s="20"/>
      <c r="AU134" s="229"/>
      <c r="AV134" s="20">
        <v>2</v>
      </c>
      <c r="AW134" s="229"/>
      <c r="AX134" s="20"/>
      <c r="AY134" s="229"/>
      <c r="AZ134" s="20"/>
      <c r="BA134" s="229"/>
      <c r="BB134" s="20"/>
      <c r="BC134" s="229">
        <f t="shared" si="58"/>
        <v>0</v>
      </c>
      <c r="BD134" s="48">
        <f t="shared" si="59"/>
        <v>2</v>
      </c>
      <c r="BE134" s="19">
        <v>13</v>
      </c>
      <c r="BF134" s="229">
        <f t="shared" si="64"/>
        <v>0</v>
      </c>
      <c r="BG134" s="210">
        <f t="shared" si="65"/>
        <v>2</v>
      </c>
      <c r="BH134" s="210">
        <f t="shared" si="66"/>
        <v>13</v>
      </c>
      <c r="BI134" s="213">
        <f t="shared" si="63"/>
        <v>15.384615384615385</v>
      </c>
      <c r="BJ134" s="141"/>
      <c r="BK134" s="201"/>
      <c r="BL134" s="198"/>
      <c r="BM134" s="198"/>
    </row>
    <row r="135" spans="1:65" s="17" customFormat="1" ht="15.95" customHeight="1">
      <c r="A135" s="123">
        <v>21</v>
      </c>
      <c r="B135" s="9" t="s">
        <v>481</v>
      </c>
      <c r="C135" s="11" t="s">
        <v>482</v>
      </c>
      <c r="D135" s="229"/>
      <c r="E135" s="13"/>
      <c r="F135" s="229"/>
      <c r="G135" s="13"/>
      <c r="H135" s="229"/>
      <c r="I135" s="13"/>
      <c r="J135" s="229"/>
      <c r="K135" s="13"/>
      <c r="L135" s="229"/>
      <c r="M135" s="13"/>
      <c r="N135" s="229"/>
      <c r="O135" s="13"/>
      <c r="P135" s="229"/>
      <c r="Q135" s="13"/>
      <c r="R135" s="229"/>
      <c r="S135" s="13"/>
      <c r="T135" s="229"/>
      <c r="U135" s="13"/>
      <c r="V135" s="229"/>
      <c r="W135" s="13"/>
      <c r="X135" s="229"/>
      <c r="Y135" s="13"/>
      <c r="Z135" s="229"/>
      <c r="AA135" s="13"/>
      <c r="AB135" s="229">
        <f t="shared" si="56"/>
        <v>0</v>
      </c>
      <c r="AC135" s="228">
        <f t="shared" si="57"/>
        <v>0</v>
      </c>
      <c r="AD135" s="21">
        <v>0</v>
      </c>
      <c r="AE135" s="229"/>
      <c r="AF135" s="20"/>
      <c r="AG135" s="229"/>
      <c r="AH135" s="20"/>
      <c r="AI135" s="229">
        <v>4</v>
      </c>
      <c r="AJ135" s="20">
        <v>4</v>
      </c>
      <c r="AK135" s="229"/>
      <c r="AL135" s="20"/>
      <c r="AM135" s="229"/>
      <c r="AN135" s="20"/>
      <c r="AO135" s="229">
        <v>1</v>
      </c>
      <c r="AP135" s="20">
        <v>1</v>
      </c>
      <c r="AQ135" s="229"/>
      <c r="AR135" s="20"/>
      <c r="AS135" s="229"/>
      <c r="AT135" s="20"/>
      <c r="AU135" s="229"/>
      <c r="AV135" s="20"/>
      <c r="AW135" s="229"/>
      <c r="AX135" s="20"/>
      <c r="AY135" s="229"/>
      <c r="AZ135" s="20"/>
      <c r="BA135" s="229"/>
      <c r="BB135" s="20">
        <v>2</v>
      </c>
      <c r="BC135" s="229">
        <f t="shared" si="58"/>
        <v>5</v>
      </c>
      <c r="BD135" s="48">
        <f t="shared" si="59"/>
        <v>7</v>
      </c>
      <c r="BE135" s="19">
        <v>26</v>
      </c>
      <c r="BF135" s="229">
        <f t="shared" si="64"/>
        <v>5</v>
      </c>
      <c r="BG135" s="210">
        <f t="shared" si="65"/>
        <v>7</v>
      </c>
      <c r="BH135" s="210">
        <f t="shared" si="66"/>
        <v>26</v>
      </c>
      <c r="BI135" s="213">
        <f t="shared" si="63"/>
        <v>26.923076923076923</v>
      </c>
      <c r="BJ135" s="141"/>
      <c r="BK135" s="201"/>
      <c r="BL135" s="198"/>
      <c r="BM135" s="198"/>
    </row>
    <row r="136" spans="1:65" s="17" customFormat="1" ht="15.95" customHeight="1">
      <c r="A136" s="123">
        <v>22</v>
      </c>
      <c r="B136" s="9" t="s">
        <v>952</v>
      </c>
      <c r="C136" s="11" t="s">
        <v>953</v>
      </c>
      <c r="D136" s="229"/>
      <c r="E136" s="13"/>
      <c r="F136" s="229"/>
      <c r="G136" s="13"/>
      <c r="H136" s="229">
        <v>2</v>
      </c>
      <c r="I136" s="13">
        <v>2</v>
      </c>
      <c r="J136" s="229"/>
      <c r="K136" s="13"/>
      <c r="L136" s="229"/>
      <c r="M136" s="13"/>
      <c r="N136" s="229"/>
      <c r="O136" s="13"/>
      <c r="P136" s="229"/>
      <c r="Q136" s="13"/>
      <c r="R136" s="229"/>
      <c r="S136" s="13"/>
      <c r="T136" s="229"/>
      <c r="U136" s="13">
        <v>3</v>
      </c>
      <c r="V136" s="229"/>
      <c r="W136" s="13"/>
      <c r="X136" s="229"/>
      <c r="Y136" s="13"/>
      <c r="Z136" s="229"/>
      <c r="AA136" s="13">
        <v>4</v>
      </c>
      <c r="AB136" s="229">
        <f t="shared" si="56"/>
        <v>2</v>
      </c>
      <c r="AC136" s="228">
        <f t="shared" si="57"/>
        <v>9</v>
      </c>
      <c r="AD136" s="19">
        <v>15</v>
      </c>
      <c r="AE136" s="229"/>
      <c r="AF136" s="20"/>
      <c r="AG136" s="229"/>
      <c r="AH136" s="20"/>
      <c r="AI136" s="229">
        <v>1</v>
      </c>
      <c r="AJ136" s="20">
        <v>1</v>
      </c>
      <c r="AK136" s="229"/>
      <c r="AL136" s="20"/>
      <c r="AM136" s="229"/>
      <c r="AN136" s="20"/>
      <c r="AO136" s="229">
        <f>1+7</f>
        <v>8</v>
      </c>
      <c r="AP136" s="20">
        <f>1+8</f>
        <v>9</v>
      </c>
      <c r="AQ136" s="229"/>
      <c r="AR136" s="20"/>
      <c r="AS136" s="229"/>
      <c r="AT136" s="20"/>
      <c r="AU136" s="229"/>
      <c r="AV136" s="20">
        <v>4</v>
      </c>
      <c r="AW136" s="229"/>
      <c r="AX136" s="20"/>
      <c r="AY136" s="229"/>
      <c r="AZ136" s="20"/>
      <c r="BA136" s="229"/>
      <c r="BB136" s="20">
        <v>7</v>
      </c>
      <c r="BC136" s="229">
        <f t="shared" si="58"/>
        <v>9</v>
      </c>
      <c r="BD136" s="48">
        <f t="shared" si="59"/>
        <v>21</v>
      </c>
      <c r="BE136" s="19">
        <v>0</v>
      </c>
      <c r="BF136" s="229">
        <f t="shared" si="64"/>
        <v>11</v>
      </c>
      <c r="BG136" s="210">
        <f t="shared" si="65"/>
        <v>30</v>
      </c>
      <c r="BH136" s="210">
        <f t="shared" si="66"/>
        <v>15</v>
      </c>
      <c r="BI136" s="213">
        <f t="shared" si="63"/>
        <v>200</v>
      </c>
      <c r="BJ136" s="141"/>
      <c r="BK136" s="201"/>
      <c r="BL136" s="198"/>
      <c r="BM136" s="198"/>
    </row>
    <row r="137" spans="1:65" s="17" customFormat="1" ht="15.95" customHeight="1">
      <c r="A137" s="123">
        <v>23</v>
      </c>
      <c r="B137" s="9" t="s">
        <v>2366</v>
      </c>
      <c r="C137" s="11" t="s">
        <v>2367</v>
      </c>
      <c r="D137" s="229"/>
      <c r="E137" s="13"/>
      <c r="F137" s="229"/>
      <c r="G137" s="13"/>
      <c r="H137" s="229"/>
      <c r="I137" s="13"/>
      <c r="J137" s="229"/>
      <c r="K137" s="13"/>
      <c r="L137" s="229"/>
      <c r="M137" s="13"/>
      <c r="N137" s="229"/>
      <c r="O137" s="13"/>
      <c r="P137" s="229"/>
      <c r="Q137" s="13"/>
      <c r="R137" s="229"/>
      <c r="S137" s="13"/>
      <c r="T137" s="229"/>
      <c r="U137" s="13"/>
      <c r="V137" s="229"/>
      <c r="W137" s="13"/>
      <c r="X137" s="229"/>
      <c r="Y137" s="13"/>
      <c r="Z137" s="229"/>
      <c r="AA137" s="13"/>
      <c r="AB137" s="229">
        <f t="shared" si="56"/>
        <v>0</v>
      </c>
      <c r="AC137" s="228">
        <f t="shared" si="57"/>
        <v>0</v>
      </c>
      <c r="AD137" s="21">
        <v>0</v>
      </c>
      <c r="AE137" s="229"/>
      <c r="AF137" s="20"/>
      <c r="AG137" s="229"/>
      <c r="AH137" s="20"/>
      <c r="AI137" s="229"/>
      <c r="AJ137" s="20"/>
      <c r="AK137" s="229"/>
      <c r="AL137" s="20"/>
      <c r="AM137" s="229"/>
      <c r="AN137" s="20"/>
      <c r="AO137" s="229"/>
      <c r="AP137" s="20"/>
      <c r="AQ137" s="229"/>
      <c r="AR137" s="20"/>
      <c r="AS137" s="229"/>
      <c r="AT137" s="20"/>
      <c r="AU137" s="229"/>
      <c r="AV137" s="20"/>
      <c r="AW137" s="229"/>
      <c r="AX137" s="20"/>
      <c r="AY137" s="229"/>
      <c r="AZ137" s="20"/>
      <c r="BA137" s="229"/>
      <c r="BB137" s="20"/>
      <c r="BC137" s="229">
        <f t="shared" si="58"/>
        <v>0</v>
      </c>
      <c r="BD137" s="48">
        <f t="shared" si="59"/>
        <v>0</v>
      </c>
      <c r="BE137" s="19">
        <v>2</v>
      </c>
      <c r="BF137" s="229">
        <f t="shared" si="64"/>
        <v>0</v>
      </c>
      <c r="BG137" s="210">
        <f t="shared" si="65"/>
        <v>0</v>
      </c>
      <c r="BH137" s="210">
        <f t="shared" si="66"/>
        <v>2</v>
      </c>
      <c r="BI137" s="213">
        <f t="shared" si="63"/>
        <v>0</v>
      </c>
      <c r="BJ137" s="141"/>
      <c r="BK137" s="201"/>
      <c r="BL137" s="198"/>
      <c r="BM137" s="198"/>
    </row>
    <row r="138" spans="1:65" s="17" customFormat="1" ht="15.95" customHeight="1">
      <c r="A138" s="123">
        <v>24</v>
      </c>
      <c r="B138" s="9" t="s">
        <v>1406</v>
      </c>
      <c r="C138" s="11" t="s">
        <v>1407</v>
      </c>
      <c r="D138" s="229"/>
      <c r="E138" s="13"/>
      <c r="F138" s="229"/>
      <c r="G138" s="13"/>
      <c r="H138" s="229"/>
      <c r="I138" s="13"/>
      <c r="J138" s="229"/>
      <c r="K138" s="13"/>
      <c r="L138" s="229"/>
      <c r="M138" s="13"/>
      <c r="N138" s="229"/>
      <c r="O138" s="13"/>
      <c r="P138" s="229"/>
      <c r="Q138" s="13"/>
      <c r="R138" s="229"/>
      <c r="S138" s="13"/>
      <c r="T138" s="229"/>
      <c r="U138" s="13"/>
      <c r="V138" s="229"/>
      <c r="W138" s="13"/>
      <c r="X138" s="229"/>
      <c r="Y138" s="13"/>
      <c r="Z138" s="229"/>
      <c r="AA138" s="13"/>
      <c r="AB138" s="229">
        <f t="shared" si="56"/>
        <v>0</v>
      </c>
      <c r="AC138" s="228">
        <f t="shared" si="57"/>
        <v>0</v>
      </c>
      <c r="AD138" s="19">
        <v>0</v>
      </c>
      <c r="AE138" s="229"/>
      <c r="AF138" s="20"/>
      <c r="AG138" s="229"/>
      <c r="AH138" s="20"/>
      <c r="AI138" s="229"/>
      <c r="AJ138" s="20"/>
      <c r="AK138" s="229"/>
      <c r="AL138" s="20"/>
      <c r="AM138" s="229"/>
      <c r="AN138" s="20"/>
      <c r="AO138" s="229"/>
      <c r="AP138" s="20"/>
      <c r="AQ138" s="229"/>
      <c r="AR138" s="20"/>
      <c r="AS138" s="229"/>
      <c r="AT138" s="20"/>
      <c r="AU138" s="229"/>
      <c r="AV138" s="20"/>
      <c r="AW138" s="229"/>
      <c r="AX138" s="20"/>
      <c r="AY138" s="229"/>
      <c r="AZ138" s="20"/>
      <c r="BA138" s="229"/>
      <c r="BB138" s="20"/>
      <c r="BC138" s="229">
        <f t="shared" si="58"/>
        <v>0</v>
      </c>
      <c r="BD138" s="48">
        <f t="shared" si="59"/>
        <v>0</v>
      </c>
      <c r="BE138" s="19">
        <v>1</v>
      </c>
      <c r="BF138" s="229">
        <f t="shared" si="64"/>
        <v>0</v>
      </c>
      <c r="BG138" s="210">
        <f t="shared" si="65"/>
        <v>0</v>
      </c>
      <c r="BH138" s="210">
        <f t="shared" si="66"/>
        <v>1</v>
      </c>
      <c r="BI138" s="213">
        <f t="shared" si="63"/>
        <v>0</v>
      </c>
      <c r="BJ138" s="141"/>
      <c r="BK138" s="201"/>
      <c r="BL138" s="198"/>
      <c r="BM138" s="198"/>
    </row>
    <row r="139" spans="1:65" s="17" customFormat="1" ht="15.95" customHeight="1">
      <c r="A139" s="123">
        <v>25</v>
      </c>
      <c r="B139" s="9" t="s">
        <v>18</v>
      </c>
      <c r="C139" s="12" t="s">
        <v>1728</v>
      </c>
      <c r="D139" s="229"/>
      <c r="E139" s="13"/>
      <c r="F139" s="229"/>
      <c r="G139" s="13"/>
      <c r="H139" s="229"/>
      <c r="I139" s="13"/>
      <c r="J139" s="229"/>
      <c r="K139" s="13"/>
      <c r="L139" s="229"/>
      <c r="M139" s="13"/>
      <c r="N139" s="229"/>
      <c r="O139" s="13"/>
      <c r="P139" s="229"/>
      <c r="Q139" s="13"/>
      <c r="R139" s="229"/>
      <c r="S139" s="13"/>
      <c r="T139" s="229"/>
      <c r="U139" s="13"/>
      <c r="V139" s="229"/>
      <c r="W139" s="13"/>
      <c r="X139" s="229"/>
      <c r="Y139" s="13"/>
      <c r="Z139" s="229"/>
      <c r="AA139" s="13"/>
      <c r="AB139" s="229">
        <f t="shared" si="56"/>
        <v>0</v>
      </c>
      <c r="AC139" s="228">
        <f t="shared" si="57"/>
        <v>0</v>
      </c>
      <c r="AD139" s="21">
        <v>0</v>
      </c>
      <c r="AE139" s="229"/>
      <c r="AF139" s="20"/>
      <c r="AG139" s="229"/>
      <c r="AH139" s="20"/>
      <c r="AI139" s="229">
        <v>2</v>
      </c>
      <c r="AJ139" s="20">
        <v>2</v>
      </c>
      <c r="AK139" s="229"/>
      <c r="AL139" s="20"/>
      <c r="AM139" s="229"/>
      <c r="AN139" s="20"/>
      <c r="AO139" s="229">
        <v>2</v>
      </c>
      <c r="AP139" s="20">
        <v>2</v>
      </c>
      <c r="AQ139" s="229"/>
      <c r="AR139" s="20"/>
      <c r="AS139" s="229"/>
      <c r="AT139" s="20"/>
      <c r="AU139" s="229"/>
      <c r="AV139" s="20">
        <v>2</v>
      </c>
      <c r="AW139" s="229"/>
      <c r="AX139" s="20"/>
      <c r="AY139" s="229"/>
      <c r="AZ139" s="20"/>
      <c r="BA139" s="229"/>
      <c r="BB139" s="20">
        <v>2</v>
      </c>
      <c r="BC139" s="229">
        <f t="shared" si="58"/>
        <v>4</v>
      </c>
      <c r="BD139" s="48">
        <f t="shared" si="59"/>
        <v>8</v>
      </c>
      <c r="BE139" s="19">
        <v>10</v>
      </c>
      <c r="BF139" s="229">
        <f t="shared" si="64"/>
        <v>4</v>
      </c>
      <c r="BG139" s="210">
        <f t="shared" si="65"/>
        <v>8</v>
      </c>
      <c r="BH139" s="210">
        <f t="shared" si="66"/>
        <v>10</v>
      </c>
      <c r="BI139" s="213">
        <f t="shared" si="63"/>
        <v>80</v>
      </c>
      <c r="BJ139" s="141"/>
      <c r="BK139" s="201"/>
      <c r="BL139" s="198"/>
      <c r="BM139" s="198"/>
    </row>
    <row r="140" spans="1:65" s="17" customFormat="1" ht="15.95" customHeight="1">
      <c r="A140" s="123">
        <v>26</v>
      </c>
      <c r="B140" s="9" t="s">
        <v>474</v>
      </c>
      <c r="C140" s="11" t="s">
        <v>475</v>
      </c>
      <c r="D140" s="229"/>
      <c r="E140" s="13"/>
      <c r="F140" s="229"/>
      <c r="G140" s="13"/>
      <c r="H140" s="229"/>
      <c r="I140" s="13"/>
      <c r="J140" s="229"/>
      <c r="K140" s="13"/>
      <c r="L140" s="229"/>
      <c r="M140" s="13"/>
      <c r="N140" s="229"/>
      <c r="O140" s="13"/>
      <c r="P140" s="229"/>
      <c r="Q140" s="13"/>
      <c r="R140" s="229"/>
      <c r="S140" s="13"/>
      <c r="T140" s="229"/>
      <c r="U140" s="13"/>
      <c r="V140" s="229"/>
      <c r="W140" s="13"/>
      <c r="X140" s="229"/>
      <c r="Y140" s="13"/>
      <c r="Z140" s="229"/>
      <c r="AA140" s="13"/>
      <c r="AB140" s="229">
        <f t="shared" si="56"/>
        <v>0</v>
      </c>
      <c r="AC140" s="228">
        <f t="shared" si="57"/>
        <v>0</v>
      </c>
      <c r="AD140" s="21">
        <v>188</v>
      </c>
      <c r="AE140" s="229"/>
      <c r="AF140" s="20"/>
      <c r="AG140" s="229"/>
      <c r="AH140" s="20"/>
      <c r="AI140" s="229"/>
      <c r="AJ140" s="20"/>
      <c r="AK140" s="229"/>
      <c r="AL140" s="20"/>
      <c r="AM140" s="229"/>
      <c r="AN140" s="20"/>
      <c r="AO140" s="229">
        <f>2+1</f>
        <v>3</v>
      </c>
      <c r="AP140" s="20">
        <f>2+1</f>
        <v>3</v>
      </c>
      <c r="AQ140" s="229"/>
      <c r="AR140" s="20"/>
      <c r="AS140" s="229"/>
      <c r="AT140" s="20"/>
      <c r="AU140" s="229"/>
      <c r="AV140" s="20">
        <v>1</v>
      </c>
      <c r="AW140" s="229"/>
      <c r="AX140" s="20"/>
      <c r="AY140" s="229"/>
      <c r="AZ140" s="20"/>
      <c r="BA140" s="229"/>
      <c r="BB140" s="20"/>
      <c r="BC140" s="229">
        <f t="shared" si="58"/>
        <v>3</v>
      </c>
      <c r="BD140" s="48">
        <f t="shared" si="59"/>
        <v>4</v>
      </c>
      <c r="BE140" s="19">
        <v>21</v>
      </c>
      <c r="BF140" s="229">
        <f t="shared" si="64"/>
        <v>3</v>
      </c>
      <c r="BG140" s="210">
        <f t="shared" si="65"/>
        <v>4</v>
      </c>
      <c r="BH140" s="210">
        <f t="shared" si="66"/>
        <v>209</v>
      </c>
      <c r="BI140" s="213">
        <f t="shared" si="63"/>
        <v>1.9138755980861244</v>
      </c>
      <c r="BJ140" s="141"/>
      <c r="BK140" s="201"/>
      <c r="BL140" s="198"/>
      <c r="BM140" s="198"/>
    </row>
    <row r="141" spans="1:65" s="17" customFormat="1" ht="15.95" customHeight="1">
      <c r="A141" s="123">
        <v>27</v>
      </c>
      <c r="B141" s="9" t="s">
        <v>954</v>
      </c>
      <c r="C141" s="11" t="s">
        <v>2415</v>
      </c>
      <c r="D141" s="229"/>
      <c r="E141" s="13"/>
      <c r="F141" s="229"/>
      <c r="G141" s="13"/>
      <c r="H141" s="229"/>
      <c r="I141" s="13"/>
      <c r="J141" s="229"/>
      <c r="K141" s="13"/>
      <c r="L141" s="229"/>
      <c r="M141" s="13"/>
      <c r="N141" s="229"/>
      <c r="O141" s="13"/>
      <c r="P141" s="229"/>
      <c r="Q141" s="13"/>
      <c r="R141" s="229"/>
      <c r="S141" s="13"/>
      <c r="T141" s="229"/>
      <c r="U141" s="13"/>
      <c r="V141" s="229"/>
      <c r="W141" s="13"/>
      <c r="X141" s="229"/>
      <c r="Y141" s="13"/>
      <c r="Z141" s="229"/>
      <c r="AA141" s="13"/>
      <c r="AB141" s="229">
        <f t="shared" si="56"/>
        <v>0</v>
      </c>
      <c r="AC141" s="228">
        <f t="shared" si="57"/>
        <v>0</v>
      </c>
      <c r="AD141" s="19">
        <v>0</v>
      </c>
      <c r="AE141" s="229"/>
      <c r="AF141" s="20"/>
      <c r="AG141" s="229"/>
      <c r="AH141" s="20"/>
      <c r="AI141" s="229"/>
      <c r="AJ141" s="20"/>
      <c r="AK141" s="229"/>
      <c r="AL141" s="20"/>
      <c r="AM141" s="229"/>
      <c r="AN141" s="20"/>
      <c r="AO141" s="229"/>
      <c r="AP141" s="20"/>
      <c r="AQ141" s="229"/>
      <c r="AR141" s="20"/>
      <c r="AS141" s="229"/>
      <c r="AT141" s="20"/>
      <c r="AU141" s="229"/>
      <c r="AV141" s="20"/>
      <c r="AW141" s="229"/>
      <c r="AX141" s="20"/>
      <c r="AY141" s="229"/>
      <c r="AZ141" s="20"/>
      <c r="BA141" s="229"/>
      <c r="BB141" s="20">
        <v>1</v>
      </c>
      <c r="BC141" s="229">
        <f t="shared" si="58"/>
        <v>0</v>
      </c>
      <c r="BD141" s="48">
        <f t="shared" si="59"/>
        <v>1</v>
      </c>
      <c r="BE141" s="19">
        <v>1</v>
      </c>
      <c r="BF141" s="229">
        <f t="shared" si="64"/>
        <v>0</v>
      </c>
      <c r="BG141" s="210">
        <f t="shared" si="65"/>
        <v>1</v>
      </c>
      <c r="BH141" s="210">
        <f t="shared" si="66"/>
        <v>1</v>
      </c>
      <c r="BI141" s="213">
        <f t="shared" si="63"/>
        <v>100</v>
      </c>
      <c r="BJ141" s="141"/>
      <c r="BK141" s="201"/>
      <c r="BL141" s="198"/>
      <c r="BM141" s="198"/>
    </row>
    <row r="142" spans="1:65" s="17" customFormat="1" ht="15.95" customHeight="1">
      <c r="A142" s="123">
        <v>28</v>
      </c>
      <c r="B142" s="9" t="s">
        <v>541</v>
      </c>
      <c r="C142" s="11" t="s">
        <v>542</v>
      </c>
      <c r="D142" s="229"/>
      <c r="E142" s="13"/>
      <c r="F142" s="229"/>
      <c r="G142" s="13"/>
      <c r="H142" s="229"/>
      <c r="I142" s="13"/>
      <c r="J142" s="229"/>
      <c r="K142" s="13"/>
      <c r="L142" s="229"/>
      <c r="M142" s="13"/>
      <c r="N142" s="229"/>
      <c r="O142" s="13"/>
      <c r="P142" s="229"/>
      <c r="Q142" s="13"/>
      <c r="R142" s="229"/>
      <c r="S142" s="13"/>
      <c r="T142" s="229"/>
      <c r="U142" s="13"/>
      <c r="V142" s="229"/>
      <c r="W142" s="13"/>
      <c r="X142" s="229"/>
      <c r="Y142" s="13"/>
      <c r="Z142" s="229"/>
      <c r="AA142" s="13"/>
      <c r="AB142" s="229">
        <f t="shared" si="56"/>
        <v>0</v>
      </c>
      <c r="AC142" s="228">
        <f t="shared" si="57"/>
        <v>0</v>
      </c>
      <c r="AD142" s="21">
        <v>0</v>
      </c>
      <c r="AE142" s="229"/>
      <c r="AF142" s="20"/>
      <c r="AG142" s="229"/>
      <c r="AH142" s="20"/>
      <c r="AI142" s="229">
        <v>2</v>
      </c>
      <c r="AJ142" s="20">
        <v>2</v>
      </c>
      <c r="AK142" s="229"/>
      <c r="AL142" s="20"/>
      <c r="AM142" s="229"/>
      <c r="AN142" s="20"/>
      <c r="AO142" s="229">
        <f>4+2</f>
        <v>6</v>
      </c>
      <c r="AP142" s="20">
        <f>5+2</f>
        <v>7</v>
      </c>
      <c r="AQ142" s="229"/>
      <c r="AR142" s="20"/>
      <c r="AS142" s="229"/>
      <c r="AT142" s="20"/>
      <c r="AU142" s="229"/>
      <c r="AV142" s="20">
        <v>5</v>
      </c>
      <c r="AW142" s="229"/>
      <c r="AX142" s="20"/>
      <c r="AY142" s="229"/>
      <c r="AZ142" s="20"/>
      <c r="BA142" s="229"/>
      <c r="BB142" s="20">
        <v>3</v>
      </c>
      <c r="BC142" s="229">
        <f t="shared" si="58"/>
        <v>8</v>
      </c>
      <c r="BD142" s="48">
        <f t="shared" si="59"/>
        <v>17</v>
      </c>
      <c r="BE142" s="19">
        <v>21</v>
      </c>
      <c r="BF142" s="229">
        <f t="shared" si="64"/>
        <v>8</v>
      </c>
      <c r="BG142" s="210">
        <f t="shared" si="65"/>
        <v>17</v>
      </c>
      <c r="BH142" s="210">
        <f t="shared" si="66"/>
        <v>21</v>
      </c>
      <c r="BI142" s="213">
        <f t="shared" si="63"/>
        <v>80.952380952380949</v>
      </c>
      <c r="BJ142" s="141"/>
      <c r="BK142" s="201"/>
      <c r="BL142" s="198"/>
      <c r="BM142" s="198"/>
    </row>
    <row r="143" spans="1:65" s="17" customFormat="1" ht="15.95" customHeight="1">
      <c r="A143" s="123">
        <v>29</v>
      </c>
      <c r="B143" s="9" t="s">
        <v>955</v>
      </c>
      <c r="C143" s="11" t="s">
        <v>956</v>
      </c>
      <c r="D143" s="229"/>
      <c r="E143" s="13"/>
      <c r="F143" s="229"/>
      <c r="G143" s="13"/>
      <c r="H143" s="229"/>
      <c r="I143" s="13"/>
      <c r="J143" s="229"/>
      <c r="K143" s="13"/>
      <c r="L143" s="229"/>
      <c r="M143" s="13"/>
      <c r="N143" s="229"/>
      <c r="O143" s="13"/>
      <c r="P143" s="229"/>
      <c r="Q143" s="13"/>
      <c r="R143" s="229"/>
      <c r="S143" s="13"/>
      <c r="T143" s="229"/>
      <c r="U143" s="13"/>
      <c r="V143" s="229"/>
      <c r="W143" s="13"/>
      <c r="X143" s="229"/>
      <c r="Y143" s="13"/>
      <c r="Z143" s="229"/>
      <c r="AA143" s="13"/>
      <c r="AB143" s="229">
        <f t="shared" si="56"/>
        <v>0</v>
      </c>
      <c r="AC143" s="228">
        <f t="shared" si="57"/>
        <v>0</v>
      </c>
      <c r="AD143" s="21">
        <v>0</v>
      </c>
      <c r="AE143" s="229"/>
      <c r="AF143" s="20"/>
      <c r="AG143" s="229"/>
      <c r="AH143" s="20"/>
      <c r="AI143" s="229">
        <v>1</v>
      </c>
      <c r="AJ143" s="20">
        <v>1</v>
      </c>
      <c r="AK143" s="229"/>
      <c r="AL143" s="20"/>
      <c r="AM143" s="229"/>
      <c r="AN143" s="20"/>
      <c r="AO143" s="229">
        <f>4+1</f>
        <v>5</v>
      </c>
      <c r="AP143" s="20">
        <f>4+1</f>
        <v>5</v>
      </c>
      <c r="AQ143" s="229"/>
      <c r="AR143" s="20"/>
      <c r="AS143" s="229"/>
      <c r="AT143" s="20"/>
      <c r="AU143" s="229"/>
      <c r="AV143" s="20">
        <v>8</v>
      </c>
      <c r="AW143" s="229"/>
      <c r="AX143" s="20"/>
      <c r="AY143" s="229"/>
      <c r="AZ143" s="20"/>
      <c r="BA143" s="229"/>
      <c r="BB143" s="20">
        <v>12</v>
      </c>
      <c r="BC143" s="229">
        <f t="shared" si="58"/>
        <v>6</v>
      </c>
      <c r="BD143" s="48">
        <f t="shared" si="59"/>
        <v>26</v>
      </c>
      <c r="BE143" s="19">
        <f>21+1</f>
        <v>22</v>
      </c>
      <c r="BF143" s="229">
        <f t="shared" si="64"/>
        <v>6</v>
      </c>
      <c r="BG143" s="210">
        <f t="shared" si="65"/>
        <v>26</v>
      </c>
      <c r="BH143" s="210">
        <f t="shared" si="66"/>
        <v>22</v>
      </c>
      <c r="BI143" s="213">
        <f t="shared" si="63"/>
        <v>118.18181818181819</v>
      </c>
      <c r="BJ143" s="141"/>
      <c r="BK143" s="201"/>
      <c r="BL143" s="198"/>
      <c r="BM143" s="198"/>
    </row>
    <row r="144" spans="1:65" s="17" customFormat="1" ht="15.95" customHeight="1">
      <c r="A144" s="123">
        <v>30</v>
      </c>
      <c r="B144" s="9" t="s">
        <v>1977</v>
      </c>
      <c r="C144" s="11" t="s">
        <v>1978</v>
      </c>
      <c r="D144" s="229"/>
      <c r="E144" s="13"/>
      <c r="F144" s="229"/>
      <c r="G144" s="13"/>
      <c r="H144" s="229"/>
      <c r="I144" s="13"/>
      <c r="J144" s="229"/>
      <c r="K144" s="13"/>
      <c r="L144" s="229"/>
      <c r="M144" s="13"/>
      <c r="N144" s="229"/>
      <c r="O144" s="13"/>
      <c r="P144" s="229"/>
      <c r="Q144" s="13"/>
      <c r="R144" s="229"/>
      <c r="S144" s="13"/>
      <c r="T144" s="229"/>
      <c r="U144" s="13"/>
      <c r="V144" s="229"/>
      <c r="W144" s="13"/>
      <c r="X144" s="229"/>
      <c r="Y144" s="13"/>
      <c r="Z144" s="229"/>
      <c r="AA144" s="13"/>
      <c r="AB144" s="229">
        <f t="shared" si="56"/>
        <v>0</v>
      </c>
      <c r="AC144" s="228">
        <f t="shared" si="57"/>
        <v>0</v>
      </c>
      <c r="AD144" s="19">
        <v>0</v>
      </c>
      <c r="AE144" s="229"/>
      <c r="AF144" s="20"/>
      <c r="AG144" s="229"/>
      <c r="AH144" s="20"/>
      <c r="AI144" s="229"/>
      <c r="AJ144" s="20"/>
      <c r="AK144" s="229"/>
      <c r="AL144" s="20"/>
      <c r="AM144" s="229"/>
      <c r="AN144" s="20"/>
      <c r="AO144" s="229"/>
      <c r="AP144" s="20"/>
      <c r="AQ144" s="229"/>
      <c r="AR144" s="20"/>
      <c r="AS144" s="229"/>
      <c r="AT144" s="20"/>
      <c r="AU144" s="229"/>
      <c r="AV144" s="20"/>
      <c r="AW144" s="229"/>
      <c r="AX144" s="20"/>
      <c r="AY144" s="229"/>
      <c r="AZ144" s="20"/>
      <c r="BA144" s="229"/>
      <c r="BB144" s="20"/>
      <c r="BC144" s="229">
        <f t="shared" si="58"/>
        <v>0</v>
      </c>
      <c r="BD144" s="48">
        <f t="shared" si="59"/>
        <v>0</v>
      </c>
      <c r="BE144" s="19">
        <v>1</v>
      </c>
      <c r="BF144" s="229">
        <f t="shared" si="64"/>
        <v>0</v>
      </c>
      <c r="BG144" s="210">
        <f t="shared" si="65"/>
        <v>0</v>
      </c>
      <c r="BH144" s="210">
        <f t="shared" si="66"/>
        <v>1</v>
      </c>
      <c r="BI144" s="213">
        <f t="shared" si="63"/>
        <v>0</v>
      </c>
      <c r="BJ144" s="141"/>
      <c r="BK144" s="201"/>
      <c r="BL144" s="198"/>
      <c r="BM144" s="198"/>
    </row>
    <row r="145" spans="1:65" s="17" customFormat="1" ht="15.95" customHeight="1">
      <c r="A145" s="123">
        <v>31</v>
      </c>
      <c r="B145" s="9" t="s">
        <v>2958</v>
      </c>
      <c r="C145" s="11" t="s">
        <v>2959</v>
      </c>
      <c r="D145" s="229"/>
      <c r="E145" s="13"/>
      <c r="F145" s="229"/>
      <c r="G145" s="13"/>
      <c r="H145" s="229"/>
      <c r="I145" s="13"/>
      <c r="J145" s="229"/>
      <c r="K145" s="13"/>
      <c r="L145" s="229"/>
      <c r="M145" s="13"/>
      <c r="N145" s="229"/>
      <c r="O145" s="13"/>
      <c r="P145" s="229"/>
      <c r="Q145" s="13"/>
      <c r="R145" s="229"/>
      <c r="S145" s="13"/>
      <c r="T145" s="229"/>
      <c r="U145" s="13">
        <v>1</v>
      </c>
      <c r="V145" s="229"/>
      <c r="W145" s="13"/>
      <c r="X145" s="229"/>
      <c r="Y145" s="13"/>
      <c r="Z145" s="229"/>
      <c r="AA145" s="13"/>
      <c r="AB145" s="229">
        <f t="shared" si="56"/>
        <v>0</v>
      </c>
      <c r="AC145" s="228">
        <f t="shared" si="57"/>
        <v>1</v>
      </c>
      <c r="AD145" s="19">
        <v>0</v>
      </c>
      <c r="AE145" s="229"/>
      <c r="AF145" s="20"/>
      <c r="AG145" s="229"/>
      <c r="AH145" s="20"/>
      <c r="AI145" s="229">
        <v>3</v>
      </c>
      <c r="AJ145" s="20">
        <v>3</v>
      </c>
      <c r="AK145" s="229"/>
      <c r="AL145" s="20"/>
      <c r="AM145" s="229"/>
      <c r="AN145" s="20"/>
      <c r="AO145" s="229">
        <v>1</v>
      </c>
      <c r="AP145" s="20">
        <v>1</v>
      </c>
      <c r="AQ145" s="229"/>
      <c r="AR145" s="20"/>
      <c r="AS145" s="229"/>
      <c r="AT145" s="20"/>
      <c r="AU145" s="229"/>
      <c r="AV145" s="20">
        <v>4</v>
      </c>
      <c r="AW145" s="229"/>
      <c r="AX145" s="20"/>
      <c r="AY145" s="229"/>
      <c r="AZ145" s="20"/>
      <c r="BA145" s="229"/>
      <c r="BB145" s="20">
        <v>5</v>
      </c>
      <c r="BC145" s="229">
        <f t="shared" si="58"/>
        <v>4</v>
      </c>
      <c r="BD145" s="48">
        <f t="shared" si="59"/>
        <v>13</v>
      </c>
      <c r="BE145" s="19">
        <v>0</v>
      </c>
      <c r="BF145" s="229">
        <f t="shared" si="64"/>
        <v>4</v>
      </c>
      <c r="BG145" s="210">
        <f t="shared" si="65"/>
        <v>14</v>
      </c>
      <c r="BH145" s="210">
        <f t="shared" si="66"/>
        <v>0</v>
      </c>
      <c r="BI145" s="213" t="e">
        <f t="shared" si="63"/>
        <v>#DIV/0!</v>
      </c>
      <c r="BJ145" s="141"/>
      <c r="BK145" s="201"/>
      <c r="BL145" s="198"/>
      <c r="BM145" s="198"/>
    </row>
    <row r="146" spans="1:65" s="17" customFormat="1" ht="15.95" customHeight="1">
      <c r="A146" s="123">
        <v>32</v>
      </c>
      <c r="B146" s="9" t="s">
        <v>114</v>
      </c>
      <c r="C146" s="11" t="s">
        <v>115</v>
      </c>
      <c r="D146" s="229"/>
      <c r="E146" s="13"/>
      <c r="F146" s="229"/>
      <c r="G146" s="13"/>
      <c r="H146" s="229"/>
      <c r="I146" s="13"/>
      <c r="J146" s="229"/>
      <c r="K146" s="13"/>
      <c r="L146" s="229"/>
      <c r="M146" s="13"/>
      <c r="N146" s="229"/>
      <c r="O146" s="13"/>
      <c r="P146" s="229"/>
      <c r="Q146" s="13"/>
      <c r="R146" s="229"/>
      <c r="S146" s="13"/>
      <c r="T146" s="229"/>
      <c r="U146" s="13"/>
      <c r="V146" s="229"/>
      <c r="W146" s="13"/>
      <c r="X146" s="229"/>
      <c r="Y146" s="13"/>
      <c r="Z146" s="229"/>
      <c r="AA146" s="13"/>
      <c r="AB146" s="229">
        <f t="shared" si="56"/>
        <v>0</v>
      </c>
      <c r="AC146" s="228">
        <f t="shared" si="57"/>
        <v>0</v>
      </c>
      <c r="AD146" s="21">
        <v>0</v>
      </c>
      <c r="AE146" s="229"/>
      <c r="AF146" s="20"/>
      <c r="AG146" s="229"/>
      <c r="AH146" s="20"/>
      <c r="AI146" s="229">
        <v>1</v>
      </c>
      <c r="AJ146" s="20">
        <v>1</v>
      </c>
      <c r="AK146" s="229"/>
      <c r="AL146" s="20"/>
      <c r="AM146" s="229"/>
      <c r="AN146" s="20"/>
      <c r="AO146" s="229">
        <v>6</v>
      </c>
      <c r="AP146" s="20">
        <v>6</v>
      </c>
      <c r="AQ146" s="229"/>
      <c r="AR146" s="20"/>
      <c r="AS146" s="229"/>
      <c r="AT146" s="20"/>
      <c r="AU146" s="229"/>
      <c r="AV146" s="20">
        <v>3</v>
      </c>
      <c r="AW146" s="229"/>
      <c r="AX146" s="20"/>
      <c r="AY146" s="229"/>
      <c r="AZ146" s="20"/>
      <c r="BA146" s="229"/>
      <c r="BB146" s="20">
        <v>8</v>
      </c>
      <c r="BC146" s="229">
        <f t="shared" si="58"/>
        <v>7</v>
      </c>
      <c r="BD146" s="48">
        <f t="shared" si="59"/>
        <v>18</v>
      </c>
      <c r="BE146" s="19">
        <v>16</v>
      </c>
      <c r="BF146" s="229">
        <f t="shared" si="64"/>
        <v>7</v>
      </c>
      <c r="BG146" s="210">
        <f t="shared" si="65"/>
        <v>18</v>
      </c>
      <c r="BH146" s="210">
        <f t="shared" si="66"/>
        <v>16</v>
      </c>
      <c r="BI146" s="213">
        <f t="shared" si="63"/>
        <v>112.5</v>
      </c>
      <c r="BJ146" s="141"/>
      <c r="BK146" s="201"/>
      <c r="BL146" s="198"/>
      <c r="BM146" s="198"/>
    </row>
    <row r="147" spans="1:65" s="17" customFormat="1" ht="23.25" customHeight="1">
      <c r="A147" s="123">
        <v>33</v>
      </c>
      <c r="B147" s="9" t="s">
        <v>2960</v>
      </c>
      <c r="C147" s="309" t="s">
        <v>2961</v>
      </c>
      <c r="D147" s="229"/>
      <c r="E147" s="13"/>
      <c r="F147" s="229"/>
      <c r="G147" s="13"/>
      <c r="H147" s="229"/>
      <c r="I147" s="13"/>
      <c r="J147" s="229"/>
      <c r="K147" s="13"/>
      <c r="L147" s="229"/>
      <c r="M147" s="13"/>
      <c r="N147" s="229"/>
      <c r="O147" s="13"/>
      <c r="P147" s="229"/>
      <c r="Q147" s="13"/>
      <c r="R147" s="229"/>
      <c r="S147" s="13"/>
      <c r="T147" s="229"/>
      <c r="U147" s="13"/>
      <c r="V147" s="229"/>
      <c r="W147" s="13"/>
      <c r="X147" s="229"/>
      <c r="Y147" s="13"/>
      <c r="Z147" s="229"/>
      <c r="AA147" s="13"/>
      <c r="AB147" s="229">
        <f t="shared" si="56"/>
        <v>0</v>
      </c>
      <c r="AC147" s="228">
        <f t="shared" si="57"/>
        <v>0</v>
      </c>
      <c r="AD147" s="21">
        <v>0</v>
      </c>
      <c r="AE147" s="229"/>
      <c r="AF147" s="20"/>
      <c r="AG147" s="229"/>
      <c r="AH147" s="20"/>
      <c r="AI147" s="229">
        <v>1</v>
      </c>
      <c r="AJ147" s="20">
        <v>1</v>
      </c>
      <c r="AK147" s="229"/>
      <c r="AL147" s="20"/>
      <c r="AM147" s="229"/>
      <c r="AN147" s="20"/>
      <c r="AO147" s="229"/>
      <c r="AP147" s="20"/>
      <c r="AQ147" s="229"/>
      <c r="AR147" s="20"/>
      <c r="AS147" s="229"/>
      <c r="AT147" s="20"/>
      <c r="AU147" s="229"/>
      <c r="AV147" s="20"/>
      <c r="AW147" s="229"/>
      <c r="AX147" s="20"/>
      <c r="AY147" s="229"/>
      <c r="AZ147" s="20"/>
      <c r="BA147" s="229"/>
      <c r="BB147" s="20"/>
      <c r="BC147" s="229">
        <f t="shared" si="58"/>
        <v>1</v>
      </c>
      <c r="BD147" s="48">
        <f t="shared" si="59"/>
        <v>1</v>
      </c>
      <c r="BE147" s="19">
        <v>0</v>
      </c>
      <c r="BF147" s="229">
        <f t="shared" si="64"/>
        <v>1</v>
      </c>
      <c r="BG147" s="210">
        <f t="shared" si="65"/>
        <v>1</v>
      </c>
      <c r="BH147" s="210">
        <f t="shared" si="66"/>
        <v>0</v>
      </c>
      <c r="BI147" s="213" t="e">
        <f t="shared" si="63"/>
        <v>#DIV/0!</v>
      </c>
      <c r="BJ147" s="141"/>
      <c r="BK147" s="201"/>
      <c r="BL147" s="198"/>
      <c r="BM147" s="198"/>
    </row>
    <row r="148" spans="1:65" s="17" customFormat="1" ht="15.95" customHeight="1">
      <c r="A148" s="123">
        <v>34</v>
      </c>
      <c r="B148" s="9" t="s">
        <v>407</v>
      </c>
      <c r="C148" s="11" t="s">
        <v>408</v>
      </c>
      <c r="D148" s="229"/>
      <c r="E148" s="13"/>
      <c r="F148" s="229"/>
      <c r="G148" s="13"/>
      <c r="H148" s="229"/>
      <c r="I148" s="13"/>
      <c r="J148" s="229"/>
      <c r="K148" s="13"/>
      <c r="L148" s="229"/>
      <c r="M148" s="13"/>
      <c r="N148" s="229"/>
      <c r="O148" s="13"/>
      <c r="P148" s="229"/>
      <c r="Q148" s="13"/>
      <c r="R148" s="229"/>
      <c r="S148" s="13"/>
      <c r="T148" s="229"/>
      <c r="U148" s="13"/>
      <c r="V148" s="229"/>
      <c r="W148" s="13"/>
      <c r="X148" s="229"/>
      <c r="Y148" s="13"/>
      <c r="Z148" s="229"/>
      <c r="AA148" s="13"/>
      <c r="AB148" s="229">
        <f t="shared" si="56"/>
        <v>0</v>
      </c>
      <c r="AC148" s="228">
        <f t="shared" si="57"/>
        <v>0</v>
      </c>
      <c r="AD148" s="21">
        <v>0</v>
      </c>
      <c r="AE148" s="229"/>
      <c r="AF148" s="20"/>
      <c r="AG148" s="229"/>
      <c r="AH148" s="20"/>
      <c r="AI148" s="229"/>
      <c r="AJ148" s="20"/>
      <c r="AK148" s="229"/>
      <c r="AL148" s="20"/>
      <c r="AM148" s="229"/>
      <c r="AN148" s="20"/>
      <c r="AO148" s="229"/>
      <c r="AP148" s="20"/>
      <c r="AQ148" s="229"/>
      <c r="AR148" s="20"/>
      <c r="AS148" s="229"/>
      <c r="AT148" s="20"/>
      <c r="AU148" s="229"/>
      <c r="AV148" s="20"/>
      <c r="AW148" s="229"/>
      <c r="AX148" s="20"/>
      <c r="AY148" s="229"/>
      <c r="AZ148" s="20"/>
      <c r="BA148" s="229"/>
      <c r="BB148" s="20">
        <v>2</v>
      </c>
      <c r="BC148" s="229">
        <f t="shared" si="58"/>
        <v>0</v>
      </c>
      <c r="BD148" s="48">
        <f t="shared" si="59"/>
        <v>2</v>
      </c>
      <c r="BE148" s="19">
        <v>1</v>
      </c>
      <c r="BF148" s="229">
        <f t="shared" si="64"/>
        <v>0</v>
      </c>
      <c r="BG148" s="210">
        <f t="shared" si="65"/>
        <v>2</v>
      </c>
      <c r="BH148" s="210">
        <f t="shared" si="66"/>
        <v>1</v>
      </c>
      <c r="BI148" s="213">
        <f t="shared" si="63"/>
        <v>200</v>
      </c>
      <c r="BJ148" s="141"/>
      <c r="BK148" s="201"/>
      <c r="BL148" s="198"/>
      <c r="BM148" s="198"/>
    </row>
    <row r="149" spans="1:65" s="17" customFormat="1" ht="15.95" customHeight="1">
      <c r="A149" s="123">
        <v>35</v>
      </c>
      <c r="B149" s="9" t="s">
        <v>3062</v>
      </c>
      <c r="C149" s="11" t="s">
        <v>3063</v>
      </c>
      <c r="D149" s="229"/>
      <c r="E149" s="13"/>
      <c r="F149" s="229"/>
      <c r="G149" s="13"/>
      <c r="H149" s="229"/>
      <c r="I149" s="13"/>
      <c r="J149" s="229"/>
      <c r="K149" s="13"/>
      <c r="L149" s="229"/>
      <c r="M149" s="13"/>
      <c r="N149" s="229"/>
      <c r="O149" s="13"/>
      <c r="P149" s="229"/>
      <c r="Q149" s="13"/>
      <c r="R149" s="229"/>
      <c r="S149" s="13"/>
      <c r="T149" s="229"/>
      <c r="U149" s="13"/>
      <c r="V149" s="229"/>
      <c r="W149" s="13"/>
      <c r="X149" s="229"/>
      <c r="Y149" s="13"/>
      <c r="Z149" s="229"/>
      <c r="AA149" s="13"/>
      <c r="AB149" s="229"/>
      <c r="AC149" s="228">
        <f t="shared" ref="AC149:AC212" si="67">E149+G149+I149+K149+M149+O149+Q149+S149+U149+W149+Y149+AA149</f>
        <v>0</v>
      </c>
      <c r="AD149" s="21">
        <v>0</v>
      </c>
      <c r="AE149" s="229"/>
      <c r="AF149" s="20"/>
      <c r="AG149" s="229"/>
      <c r="AH149" s="20"/>
      <c r="AI149" s="229"/>
      <c r="AJ149" s="20"/>
      <c r="AK149" s="229"/>
      <c r="AL149" s="20"/>
      <c r="AM149" s="229"/>
      <c r="AN149" s="20"/>
      <c r="AO149" s="229"/>
      <c r="AP149" s="20">
        <v>1</v>
      </c>
      <c r="AQ149" s="229"/>
      <c r="AR149" s="20"/>
      <c r="AS149" s="229"/>
      <c r="AT149" s="20"/>
      <c r="AU149" s="229"/>
      <c r="AV149" s="20">
        <v>1</v>
      </c>
      <c r="AW149" s="229"/>
      <c r="AX149" s="20"/>
      <c r="AY149" s="229"/>
      <c r="AZ149" s="20"/>
      <c r="BA149" s="229"/>
      <c r="BB149" s="20"/>
      <c r="BC149" s="229"/>
      <c r="BD149" s="48">
        <f t="shared" ref="BD149:BD212" si="68">AF149+AH149+AJ149+AL149+AN149+AP149+AR149+AT149+AV149+AX149+AZ149+BB149</f>
        <v>2</v>
      </c>
      <c r="BE149" s="19">
        <v>0</v>
      </c>
      <c r="BF149" s="229"/>
      <c r="BG149" s="210">
        <f t="shared" ref="BG149:BG212" si="69">AC149+BD149</f>
        <v>2</v>
      </c>
      <c r="BH149" s="210">
        <f t="shared" si="66"/>
        <v>0</v>
      </c>
      <c r="BI149" s="213" t="e">
        <f t="shared" si="63"/>
        <v>#DIV/0!</v>
      </c>
      <c r="BJ149" s="141"/>
      <c r="BK149" s="201"/>
      <c r="BL149" s="198"/>
      <c r="BM149" s="198"/>
    </row>
    <row r="150" spans="1:65" s="17" customFormat="1" ht="15.95" customHeight="1">
      <c r="A150" s="123">
        <v>36</v>
      </c>
      <c r="B150" s="9" t="s">
        <v>2962</v>
      </c>
      <c r="C150" s="11" t="s">
        <v>2963</v>
      </c>
      <c r="D150" s="229"/>
      <c r="E150" s="13"/>
      <c r="F150" s="229"/>
      <c r="G150" s="13"/>
      <c r="H150" s="229"/>
      <c r="I150" s="13"/>
      <c r="J150" s="229"/>
      <c r="K150" s="13"/>
      <c r="L150" s="229"/>
      <c r="M150" s="13"/>
      <c r="N150" s="229"/>
      <c r="O150" s="13"/>
      <c r="P150" s="229"/>
      <c r="Q150" s="13"/>
      <c r="R150" s="229"/>
      <c r="S150" s="13"/>
      <c r="T150" s="229"/>
      <c r="U150" s="13"/>
      <c r="V150" s="229"/>
      <c r="W150" s="13"/>
      <c r="X150" s="229"/>
      <c r="Y150" s="13"/>
      <c r="Z150" s="229"/>
      <c r="AA150" s="13"/>
      <c r="AB150" s="229">
        <f t="shared" ref="AB150:AB196" si="70">D150+F150+H150+J150+L150+N150+P150+R150+T150+V150+X150+Z150</f>
        <v>0</v>
      </c>
      <c r="AC150" s="228">
        <f t="shared" si="67"/>
        <v>0</v>
      </c>
      <c r="AD150" s="21">
        <v>0</v>
      </c>
      <c r="AE150" s="229"/>
      <c r="AF150" s="20"/>
      <c r="AG150" s="229"/>
      <c r="AH150" s="20"/>
      <c r="AI150" s="229">
        <v>2</v>
      </c>
      <c r="AJ150" s="20">
        <v>3</v>
      </c>
      <c r="AK150" s="229"/>
      <c r="AL150" s="20"/>
      <c r="AM150" s="229"/>
      <c r="AN150" s="20"/>
      <c r="AO150" s="229">
        <v>1</v>
      </c>
      <c r="AP150" s="20">
        <v>1</v>
      </c>
      <c r="AQ150" s="229"/>
      <c r="AR150" s="20"/>
      <c r="AS150" s="229"/>
      <c r="AT150" s="20"/>
      <c r="AU150" s="229"/>
      <c r="AV150" s="20"/>
      <c r="AW150" s="229"/>
      <c r="AX150" s="20"/>
      <c r="AY150" s="229"/>
      <c r="AZ150" s="20"/>
      <c r="BA150" s="229"/>
      <c r="BB150" s="20"/>
      <c r="BC150" s="229">
        <f t="shared" ref="BC150:BC196" si="71">AE150+AG150+AI150+AK150+AM150+AO150+AQ150+AS150+AU150+AW150+AY150+BA150</f>
        <v>3</v>
      </c>
      <c r="BD150" s="48">
        <f t="shared" si="68"/>
        <v>4</v>
      </c>
      <c r="BE150" s="19">
        <v>0</v>
      </c>
      <c r="BF150" s="229">
        <f t="shared" ref="BF150:BF196" si="72">AB150+BC150</f>
        <v>3</v>
      </c>
      <c r="BG150" s="210">
        <f t="shared" si="69"/>
        <v>4</v>
      </c>
      <c r="BH150" s="210">
        <f t="shared" si="66"/>
        <v>0</v>
      </c>
      <c r="BI150" s="213" t="e">
        <f t="shared" si="63"/>
        <v>#DIV/0!</v>
      </c>
      <c r="BJ150" s="141"/>
      <c r="BK150" s="201"/>
      <c r="BL150" s="198"/>
      <c r="BM150" s="198"/>
    </row>
    <row r="151" spans="1:65" s="17" customFormat="1" ht="15.95" customHeight="1">
      <c r="A151" s="123">
        <v>37</v>
      </c>
      <c r="B151" s="9" t="s">
        <v>1750</v>
      </c>
      <c r="C151" s="11" t="s">
        <v>1751</v>
      </c>
      <c r="D151" s="229"/>
      <c r="E151" s="13"/>
      <c r="F151" s="229"/>
      <c r="G151" s="13"/>
      <c r="H151" s="229"/>
      <c r="I151" s="13"/>
      <c r="J151" s="229"/>
      <c r="K151" s="13"/>
      <c r="L151" s="229"/>
      <c r="M151" s="13"/>
      <c r="N151" s="229"/>
      <c r="O151" s="13"/>
      <c r="P151" s="229"/>
      <c r="Q151" s="13"/>
      <c r="R151" s="229"/>
      <c r="S151" s="13"/>
      <c r="T151" s="229"/>
      <c r="U151" s="13"/>
      <c r="V151" s="229"/>
      <c r="W151" s="13"/>
      <c r="X151" s="229"/>
      <c r="Y151" s="13"/>
      <c r="Z151" s="229"/>
      <c r="AA151" s="13"/>
      <c r="AB151" s="229">
        <f t="shared" si="70"/>
        <v>0</v>
      </c>
      <c r="AC151" s="228">
        <f t="shared" si="67"/>
        <v>0</v>
      </c>
      <c r="AD151" s="21">
        <v>0</v>
      </c>
      <c r="AE151" s="229"/>
      <c r="AF151" s="20"/>
      <c r="AG151" s="229"/>
      <c r="AH151" s="20"/>
      <c r="AI151" s="229"/>
      <c r="AJ151" s="20"/>
      <c r="AK151" s="229"/>
      <c r="AL151" s="20"/>
      <c r="AM151" s="229"/>
      <c r="AN151" s="20"/>
      <c r="AO151" s="229"/>
      <c r="AP151" s="20"/>
      <c r="AQ151" s="229"/>
      <c r="AR151" s="20"/>
      <c r="AS151" s="229"/>
      <c r="AT151" s="20"/>
      <c r="AU151" s="229"/>
      <c r="AV151" s="20"/>
      <c r="AW151" s="229"/>
      <c r="AX151" s="20"/>
      <c r="AY151" s="229"/>
      <c r="AZ151" s="20"/>
      <c r="BA151" s="229"/>
      <c r="BB151" s="20"/>
      <c r="BC151" s="229">
        <f t="shared" si="71"/>
        <v>0</v>
      </c>
      <c r="BD151" s="48">
        <f t="shared" si="68"/>
        <v>0</v>
      </c>
      <c r="BE151" s="19">
        <v>2</v>
      </c>
      <c r="BF151" s="229">
        <f t="shared" si="72"/>
        <v>0</v>
      </c>
      <c r="BG151" s="210">
        <f t="shared" si="69"/>
        <v>0</v>
      </c>
      <c r="BH151" s="210">
        <f t="shared" si="66"/>
        <v>2</v>
      </c>
      <c r="BI151" s="213">
        <f t="shared" si="63"/>
        <v>0</v>
      </c>
      <c r="BJ151" s="141"/>
      <c r="BK151" s="201"/>
      <c r="BL151" s="198"/>
      <c r="BM151" s="198"/>
    </row>
    <row r="152" spans="1:65" s="17" customFormat="1" ht="15.95" customHeight="1">
      <c r="A152" s="123">
        <v>38</v>
      </c>
      <c r="B152" s="9" t="s">
        <v>751</v>
      </c>
      <c r="C152" s="11" t="s">
        <v>752</v>
      </c>
      <c r="D152" s="229"/>
      <c r="E152" s="13"/>
      <c r="F152" s="229"/>
      <c r="G152" s="13"/>
      <c r="H152" s="229"/>
      <c r="I152" s="13"/>
      <c r="J152" s="229"/>
      <c r="K152" s="13"/>
      <c r="L152" s="229"/>
      <c r="M152" s="13"/>
      <c r="N152" s="229"/>
      <c r="O152" s="13"/>
      <c r="P152" s="229"/>
      <c r="Q152" s="13"/>
      <c r="R152" s="229"/>
      <c r="S152" s="13"/>
      <c r="T152" s="229"/>
      <c r="U152" s="13"/>
      <c r="V152" s="229"/>
      <c r="W152" s="13"/>
      <c r="X152" s="229"/>
      <c r="Y152" s="13"/>
      <c r="Z152" s="229"/>
      <c r="AA152" s="13"/>
      <c r="AB152" s="229">
        <f t="shared" si="70"/>
        <v>0</v>
      </c>
      <c r="AC152" s="228">
        <f t="shared" si="67"/>
        <v>0</v>
      </c>
      <c r="AD152" s="21">
        <v>0</v>
      </c>
      <c r="AE152" s="229"/>
      <c r="AF152" s="20"/>
      <c r="AG152" s="229"/>
      <c r="AH152" s="20"/>
      <c r="AI152" s="229"/>
      <c r="AJ152" s="20"/>
      <c r="AK152" s="229"/>
      <c r="AL152" s="20"/>
      <c r="AM152" s="229"/>
      <c r="AN152" s="20"/>
      <c r="AO152" s="229"/>
      <c r="AP152" s="20"/>
      <c r="AQ152" s="229"/>
      <c r="AR152" s="20"/>
      <c r="AS152" s="229"/>
      <c r="AT152" s="20"/>
      <c r="AU152" s="229"/>
      <c r="AV152" s="20">
        <v>1</v>
      </c>
      <c r="AW152" s="229"/>
      <c r="AX152" s="20"/>
      <c r="AY152" s="229"/>
      <c r="AZ152" s="20"/>
      <c r="BA152" s="229"/>
      <c r="BB152" s="20"/>
      <c r="BC152" s="229">
        <f t="shared" si="71"/>
        <v>0</v>
      </c>
      <c r="BD152" s="48">
        <f t="shared" si="68"/>
        <v>1</v>
      </c>
      <c r="BE152" s="19">
        <v>1</v>
      </c>
      <c r="BF152" s="229">
        <f t="shared" si="72"/>
        <v>0</v>
      </c>
      <c r="BG152" s="210">
        <f t="shared" si="69"/>
        <v>1</v>
      </c>
      <c r="BH152" s="210">
        <f t="shared" si="66"/>
        <v>1</v>
      </c>
      <c r="BI152" s="213">
        <f t="shared" si="63"/>
        <v>100</v>
      </c>
      <c r="BJ152" s="141"/>
      <c r="BK152" s="201"/>
      <c r="BL152" s="198"/>
      <c r="BM152" s="198"/>
    </row>
    <row r="153" spans="1:65" s="17" customFormat="1" ht="15.95" customHeight="1">
      <c r="A153" s="123">
        <v>39</v>
      </c>
      <c r="B153" s="9" t="s">
        <v>753</v>
      </c>
      <c r="C153" s="11" t="s">
        <v>754</v>
      </c>
      <c r="D153" s="229"/>
      <c r="E153" s="13"/>
      <c r="F153" s="229"/>
      <c r="G153" s="13"/>
      <c r="H153" s="229"/>
      <c r="I153" s="13"/>
      <c r="J153" s="229"/>
      <c r="K153" s="13"/>
      <c r="L153" s="229"/>
      <c r="M153" s="13"/>
      <c r="N153" s="229"/>
      <c r="O153" s="13"/>
      <c r="P153" s="229"/>
      <c r="Q153" s="13"/>
      <c r="R153" s="229"/>
      <c r="S153" s="13"/>
      <c r="T153" s="229"/>
      <c r="U153" s="13"/>
      <c r="V153" s="229"/>
      <c r="W153" s="13"/>
      <c r="X153" s="229"/>
      <c r="Y153" s="13"/>
      <c r="Z153" s="229"/>
      <c r="AA153" s="13"/>
      <c r="AB153" s="229">
        <f t="shared" si="70"/>
        <v>0</v>
      </c>
      <c r="AC153" s="228">
        <f t="shared" si="67"/>
        <v>0</v>
      </c>
      <c r="AD153" s="19">
        <v>0</v>
      </c>
      <c r="AE153" s="229"/>
      <c r="AF153" s="20"/>
      <c r="AG153" s="229"/>
      <c r="AH153" s="20"/>
      <c r="AI153" s="229"/>
      <c r="AJ153" s="20"/>
      <c r="AK153" s="229"/>
      <c r="AL153" s="20"/>
      <c r="AM153" s="229"/>
      <c r="AN153" s="20"/>
      <c r="AO153" s="229"/>
      <c r="AP153" s="20"/>
      <c r="AQ153" s="229"/>
      <c r="AR153" s="20"/>
      <c r="AS153" s="229"/>
      <c r="AT153" s="20"/>
      <c r="AU153" s="229"/>
      <c r="AV153" s="20"/>
      <c r="AW153" s="229"/>
      <c r="AX153" s="20"/>
      <c r="AY153" s="229"/>
      <c r="AZ153" s="20"/>
      <c r="BA153" s="229"/>
      <c r="BB153" s="20"/>
      <c r="BC153" s="229">
        <f t="shared" si="71"/>
        <v>0</v>
      </c>
      <c r="BD153" s="48">
        <f t="shared" si="68"/>
        <v>0</v>
      </c>
      <c r="BE153" s="19">
        <v>1</v>
      </c>
      <c r="BF153" s="229">
        <f t="shared" si="72"/>
        <v>0</v>
      </c>
      <c r="BG153" s="210">
        <f t="shared" si="69"/>
        <v>0</v>
      </c>
      <c r="BH153" s="210">
        <f t="shared" si="66"/>
        <v>1</v>
      </c>
      <c r="BI153" s="213">
        <f t="shared" si="63"/>
        <v>0</v>
      </c>
      <c r="BJ153" s="141"/>
      <c r="BK153" s="201"/>
      <c r="BL153" s="198"/>
      <c r="BM153" s="198"/>
    </row>
    <row r="154" spans="1:65" s="17" customFormat="1" ht="15.95" customHeight="1">
      <c r="A154" s="123">
        <v>40</v>
      </c>
      <c r="B154" s="9" t="s">
        <v>1623</v>
      </c>
      <c r="C154" s="11" t="s">
        <v>1627</v>
      </c>
      <c r="D154" s="229"/>
      <c r="E154" s="13"/>
      <c r="F154" s="229"/>
      <c r="G154" s="13"/>
      <c r="H154" s="229"/>
      <c r="I154" s="13"/>
      <c r="J154" s="229"/>
      <c r="K154" s="13"/>
      <c r="L154" s="229"/>
      <c r="M154" s="13"/>
      <c r="N154" s="229"/>
      <c r="O154" s="13"/>
      <c r="P154" s="229"/>
      <c r="Q154" s="13"/>
      <c r="R154" s="229"/>
      <c r="S154" s="13"/>
      <c r="T154" s="229"/>
      <c r="U154" s="13"/>
      <c r="V154" s="229"/>
      <c r="W154" s="13"/>
      <c r="X154" s="229"/>
      <c r="Y154" s="13"/>
      <c r="Z154" s="229"/>
      <c r="AA154" s="13"/>
      <c r="AB154" s="229">
        <f t="shared" si="70"/>
        <v>0</v>
      </c>
      <c r="AC154" s="228">
        <f t="shared" si="67"/>
        <v>0</v>
      </c>
      <c r="AD154" s="21">
        <v>0</v>
      </c>
      <c r="AE154" s="229"/>
      <c r="AF154" s="20"/>
      <c r="AG154" s="229"/>
      <c r="AH154" s="20"/>
      <c r="AI154" s="229"/>
      <c r="AJ154" s="20"/>
      <c r="AK154" s="229"/>
      <c r="AL154" s="20"/>
      <c r="AM154" s="229"/>
      <c r="AN154" s="20"/>
      <c r="AO154" s="229">
        <v>1</v>
      </c>
      <c r="AP154" s="20">
        <v>1</v>
      </c>
      <c r="AQ154" s="229"/>
      <c r="AR154" s="20"/>
      <c r="AS154" s="229"/>
      <c r="AT154" s="20"/>
      <c r="AU154" s="229"/>
      <c r="AV154" s="20">
        <v>1</v>
      </c>
      <c r="AW154" s="229"/>
      <c r="AX154" s="20"/>
      <c r="AY154" s="229"/>
      <c r="AZ154" s="20"/>
      <c r="BA154" s="229"/>
      <c r="BB154" s="20"/>
      <c r="BC154" s="229">
        <f t="shared" si="71"/>
        <v>1</v>
      </c>
      <c r="BD154" s="48">
        <f t="shared" si="68"/>
        <v>2</v>
      </c>
      <c r="BE154" s="19">
        <v>1</v>
      </c>
      <c r="BF154" s="229">
        <f t="shared" si="72"/>
        <v>1</v>
      </c>
      <c r="BG154" s="210">
        <f t="shared" si="69"/>
        <v>2</v>
      </c>
      <c r="BH154" s="210">
        <f t="shared" si="66"/>
        <v>1</v>
      </c>
      <c r="BI154" s="213">
        <f t="shared" si="63"/>
        <v>200</v>
      </c>
      <c r="BJ154" s="141"/>
      <c r="BK154" s="201"/>
      <c r="BL154" s="198"/>
      <c r="BM154" s="198"/>
    </row>
    <row r="155" spans="1:65" s="17" customFormat="1" ht="15.95" customHeight="1">
      <c r="A155" s="123">
        <v>41</v>
      </c>
      <c r="B155" s="9" t="s">
        <v>1408</v>
      </c>
      <c r="C155" s="11" t="s">
        <v>1409</v>
      </c>
      <c r="D155" s="229"/>
      <c r="E155" s="13"/>
      <c r="F155" s="229"/>
      <c r="G155" s="13"/>
      <c r="H155" s="229"/>
      <c r="I155" s="13"/>
      <c r="J155" s="229"/>
      <c r="K155" s="13"/>
      <c r="L155" s="229"/>
      <c r="M155" s="13"/>
      <c r="N155" s="229"/>
      <c r="O155" s="13"/>
      <c r="P155" s="229"/>
      <c r="Q155" s="13"/>
      <c r="R155" s="229"/>
      <c r="S155" s="13"/>
      <c r="T155" s="229"/>
      <c r="U155" s="13"/>
      <c r="V155" s="229"/>
      <c r="W155" s="13"/>
      <c r="X155" s="229"/>
      <c r="Y155" s="13"/>
      <c r="Z155" s="229"/>
      <c r="AA155" s="13"/>
      <c r="AB155" s="229">
        <f t="shared" si="70"/>
        <v>0</v>
      </c>
      <c r="AC155" s="228">
        <f t="shared" si="67"/>
        <v>0</v>
      </c>
      <c r="AD155" s="19">
        <v>0</v>
      </c>
      <c r="AE155" s="229"/>
      <c r="AF155" s="20"/>
      <c r="AG155" s="229"/>
      <c r="AH155" s="20"/>
      <c r="AI155" s="229">
        <v>6</v>
      </c>
      <c r="AJ155" s="20">
        <v>6</v>
      </c>
      <c r="AK155" s="229"/>
      <c r="AL155" s="20"/>
      <c r="AM155" s="229"/>
      <c r="AN155" s="20"/>
      <c r="AO155" s="229">
        <v>4</v>
      </c>
      <c r="AP155" s="20">
        <v>4</v>
      </c>
      <c r="AQ155" s="229"/>
      <c r="AR155" s="20"/>
      <c r="AS155" s="229"/>
      <c r="AT155" s="20"/>
      <c r="AU155" s="229"/>
      <c r="AV155" s="20">
        <v>6</v>
      </c>
      <c r="AW155" s="229"/>
      <c r="AX155" s="20"/>
      <c r="AY155" s="229"/>
      <c r="AZ155" s="20"/>
      <c r="BA155" s="229"/>
      <c r="BB155" s="20">
        <v>5</v>
      </c>
      <c r="BC155" s="229">
        <f t="shared" si="71"/>
        <v>10</v>
      </c>
      <c r="BD155" s="48">
        <f t="shared" si="68"/>
        <v>21</v>
      </c>
      <c r="BE155" s="19">
        <v>10</v>
      </c>
      <c r="BF155" s="229">
        <f t="shared" si="72"/>
        <v>10</v>
      </c>
      <c r="BG155" s="210">
        <f t="shared" si="69"/>
        <v>21</v>
      </c>
      <c r="BH155" s="210">
        <f t="shared" si="66"/>
        <v>10</v>
      </c>
      <c r="BI155" s="213">
        <f t="shared" si="63"/>
        <v>210</v>
      </c>
      <c r="BJ155" s="141"/>
      <c r="BK155" s="201"/>
      <c r="BL155" s="198"/>
      <c r="BM155" s="198"/>
    </row>
    <row r="156" spans="1:65" s="17" customFormat="1" ht="15.95" customHeight="1">
      <c r="A156" s="123">
        <v>42</v>
      </c>
      <c r="B156" s="9" t="s">
        <v>26</v>
      </c>
      <c r="C156" s="11" t="s">
        <v>27</v>
      </c>
      <c r="D156" s="229"/>
      <c r="E156" s="13"/>
      <c r="F156" s="229"/>
      <c r="G156" s="13"/>
      <c r="H156" s="229"/>
      <c r="I156" s="13"/>
      <c r="J156" s="229"/>
      <c r="K156" s="13"/>
      <c r="L156" s="229"/>
      <c r="M156" s="13"/>
      <c r="N156" s="229"/>
      <c r="O156" s="13"/>
      <c r="P156" s="229"/>
      <c r="Q156" s="13"/>
      <c r="R156" s="229"/>
      <c r="S156" s="13"/>
      <c r="T156" s="229"/>
      <c r="U156" s="13"/>
      <c r="V156" s="229"/>
      <c r="W156" s="13"/>
      <c r="X156" s="229"/>
      <c r="Y156" s="13"/>
      <c r="Z156" s="229"/>
      <c r="AA156" s="13"/>
      <c r="AB156" s="229">
        <f t="shared" si="70"/>
        <v>0</v>
      </c>
      <c r="AC156" s="228">
        <f t="shared" si="67"/>
        <v>0</v>
      </c>
      <c r="AD156" s="21">
        <v>0</v>
      </c>
      <c r="AE156" s="229"/>
      <c r="AF156" s="20"/>
      <c r="AG156" s="229"/>
      <c r="AH156" s="20"/>
      <c r="AI156" s="229">
        <v>17</v>
      </c>
      <c r="AJ156" s="20">
        <v>17</v>
      </c>
      <c r="AK156" s="229"/>
      <c r="AL156" s="20"/>
      <c r="AM156" s="229"/>
      <c r="AN156" s="20"/>
      <c r="AO156" s="229">
        <v>13</v>
      </c>
      <c r="AP156" s="20">
        <v>13</v>
      </c>
      <c r="AQ156" s="229"/>
      <c r="AR156" s="20"/>
      <c r="AS156" s="229"/>
      <c r="AT156" s="20"/>
      <c r="AU156" s="229"/>
      <c r="AV156" s="20">
        <v>12</v>
      </c>
      <c r="AW156" s="229"/>
      <c r="AX156" s="20"/>
      <c r="AY156" s="229"/>
      <c r="AZ156" s="20"/>
      <c r="BA156" s="229"/>
      <c r="BB156" s="20">
        <v>24</v>
      </c>
      <c r="BC156" s="229">
        <f t="shared" si="71"/>
        <v>30</v>
      </c>
      <c r="BD156" s="48">
        <f t="shared" si="68"/>
        <v>66</v>
      </c>
      <c r="BE156" s="19">
        <v>80</v>
      </c>
      <c r="BF156" s="229">
        <f t="shared" si="72"/>
        <v>30</v>
      </c>
      <c r="BG156" s="210">
        <f t="shared" si="69"/>
        <v>66</v>
      </c>
      <c r="BH156" s="210">
        <f t="shared" si="66"/>
        <v>80</v>
      </c>
      <c r="BI156" s="213">
        <f t="shared" si="63"/>
        <v>82.5</v>
      </c>
      <c r="BJ156" s="141"/>
      <c r="BK156" s="201"/>
      <c r="BL156" s="198"/>
      <c r="BM156" s="198"/>
    </row>
    <row r="157" spans="1:65" s="17" customFormat="1" ht="15.95" customHeight="1">
      <c r="A157" s="123">
        <v>43</v>
      </c>
      <c r="B157" s="9" t="s">
        <v>957</v>
      </c>
      <c r="C157" s="11" t="s">
        <v>958</v>
      </c>
      <c r="D157" s="229"/>
      <c r="E157" s="13"/>
      <c r="F157" s="229"/>
      <c r="G157" s="13"/>
      <c r="H157" s="229"/>
      <c r="I157" s="13"/>
      <c r="J157" s="229"/>
      <c r="K157" s="13"/>
      <c r="L157" s="229"/>
      <c r="M157" s="13"/>
      <c r="N157" s="229"/>
      <c r="O157" s="13"/>
      <c r="P157" s="229"/>
      <c r="Q157" s="13"/>
      <c r="R157" s="229"/>
      <c r="S157" s="13"/>
      <c r="T157" s="229"/>
      <c r="U157" s="13"/>
      <c r="V157" s="229"/>
      <c r="W157" s="13"/>
      <c r="X157" s="229"/>
      <c r="Y157" s="13"/>
      <c r="Z157" s="229"/>
      <c r="AA157" s="13"/>
      <c r="AB157" s="229">
        <f t="shared" si="70"/>
        <v>0</v>
      </c>
      <c r="AC157" s="228">
        <f t="shared" si="67"/>
        <v>0</v>
      </c>
      <c r="AD157" s="19">
        <v>0</v>
      </c>
      <c r="AE157" s="229"/>
      <c r="AF157" s="20"/>
      <c r="AG157" s="229"/>
      <c r="AH157" s="20"/>
      <c r="AI157" s="229">
        <v>2</v>
      </c>
      <c r="AJ157" s="20">
        <v>2</v>
      </c>
      <c r="AK157" s="229"/>
      <c r="AL157" s="20"/>
      <c r="AM157" s="229"/>
      <c r="AN157" s="20"/>
      <c r="AO157" s="229"/>
      <c r="AP157" s="20"/>
      <c r="AQ157" s="229"/>
      <c r="AR157" s="20"/>
      <c r="AS157" s="229"/>
      <c r="AT157" s="20"/>
      <c r="AU157" s="229"/>
      <c r="AV157" s="20"/>
      <c r="AW157" s="229"/>
      <c r="AX157" s="20"/>
      <c r="AY157" s="229"/>
      <c r="AZ157" s="20"/>
      <c r="BA157" s="229"/>
      <c r="BB157" s="20"/>
      <c r="BC157" s="229">
        <f t="shared" si="71"/>
        <v>2</v>
      </c>
      <c r="BD157" s="48">
        <f t="shared" si="68"/>
        <v>2</v>
      </c>
      <c r="BE157" s="19">
        <v>5</v>
      </c>
      <c r="BF157" s="229">
        <f t="shared" si="72"/>
        <v>2</v>
      </c>
      <c r="BG157" s="210">
        <f t="shared" si="69"/>
        <v>2</v>
      </c>
      <c r="BH157" s="210">
        <f t="shared" si="66"/>
        <v>5</v>
      </c>
      <c r="BI157" s="213">
        <f t="shared" si="63"/>
        <v>40</v>
      </c>
      <c r="BJ157" s="141"/>
      <c r="BK157" s="201"/>
      <c r="BL157" s="198"/>
      <c r="BM157" s="198"/>
    </row>
    <row r="158" spans="1:65" s="17" customFormat="1" ht="15.95" customHeight="1">
      <c r="A158" s="123">
        <v>44</v>
      </c>
      <c r="B158" s="9" t="s">
        <v>1752</v>
      </c>
      <c r="C158" s="11" t="s">
        <v>1753</v>
      </c>
      <c r="D158" s="229"/>
      <c r="E158" s="13"/>
      <c r="F158" s="229"/>
      <c r="G158" s="13"/>
      <c r="H158" s="229"/>
      <c r="I158" s="13"/>
      <c r="J158" s="229"/>
      <c r="K158" s="13"/>
      <c r="L158" s="229"/>
      <c r="M158" s="13"/>
      <c r="N158" s="229"/>
      <c r="O158" s="13"/>
      <c r="P158" s="229"/>
      <c r="Q158" s="13"/>
      <c r="R158" s="229"/>
      <c r="S158" s="13"/>
      <c r="T158" s="229"/>
      <c r="U158" s="13"/>
      <c r="V158" s="229"/>
      <c r="W158" s="13"/>
      <c r="X158" s="229"/>
      <c r="Y158" s="13"/>
      <c r="Z158" s="229"/>
      <c r="AA158" s="13"/>
      <c r="AB158" s="229">
        <f t="shared" si="70"/>
        <v>0</v>
      </c>
      <c r="AC158" s="228">
        <f t="shared" si="67"/>
        <v>0</v>
      </c>
      <c r="AD158" s="21">
        <v>0</v>
      </c>
      <c r="AE158" s="229"/>
      <c r="AF158" s="20"/>
      <c r="AG158" s="229"/>
      <c r="AH158" s="20"/>
      <c r="AI158" s="229"/>
      <c r="AJ158" s="20"/>
      <c r="AK158" s="229"/>
      <c r="AL158" s="20"/>
      <c r="AM158" s="229"/>
      <c r="AN158" s="20"/>
      <c r="AO158" s="229"/>
      <c r="AP158" s="20"/>
      <c r="AQ158" s="229"/>
      <c r="AR158" s="20"/>
      <c r="AS158" s="229"/>
      <c r="AT158" s="20"/>
      <c r="AU158" s="229"/>
      <c r="AV158" s="20">
        <v>1</v>
      </c>
      <c r="AW158" s="229"/>
      <c r="AX158" s="20"/>
      <c r="AY158" s="229"/>
      <c r="AZ158" s="20"/>
      <c r="BA158" s="229"/>
      <c r="BB158" s="20">
        <v>3</v>
      </c>
      <c r="BC158" s="229">
        <f t="shared" si="71"/>
        <v>0</v>
      </c>
      <c r="BD158" s="48">
        <f t="shared" si="68"/>
        <v>4</v>
      </c>
      <c r="BE158" s="19">
        <v>3</v>
      </c>
      <c r="BF158" s="229">
        <f t="shared" si="72"/>
        <v>0</v>
      </c>
      <c r="BG158" s="210">
        <f t="shared" si="69"/>
        <v>4</v>
      </c>
      <c r="BH158" s="210">
        <f t="shared" si="66"/>
        <v>3</v>
      </c>
      <c r="BI158" s="213">
        <f t="shared" si="63"/>
        <v>133.33333333333331</v>
      </c>
      <c r="BJ158" s="141"/>
      <c r="BK158" s="201"/>
      <c r="BL158" s="198"/>
      <c r="BM158" s="198"/>
    </row>
    <row r="159" spans="1:65" s="17" customFormat="1" ht="15.95" customHeight="1">
      <c r="A159" s="123">
        <v>45</v>
      </c>
      <c r="B159" s="9" t="s">
        <v>116</v>
      </c>
      <c r="C159" s="11" t="s">
        <v>117</v>
      </c>
      <c r="D159" s="229"/>
      <c r="E159" s="13"/>
      <c r="F159" s="229"/>
      <c r="G159" s="13"/>
      <c r="H159" s="229"/>
      <c r="I159" s="13"/>
      <c r="J159" s="229"/>
      <c r="K159" s="13"/>
      <c r="L159" s="229"/>
      <c r="M159" s="13"/>
      <c r="N159" s="229"/>
      <c r="O159" s="13"/>
      <c r="P159" s="229"/>
      <c r="Q159" s="13"/>
      <c r="R159" s="229"/>
      <c r="S159" s="13"/>
      <c r="T159" s="229"/>
      <c r="U159" s="13"/>
      <c r="V159" s="229"/>
      <c r="W159" s="13"/>
      <c r="X159" s="229"/>
      <c r="Y159" s="13"/>
      <c r="Z159" s="229"/>
      <c r="AA159" s="13"/>
      <c r="AB159" s="229">
        <f t="shared" si="70"/>
        <v>0</v>
      </c>
      <c r="AC159" s="228">
        <f t="shared" si="67"/>
        <v>0</v>
      </c>
      <c r="AD159" s="21">
        <v>0</v>
      </c>
      <c r="AE159" s="229"/>
      <c r="AF159" s="20"/>
      <c r="AG159" s="229"/>
      <c r="AH159" s="20"/>
      <c r="AI159" s="229">
        <v>1</v>
      </c>
      <c r="AJ159" s="20">
        <v>1</v>
      </c>
      <c r="AK159" s="229"/>
      <c r="AL159" s="20"/>
      <c r="AM159" s="229"/>
      <c r="AN159" s="20"/>
      <c r="AO159" s="229">
        <v>2</v>
      </c>
      <c r="AP159" s="20">
        <v>2</v>
      </c>
      <c r="AQ159" s="229"/>
      <c r="AR159" s="20"/>
      <c r="AS159" s="229"/>
      <c r="AT159" s="20"/>
      <c r="AU159" s="229"/>
      <c r="AV159" s="20">
        <v>1</v>
      </c>
      <c r="AW159" s="229"/>
      <c r="AX159" s="20"/>
      <c r="AY159" s="229"/>
      <c r="AZ159" s="20"/>
      <c r="BA159" s="229"/>
      <c r="BB159" s="20"/>
      <c r="BC159" s="229">
        <f t="shared" si="71"/>
        <v>3</v>
      </c>
      <c r="BD159" s="48">
        <f t="shared" si="68"/>
        <v>4</v>
      </c>
      <c r="BE159" s="19">
        <v>6</v>
      </c>
      <c r="BF159" s="229">
        <f t="shared" si="72"/>
        <v>3</v>
      </c>
      <c r="BG159" s="210">
        <f t="shared" si="69"/>
        <v>4</v>
      </c>
      <c r="BH159" s="210">
        <f t="shared" si="66"/>
        <v>6</v>
      </c>
      <c r="BI159" s="213">
        <f t="shared" si="63"/>
        <v>66.666666666666657</v>
      </c>
      <c r="BJ159" s="141"/>
      <c r="BK159" s="201"/>
      <c r="BL159" s="198"/>
      <c r="BM159" s="198"/>
    </row>
    <row r="160" spans="1:65" s="17" customFormat="1" ht="15.95" customHeight="1">
      <c r="A160" s="123">
        <v>46</v>
      </c>
      <c r="B160" s="9" t="s">
        <v>118</v>
      </c>
      <c r="C160" s="11" t="s">
        <v>119</v>
      </c>
      <c r="D160" s="229"/>
      <c r="E160" s="13"/>
      <c r="F160" s="229"/>
      <c r="G160" s="13"/>
      <c r="H160" s="229"/>
      <c r="I160" s="13"/>
      <c r="J160" s="229"/>
      <c r="K160" s="13"/>
      <c r="L160" s="229"/>
      <c r="M160" s="13"/>
      <c r="N160" s="229"/>
      <c r="O160" s="13"/>
      <c r="P160" s="229"/>
      <c r="Q160" s="13"/>
      <c r="R160" s="229"/>
      <c r="S160" s="13"/>
      <c r="T160" s="229"/>
      <c r="U160" s="13"/>
      <c r="V160" s="229"/>
      <c r="W160" s="13"/>
      <c r="X160" s="229"/>
      <c r="Y160" s="13"/>
      <c r="Z160" s="229"/>
      <c r="AA160" s="13"/>
      <c r="AB160" s="229">
        <f t="shared" si="70"/>
        <v>0</v>
      </c>
      <c r="AC160" s="228">
        <f t="shared" si="67"/>
        <v>0</v>
      </c>
      <c r="AD160" s="21">
        <v>0</v>
      </c>
      <c r="AE160" s="229"/>
      <c r="AF160" s="20"/>
      <c r="AG160" s="229"/>
      <c r="AH160" s="20"/>
      <c r="AI160" s="229">
        <v>1</v>
      </c>
      <c r="AJ160" s="20">
        <v>1</v>
      </c>
      <c r="AK160" s="229"/>
      <c r="AL160" s="20"/>
      <c r="AM160" s="229"/>
      <c r="AN160" s="20"/>
      <c r="AO160" s="229">
        <v>3</v>
      </c>
      <c r="AP160" s="20">
        <v>3</v>
      </c>
      <c r="AQ160" s="229"/>
      <c r="AR160" s="20"/>
      <c r="AS160" s="229"/>
      <c r="AT160" s="20"/>
      <c r="AU160" s="229"/>
      <c r="AV160" s="20"/>
      <c r="AW160" s="229"/>
      <c r="AX160" s="20"/>
      <c r="AY160" s="229"/>
      <c r="AZ160" s="20"/>
      <c r="BA160" s="229"/>
      <c r="BB160" s="20">
        <v>2</v>
      </c>
      <c r="BC160" s="229">
        <f t="shared" si="71"/>
        <v>4</v>
      </c>
      <c r="BD160" s="48">
        <f t="shared" si="68"/>
        <v>6</v>
      </c>
      <c r="BE160" s="19">
        <v>8</v>
      </c>
      <c r="BF160" s="229">
        <f t="shared" si="72"/>
        <v>4</v>
      </c>
      <c r="BG160" s="210">
        <f t="shared" si="69"/>
        <v>6</v>
      </c>
      <c r="BH160" s="210">
        <f t="shared" si="66"/>
        <v>8</v>
      </c>
      <c r="BI160" s="213">
        <f t="shared" si="63"/>
        <v>75</v>
      </c>
      <c r="BJ160" s="141"/>
      <c r="BK160" s="201"/>
      <c r="BL160" s="198"/>
      <c r="BM160" s="198"/>
    </row>
    <row r="161" spans="1:65" s="17" customFormat="1" ht="15.95" customHeight="1">
      <c r="A161" s="123">
        <v>47</v>
      </c>
      <c r="B161" s="9" t="s">
        <v>120</v>
      </c>
      <c r="C161" s="11" t="s">
        <v>121</v>
      </c>
      <c r="D161" s="229"/>
      <c r="E161" s="13"/>
      <c r="F161" s="229"/>
      <c r="G161" s="13"/>
      <c r="H161" s="229"/>
      <c r="I161" s="13"/>
      <c r="J161" s="229"/>
      <c r="K161" s="13"/>
      <c r="L161" s="229"/>
      <c r="M161" s="13"/>
      <c r="N161" s="229"/>
      <c r="O161" s="13"/>
      <c r="P161" s="229"/>
      <c r="Q161" s="13"/>
      <c r="R161" s="229"/>
      <c r="S161" s="13"/>
      <c r="T161" s="229"/>
      <c r="U161" s="13"/>
      <c r="V161" s="229"/>
      <c r="W161" s="13"/>
      <c r="X161" s="229"/>
      <c r="Y161" s="13"/>
      <c r="Z161" s="229"/>
      <c r="AA161" s="13"/>
      <c r="AB161" s="229">
        <f t="shared" si="70"/>
        <v>0</v>
      </c>
      <c r="AC161" s="228">
        <f t="shared" si="67"/>
        <v>0</v>
      </c>
      <c r="AD161" s="21">
        <v>0</v>
      </c>
      <c r="AE161" s="229"/>
      <c r="AF161" s="20"/>
      <c r="AG161" s="229"/>
      <c r="AH161" s="20"/>
      <c r="AI161" s="229">
        <v>1</v>
      </c>
      <c r="AJ161" s="20">
        <v>1</v>
      </c>
      <c r="AK161" s="229"/>
      <c r="AL161" s="20"/>
      <c r="AM161" s="229"/>
      <c r="AN161" s="20"/>
      <c r="AO161" s="229"/>
      <c r="AP161" s="20"/>
      <c r="AQ161" s="229"/>
      <c r="AR161" s="20"/>
      <c r="AS161" s="229"/>
      <c r="AT161" s="20"/>
      <c r="AU161" s="229"/>
      <c r="AV161" s="20"/>
      <c r="AW161" s="229"/>
      <c r="AX161" s="20"/>
      <c r="AY161" s="229"/>
      <c r="AZ161" s="20"/>
      <c r="BA161" s="229"/>
      <c r="BB161" s="20">
        <v>2</v>
      </c>
      <c r="BC161" s="229">
        <f t="shared" si="71"/>
        <v>1</v>
      </c>
      <c r="BD161" s="48">
        <f t="shared" si="68"/>
        <v>3</v>
      </c>
      <c r="BE161" s="19">
        <v>3</v>
      </c>
      <c r="BF161" s="229">
        <f t="shared" si="72"/>
        <v>1</v>
      </c>
      <c r="BG161" s="210">
        <f t="shared" si="69"/>
        <v>3</v>
      </c>
      <c r="BH161" s="210">
        <f t="shared" si="66"/>
        <v>3</v>
      </c>
      <c r="BI161" s="213">
        <f t="shared" si="63"/>
        <v>100</v>
      </c>
      <c r="BJ161" s="141"/>
      <c r="BK161" s="201"/>
      <c r="BL161" s="198"/>
      <c r="BM161" s="198"/>
    </row>
    <row r="162" spans="1:65" s="17" customFormat="1" ht="15.95" customHeight="1">
      <c r="A162" s="123">
        <v>48</v>
      </c>
      <c r="B162" s="9" t="s">
        <v>122</v>
      </c>
      <c r="C162" s="11" t="s">
        <v>121</v>
      </c>
      <c r="D162" s="229"/>
      <c r="E162" s="13"/>
      <c r="F162" s="229"/>
      <c r="G162" s="13"/>
      <c r="H162" s="229"/>
      <c r="I162" s="13"/>
      <c r="J162" s="229"/>
      <c r="K162" s="13"/>
      <c r="L162" s="229"/>
      <c r="M162" s="13"/>
      <c r="N162" s="229"/>
      <c r="O162" s="13"/>
      <c r="P162" s="229"/>
      <c r="Q162" s="13"/>
      <c r="R162" s="229"/>
      <c r="S162" s="13"/>
      <c r="T162" s="229"/>
      <c r="U162" s="13"/>
      <c r="V162" s="229"/>
      <c r="W162" s="13"/>
      <c r="X162" s="229"/>
      <c r="Y162" s="13"/>
      <c r="Z162" s="229"/>
      <c r="AA162" s="13"/>
      <c r="AB162" s="229">
        <f t="shared" si="70"/>
        <v>0</v>
      </c>
      <c r="AC162" s="228">
        <f t="shared" si="67"/>
        <v>0</v>
      </c>
      <c r="AD162" s="21">
        <v>0</v>
      </c>
      <c r="AE162" s="229"/>
      <c r="AF162" s="20"/>
      <c r="AG162" s="229"/>
      <c r="AH162" s="20"/>
      <c r="AI162" s="229">
        <v>1</v>
      </c>
      <c r="AJ162" s="20">
        <v>1</v>
      </c>
      <c r="AK162" s="229"/>
      <c r="AL162" s="20"/>
      <c r="AM162" s="229"/>
      <c r="AN162" s="20"/>
      <c r="AO162" s="229">
        <v>2</v>
      </c>
      <c r="AP162" s="20">
        <v>2</v>
      </c>
      <c r="AQ162" s="229"/>
      <c r="AR162" s="20"/>
      <c r="AS162" s="229"/>
      <c r="AT162" s="20"/>
      <c r="AU162" s="229"/>
      <c r="AV162" s="20">
        <v>3</v>
      </c>
      <c r="AW162" s="229"/>
      <c r="AX162" s="20"/>
      <c r="AY162" s="229"/>
      <c r="AZ162" s="20"/>
      <c r="BA162" s="229"/>
      <c r="BB162" s="20">
        <v>5</v>
      </c>
      <c r="BC162" s="229">
        <f t="shared" si="71"/>
        <v>3</v>
      </c>
      <c r="BD162" s="48">
        <f t="shared" si="68"/>
        <v>11</v>
      </c>
      <c r="BE162" s="19">
        <v>6</v>
      </c>
      <c r="BF162" s="229">
        <f t="shared" si="72"/>
        <v>3</v>
      </c>
      <c r="BG162" s="210">
        <f t="shared" si="69"/>
        <v>11</v>
      </c>
      <c r="BH162" s="210">
        <f t="shared" si="66"/>
        <v>6</v>
      </c>
      <c r="BI162" s="213">
        <f t="shared" si="63"/>
        <v>183.33333333333331</v>
      </c>
      <c r="BJ162" s="141"/>
      <c r="BK162" s="201"/>
      <c r="BL162" s="198"/>
      <c r="BM162" s="198"/>
    </row>
    <row r="163" spans="1:65" s="17" customFormat="1" ht="15.95" customHeight="1">
      <c r="A163" s="123">
        <v>49</v>
      </c>
      <c r="B163" s="9" t="s">
        <v>2185</v>
      </c>
      <c r="C163" s="11" t="s">
        <v>2186</v>
      </c>
      <c r="D163" s="229"/>
      <c r="E163" s="13"/>
      <c r="F163" s="229"/>
      <c r="G163" s="13"/>
      <c r="H163" s="229"/>
      <c r="I163" s="13"/>
      <c r="J163" s="229"/>
      <c r="K163" s="13"/>
      <c r="L163" s="229"/>
      <c r="M163" s="13"/>
      <c r="N163" s="229"/>
      <c r="O163" s="13"/>
      <c r="P163" s="229"/>
      <c r="Q163" s="13"/>
      <c r="R163" s="229"/>
      <c r="S163" s="13"/>
      <c r="T163" s="229"/>
      <c r="U163" s="13"/>
      <c r="V163" s="229"/>
      <c r="W163" s="13"/>
      <c r="X163" s="229"/>
      <c r="Y163" s="13"/>
      <c r="Z163" s="229"/>
      <c r="AA163" s="13"/>
      <c r="AB163" s="229">
        <f t="shared" si="70"/>
        <v>0</v>
      </c>
      <c r="AC163" s="228">
        <f t="shared" si="67"/>
        <v>0</v>
      </c>
      <c r="AD163" s="21">
        <v>0</v>
      </c>
      <c r="AE163" s="229"/>
      <c r="AF163" s="20"/>
      <c r="AG163" s="229"/>
      <c r="AH163" s="20"/>
      <c r="AI163" s="229"/>
      <c r="AJ163" s="20"/>
      <c r="AK163" s="229"/>
      <c r="AL163" s="20"/>
      <c r="AM163" s="229"/>
      <c r="AN163" s="20"/>
      <c r="AO163" s="229"/>
      <c r="AP163" s="20"/>
      <c r="AQ163" s="229"/>
      <c r="AR163" s="20"/>
      <c r="AS163" s="229"/>
      <c r="AT163" s="20"/>
      <c r="AU163" s="229"/>
      <c r="AV163" s="20"/>
      <c r="AW163" s="229"/>
      <c r="AX163" s="20"/>
      <c r="AY163" s="229"/>
      <c r="AZ163" s="20"/>
      <c r="BA163" s="229"/>
      <c r="BB163" s="20"/>
      <c r="BC163" s="229">
        <f t="shared" si="71"/>
        <v>0</v>
      </c>
      <c r="BD163" s="48">
        <f t="shared" si="68"/>
        <v>0</v>
      </c>
      <c r="BE163" s="19">
        <v>2</v>
      </c>
      <c r="BF163" s="229">
        <f t="shared" si="72"/>
        <v>0</v>
      </c>
      <c r="BG163" s="210">
        <f t="shared" si="69"/>
        <v>0</v>
      </c>
      <c r="BH163" s="210">
        <f t="shared" si="66"/>
        <v>2</v>
      </c>
      <c r="BI163" s="213">
        <f t="shared" si="63"/>
        <v>0</v>
      </c>
      <c r="BJ163" s="141"/>
      <c r="BK163" s="201"/>
      <c r="BL163" s="198"/>
      <c r="BM163" s="198"/>
    </row>
    <row r="164" spans="1:65" s="17" customFormat="1" ht="15.95" customHeight="1">
      <c r="A164" s="123">
        <v>50</v>
      </c>
      <c r="B164" s="9" t="s">
        <v>123</v>
      </c>
      <c r="C164" s="11" t="s">
        <v>124</v>
      </c>
      <c r="D164" s="229"/>
      <c r="E164" s="13"/>
      <c r="F164" s="229"/>
      <c r="G164" s="13"/>
      <c r="H164" s="229"/>
      <c r="I164" s="13"/>
      <c r="J164" s="229"/>
      <c r="K164" s="13"/>
      <c r="L164" s="229"/>
      <c r="M164" s="13"/>
      <c r="N164" s="229"/>
      <c r="O164" s="13"/>
      <c r="P164" s="229"/>
      <c r="Q164" s="13"/>
      <c r="R164" s="229"/>
      <c r="S164" s="13"/>
      <c r="T164" s="229"/>
      <c r="U164" s="13"/>
      <c r="V164" s="229"/>
      <c r="W164" s="13"/>
      <c r="X164" s="229"/>
      <c r="Y164" s="13"/>
      <c r="Z164" s="229"/>
      <c r="AA164" s="13"/>
      <c r="AB164" s="229">
        <f t="shared" si="70"/>
        <v>0</v>
      </c>
      <c r="AC164" s="228">
        <f t="shared" si="67"/>
        <v>0</v>
      </c>
      <c r="AD164" s="21">
        <v>0</v>
      </c>
      <c r="AE164" s="229"/>
      <c r="AF164" s="20"/>
      <c r="AG164" s="229"/>
      <c r="AH164" s="20"/>
      <c r="AI164" s="229"/>
      <c r="AJ164" s="20"/>
      <c r="AK164" s="229"/>
      <c r="AL164" s="20"/>
      <c r="AM164" s="229"/>
      <c r="AN164" s="20"/>
      <c r="AO164" s="229"/>
      <c r="AP164" s="20"/>
      <c r="AQ164" s="229"/>
      <c r="AR164" s="20"/>
      <c r="AS164" s="229"/>
      <c r="AT164" s="20"/>
      <c r="AU164" s="229"/>
      <c r="AV164" s="20"/>
      <c r="AW164" s="229"/>
      <c r="AX164" s="20"/>
      <c r="AY164" s="229"/>
      <c r="AZ164" s="20"/>
      <c r="BA164" s="229"/>
      <c r="BB164" s="20"/>
      <c r="BC164" s="229">
        <f t="shared" si="71"/>
        <v>0</v>
      </c>
      <c r="BD164" s="48">
        <f t="shared" si="68"/>
        <v>0</v>
      </c>
      <c r="BE164" s="19">
        <v>1</v>
      </c>
      <c r="BF164" s="229">
        <f t="shared" si="72"/>
        <v>0</v>
      </c>
      <c r="BG164" s="210">
        <f t="shared" si="69"/>
        <v>0</v>
      </c>
      <c r="BH164" s="210">
        <f t="shared" si="66"/>
        <v>1</v>
      </c>
      <c r="BI164" s="213">
        <f t="shared" si="63"/>
        <v>0</v>
      </c>
      <c r="BJ164" s="141"/>
      <c r="BK164" s="201"/>
      <c r="BL164" s="198"/>
      <c r="BM164" s="198"/>
    </row>
    <row r="165" spans="1:65" s="17" customFormat="1" ht="15.95" customHeight="1">
      <c r="A165" s="123">
        <v>51</v>
      </c>
      <c r="B165" s="9" t="s">
        <v>125</v>
      </c>
      <c r="C165" s="11" t="s">
        <v>126</v>
      </c>
      <c r="D165" s="229"/>
      <c r="E165" s="13"/>
      <c r="F165" s="229"/>
      <c r="G165" s="13"/>
      <c r="H165" s="229"/>
      <c r="I165" s="13"/>
      <c r="J165" s="229"/>
      <c r="K165" s="13"/>
      <c r="L165" s="229"/>
      <c r="M165" s="13"/>
      <c r="N165" s="229"/>
      <c r="O165" s="13"/>
      <c r="P165" s="229"/>
      <c r="Q165" s="13"/>
      <c r="R165" s="229"/>
      <c r="S165" s="13"/>
      <c r="T165" s="229"/>
      <c r="U165" s="13"/>
      <c r="V165" s="229"/>
      <c r="W165" s="13"/>
      <c r="X165" s="229"/>
      <c r="Y165" s="13"/>
      <c r="Z165" s="229"/>
      <c r="AA165" s="13"/>
      <c r="AB165" s="229">
        <f t="shared" si="70"/>
        <v>0</v>
      </c>
      <c r="AC165" s="228">
        <f t="shared" si="67"/>
        <v>0</v>
      </c>
      <c r="AD165" s="21">
        <v>0</v>
      </c>
      <c r="AE165" s="229"/>
      <c r="AF165" s="20"/>
      <c r="AG165" s="229"/>
      <c r="AH165" s="20"/>
      <c r="AI165" s="229">
        <v>10</v>
      </c>
      <c r="AJ165" s="20">
        <v>10</v>
      </c>
      <c r="AK165" s="229"/>
      <c r="AL165" s="20"/>
      <c r="AM165" s="229"/>
      <c r="AN165" s="20"/>
      <c r="AO165" s="229">
        <v>4</v>
      </c>
      <c r="AP165" s="20">
        <v>4</v>
      </c>
      <c r="AQ165" s="229"/>
      <c r="AR165" s="20"/>
      <c r="AS165" s="229"/>
      <c r="AT165" s="20"/>
      <c r="AU165" s="229"/>
      <c r="AV165" s="20">
        <v>7</v>
      </c>
      <c r="AW165" s="229"/>
      <c r="AX165" s="20"/>
      <c r="AY165" s="229"/>
      <c r="AZ165" s="20"/>
      <c r="BA165" s="229"/>
      <c r="BB165" s="20">
        <v>6</v>
      </c>
      <c r="BC165" s="229">
        <f t="shared" si="71"/>
        <v>14</v>
      </c>
      <c r="BD165" s="48">
        <f t="shared" si="68"/>
        <v>27</v>
      </c>
      <c r="BE165" s="19">
        <v>20</v>
      </c>
      <c r="BF165" s="229">
        <f t="shared" si="72"/>
        <v>14</v>
      </c>
      <c r="BG165" s="210">
        <f t="shared" si="69"/>
        <v>27</v>
      </c>
      <c r="BH165" s="210">
        <f t="shared" si="66"/>
        <v>20</v>
      </c>
      <c r="BI165" s="213">
        <f t="shared" si="63"/>
        <v>135</v>
      </c>
      <c r="BJ165" s="141"/>
      <c r="BK165" s="201"/>
      <c r="BL165" s="198"/>
      <c r="BM165" s="198"/>
    </row>
    <row r="166" spans="1:65" s="17" customFormat="1" ht="15.95" customHeight="1">
      <c r="A166" s="123">
        <v>52</v>
      </c>
      <c r="B166" s="9" t="s">
        <v>127</v>
      </c>
      <c r="C166" s="11" t="s">
        <v>128</v>
      </c>
      <c r="D166" s="229"/>
      <c r="E166" s="13"/>
      <c r="F166" s="229"/>
      <c r="G166" s="13"/>
      <c r="H166" s="229"/>
      <c r="I166" s="13"/>
      <c r="J166" s="229"/>
      <c r="K166" s="13"/>
      <c r="L166" s="229"/>
      <c r="M166" s="13"/>
      <c r="N166" s="229"/>
      <c r="O166" s="13"/>
      <c r="P166" s="229"/>
      <c r="Q166" s="13"/>
      <c r="R166" s="229"/>
      <c r="S166" s="13"/>
      <c r="T166" s="229"/>
      <c r="U166" s="13"/>
      <c r="V166" s="229"/>
      <c r="W166" s="13"/>
      <c r="X166" s="229"/>
      <c r="Y166" s="13"/>
      <c r="Z166" s="229"/>
      <c r="AA166" s="13"/>
      <c r="AB166" s="229">
        <f t="shared" si="70"/>
        <v>0</v>
      </c>
      <c r="AC166" s="228">
        <f t="shared" si="67"/>
        <v>0</v>
      </c>
      <c r="AD166" s="21">
        <v>0</v>
      </c>
      <c r="AE166" s="229"/>
      <c r="AF166" s="20"/>
      <c r="AG166" s="229"/>
      <c r="AH166" s="20"/>
      <c r="AI166" s="229">
        <v>1</v>
      </c>
      <c r="AJ166" s="20">
        <v>1</v>
      </c>
      <c r="AK166" s="229"/>
      <c r="AL166" s="20"/>
      <c r="AM166" s="229"/>
      <c r="AN166" s="20"/>
      <c r="AO166" s="229"/>
      <c r="AP166" s="20"/>
      <c r="AQ166" s="229"/>
      <c r="AR166" s="20"/>
      <c r="AS166" s="229"/>
      <c r="AT166" s="20"/>
      <c r="AU166" s="229"/>
      <c r="AV166" s="20"/>
      <c r="AW166" s="229"/>
      <c r="AX166" s="20"/>
      <c r="AY166" s="229"/>
      <c r="AZ166" s="20"/>
      <c r="BA166" s="229"/>
      <c r="BB166" s="20">
        <v>1</v>
      </c>
      <c r="BC166" s="229">
        <f t="shared" si="71"/>
        <v>1</v>
      </c>
      <c r="BD166" s="48">
        <f t="shared" si="68"/>
        <v>2</v>
      </c>
      <c r="BE166" s="19">
        <v>1</v>
      </c>
      <c r="BF166" s="229">
        <f t="shared" si="72"/>
        <v>1</v>
      </c>
      <c r="BG166" s="210">
        <f t="shared" si="69"/>
        <v>2</v>
      </c>
      <c r="BH166" s="210">
        <f t="shared" si="66"/>
        <v>1</v>
      </c>
      <c r="BI166" s="213">
        <f t="shared" si="63"/>
        <v>200</v>
      </c>
      <c r="BJ166" s="141"/>
      <c r="BK166" s="201"/>
      <c r="BL166" s="198"/>
      <c r="BM166" s="198"/>
    </row>
    <row r="167" spans="1:65" s="17" customFormat="1" ht="15.95" customHeight="1">
      <c r="A167" s="123">
        <v>53</v>
      </c>
      <c r="B167" s="145" t="s">
        <v>1754</v>
      </c>
      <c r="C167" s="161" t="s">
        <v>1768</v>
      </c>
      <c r="D167" s="229"/>
      <c r="E167" s="13"/>
      <c r="F167" s="229"/>
      <c r="G167" s="13"/>
      <c r="H167" s="229"/>
      <c r="I167" s="13"/>
      <c r="J167" s="229"/>
      <c r="K167" s="13"/>
      <c r="L167" s="229"/>
      <c r="M167" s="13"/>
      <c r="N167" s="229"/>
      <c r="O167" s="13"/>
      <c r="P167" s="229"/>
      <c r="Q167" s="13"/>
      <c r="R167" s="229"/>
      <c r="S167" s="13"/>
      <c r="T167" s="229"/>
      <c r="U167" s="13"/>
      <c r="V167" s="229"/>
      <c r="W167" s="13"/>
      <c r="X167" s="229"/>
      <c r="Y167" s="13"/>
      <c r="Z167" s="229"/>
      <c r="AA167" s="13"/>
      <c r="AB167" s="229">
        <f t="shared" si="70"/>
        <v>0</v>
      </c>
      <c r="AC167" s="228">
        <f t="shared" si="67"/>
        <v>0</v>
      </c>
      <c r="AD167" s="21">
        <v>0</v>
      </c>
      <c r="AE167" s="229"/>
      <c r="AF167" s="20"/>
      <c r="AG167" s="229"/>
      <c r="AH167" s="20"/>
      <c r="AI167" s="229"/>
      <c r="AJ167" s="20"/>
      <c r="AK167" s="229"/>
      <c r="AL167" s="20"/>
      <c r="AM167" s="229"/>
      <c r="AN167" s="20"/>
      <c r="AO167" s="229"/>
      <c r="AP167" s="20"/>
      <c r="AQ167" s="229"/>
      <c r="AR167" s="20"/>
      <c r="AS167" s="229"/>
      <c r="AT167" s="20"/>
      <c r="AU167" s="229"/>
      <c r="AV167" s="20"/>
      <c r="AW167" s="229"/>
      <c r="AX167" s="20"/>
      <c r="AY167" s="229"/>
      <c r="AZ167" s="20"/>
      <c r="BA167" s="229"/>
      <c r="BB167" s="20"/>
      <c r="BC167" s="229">
        <f t="shared" si="71"/>
        <v>0</v>
      </c>
      <c r="BD167" s="48">
        <f t="shared" si="68"/>
        <v>0</v>
      </c>
      <c r="BE167" s="19">
        <v>2</v>
      </c>
      <c r="BF167" s="229">
        <f t="shared" si="72"/>
        <v>0</v>
      </c>
      <c r="BG167" s="210">
        <f t="shared" si="69"/>
        <v>0</v>
      </c>
      <c r="BH167" s="210">
        <f t="shared" si="66"/>
        <v>2</v>
      </c>
      <c r="BI167" s="213">
        <f t="shared" si="63"/>
        <v>0</v>
      </c>
      <c r="BJ167" s="141"/>
      <c r="BK167" s="201"/>
      <c r="BL167" s="198"/>
      <c r="BM167" s="198"/>
    </row>
    <row r="168" spans="1:65" s="17" customFormat="1" ht="15.95" customHeight="1">
      <c r="A168" s="123">
        <v>54</v>
      </c>
      <c r="B168" s="9" t="s">
        <v>1897</v>
      </c>
      <c r="C168" s="11" t="s">
        <v>2590</v>
      </c>
      <c r="D168" s="229"/>
      <c r="E168" s="13"/>
      <c r="F168" s="229"/>
      <c r="G168" s="13"/>
      <c r="H168" s="229"/>
      <c r="I168" s="13"/>
      <c r="J168" s="229"/>
      <c r="K168" s="13"/>
      <c r="L168" s="229"/>
      <c r="M168" s="13"/>
      <c r="N168" s="229"/>
      <c r="O168" s="13"/>
      <c r="P168" s="229"/>
      <c r="Q168" s="13"/>
      <c r="R168" s="229"/>
      <c r="S168" s="13"/>
      <c r="T168" s="229"/>
      <c r="U168" s="13"/>
      <c r="V168" s="229"/>
      <c r="W168" s="13"/>
      <c r="X168" s="229"/>
      <c r="Y168" s="13"/>
      <c r="Z168" s="229"/>
      <c r="AA168" s="13"/>
      <c r="AB168" s="229">
        <f t="shared" si="70"/>
        <v>0</v>
      </c>
      <c r="AC168" s="228">
        <f t="shared" si="67"/>
        <v>0</v>
      </c>
      <c r="AD168" s="21">
        <v>0</v>
      </c>
      <c r="AE168" s="229"/>
      <c r="AF168" s="20"/>
      <c r="AG168" s="229"/>
      <c r="AH168" s="20"/>
      <c r="AI168" s="229"/>
      <c r="AJ168" s="20"/>
      <c r="AK168" s="229"/>
      <c r="AL168" s="20"/>
      <c r="AM168" s="229"/>
      <c r="AN168" s="20"/>
      <c r="AO168" s="229">
        <v>1</v>
      </c>
      <c r="AP168" s="20">
        <v>1</v>
      </c>
      <c r="AQ168" s="229"/>
      <c r="AR168" s="20"/>
      <c r="AS168" s="229"/>
      <c r="AT168" s="20"/>
      <c r="AU168" s="229"/>
      <c r="AV168" s="20"/>
      <c r="AW168" s="229"/>
      <c r="AX168" s="20"/>
      <c r="AY168" s="229"/>
      <c r="AZ168" s="20"/>
      <c r="BA168" s="229"/>
      <c r="BB168" s="20"/>
      <c r="BC168" s="229">
        <f t="shared" si="71"/>
        <v>1</v>
      </c>
      <c r="BD168" s="48">
        <f t="shared" si="68"/>
        <v>1</v>
      </c>
      <c r="BE168" s="19">
        <v>2</v>
      </c>
      <c r="BF168" s="229">
        <f t="shared" si="72"/>
        <v>1</v>
      </c>
      <c r="BG168" s="210">
        <f t="shared" si="69"/>
        <v>1</v>
      </c>
      <c r="BH168" s="210">
        <f t="shared" si="66"/>
        <v>2</v>
      </c>
      <c r="BI168" s="213">
        <f t="shared" si="63"/>
        <v>50</v>
      </c>
      <c r="BJ168" s="141"/>
      <c r="BK168" s="201"/>
      <c r="BL168" s="198"/>
      <c r="BM168" s="198"/>
    </row>
    <row r="169" spans="1:65" s="17" customFormat="1" ht="15.95" customHeight="1">
      <c r="A169" s="123">
        <v>55</v>
      </c>
      <c r="B169" s="9" t="s">
        <v>129</v>
      </c>
      <c r="C169" s="11" t="s">
        <v>130</v>
      </c>
      <c r="D169" s="229"/>
      <c r="E169" s="13"/>
      <c r="F169" s="229"/>
      <c r="G169" s="13"/>
      <c r="H169" s="229"/>
      <c r="I169" s="13"/>
      <c r="J169" s="229"/>
      <c r="K169" s="13"/>
      <c r="L169" s="229"/>
      <c r="M169" s="13"/>
      <c r="N169" s="229"/>
      <c r="O169" s="13"/>
      <c r="P169" s="229"/>
      <c r="Q169" s="13"/>
      <c r="R169" s="229"/>
      <c r="S169" s="13"/>
      <c r="T169" s="229"/>
      <c r="U169" s="13"/>
      <c r="V169" s="229"/>
      <c r="W169" s="13"/>
      <c r="X169" s="229"/>
      <c r="Y169" s="13"/>
      <c r="Z169" s="229"/>
      <c r="AA169" s="13"/>
      <c r="AB169" s="229">
        <f t="shared" si="70"/>
        <v>0</v>
      </c>
      <c r="AC169" s="228">
        <f t="shared" si="67"/>
        <v>0</v>
      </c>
      <c r="AD169" s="21">
        <v>0</v>
      </c>
      <c r="AE169" s="229"/>
      <c r="AF169" s="20"/>
      <c r="AG169" s="229"/>
      <c r="AH169" s="20"/>
      <c r="AI169" s="229">
        <v>5</v>
      </c>
      <c r="AJ169" s="20">
        <v>6</v>
      </c>
      <c r="AK169" s="229"/>
      <c r="AL169" s="20"/>
      <c r="AM169" s="229"/>
      <c r="AN169" s="20"/>
      <c r="AO169" s="229">
        <v>2</v>
      </c>
      <c r="AP169" s="20">
        <v>3</v>
      </c>
      <c r="AQ169" s="229"/>
      <c r="AR169" s="20"/>
      <c r="AS169" s="229"/>
      <c r="AT169" s="20"/>
      <c r="AU169" s="229"/>
      <c r="AV169" s="20">
        <v>1</v>
      </c>
      <c r="AW169" s="229"/>
      <c r="AX169" s="20"/>
      <c r="AY169" s="229"/>
      <c r="AZ169" s="20"/>
      <c r="BA169" s="229"/>
      <c r="BB169" s="20">
        <v>4</v>
      </c>
      <c r="BC169" s="229">
        <f t="shared" si="71"/>
        <v>7</v>
      </c>
      <c r="BD169" s="48">
        <f t="shared" si="68"/>
        <v>14</v>
      </c>
      <c r="BE169" s="19">
        <v>15</v>
      </c>
      <c r="BF169" s="229">
        <f t="shared" si="72"/>
        <v>7</v>
      </c>
      <c r="BG169" s="210">
        <f t="shared" si="69"/>
        <v>14</v>
      </c>
      <c r="BH169" s="210">
        <f t="shared" si="66"/>
        <v>15</v>
      </c>
      <c r="BI169" s="213">
        <f t="shared" si="63"/>
        <v>93.333333333333329</v>
      </c>
      <c r="BJ169" s="141"/>
      <c r="BK169" s="201"/>
      <c r="BL169" s="198"/>
      <c r="BM169" s="198"/>
    </row>
    <row r="170" spans="1:65" s="17" customFormat="1" ht="15.95" customHeight="1">
      <c r="A170" s="123">
        <v>56</v>
      </c>
      <c r="B170" s="9" t="s">
        <v>1456</v>
      </c>
      <c r="C170" s="11" t="s">
        <v>1457</v>
      </c>
      <c r="D170" s="229"/>
      <c r="E170" s="13"/>
      <c r="F170" s="229"/>
      <c r="G170" s="13"/>
      <c r="H170" s="229"/>
      <c r="I170" s="13"/>
      <c r="J170" s="229"/>
      <c r="K170" s="13"/>
      <c r="L170" s="229"/>
      <c r="M170" s="13"/>
      <c r="N170" s="229"/>
      <c r="O170" s="13"/>
      <c r="P170" s="229"/>
      <c r="Q170" s="13"/>
      <c r="R170" s="229"/>
      <c r="S170" s="13"/>
      <c r="T170" s="229"/>
      <c r="U170" s="13"/>
      <c r="V170" s="229"/>
      <c r="W170" s="13"/>
      <c r="X170" s="229"/>
      <c r="Y170" s="13"/>
      <c r="Z170" s="229"/>
      <c r="AA170" s="13"/>
      <c r="AB170" s="229">
        <f t="shared" si="70"/>
        <v>0</v>
      </c>
      <c r="AC170" s="228">
        <f t="shared" si="67"/>
        <v>0</v>
      </c>
      <c r="AD170" s="21">
        <v>0</v>
      </c>
      <c r="AE170" s="229"/>
      <c r="AF170" s="20"/>
      <c r="AG170" s="229"/>
      <c r="AH170" s="20"/>
      <c r="AI170" s="229"/>
      <c r="AJ170" s="20"/>
      <c r="AK170" s="229"/>
      <c r="AL170" s="20"/>
      <c r="AM170" s="229"/>
      <c r="AN170" s="20"/>
      <c r="AO170" s="229">
        <v>1</v>
      </c>
      <c r="AP170" s="20">
        <v>1</v>
      </c>
      <c r="AQ170" s="229"/>
      <c r="AR170" s="20"/>
      <c r="AS170" s="229"/>
      <c r="AT170" s="20"/>
      <c r="AU170" s="229"/>
      <c r="AV170" s="20"/>
      <c r="AW170" s="229"/>
      <c r="AX170" s="20"/>
      <c r="AY170" s="229"/>
      <c r="AZ170" s="20"/>
      <c r="BA170" s="229"/>
      <c r="BB170" s="20"/>
      <c r="BC170" s="229">
        <f t="shared" si="71"/>
        <v>1</v>
      </c>
      <c r="BD170" s="48">
        <f t="shared" si="68"/>
        <v>1</v>
      </c>
      <c r="BE170" s="19">
        <v>2</v>
      </c>
      <c r="BF170" s="229">
        <f t="shared" si="72"/>
        <v>1</v>
      </c>
      <c r="BG170" s="210">
        <f t="shared" si="69"/>
        <v>1</v>
      </c>
      <c r="BH170" s="210">
        <f t="shared" si="66"/>
        <v>2</v>
      </c>
      <c r="BI170" s="213">
        <f t="shared" si="63"/>
        <v>50</v>
      </c>
      <c r="BJ170" s="141"/>
      <c r="BK170" s="201"/>
      <c r="BL170" s="198"/>
      <c r="BM170" s="198"/>
    </row>
    <row r="171" spans="1:65" s="17" customFormat="1" ht="15.95" customHeight="1">
      <c r="A171" s="123">
        <v>57</v>
      </c>
      <c r="B171" s="9" t="s">
        <v>1939</v>
      </c>
      <c r="C171" s="11" t="s">
        <v>1940</v>
      </c>
      <c r="D171" s="229"/>
      <c r="E171" s="13"/>
      <c r="F171" s="229"/>
      <c r="G171" s="13"/>
      <c r="H171" s="229"/>
      <c r="I171" s="13"/>
      <c r="J171" s="229"/>
      <c r="K171" s="13"/>
      <c r="L171" s="229"/>
      <c r="M171" s="13"/>
      <c r="N171" s="229"/>
      <c r="O171" s="13"/>
      <c r="P171" s="229"/>
      <c r="Q171" s="13"/>
      <c r="R171" s="229"/>
      <c r="S171" s="13"/>
      <c r="T171" s="229"/>
      <c r="U171" s="13"/>
      <c r="V171" s="229"/>
      <c r="W171" s="13"/>
      <c r="X171" s="229"/>
      <c r="Y171" s="13"/>
      <c r="Z171" s="229"/>
      <c r="AA171" s="13"/>
      <c r="AB171" s="229">
        <f t="shared" si="70"/>
        <v>0</v>
      </c>
      <c r="AC171" s="228">
        <f t="shared" si="67"/>
        <v>0</v>
      </c>
      <c r="AD171" s="21">
        <v>0</v>
      </c>
      <c r="AE171" s="229"/>
      <c r="AF171" s="20"/>
      <c r="AG171" s="229"/>
      <c r="AH171" s="20"/>
      <c r="AI171" s="229"/>
      <c r="AJ171" s="20"/>
      <c r="AK171" s="229"/>
      <c r="AL171" s="20"/>
      <c r="AM171" s="229"/>
      <c r="AN171" s="20"/>
      <c r="AO171" s="229"/>
      <c r="AP171" s="20"/>
      <c r="AQ171" s="229"/>
      <c r="AR171" s="20"/>
      <c r="AS171" s="229"/>
      <c r="AT171" s="20"/>
      <c r="AU171" s="229"/>
      <c r="AV171" s="20"/>
      <c r="AW171" s="229"/>
      <c r="AX171" s="20"/>
      <c r="AY171" s="229"/>
      <c r="AZ171" s="20"/>
      <c r="BA171" s="229"/>
      <c r="BB171" s="20"/>
      <c r="BC171" s="229">
        <f t="shared" si="71"/>
        <v>0</v>
      </c>
      <c r="BD171" s="48">
        <f t="shared" si="68"/>
        <v>0</v>
      </c>
      <c r="BE171" s="19">
        <v>2</v>
      </c>
      <c r="BF171" s="229">
        <f t="shared" si="72"/>
        <v>0</v>
      </c>
      <c r="BG171" s="210">
        <f t="shared" si="69"/>
        <v>0</v>
      </c>
      <c r="BH171" s="210">
        <f t="shared" si="66"/>
        <v>2</v>
      </c>
      <c r="BI171" s="213">
        <f t="shared" si="63"/>
        <v>0</v>
      </c>
      <c r="BJ171" s="141"/>
      <c r="BK171" s="201"/>
      <c r="BL171" s="198"/>
      <c r="BM171" s="198"/>
    </row>
    <row r="172" spans="1:65" s="17" customFormat="1" ht="15.95" customHeight="1">
      <c r="A172" s="123">
        <v>58</v>
      </c>
      <c r="B172" s="9" t="s">
        <v>959</v>
      </c>
      <c r="C172" s="11" t="s">
        <v>960</v>
      </c>
      <c r="D172" s="229"/>
      <c r="E172" s="13"/>
      <c r="F172" s="229"/>
      <c r="G172" s="13"/>
      <c r="H172" s="229"/>
      <c r="I172" s="13"/>
      <c r="J172" s="229"/>
      <c r="K172" s="13"/>
      <c r="L172" s="229"/>
      <c r="M172" s="13"/>
      <c r="N172" s="229"/>
      <c r="O172" s="13"/>
      <c r="P172" s="229"/>
      <c r="Q172" s="13"/>
      <c r="R172" s="229"/>
      <c r="S172" s="13"/>
      <c r="T172" s="229"/>
      <c r="U172" s="13"/>
      <c r="V172" s="229"/>
      <c r="W172" s="13"/>
      <c r="X172" s="229"/>
      <c r="Y172" s="13"/>
      <c r="Z172" s="229"/>
      <c r="AA172" s="13"/>
      <c r="AB172" s="229">
        <f t="shared" si="70"/>
        <v>0</v>
      </c>
      <c r="AC172" s="228">
        <f t="shared" si="67"/>
        <v>0</v>
      </c>
      <c r="AD172" s="21">
        <v>0</v>
      </c>
      <c r="AE172" s="229"/>
      <c r="AF172" s="20"/>
      <c r="AG172" s="229"/>
      <c r="AH172" s="20"/>
      <c r="AI172" s="229">
        <v>5</v>
      </c>
      <c r="AJ172" s="20">
        <v>5</v>
      </c>
      <c r="AK172" s="229"/>
      <c r="AL172" s="20"/>
      <c r="AM172" s="229"/>
      <c r="AN172" s="20"/>
      <c r="AO172" s="229">
        <v>6</v>
      </c>
      <c r="AP172" s="20">
        <v>6</v>
      </c>
      <c r="AQ172" s="229"/>
      <c r="AR172" s="20"/>
      <c r="AS172" s="229"/>
      <c r="AT172" s="20"/>
      <c r="AU172" s="229"/>
      <c r="AV172" s="20">
        <v>3</v>
      </c>
      <c r="AW172" s="229"/>
      <c r="AX172" s="20"/>
      <c r="AY172" s="229"/>
      <c r="AZ172" s="20"/>
      <c r="BA172" s="229"/>
      <c r="BB172" s="20">
        <v>9</v>
      </c>
      <c r="BC172" s="229">
        <f t="shared" si="71"/>
        <v>11</v>
      </c>
      <c r="BD172" s="48">
        <f t="shared" si="68"/>
        <v>23</v>
      </c>
      <c r="BE172" s="19">
        <v>21</v>
      </c>
      <c r="BF172" s="229">
        <f t="shared" si="72"/>
        <v>11</v>
      </c>
      <c r="BG172" s="210">
        <f t="shared" si="69"/>
        <v>23</v>
      </c>
      <c r="BH172" s="210">
        <f t="shared" si="66"/>
        <v>21</v>
      </c>
      <c r="BI172" s="213">
        <f t="shared" si="63"/>
        <v>109.52380952380953</v>
      </c>
      <c r="BJ172" s="141"/>
      <c r="BK172" s="201"/>
      <c r="BL172" s="198"/>
      <c r="BM172" s="198"/>
    </row>
    <row r="173" spans="1:65" s="17" customFormat="1" ht="15.95" customHeight="1">
      <c r="A173" s="123">
        <v>59</v>
      </c>
      <c r="B173" s="145" t="s">
        <v>1664</v>
      </c>
      <c r="C173" s="161" t="s">
        <v>1776</v>
      </c>
      <c r="D173" s="229"/>
      <c r="E173" s="13"/>
      <c r="F173" s="229"/>
      <c r="G173" s="13"/>
      <c r="H173" s="229"/>
      <c r="I173" s="13"/>
      <c r="J173" s="229"/>
      <c r="K173" s="13"/>
      <c r="L173" s="229"/>
      <c r="M173" s="13"/>
      <c r="N173" s="229"/>
      <c r="O173" s="13"/>
      <c r="P173" s="229"/>
      <c r="Q173" s="13"/>
      <c r="R173" s="229"/>
      <c r="S173" s="13"/>
      <c r="T173" s="229"/>
      <c r="U173" s="13"/>
      <c r="V173" s="229"/>
      <c r="W173" s="13"/>
      <c r="X173" s="229"/>
      <c r="Y173" s="13"/>
      <c r="Z173" s="229"/>
      <c r="AA173" s="13"/>
      <c r="AB173" s="229">
        <f t="shared" si="70"/>
        <v>0</v>
      </c>
      <c r="AC173" s="228">
        <f t="shared" si="67"/>
        <v>0</v>
      </c>
      <c r="AD173" s="21">
        <v>0</v>
      </c>
      <c r="AE173" s="229"/>
      <c r="AF173" s="20"/>
      <c r="AG173" s="229"/>
      <c r="AH173" s="20"/>
      <c r="AI173" s="229">
        <v>2</v>
      </c>
      <c r="AJ173" s="20">
        <v>2</v>
      </c>
      <c r="AK173" s="229"/>
      <c r="AL173" s="20"/>
      <c r="AM173" s="229"/>
      <c r="AN173" s="20"/>
      <c r="AO173" s="229">
        <v>3</v>
      </c>
      <c r="AP173" s="20">
        <v>3</v>
      </c>
      <c r="AQ173" s="229"/>
      <c r="AR173" s="20"/>
      <c r="AS173" s="229"/>
      <c r="AT173" s="20"/>
      <c r="AU173" s="229"/>
      <c r="AV173" s="20">
        <v>5</v>
      </c>
      <c r="AW173" s="229"/>
      <c r="AX173" s="20"/>
      <c r="AY173" s="229"/>
      <c r="AZ173" s="20"/>
      <c r="BA173" s="229"/>
      <c r="BB173" s="20">
        <v>2</v>
      </c>
      <c r="BC173" s="229">
        <f t="shared" si="71"/>
        <v>5</v>
      </c>
      <c r="BD173" s="48">
        <f t="shared" si="68"/>
        <v>12</v>
      </c>
      <c r="BE173" s="19">
        <v>28</v>
      </c>
      <c r="BF173" s="229">
        <f t="shared" si="72"/>
        <v>5</v>
      </c>
      <c r="BG173" s="210">
        <f t="shared" si="69"/>
        <v>12</v>
      </c>
      <c r="BH173" s="210">
        <f t="shared" si="66"/>
        <v>28</v>
      </c>
      <c r="BI173" s="213">
        <f t="shared" si="63"/>
        <v>42.857142857142854</v>
      </c>
      <c r="BJ173" s="141"/>
      <c r="BK173" s="201"/>
      <c r="BL173" s="198"/>
      <c r="BM173" s="198"/>
    </row>
    <row r="174" spans="1:65" s="17" customFormat="1" ht="15.95" customHeight="1">
      <c r="A174" s="123">
        <v>60</v>
      </c>
      <c r="B174" s="9" t="s">
        <v>28</v>
      </c>
      <c r="C174" s="11" t="s">
        <v>29</v>
      </c>
      <c r="D174" s="229"/>
      <c r="E174" s="13"/>
      <c r="F174" s="229"/>
      <c r="G174" s="13"/>
      <c r="H174" s="229"/>
      <c r="I174" s="13"/>
      <c r="J174" s="229"/>
      <c r="K174" s="13"/>
      <c r="L174" s="229"/>
      <c r="M174" s="13"/>
      <c r="N174" s="229"/>
      <c r="O174" s="13"/>
      <c r="P174" s="229"/>
      <c r="Q174" s="13"/>
      <c r="R174" s="229"/>
      <c r="S174" s="13"/>
      <c r="T174" s="229"/>
      <c r="U174" s="13"/>
      <c r="V174" s="229"/>
      <c r="W174" s="13"/>
      <c r="X174" s="229"/>
      <c r="Y174" s="13"/>
      <c r="Z174" s="229"/>
      <c r="AA174" s="13"/>
      <c r="AB174" s="229">
        <f t="shared" si="70"/>
        <v>0</v>
      </c>
      <c r="AC174" s="228">
        <f t="shared" si="67"/>
        <v>0</v>
      </c>
      <c r="AD174" s="21">
        <v>0</v>
      </c>
      <c r="AE174" s="229"/>
      <c r="AF174" s="20"/>
      <c r="AG174" s="229"/>
      <c r="AH174" s="20"/>
      <c r="AI174" s="229">
        <v>19</v>
      </c>
      <c r="AJ174" s="20">
        <v>19</v>
      </c>
      <c r="AK174" s="229"/>
      <c r="AL174" s="20"/>
      <c r="AM174" s="229"/>
      <c r="AN174" s="20"/>
      <c r="AO174" s="229">
        <v>9</v>
      </c>
      <c r="AP174" s="20">
        <v>9</v>
      </c>
      <c r="AQ174" s="229"/>
      <c r="AR174" s="20"/>
      <c r="AS174" s="229"/>
      <c r="AT174" s="20"/>
      <c r="AU174" s="229"/>
      <c r="AV174" s="20">
        <v>14</v>
      </c>
      <c r="AW174" s="229"/>
      <c r="AX174" s="20"/>
      <c r="AY174" s="229"/>
      <c r="AZ174" s="20"/>
      <c r="BA174" s="229"/>
      <c r="BB174" s="20">
        <v>18</v>
      </c>
      <c r="BC174" s="229">
        <f t="shared" si="71"/>
        <v>28</v>
      </c>
      <c r="BD174" s="48">
        <f t="shared" si="68"/>
        <v>60</v>
      </c>
      <c r="BE174" s="19">
        <v>92</v>
      </c>
      <c r="BF174" s="229">
        <f t="shared" si="72"/>
        <v>28</v>
      </c>
      <c r="BG174" s="210">
        <f t="shared" si="69"/>
        <v>60</v>
      </c>
      <c r="BH174" s="210">
        <f t="shared" si="66"/>
        <v>92</v>
      </c>
      <c r="BI174" s="213">
        <f t="shared" si="63"/>
        <v>65.217391304347828</v>
      </c>
      <c r="BJ174" s="141"/>
      <c r="BK174" s="201"/>
      <c r="BL174" s="198"/>
      <c r="BM174" s="198"/>
    </row>
    <row r="175" spans="1:65" s="17" customFormat="1" ht="15.95" customHeight="1">
      <c r="A175" s="123">
        <v>61</v>
      </c>
      <c r="B175" s="9" t="s">
        <v>2643</v>
      </c>
      <c r="C175" s="11" t="s">
        <v>2644</v>
      </c>
      <c r="D175" s="229"/>
      <c r="E175" s="13"/>
      <c r="F175" s="229"/>
      <c r="G175" s="13"/>
      <c r="H175" s="229"/>
      <c r="I175" s="13"/>
      <c r="J175" s="229"/>
      <c r="K175" s="13"/>
      <c r="L175" s="229"/>
      <c r="M175" s="13"/>
      <c r="N175" s="229"/>
      <c r="O175" s="13"/>
      <c r="P175" s="229"/>
      <c r="Q175" s="13"/>
      <c r="R175" s="229"/>
      <c r="S175" s="13"/>
      <c r="T175" s="229"/>
      <c r="U175" s="13"/>
      <c r="V175" s="229"/>
      <c r="W175" s="13"/>
      <c r="X175" s="229"/>
      <c r="Y175" s="13"/>
      <c r="Z175" s="229"/>
      <c r="AA175" s="13"/>
      <c r="AB175" s="229">
        <f t="shared" si="70"/>
        <v>0</v>
      </c>
      <c r="AC175" s="228">
        <f t="shared" si="67"/>
        <v>0</v>
      </c>
      <c r="AD175" s="21">
        <v>0</v>
      </c>
      <c r="AE175" s="229"/>
      <c r="AF175" s="20"/>
      <c r="AG175" s="229"/>
      <c r="AH175" s="20"/>
      <c r="AI175" s="229"/>
      <c r="AJ175" s="20"/>
      <c r="AK175" s="229"/>
      <c r="AL175" s="20"/>
      <c r="AM175" s="229"/>
      <c r="AN175" s="20"/>
      <c r="AO175" s="229"/>
      <c r="AP175" s="20"/>
      <c r="AQ175" s="229"/>
      <c r="AR175" s="20"/>
      <c r="AS175" s="229"/>
      <c r="AT175" s="20"/>
      <c r="AU175" s="229"/>
      <c r="AV175" s="20"/>
      <c r="AW175" s="229"/>
      <c r="AX175" s="20"/>
      <c r="AY175" s="229"/>
      <c r="AZ175" s="20"/>
      <c r="BA175" s="229"/>
      <c r="BB175" s="20"/>
      <c r="BC175" s="229">
        <f t="shared" si="71"/>
        <v>0</v>
      </c>
      <c r="BD175" s="48">
        <f t="shared" si="68"/>
        <v>0</v>
      </c>
      <c r="BE175" s="19">
        <v>3</v>
      </c>
      <c r="BF175" s="229">
        <f t="shared" si="72"/>
        <v>0</v>
      </c>
      <c r="BG175" s="210">
        <f t="shared" si="69"/>
        <v>0</v>
      </c>
      <c r="BH175" s="210">
        <f t="shared" si="66"/>
        <v>3</v>
      </c>
      <c r="BI175" s="213">
        <f t="shared" si="63"/>
        <v>0</v>
      </c>
      <c r="BJ175" s="141"/>
      <c r="BK175" s="201"/>
      <c r="BL175" s="198"/>
      <c r="BM175" s="198"/>
    </row>
    <row r="176" spans="1:65" s="17" customFormat="1" ht="15.95" customHeight="1">
      <c r="A176" s="123">
        <v>62</v>
      </c>
      <c r="B176" s="9" t="s">
        <v>2368</v>
      </c>
      <c r="C176" s="11" t="s">
        <v>2369</v>
      </c>
      <c r="D176" s="229"/>
      <c r="E176" s="13"/>
      <c r="F176" s="229"/>
      <c r="G176" s="13"/>
      <c r="H176" s="229"/>
      <c r="I176" s="13"/>
      <c r="J176" s="229"/>
      <c r="K176" s="13"/>
      <c r="L176" s="229"/>
      <c r="M176" s="13"/>
      <c r="N176" s="229"/>
      <c r="O176" s="13"/>
      <c r="P176" s="229"/>
      <c r="Q176" s="13"/>
      <c r="R176" s="229"/>
      <c r="S176" s="13"/>
      <c r="T176" s="229"/>
      <c r="U176" s="13"/>
      <c r="V176" s="229"/>
      <c r="W176" s="13"/>
      <c r="X176" s="229"/>
      <c r="Y176" s="13"/>
      <c r="Z176" s="229"/>
      <c r="AA176" s="13"/>
      <c r="AB176" s="229">
        <f t="shared" si="70"/>
        <v>0</v>
      </c>
      <c r="AC176" s="228">
        <f t="shared" si="67"/>
        <v>0</v>
      </c>
      <c r="AD176" s="21">
        <v>0</v>
      </c>
      <c r="AE176" s="229"/>
      <c r="AF176" s="20"/>
      <c r="AG176" s="229"/>
      <c r="AH176" s="20"/>
      <c r="AI176" s="229">
        <v>1</v>
      </c>
      <c r="AJ176" s="20">
        <v>1</v>
      </c>
      <c r="AK176" s="229"/>
      <c r="AL176" s="20"/>
      <c r="AM176" s="229"/>
      <c r="AN176" s="20"/>
      <c r="AO176" s="229"/>
      <c r="AP176" s="20"/>
      <c r="AQ176" s="229"/>
      <c r="AR176" s="20"/>
      <c r="AS176" s="229"/>
      <c r="AT176" s="20"/>
      <c r="AU176" s="229"/>
      <c r="AV176" s="20"/>
      <c r="AW176" s="229"/>
      <c r="AX176" s="20"/>
      <c r="AY176" s="229"/>
      <c r="AZ176" s="20"/>
      <c r="BA176" s="229"/>
      <c r="BB176" s="20"/>
      <c r="BC176" s="229">
        <f t="shared" si="71"/>
        <v>1</v>
      </c>
      <c r="BD176" s="48">
        <f t="shared" si="68"/>
        <v>1</v>
      </c>
      <c r="BE176" s="19">
        <v>2</v>
      </c>
      <c r="BF176" s="229">
        <f t="shared" si="72"/>
        <v>1</v>
      </c>
      <c r="BG176" s="210">
        <f t="shared" si="69"/>
        <v>1</v>
      </c>
      <c r="BH176" s="210">
        <f t="shared" si="66"/>
        <v>2</v>
      </c>
      <c r="BI176" s="213">
        <f t="shared" si="63"/>
        <v>50</v>
      </c>
      <c r="BJ176" s="141"/>
      <c r="BK176" s="201"/>
      <c r="BL176" s="198"/>
      <c r="BM176" s="198"/>
    </row>
    <row r="177" spans="1:65" s="17" customFormat="1" ht="15.95" customHeight="1">
      <c r="A177" s="123">
        <v>63</v>
      </c>
      <c r="B177" s="9" t="s">
        <v>514</v>
      </c>
      <c r="C177" s="11" t="s">
        <v>2589</v>
      </c>
      <c r="D177" s="229"/>
      <c r="E177" s="13"/>
      <c r="F177" s="229"/>
      <c r="G177" s="13"/>
      <c r="H177" s="229"/>
      <c r="I177" s="13"/>
      <c r="J177" s="229"/>
      <c r="K177" s="13"/>
      <c r="L177" s="229"/>
      <c r="M177" s="13"/>
      <c r="N177" s="229"/>
      <c r="O177" s="13"/>
      <c r="P177" s="229"/>
      <c r="Q177" s="13"/>
      <c r="R177" s="229"/>
      <c r="S177" s="13"/>
      <c r="T177" s="229"/>
      <c r="U177" s="13"/>
      <c r="V177" s="229"/>
      <c r="W177" s="13"/>
      <c r="X177" s="229"/>
      <c r="Y177" s="13"/>
      <c r="Z177" s="229"/>
      <c r="AA177" s="13"/>
      <c r="AB177" s="229">
        <f t="shared" si="70"/>
        <v>0</v>
      </c>
      <c r="AC177" s="228">
        <f t="shared" si="67"/>
        <v>0</v>
      </c>
      <c r="AD177" s="21">
        <v>0</v>
      </c>
      <c r="AE177" s="229"/>
      <c r="AF177" s="20"/>
      <c r="AG177" s="229"/>
      <c r="AH177" s="20"/>
      <c r="AI177" s="229"/>
      <c r="AJ177" s="20"/>
      <c r="AK177" s="229"/>
      <c r="AL177" s="20"/>
      <c r="AM177" s="229"/>
      <c r="AN177" s="20"/>
      <c r="AO177" s="229"/>
      <c r="AP177" s="20"/>
      <c r="AQ177" s="229"/>
      <c r="AR177" s="20"/>
      <c r="AS177" s="229"/>
      <c r="AT177" s="20"/>
      <c r="AU177" s="229"/>
      <c r="AV177" s="20"/>
      <c r="AW177" s="229"/>
      <c r="AX177" s="20"/>
      <c r="AY177" s="229"/>
      <c r="AZ177" s="20"/>
      <c r="BA177" s="229"/>
      <c r="BB177" s="20"/>
      <c r="BC177" s="229">
        <f t="shared" si="71"/>
        <v>0</v>
      </c>
      <c r="BD177" s="48">
        <f t="shared" si="68"/>
        <v>0</v>
      </c>
      <c r="BE177" s="19">
        <v>1</v>
      </c>
      <c r="BF177" s="229">
        <f t="shared" si="72"/>
        <v>0</v>
      </c>
      <c r="BG177" s="210">
        <f t="shared" si="69"/>
        <v>0</v>
      </c>
      <c r="BH177" s="210">
        <f t="shared" si="66"/>
        <v>1</v>
      </c>
      <c r="BI177" s="213">
        <f t="shared" si="63"/>
        <v>0</v>
      </c>
      <c r="BJ177" s="141"/>
      <c r="BK177" s="201"/>
      <c r="BL177" s="198"/>
      <c r="BM177" s="198"/>
    </row>
    <row r="178" spans="1:65" s="17" customFormat="1" ht="15.95" customHeight="1">
      <c r="A178" s="123">
        <v>64</v>
      </c>
      <c r="B178" s="9" t="s">
        <v>30</v>
      </c>
      <c r="C178" s="11" t="s">
        <v>31</v>
      </c>
      <c r="D178" s="229"/>
      <c r="E178" s="13"/>
      <c r="F178" s="229"/>
      <c r="G178" s="13"/>
      <c r="H178" s="229"/>
      <c r="I178" s="13"/>
      <c r="J178" s="229"/>
      <c r="K178" s="13"/>
      <c r="L178" s="229"/>
      <c r="M178" s="13"/>
      <c r="N178" s="229"/>
      <c r="O178" s="13"/>
      <c r="P178" s="229"/>
      <c r="Q178" s="13"/>
      <c r="R178" s="229"/>
      <c r="S178" s="13"/>
      <c r="T178" s="229"/>
      <c r="U178" s="13"/>
      <c r="V178" s="229"/>
      <c r="W178" s="13"/>
      <c r="X178" s="229"/>
      <c r="Y178" s="13"/>
      <c r="Z178" s="229"/>
      <c r="AA178" s="13"/>
      <c r="AB178" s="229">
        <f t="shared" si="70"/>
        <v>0</v>
      </c>
      <c r="AC178" s="228">
        <f t="shared" si="67"/>
        <v>0</v>
      </c>
      <c r="AD178" s="21">
        <v>0</v>
      </c>
      <c r="AE178" s="229"/>
      <c r="AF178" s="20"/>
      <c r="AG178" s="229"/>
      <c r="AH178" s="20"/>
      <c r="AI178" s="229">
        <v>12</v>
      </c>
      <c r="AJ178" s="20">
        <v>12</v>
      </c>
      <c r="AK178" s="229"/>
      <c r="AL178" s="20"/>
      <c r="AM178" s="229"/>
      <c r="AN178" s="20"/>
      <c r="AO178" s="229">
        <v>24</v>
      </c>
      <c r="AP178" s="20">
        <v>24</v>
      </c>
      <c r="AQ178" s="229"/>
      <c r="AR178" s="20"/>
      <c r="AS178" s="229"/>
      <c r="AT178" s="20"/>
      <c r="AU178" s="229"/>
      <c r="AV178" s="20">
        <v>20</v>
      </c>
      <c r="AW178" s="229"/>
      <c r="AX178" s="20"/>
      <c r="AY178" s="229"/>
      <c r="AZ178" s="20"/>
      <c r="BA178" s="229"/>
      <c r="BB178" s="20">
        <v>19</v>
      </c>
      <c r="BC178" s="229">
        <f t="shared" si="71"/>
        <v>36</v>
      </c>
      <c r="BD178" s="48">
        <f t="shared" si="68"/>
        <v>75</v>
      </c>
      <c r="BE178" s="19">
        <v>98</v>
      </c>
      <c r="BF178" s="229">
        <f t="shared" si="72"/>
        <v>36</v>
      </c>
      <c r="BG178" s="210">
        <f t="shared" si="69"/>
        <v>75</v>
      </c>
      <c r="BH178" s="210">
        <f t="shared" si="66"/>
        <v>98</v>
      </c>
      <c r="BI178" s="213">
        <f t="shared" si="63"/>
        <v>76.530612244897952</v>
      </c>
      <c r="BJ178" s="141"/>
      <c r="BK178" s="201"/>
      <c r="BL178" s="198"/>
      <c r="BM178" s="198"/>
    </row>
    <row r="179" spans="1:65" s="17" customFormat="1" ht="15.95" customHeight="1">
      <c r="A179" s="123">
        <v>65</v>
      </c>
      <c r="B179" s="9" t="s">
        <v>131</v>
      </c>
      <c r="C179" s="15" t="s">
        <v>2588</v>
      </c>
      <c r="D179" s="229"/>
      <c r="E179" s="13"/>
      <c r="F179" s="229"/>
      <c r="G179" s="13"/>
      <c r="H179" s="229"/>
      <c r="I179" s="13"/>
      <c r="J179" s="229"/>
      <c r="K179" s="13"/>
      <c r="L179" s="229"/>
      <c r="M179" s="13"/>
      <c r="N179" s="229"/>
      <c r="O179" s="13"/>
      <c r="P179" s="229"/>
      <c r="Q179" s="13"/>
      <c r="R179" s="229"/>
      <c r="S179" s="13"/>
      <c r="T179" s="229"/>
      <c r="U179" s="13"/>
      <c r="V179" s="229"/>
      <c r="W179" s="13"/>
      <c r="X179" s="229"/>
      <c r="Y179" s="13"/>
      <c r="Z179" s="229"/>
      <c r="AA179" s="13"/>
      <c r="AB179" s="229">
        <f t="shared" si="70"/>
        <v>0</v>
      </c>
      <c r="AC179" s="228">
        <f t="shared" si="67"/>
        <v>0</v>
      </c>
      <c r="AD179" s="21">
        <v>0</v>
      </c>
      <c r="AE179" s="229"/>
      <c r="AF179" s="20"/>
      <c r="AG179" s="229"/>
      <c r="AH179" s="20"/>
      <c r="AI179" s="229">
        <v>1</v>
      </c>
      <c r="AJ179" s="20">
        <v>1</v>
      </c>
      <c r="AK179" s="229"/>
      <c r="AL179" s="20"/>
      <c r="AM179" s="229"/>
      <c r="AN179" s="20"/>
      <c r="AO179" s="229"/>
      <c r="AP179" s="20"/>
      <c r="AQ179" s="229"/>
      <c r="AR179" s="20"/>
      <c r="AS179" s="229"/>
      <c r="AT179" s="20"/>
      <c r="AU179" s="229"/>
      <c r="AV179" s="20">
        <v>1</v>
      </c>
      <c r="AW179" s="229"/>
      <c r="AX179" s="20"/>
      <c r="AY179" s="229"/>
      <c r="AZ179" s="20"/>
      <c r="BA179" s="229"/>
      <c r="BB179" s="20"/>
      <c r="BC179" s="229">
        <f t="shared" si="71"/>
        <v>1</v>
      </c>
      <c r="BD179" s="48">
        <f t="shared" si="68"/>
        <v>2</v>
      </c>
      <c r="BE179" s="19">
        <v>1</v>
      </c>
      <c r="BF179" s="229">
        <f t="shared" si="72"/>
        <v>1</v>
      </c>
      <c r="BG179" s="210">
        <f t="shared" si="69"/>
        <v>2</v>
      </c>
      <c r="BH179" s="210">
        <f t="shared" si="66"/>
        <v>1</v>
      </c>
      <c r="BI179" s="213">
        <f t="shared" ref="BI179:BI242" si="73">BG179/BH179*100</f>
        <v>200</v>
      </c>
      <c r="BJ179" s="141"/>
      <c r="BK179" s="201"/>
      <c r="BL179" s="198"/>
      <c r="BM179" s="198"/>
    </row>
    <row r="180" spans="1:65" s="17" customFormat="1" ht="15.95" customHeight="1">
      <c r="A180" s="123">
        <v>66</v>
      </c>
      <c r="B180" s="9" t="s">
        <v>32</v>
      </c>
      <c r="C180" s="11" t="s">
        <v>33</v>
      </c>
      <c r="D180" s="229"/>
      <c r="E180" s="13"/>
      <c r="F180" s="229"/>
      <c r="G180" s="13"/>
      <c r="H180" s="229"/>
      <c r="I180" s="13"/>
      <c r="J180" s="229"/>
      <c r="K180" s="13"/>
      <c r="L180" s="229"/>
      <c r="M180" s="13"/>
      <c r="N180" s="229"/>
      <c r="O180" s="13"/>
      <c r="P180" s="229"/>
      <c r="Q180" s="13"/>
      <c r="R180" s="229"/>
      <c r="S180" s="13"/>
      <c r="T180" s="229"/>
      <c r="U180" s="13"/>
      <c r="V180" s="229"/>
      <c r="W180" s="13"/>
      <c r="X180" s="229"/>
      <c r="Y180" s="13"/>
      <c r="Z180" s="229"/>
      <c r="AA180" s="13"/>
      <c r="AB180" s="229">
        <f t="shared" si="70"/>
        <v>0</v>
      </c>
      <c r="AC180" s="228">
        <f t="shared" si="67"/>
        <v>0</v>
      </c>
      <c r="AD180" s="21">
        <v>0</v>
      </c>
      <c r="AE180" s="229"/>
      <c r="AF180" s="20"/>
      <c r="AG180" s="229"/>
      <c r="AH180" s="20"/>
      <c r="AI180" s="229">
        <v>2</v>
      </c>
      <c r="AJ180" s="20">
        <v>2</v>
      </c>
      <c r="AK180" s="229"/>
      <c r="AL180" s="20"/>
      <c r="AM180" s="229"/>
      <c r="AN180" s="20"/>
      <c r="AO180" s="229">
        <v>1</v>
      </c>
      <c r="AP180" s="20">
        <v>1</v>
      </c>
      <c r="AQ180" s="229"/>
      <c r="AR180" s="20"/>
      <c r="AS180" s="229"/>
      <c r="AT180" s="20"/>
      <c r="AU180" s="229"/>
      <c r="AV180" s="20">
        <v>2</v>
      </c>
      <c r="AW180" s="229"/>
      <c r="AX180" s="20"/>
      <c r="AY180" s="229"/>
      <c r="AZ180" s="20"/>
      <c r="BA180" s="229"/>
      <c r="BB180" s="20">
        <v>1</v>
      </c>
      <c r="BC180" s="229">
        <f t="shared" si="71"/>
        <v>3</v>
      </c>
      <c r="BD180" s="48">
        <f t="shared" si="68"/>
        <v>6</v>
      </c>
      <c r="BE180" s="19">
        <v>6</v>
      </c>
      <c r="BF180" s="229">
        <f t="shared" si="72"/>
        <v>3</v>
      </c>
      <c r="BG180" s="210">
        <f t="shared" si="69"/>
        <v>6</v>
      </c>
      <c r="BH180" s="210">
        <f t="shared" si="66"/>
        <v>6</v>
      </c>
      <c r="BI180" s="213">
        <f t="shared" si="73"/>
        <v>100</v>
      </c>
      <c r="BJ180" s="141"/>
      <c r="BK180" s="201"/>
      <c r="BL180" s="198"/>
      <c r="BM180" s="198"/>
    </row>
    <row r="181" spans="1:65" s="17" customFormat="1" ht="15.95" customHeight="1">
      <c r="A181" s="123">
        <v>67</v>
      </c>
      <c r="B181" s="9" t="s">
        <v>483</v>
      </c>
      <c r="C181" s="15" t="s">
        <v>2587</v>
      </c>
      <c r="D181" s="229"/>
      <c r="E181" s="13"/>
      <c r="F181" s="229"/>
      <c r="G181" s="13"/>
      <c r="H181" s="229">
        <f>1+1</f>
        <v>2</v>
      </c>
      <c r="I181" s="13">
        <f>1+1</f>
        <v>2</v>
      </c>
      <c r="J181" s="229"/>
      <c r="K181" s="13"/>
      <c r="L181" s="229"/>
      <c r="M181" s="13"/>
      <c r="N181" s="229"/>
      <c r="O181" s="13"/>
      <c r="P181" s="229"/>
      <c r="Q181" s="13"/>
      <c r="R181" s="229"/>
      <c r="S181" s="13"/>
      <c r="T181" s="229"/>
      <c r="U181" s="13"/>
      <c r="V181" s="229"/>
      <c r="W181" s="13"/>
      <c r="X181" s="229"/>
      <c r="Y181" s="13"/>
      <c r="Z181" s="229"/>
      <c r="AA181" s="13">
        <v>1</v>
      </c>
      <c r="AB181" s="229">
        <f t="shared" si="70"/>
        <v>2</v>
      </c>
      <c r="AC181" s="228">
        <f t="shared" si="67"/>
        <v>3</v>
      </c>
      <c r="AD181" s="21">
        <v>3</v>
      </c>
      <c r="AE181" s="229"/>
      <c r="AF181" s="20"/>
      <c r="AG181" s="229"/>
      <c r="AH181" s="20"/>
      <c r="AI181" s="229">
        <v>232</v>
      </c>
      <c r="AJ181" s="20">
        <v>241</v>
      </c>
      <c r="AK181" s="229"/>
      <c r="AL181" s="20"/>
      <c r="AM181" s="229"/>
      <c r="AN181" s="20"/>
      <c r="AO181" s="229">
        <v>209</v>
      </c>
      <c r="AP181" s="20">
        <v>216</v>
      </c>
      <c r="AQ181" s="229"/>
      <c r="AR181" s="20"/>
      <c r="AS181" s="229"/>
      <c r="AT181" s="20"/>
      <c r="AU181" s="229"/>
      <c r="AV181" s="20">
        <v>167</v>
      </c>
      <c r="AW181" s="229"/>
      <c r="AX181" s="20"/>
      <c r="AY181" s="229"/>
      <c r="AZ181" s="20"/>
      <c r="BA181" s="229"/>
      <c r="BB181" s="20">
        <v>246</v>
      </c>
      <c r="BC181" s="229">
        <f t="shared" si="71"/>
        <v>441</v>
      </c>
      <c r="BD181" s="48">
        <f t="shared" si="68"/>
        <v>870</v>
      </c>
      <c r="BE181" s="19">
        <v>498</v>
      </c>
      <c r="BF181" s="229">
        <f t="shared" si="72"/>
        <v>443</v>
      </c>
      <c r="BG181" s="210">
        <f t="shared" si="69"/>
        <v>873</v>
      </c>
      <c r="BH181" s="210">
        <f t="shared" si="66"/>
        <v>501</v>
      </c>
      <c r="BI181" s="213">
        <f t="shared" si="73"/>
        <v>174.25149700598803</v>
      </c>
      <c r="BJ181" s="141"/>
      <c r="BK181" s="201"/>
      <c r="BL181" s="198"/>
      <c r="BM181" s="198"/>
    </row>
    <row r="182" spans="1:65" s="17" customFormat="1" ht="15.95" customHeight="1">
      <c r="A182" s="123">
        <v>68</v>
      </c>
      <c r="B182" s="9" t="s">
        <v>498</v>
      </c>
      <c r="C182" s="15" t="s">
        <v>2586</v>
      </c>
      <c r="D182" s="229"/>
      <c r="E182" s="13"/>
      <c r="F182" s="229"/>
      <c r="G182" s="13"/>
      <c r="H182" s="229"/>
      <c r="I182" s="13"/>
      <c r="J182" s="229"/>
      <c r="K182" s="13"/>
      <c r="L182" s="229"/>
      <c r="M182" s="13"/>
      <c r="N182" s="229"/>
      <c r="O182" s="13"/>
      <c r="P182" s="229"/>
      <c r="Q182" s="13"/>
      <c r="R182" s="229"/>
      <c r="S182" s="13"/>
      <c r="T182" s="229"/>
      <c r="U182" s="13"/>
      <c r="V182" s="229"/>
      <c r="W182" s="13"/>
      <c r="X182" s="229"/>
      <c r="Y182" s="13"/>
      <c r="Z182" s="229"/>
      <c r="AA182" s="13"/>
      <c r="AB182" s="229">
        <f t="shared" si="70"/>
        <v>0</v>
      </c>
      <c r="AC182" s="228">
        <f t="shared" si="67"/>
        <v>0</v>
      </c>
      <c r="AD182" s="21">
        <v>0</v>
      </c>
      <c r="AE182" s="229"/>
      <c r="AF182" s="20"/>
      <c r="AG182" s="229"/>
      <c r="AH182" s="20"/>
      <c r="AI182" s="229">
        <v>19</v>
      </c>
      <c r="AJ182" s="20">
        <v>19</v>
      </c>
      <c r="AK182" s="229"/>
      <c r="AL182" s="20"/>
      <c r="AM182" s="229"/>
      <c r="AN182" s="20"/>
      <c r="AO182" s="229">
        <v>20</v>
      </c>
      <c r="AP182" s="20">
        <v>20</v>
      </c>
      <c r="AQ182" s="229"/>
      <c r="AR182" s="20"/>
      <c r="AS182" s="229"/>
      <c r="AT182" s="20"/>
      <c r="AU182" s="229"/>
      <c r="AV182" s="20">
        <v>14</v>
      </c>
      <c r="AW182" s="229"/>
      <c r="AX182" s="20"/>
      <c r="AY182" s="229"/>
      <c r="AZ182" s="20"/>
      <c r="BA182" s="229"/>
      <c r="BB182" s="20">
        <v>19</v>
      </c>
      <c r="BC182" s="229">
        <f t="shared" si="71"/>
        <v>39</v>
      </c>
      <c r="BD182" s="48">
        <f t="shared" si="68"/>
        <v>72</v>
      </c>
      <c r="BE182" s="19">
        <v>45</v>
      </c>
      <c r="BF182" s="229">
        <f t="shared" si="72"/>
        <v>39</v>
      </c>
      <c r="BG182" s="210">
        <f t="shared" si="69"/>
        <v>72</v>
      </c>
      <c r="BH182" s="210">
        <f t="shared" si="66"/>
        <v>45</v>
      </c>
      <c r="BI182" s="213">
        <f t="shared" si="73"/>
        <v>160</v>
      </c>
      <c r="BJ182" s="141"/>
      <c r="BK182" s="201"/>
      <c r="BL182" s="198"/>
      <c r="BM182" s="198"/>
    </row>
    <row r="183" spans="1:65" s="17" customFormat="1" ht="15.95" customHeight="1">
      <c r="A183" s="123">
        <v>69</v>
      </c>
      <c r="B183" s="9" t="s">
        <v>484</v>
      </c>
      <c r="C183" s="15" t="s">
        <v>485</v>
      </c>
      <c r="D183" s="229"/>
      <c r="E183" s="13"/>
      <c r="F183" s="229"/>
      <c r="G183" s="13"/>
      <c r="H183" s="229"/>
      <c r="I183" s="13"/>
      <c r="J183" s="229"/>
      <c r="K183" s="13"/>
      <c r="L183" s="229"/>
      <c r="M183" s="13"/>
      <c r="N183" s="229"/>
      <c r="O183" s="13"/>
      <c r="P183" s="229"/>
      <c r="Q183" s="13"/>
      <c r="R183" s="229"/>
      <c r="S183" s="13"/>
      <c r="T183" s="229"/>
      <c r="U183" s="13"/>
      <c r="V183" s="229"/>
      <c r="W183" s="13"/>
      <c r="X183" s="229"/>
      <c r="Y183" s="13"/>
      <c r="Z183" s="229"/>
      <c r="AA183" s="13"/>
      <c r="AB183" s="229">
        <f t="shared" si="70"/>
        <v>0</v>
      </c>
      <c r="AC183" s="228">
        <f t="shared" si="67"/>
        <v>0</v>
      </c>
      <c r="AD183" s="21">
        <v>0</v>
      </c>
      <c r="AE183" s="229"/>
      <c r="AF183" s="20"/>
      <c r="AG183" s="229"/>
      <c r="AH183" s="20"/>
      <c r="AI183" s="229">
        <v>1</v>
      </c>
      <c r="AJ183" s="20">
        <v>1</v>
      </c>
      <c r="AK183" s="229"/>
      <c r="AL183" s="20"/>
      <c r="AM183" s="229"/>
      <c r="AN183" s="20"/>
      <c r="AO183" s="229">
        <v>2</v>
      </c>
      <c r="AP183" s="20">
        <v>2</v>
      </c>
      <c r="AQ183" s="229"/>
      <c r="AR183" s="20"/>
      <c r="AS183" s="229"/>
      <c r="AT183" s="20"/>
      <c r="AU183" s="229"/>
      <c r="AV183" s="20"/>
      <c r="AW183" s="229"/>
      <c r="AX183" s="20"/>
      <c r="AY183" s="229"/>
      <c r="AZ183" s="20"/>
      <c r="BA183" s="229"/>
      <c r="BB183" s="20">
        <v>1</v>
      </c>
      <c r="BC183" s="229">
        <f t="shared" si="71"/>
        <v>3</v>
      </c>
      <c r="BD183" s="48">
        <f t="shared" si="68"/>
        <v>4</v>
      </c>
      <c r="BE183" s="19">
        <v>4</v>
      </c>
      <c r="BF183" s="229">
        <f t="shared" si="72"/>
        <v>3</v>
      </c>
      <c r="BG183" s="210">
        <f t="shared" si="69"/>
        <v>4</v>
      </c>
      <c r="BH183" s="210">
        <f t="shared" si="66"/>
        <v>4</v>
      </c>
      <c r="BI183" s="213">
        <f t="shared" si="73"/>
        <v>100</v>
      </c>
      <c r="BJ183" s="141"/>
      <c r="BK183" s="201"/>
      <c r="BL183" s="198"/>
      <c r="BM183" s="198"/>
    </row>
    <row r="184" spans="1:65" s="17" customFormat="1" ht="15.95" customHeight="1">
      <c r="A184" s="123">
        <v>70</v>
      </c>
      <c r="B184" s="9" t="s">
        <v>132</v>
      </c>
      <c r="C184" s="11" t="s">
        <v>133</v>
      </c>
      <c r="D184" s="229"/>
      <c r="E184" s="13"/>
      <c r="F184" s="229"/>
      <c r="G184" s="13"/>
      <c r="H184" s="229"/>
      <c r="I184" s="13"/>
      <c r="J184" s="229"/>
      <c r="K184" s="13"/>
      <c r="L184" s="229"/>
      <c r="M184" s="13"/>
      <c r="N184" s="229"/>
      <c r="O184" s="13"/>
      <c r="P184" s="229"/>
      <c r="Q184" s="13"/>
      <c r="R184" s="229"/>
      <c r="S184" s="13"/>
      <c r="T184" s="229"/>
      <c r="U184" s="13"/>
      <c r="V184" s="229"/>
      <c r="W184" s="13"/>
      <c r="X184" s="229"/>
      <c r="Y184" s="13"/>
      <c r="Z184" s="229"/>
      <c r="AA184" s="13"/>
      <c r="AB184" s="229">
        <f t="shared" si="70"/>
        <v>0</v>
      </c>
      <c r="AC184" s="228">
        <f t="shared" si="67"/>
        <v>0</v>
      </c>
      <c r="AD184" s="21">
        <v>0</v>
      </c>
      <c r="AE184" s="229"/>
      <c r="AF184" s="20"/>
      <c r="AG184" s="229"/>
      <c r="AH184" s="20"/>
      <c r="AI184" s="229">
        <v>1</v>
      </c>
      <c r="AJ184" s="20">
        <v>1</v>
      </c>
      <c r="AK184" s="229"/>
      <c r="AL184" s="20"/>
      <c r="AM184" s="229"/>
      <c r="AN184" s="20"/>
      <c r="AO184" s="229">
        <v>1</v>
      </c>
      <c r="AP184" s="20">
        <v>1</v>
      </c>
      <c r="AQ184" s="229"/>
      <c r="AR184" s="20"/>
      <c r="AS184" s="229"/>
      <c r="AT184" s="20"/>
      <c r="AU184" s="229"/>
      <c r="AV184" s="20">
        <v>1</v>
      </c>
      <c r="AW184" s="229"/>
      <c r="AX184" s="20"/>
      <c r="AY184" s="229"/>
      <c r="AZ184" s="20"/>
      <c r="BA184" s="229"/>
      <c r="BB184" s="20">
        <v>1</v>
      </c>
      <c r="BC184" s="229">
        <f t="shared" si="71"/>
        <v>2</v>
      </c>
      <c r="BD184" s="48">
        <f t="shared" si="68"/>
        <v>4</v>
      </c>
      <c r="BE184" s="19">
        <v>1</v>
      </c>
      <c r="BF184" s="229">
        <f t="shared" si="72"/>
        <v>2</v>
      </c>
      <c r="BG184" s="210">
        <f t="shared" si="69"/>
        <v>4</v>
      </c>
      <c r="BH184" s="210">
        <f t="shared" si="66"/>
        <v>1</v>
      </c>
      <c r="BI184" s="213">
        <f t="shared" si="73"/>
        <v>400</v>
      </c>
      <c r="BJ184" s="141"/>
      <c r="BK184" s="201"/>
      <c r="BL184" s="198"/>
      <c r="BM184" s="198"/>
    </row>
    <row r="185" spans="1:65" s="17" customFormat="1" ht="15.95" customHeight="1">
      <c r="A185" s="123">
        <v>71</v>
      </c>
      <c r="B185" s="9" t="s">
        <v>134</v>
      </c>
      <c r="C185" s="11" t="s">
        <v>2585</v>
      </c>
      <c r="D185" s="229"/>
      <c r="E185" s="13"/>
      <c r="F185" s="229"/>
      <c r="G185" s="13"/>
      <c r="H185" s="229"/>
      <c r="I185" s="13"/>
      <c r="J185" s="229"/>
      <c r="K185" s="13"/>
      <c r="L185" s="229"/>
      <c r="M185" s="13"/>
      <c r="N185" s="229"/>
      <c r="O185" s="13"/>
      <c r="P185" s="229"/>
      <c r="Q185" s="13"/>
      <c r="R185" s="229"/>
      <c r="S185" s="13"/>
      <c r="T185" s="229"/>
      <c r="U185" s="13"/>
      <c r="V185" s="229"/>
      <c r="W185" s="13"/>
      <c r="X185" s="229"/>
      <c r="Y185" s="13"/>
      <c r="Z185" s="229"/>
      <c r="AA185" s="13"/>
      <c r="AB185" s="229">
        <f t="shared" si="70"/>
        <v>0</v>
      </c>
      <c r="AC185" s="228">
        <f t="shared" si="67"/>
        <v>0</v>
      </c>
      <c r="AD185" s="21">
        <v>0</v>
      </c>
      <c r="AE185" s="229"/>
      <c r="AF185" s="20"/>
      <c r="AG185" s="229"/>
      <c r="AH185" s="20"/>
      <c r="AI185" s="229">
        <v>2</v>
      </c>
      <c r="AJ185" s="20">
        <v>2</v>
      </c>
      <c r="AK185" s="229"/>
      <c r="AL185" s="20"/>
      <c r="AM185" s="229"/>
      <c r="AN185" s="20"/>
      <c r="AO185" s="229">
        <v>2</v>
      </c>
      <c r="AP185" s="20">
        <v>2</v>
      </c>
      <c r="AQ185" s="229"/>
      <c r="AR185" s="20"/>
      <c r="AS185" s="229"/>
      <c r="AT185" s="20"/>
      <c r="AU185" s="229"/>
      <c r="AV185" s="20">
        <v>2</v>
      </c>
      <c r="AW185" s="229"/>
      <c r="AX185" s="20"/>
      <c r="AY185" s="229"/>
      <c r="AZ185" s="20"/>
      <c r="BA185" s="229"/>
      <c r="BB185" s="20">
        <v>1</v>
      </c>
      <c r="BC185" s="229">
        <f t="shared" si="71"/>
        <v>4</v>
      </c>
      <c r="BD185" s="48">
        <f t="shared" si="68"/>
        <v>7</v>
      </c>
      <c r="BE185" s="19">
        <v>14</v>
      </c>
      <c r="BF185" s="229">
        <f t="shared" si="72"/>
        <v>4</v>
      </c>
      <c r="BG185" s="210">
        <f t="shared" si="69"/>
        <v>7</v>
      </c>
      <c r="BH185" s="210">
        <f t="shared" si="66"/>
        <v>14</v>
      </c>
      <c r="BI185" s="213">
        <f t="shared" si="73"/>
        <v>50</v>
      </c>
      <c r="BJ185" s="141"/>
      <c r="BK185" s="201"/>
      <c r="BL185" s="198"/>
      <c r="BM185" s="198"/>
    </row>
    <row r="186" spans="1:65" s="17" customFormat="1" ht="15.95" customHeight="1">
      <c r="A186" s="123">
        <v>72</v>
      </c>
      <c r="B186" s="9" t="s">
        <v>135</v>
      </c>
      <c r="C186" s="11" t="s">
        <v>136</v>
      </c>
      <c r="D186" s="229"/>
      <c r="E186" s="13"/>
      <c r="F186" s="229"/>
      <c r="G186" s="13"/>
      <c r="H186" s="229"/>
      <c r="I186" s="13"/>
      <c r="J186" s="229"/>
      <c r="K186" s="13"/>
      <c r="L186" s="229"/>
      <c r="M186" s="13"/>
      <c r="N186" s="229"/>
      <c r="O186" s="13"/>
      <c r="P186" s="229"/>
      <c r="Q186" s="13"/>
      <c r="R186" s="229"/>
      <c r="S186" s="13"/>
      <c r="T186" s="229"/>
      <c r="U186" s="13"/>
      <c r="V186" s="229"/>
      <c r="W186" s="13"/>
      <c r="X186" s="229"/>
      <c r="Y186" s="13"/>
      <c r="Z186" s="229"/>
      <c r="AA186" s="13"/>
      <c r="AB186" s="229">
        <f t="shared" si="70"/>
        <v>0</v>
      </c>
      <c r="AC186" s="228">
        <f t="shared" si="67"/>
        <v>0</v>
      </c>
      <c r="AD186" s="21">
        <v>0</v>
      </c>
      <c r="AE186" s="229"/>
      <c r="AF186" s="20"/>
      <c r="AG186" s="229"/>
      <c r="AH186" s="20"/>
      <c r="AI186" s="229">
        <v>6</v>
      </c>
      <c r="AJ186" s="20">
        <v>6</v>
      </c>
      <c r="AK186" s="229"/>
      <c r="AL186" s="20"/>
      <c r="AM186" s="229"/>
      <c r="AN186" s="20"/>
      <c r="AO186" s="229">
        <v>4</v>
      </c>
      <c r="AP186" s="20">
        <v>4</v>
      </c>
      <c r="AQ186" s="229"/>
      <c r="AR186" s="20"/>
      <c r="AS186" s="229"/>
      <c r="AT186" s="20"/>
      <c r="AU186" s="229"/>
      <c r="AV186" s="20">
        <v>3</v>
      </c>
      <c r="AW186" s="229"/>
      <c r="AX186" s="20"/>
      <c r="AY186" s="229"/>
      <c r="AZ186" s="20"/>
      <c r="BA186" s="229"/>
      <c r="BB186" s="20">
        <v>5</v>
      </c>
      <c r="BC186" s="229">
        <f t="shared" si="71"/>
        <v>10</v>
      </c>
      <c r="BD186" s="48">
        <f t="shared" si="68"/>
        <v>18</v>
      </c>
      <c r="BE186" s="19">
        <v>28</v>
      </c>
      <c r="BF186" s="229">
        <f t="shared" si="72"/>
        <v>10</v>
      </c>
      <c r="BG186" s="210">
        <f t="shared" si="69"/>
        <v>18</v>
      </c>
      <c r="BH186" s="210">
        <f t="shared" si="66"/>
        <v>28</v>
      </c>
      <c r="BI186" s="213">
        <f t="shared" si="73"/>
        <v>64.285714285714292</v>
      </c>
      <c r="BJ186" s="141"/>
      <c r="BK186" s="201"/>
      <c r="BL186" s="198"/>
      <c r="BM186" s="198"/>
    </row>
    <row r="187" spans="1:65" s="17" customFormat="1" ht="15.95" customHeight="1">
      <c r="A187" s="123">
        <v>73</v>
      </c>
      <c r="B187" s="9" t="s">
        <v>499</v>
      </c>
      <c r="C187" s="11" t="s">
        <v>2584</v>
      </c>
      <c r="D187" s="229"/>
      <c r="E187" s="13"/>
      <c r="F187" s="229"/>
      <c r="G187" s="13"/>
      <c r="H187" s="229"/>
      <c r="I187" s="13"/>
      <c r="J187" s="229"/>
      <c r="K187" s="13"/>
      <c r="L187" s="229"/>
      <c r="M187" s="13"/>
      <c r="N187" s="229"/>
      <c r="O187" s="13"/>
      <c r="P187" s="229"/>
      <c r="Q187" s="13"/>
      <c r="R187" s="229"/>
      <c r="S187" s="13"/>
      <c r="T187" s="229"/>
      <c r="U187" s="13"/>
      <c r="V187" s="229"/>
      <c r="W187" s="13"/>
      <c r="X187" s="229"/>
      <c r="Y187" s="13"/>
      <c r="Z187" s="229"/>
      <c r="AA187" s="13"/>
      <c r="AB187" s="229">
        <f t="shared" si="70"/>
        <v>0</v>
      </c>
      <c r="AC187" s="228">
        <f t="shared" si="67"/>
        <v>0</v>
      </c>
      <c r="AD187" s="21">
        <v>0</v>
      </c>
      <c r="AE187" s="229"/>
      <c r="AF187" s="20"/>
      <c r="AG187" s="229"/>
      <c r="AH187" s="20"/>
      <c r="AI187" s="229">
        <v>3</v>
      </c>
      <c r="AJ187" s="20">
        <v>3</v>
      </c>
      <c r="AK187" s="229"/>
      <c r="AL187" s="20"/>
      <c r="AM187" s="229"/>
      <c r="AN187" s="20"/>
      <c r="AO187" s="229">
        <v>2</v>
      </c>
      <c r="AP187" s="20">
        <v>2</v>
      </c>
      <c r="AQ187" s="229"/>
      <c r="AR187" s="20"/>
      <c r="AS187" s="229"/>
      <c r="AT187" s="20"/>
      <c r="AU187" s="229"/>
      <c r="AV187" s="20"/>
      <c r="AW187" s="229"/>
      <c r="AX187" s="20"/>
      <c r="AY187" s="229"/>
      <c r="AZ187" s="20"/>
      <c r="BA187" s="229"/>
      <c r="BB187" s="20">
        <v>3</v>
      </c>
      <c r="BC187" s="229">
        <f t="shared" si="71"/>
        <v>5</v>
      </c>
      <c r="BD187" s="48">
        <f t="shared" si="68"/>
        <v>8</v>
      </c>
      <c r="BE187" s="19">
        <v>6</v>
      </c>
      <c r="BF187" s="229">
        <f t="shared" si="72"/>
        <v>5</v>
      </c>
      <c r="BG187" s="210">
        <f t="shared" si="69"/>
        <v>8</v>
      </c>
      <c r="BH187" s="210">
        <f t="shared" si="66"/>
        <v>6</v>
      </c>
      <c r="BI187" s="213">
        <f t="shared" si="73"/>
        <v>133.33333333333331</v>
      </c>
      <c r="BJ187" s="141"/>
      <c r="BK187" s="201"/>
      <c r="BL187" s="198"/>
      <c r="BM187" s="198"/>
    </row>
    <row r="188" spans="1:65" s="17" customFormat="1" ht="15.95" customHeight="1">
      <c r="A188" s="123">
        <v>74</v>
      </c>
      <c r="B188" s="9" t="s">
        <v>1475</v>
      </c>
      <c r="C188" s="11" t="s">
        <v>2582</v>
      </c>
      <c r="D188" s="229"/>
      <c r="E188" s="13"/>
      <c r="F188" s="229"/>
      <c r="G188" s="13"/>
      <c r="H188" s="229"/>
      <c r="I188" s="13"/>
      <c r="J188" s="229"/>
      <c r="K188" s="13"/>
      <c r="L188" s="229"/>
      <c r="M188" s="13"/>
      <c r="N188" s="229"/>
      <c r="O188" s="13"/>
      <c r="P188" s="229"/>
      <c r="Q188" s="13"/>
      <c r="R188" s="229"/>
      <c r="S188" s="13"/>
      <c r="T188" s="229"/>
      <c r="U188" s="13"/>
      <c r="V188" s="229"/>
      <c r="W188" s="13"/>
      <c r="X188" s="229"/>
      <c r="Y188" s="13"/>
      <c r="Z188" s="229"/>
      <c r="AA188" s="13"/>
      <c r="AB188" s="229">
        <f t="shared" si="70"/>
        <v>0</v>
      </c>
      <c r="AC188" s="228">
        <f t="shared" si="67"/>
        <v>0</v>
      </c>
      <c r="AD188" s="21">
        <v>0</v>
      </c>
      <c r="AE188" s="229"/>
      <c r="AF188" s="20"/>
      <c r="AG188" s="229"/>
      <c r="AH188" s="20"/>
      <c r="AI188" s="229"/>
      <c r="AJ188" s="20"/>
      <c r="AK188" s="229"/>
      <c r="AL188" s="20"/>
      <c r="AM188" s="229"/>
      <c r="AN188" s="20"/>
      <c r="AO188" s="229"/>
      <c r="AP188" s="20"/>
      <c r="AQ188" s="229"/>
      <c r="AR188" s="20"/>
      <c r="AS188" s="229"/>
      <c r="AT188" s="20"/>
      <c r="AU188" s="229"/>
      <c r="AV188" s="20"/>
      <c r="AW188" s="229"/>
      <c r="AX188" s="20"/>
      <c r="AY188" s="229"/>
      <c r="AZ188" s="20"/>
      <c r="BA188" s="229"/>
      <c r="BB188" s="20">
        <v>1</v>
      </c>
      <c r="BC188" s="229">
        <f t="shared" si="71"/>
        <v>0</v>
      </c>
      <c r="BD188" s="48">
        <f t="shared" si="68"/>
        <v>1</v>
      </c>
      <c r="BE188" s="19">
        <v>1</v>
      </c>
      <c r="BF188" s="229">
        <f t="shared" si="72"/>
        <v>0</v>
      </c>
      <c r="BG188" s="210">
        <f t="shared" si="69"/>
        <v>1</v>
      </c>
      <c r="BH188" s="210">
        <f t="shared" si="66"/>
        <v>1</v>
      </c>
      <c r="BI188" s="213">
        <f t="shared" si="73"/>
        <v>100</v>
      </c>
      <c r="BJ188" s="141"/>
      <c r="BK188" s="201"/>
      <c r="BL188" s="198"/>
      <c r="BM188" s="198"/>
    </row>
    <row r="189" spans="1:65" s="17" customFormat="1" ht="15.95" customHeight="1">
      <c r="A189" s="123">
        <v>75</v>
      </c>
      <c r="B189" s="9" t="s">
        <v>137</v>
      </c>
      <c r="C189" s="11" t="s">
        <v>2583</v>
      </c>
      <c r="D189" s="229"/>
      <c r="E189" s="13"/>
      <c r="F189" s="229"/>
      <c r="G189" s="13"/>
      <c r="H189" s="229"/>
      <c r="I189" s="13"/>
      <c r="J189" s="229"/>
      <c r="K189" s="13"/>
      <c r="L189" s="229"/>
      <c r="M189" s="13"/>
      <c r="N189" s="229"/>
      <c r="O189" s="13"/>
      <c r="P189" s="229"/>
      <c r="Q189" s="13"/>
      <c r="R189" s="229"/>
      <c r="S189" s="13"/>
      <c r="T189" s="229"/>
      <c r="U189" s="13"/>
      <c r="V189" s="229"/>
      <c r="W189" s="13"/>
      <c r="X189" s="229"/>
      <c r="Y189" s="13"/>
      <c r="Z189" s="229"/>
      <c r="AA189" s="13"/>
      <c r="AB189" s="229">
        <f t="shared" si="70"/>
        <v>0</v>
      </c>
      <c r="AC189" s="228">
        <f t="shared" si="67"/>
        <v>0</v>
      </c>
      <c r="AD189" s="21">
        <v>0</v>
      </c>
      <c r="AE189" s="229"/>
      <c r="AF189" s="20"/>
      <c r="AG189" s="229"/>
      <c r="AH189" s="20"/>
      <c r="AI189" s="229">
        <v>13</v>
      </c>
      <c r="AJ189" s="20">
        <v>13</v>
      </c>
      <c r="AK189" s="229"/>
      <c r="AL189" s="20"/>
      <c r="AM189" s="229"/>
      <c r="AN189" s="20"/>
      <c r="AO189" s="229">
        <v>12</v>
      </c>
      <c r="AP189" s="20">
        <v>12</v>
      </c>
      <c r="AQ189" s="229"/>
      <c r="AR189" s="20"/>
      <c r="AS189" s="229"/>
      <c r="AT189" s="20"/>
      <c r="AU189" s="229"/>
      <c r="AV189" s="20">
        <v>6</v>
      </c>
      <c r="AW189" s="229"/>
      <c r="AX189" s="20"/>
      <c r="AY189" s="229"/>
      <c r="AZ189" s="20"/>
      <c r="BA189" s="229"/>
      <c r="BB189" s="20">
        <v>2</v>
      </c>
      <c r="BC189" s="229">
        <f t="shared" si="71"/>
        <v>25</v>
      </c>
      <c r="BD189" s="48">
        <f t="shared" si="68"/>
        <v>33</v>
      </c>
      <c r="BE189" s="19">
        <v>56</v>
      </c>
      <c r="BF189" s="229">
        <f t="shared" si="72"/>
        <v>25</v>
      </c>
      <c r="BG189" s="210">
        <f t="shared" si="69"/>
        <v>33</v>
      </c>
      <c r="BH189" s="210">
        <f t="shared" si="66"/>
        <v>56</v>
      </c>
      <c r="BI189" s="213">
        <f t="shared" si="73"/>
        <v>58.928571428571431</v>
      </c>
      <c r="BJ189" s="141"/>
      <c r="BK189" s="201"/>
      <c r="BL189" s="198"/>
      <c r="BM189" s="198"/>
    </row>
    <row r="190" spans="1:65" s="17" customFormat="1" ht="15.95" customHeight="1">
      <c r="A190" s="123">
        <v>76</v>
      </c>
      <c r="B190" s="9" t="s">
        <v>1539</v>
      </c>
      <c r="C190" s="11" t="s">
        <v>1540</v>
      </c>
      <c r="D190" s="229"/>
      <c r="E190" s="13"/>
      <c r="F190" s="229"/>
      <c r="G190" s="13"/>
      <c r="H190" s="229"/>
      <c r="I190" s="13"/>
      <c r="J190" s="229"/>
      <c r="K190" s="13"/>
      <c r="L190" s="229"/>
      <c r="M190" s="13"/>
      <c r="N190" s="229"/>
      <c r="O190" s="13"/>
      <c r="P190" s="229"/>
      <c r="Q190" s="13"/>
      <c r="R190" s="229"/>
      <c r="S190" s="13"/>
      <c r="T190" s="229"/>
      <c r="U190" s="13"/>
      <c r="V190" s="229"/>
      <c r="W190" s="13"/>
      <c r="X190" s="229"/>
      <c r="Y190" s="13"/>
      <c r="Z190" s="229"/>
      <c r="AA190" s="13"/>
      <c r="AB190" s="229">
        <f t="shared" si="70"/>
        <v>0</v>
      </c>
      <c r="AC190" s="228">
        <f t="shared" si="67"/>
        <v>0</v>
      </c>
      <c r="AD190" s="21">
        <v>0</v>
      </c>
      <c r="AE190" s="229"/>
      <c r="AF190" s="20"/>
      <c r="AG190" s="229"/>
      <c r="AH190" s="20"/>
      <c r="AI190" s="229">
        <v>2</v>
      </c>
      <c r="AJ190" s="20">
        <v>2</v>
      </c>
      <c r="AK190" s="229"/>
      <c r="AL190" s="20"/>
      <c r="AM190" s="229"/>
      <c r="AN190" s="20"/>
      <c r="AO190" s="229"/>
      <c r="AP190" s="20"/>
      <c r="AQ190" s="229"/>
      <c r="AR190" s="20"/>
      <c r="AS190" s="229"/>
      <c r="AT190" s="20"/>
      <c r="AU190" s="229"/>
      <c r="AV190" s="20"/>
      <c r="AW190" s="229"/>
      <c r="AX190" s="20"/>
      <c r="AY190" s="229"/>
      <c r="AZ190" s="20"/>
      <c r="BA190" s="229"/>
      <c r="BB190" s="20"/>
      <c r="BC190" s="229">
        <f t="shared" si="71"/>
        <v>2</v>
      </c>
      <c r="BD190" s="48">
        <f t="shared" si="68"/>
        <v>2</v>
      </c>
      <c r="BE190" s="19">
        <v>4</v>
      </c>
      <c r="BF190" s="229">
        <f t="shared" si="72"/>
        <v>2</v>
      </c>
      <c r="BG190" s="210">
        <f t="shared" si="69"/>
        <v>2</v>
      </c>
      <c r="BH190" s="210">
        <f t="shared" si="66"/>
        <v>4</v>
      </c>
      <c r="BI190" s="213">
        <f t="shared" si="73"/>
        <v>50</v>
      </c>
      <c r="BJ190" s="141"/>
      <c r="BK190" s="201"/>
      <c r="BL190" s="198"/>
      <c r="BM190" s="198"/>
    </row>
    <row r="191" spans="1:65" s="17" customFormat="1" ht="15.95" customHeight="1">
      <c r="A191" s="123">
        <v>77</v>
      </c>
      <c r="B191" s="9" t="s">
        <v>476</v>
      </c>
      <c r="C191" s="11" t="s">
        <v>477</v>
      </c>
      <c r="D191" s="229"/>
      <c r="E191" s="13"/>
      <c r="F191" s="229"/>
      <c r="G191" s="13"/>
      <c r="H191" s="229">
        <v>1</v>
      </c>
      <c r="I191" s="13">
        <v>1</v>
      </c>
      <c r="J191" s="229"/>
      <c r="K191" s="13"/>
      <c r="L191" s="229"/>
      <c r="M191" s="13"/>
      <c r="N191" s="229"/>
      <c r="O191" s="13"/>
      <c r="P191" s="229"/>
      <c r="Q191" s="13"/>
      <c r="R191" s="229"/>
      <c r="S191" s="13"/>
      <c r="T191" s="229"/>
      <c r="U191" s="13">
        <v>1</v>
      </c>
      <c r="V191" s="229"/>
      <c r="W191" s="13"/>
      <c r="X191" s="229"/>
      <c r="Y191" s="13"/>
      <c r="Z191" s="229"/>
      <c r="AA191" s="13">
        <v>7</v>
      </c>
      <c r="AB191" s="229">
        <f t="shared" si="70"/>
        <v>1</v>
      </c>
      <c r="AC191" s="228">
        <f t="shared" si="67"/>
        <v>9</v>
      </c>
      <c r="AD191" s="21">
        <v>0</v>
      </c>
      <c r="AE191" s="229"/>
      <c r="AF191" s="20"/>
      <c r="AG191" s="229"/>
      <c r="AH191" s="20"/>
      <c r="AI191" s="229">
        <f>1+2+1+3</f>
        <v>7</v>
      </c>
      <c r="AJ191" s="20">
        <f>1+2+1+4</f>
        <v>8</v>
      </c>
      <c r="AK191" s="229"/>
      <c r="AL191" s="20"/>
      <c r="AM191" s="229"/>
      <c r="AN191" s="20"/>
      <c r="AO191" s="229">
        <f>1+1+2</f>
        <v>4</v>
      </c>
      <c r="AP191" s="20">
        <f>1+1+2</f>
        <v>4</v>
      </c>
      <c r="AQ191" s="229"/>
      <c r="AR191" s="20"/>
      <c r="AS191" s="229"/>
      <c r="AT191" s="20"/>
      <c r="AU191" s="229"/>
      <c r="AV191" s="20">
        <f>5+1</f>
        <v>6</v>
      </c>
      <c r="AW191" s="229"/>
      <c r="AX191" s="20"/>
      <c r="AY191" s="229"/>
      <c r="AZ191" s="20"/>
      <c r="BA191" s="229"/>
      <c r="BB191" s="20">
        <f>8+1+1</f>
        <v>10</v>
      </c>
      <c r="BC191" s="229">
        <f t="shared" si="71"/>
        <v>11</v>
      </c>
      <c r="BD191" s="48">
        <f t="shared" si="68"/>
        <v>28</v>
      </c>
      <c r="BE191" s="19">
        <v>0</v>
      </c>
      <c r="BF191" s="229">
        <f t="shared" si="72"/>
        <v>12</v>
      </c>
      <c r="BG191" s="210">
        <f t="shared" si="69"/>
        <v>37</v>
      </c>
      <c r="BH191" s="210">
        <f t="shared" ref="BH191:BH254" si="74">AD191+BE191</f>
        <v>0</v>
      </c>
      <c r="BI191" s="213" t="e">
        <f t="shared" si="73"/>
        <v>#DIV/0!</v>
      </c>
      <c r="BJ191" s="141"/>
      <c r="BK191" s="201"/>
      <c r="BL191" s="198"/>
      <c r="BM191" s="198"/>
    </row>
    <row r="192" spans="1:65" s="17" customFormat="1" ht="15.95" customHeight="1">
      <c r="A192" s="123">
        <v>78</v>
      </c>
      <c r="B192" s="9" t="s">
        <v>138</v>
      </c>
      <c r="C192" s="15" t="s">
        <v>139</v>
      </c>
      <c r="D192" s="229"/>
      <c r="E192" s="13"/>
      <c r="F192" s="229"/>
      <c r="G192" s="13"/>
      <c r="H192" s="229"/>
      <c r="I192" s="13"/>
      <c r="J192" s="229"/>
      <c r="K192" s="13"/>
      <c r="L192" s="229"/>
      <c r="M192" s="13"/>
      <c r="N192" s="229"/>
      <c r="O192" s="13"/>
      <c r="P192" s="229"/>
      <c r="Q192" s="13"/>
      <c r="R192" s="229"/>
      <c r="S192" s="13"/>
      <c r="T192" s="229"/>
      <c r="U192" s="13"/>
      <c r="V192" s="229"/>
      <c r="W192" s="13"/>
      <c r="X192" s="229"/>
      <c r="Y192" s="13"/>
      <c r="Z192" s="229"/>
      <c r="AA192" s="13"/>
      <c r="AB192" s="229">
        <f t="shared" si="70"/>
        <v>0</v>
      </c>
      <c r="AC192" s="228">
        <f t="shared" si="67"/>
        <v>0</v>
      </c>
      <c r="AD192" s="21">
        <v>0</v>
      </c>
      <c r="AE192" s="229"/>
      <c r="AF192" s="20"/>
      <c r="AG192" s="229"/>
      <c r="AH192" s="20"/>
      <c r="AI192" s="229">
        <v>11</v>
      </c>
      <c r="AJ192" s="20">
        <v>11</v>
      </c>
      <c r="AK192" s="229"/>
      <c r="AL192" s="20"/>
      <c r="AM192" s="229"/>
      <c r="AN192" s="20"/>
      <c r="AO192" s="229">
        <v>11</v>
      </c>
      <c r="AP192" s="20">
        <v>12</v>
      </c>
      <c r="AQ192" s="229"/>
      <c r="AR192" s="20"/>
      <c r="AS192" s="229"/>
      <c r="AT192" s="20"/>
      <c r="AU192" s="229"/>
      <c r="AV192" s="20">
        <v>9</v>
      </c>
      <c r="AW192" s="229"/>
      <c r="AX192" s="20"/>
      <c r="AY192" s="229"/>
      <c r="AZ192" s="20"/>
      <c r="BA192" s="229"/>
      <c r="BB192" s="20">
        <v>5</v>
      </c>
      <c r="BC192" s="229">
        <f t="shared" si="71"/>
        <v>22</v>
      </c>
      <c r="BD192" s="48">
        <f t="shared" si="68"/>
        <v>37</v>
      </c>
      <c r="BE192" s="19">
        <v>20</v>
      </c>
      <c r="BF192" s="229">
        <f t="shared" si="72"/>
        <v>22</v>
      </c>
      <c r="BG192" s="210">
        <f t="shared" si="69"/>
        <v>37</v>
      </c>
      <c r="BH192" s="210">
        <f t="shared" si="74"/>
        <v>20</v>
      </c>
      <c r="BI192" s="213">
        <f t="shared" si="73"/>
        <v>185</v>
      </c>
      <c r="BJ192" s="141"/>
      <c r="BK192" s="201"/>
      <c r="BL192" s="198"/>
      <c r="BM192" s="198"/>
    </row>
    <row r="193" spans="1:65" s="17" customFormat="1" ht="15.95" customHeight="1">
      <c r="A193" s="123">
        <v>79</v>
      </c>
      <c r="B193" s="9" t="s">
        <v>140</v>
      </c>
      <c r="C193" s="15" t="s">
        <v>2580</v>
      </c>
      <c r="D193" s="229"/>
      <c r="E193" s="13"/>
      <c r="F193" s="229"/>
      <c r="G193" s="13"/>
      <c r="H193" s="229"/>
      <c r="I193" s="13"/>
      <c r="J193" s="229"/>
      <c r="K193" s="13"/>
      <c r="L193" s="229"/>
      <c r="M193" s="13"/>
      <c r="N193" s="229"/>
      <c r="O193" s="13"/>
      <c r="P193" s="229"/>
      <c r="Q193" s="13"/>
      <c r="R193" s="229"/>
      <c r="S193" s="13"/>
      <c r="T193" s="229"/>
      <c r="U193" s="13"/>
      <c r="V193" s="229"/>
      <c r="W193" s="13"/>
      <c r="X193" s="229"/>
      <c r="Y193" s="13"/>
      <c r="Z193" s="229"/>
      <c r="AA193" s="13"/>
      <c r="AB193" s="229">
        <f t="shared" si="70"/>
        <v>0</v>
      </c>
      <c r="AC193" s="228">
        <f t="shared" si="67"/>
        <v>0</v>
      </c>
      <c r="AD193" s="21">
        <v>0</v>
      </c>
      <c r="AE193" s="229"/>
      <c r="AF193" s="20"/>
      <c r="AG193" s="229"/>
      <c r="AH193" s="20"/>
      <c r="AI193" s="229">
        <v>3</v>
      </c>
      <c r="AJ193" s="20">
        <v>3</v>
      </c>
      <c r="AK193" s="229"/>
      <c r="AL193" s="20"/>
      <c r="AM193" s="229"/>
      <c r="AN193" s="20"/>
      <c r="AO193" s="229">
        <v>2</v>
      </c>
      <c r="AP193" s="20">
        <v>2</v>
      </c>
      <c r="AQ193" s="229"/>
      <c r="AR193" s="20"/>
      <c r="AS193" s="229"/>
      <c r="AT193" s="20"/>
      <c r="AU193" s="229"/>
      <c r="AV193" s="20">
        <v>2</v>
      </c>
      <c r="AW193" s="229"/>
      <c r="AX193" s="20"/>
      <c r="AY193" s="229"/>
      <c r="AZ193" s="20"/>
      <c r="BA193" s="229"/>
      <c r="BB193" s="20">
        <v>1</v>
      </c>
      <c r="BC193" s="229">
        <f t="shared" si="71"/>
        <v>5</v>
      </c>
      <c r="BD193" s="48">
        <f t="shared" si="68"/>
        <v>8</v>
      </c>
      <c r="BE193" s="19">
        <v>23</v>
      </c>
      <c r="BF193" s="229">
        <f t="shared" si="72"/>
        <v>5</v>
      </c>
      <c r="BG193" s="210">
        <f t="shared" si="69"/>
        <v>8</v>
      </c>
      <c r="BH193" s="210">
        <f t="shared" si="74"/>
        <v>23</v>
      </c>
      <c r="BI193" s="213">
        <f t="shared" si="73"/>
        <v>34.782608695652172</v>
      </c>
      <c r="BJ193" s="141"/>
      <c r="BK193" s="201"/>
      <c r="BL193" s="198"/>
      <c r="BM193" s="198"/>
    </row>
    <row r="194" spans="1:65" s="17" customFormat="1" ht="15.95" customHeight="1">
      <c r="A194" s="123">
        <v>80</v>
      </c>
      <c r="B194" s="9" t="s">
        <v>141</v>
      </c>
      <c r="C194" s="11" t="s">
        <v>142</v>
      </c>
      <c r="D194" s="229"/>
      <c r="E194" s="13"/>
      <c r="F194" s="229"/>
      <c r="G194" s="13"/>
      <c r="H194" s="229"/>
      <c r="I194" s="13"/>
      <c r="J194" s="229"/>
      <c r="K194" s="13"/>
      <c r="L194" s="229"/>
      <c r="M194" s="13"/>
      <c r="N194" s="229"/>
      <c r="O194" s="13"/>
      <c r="P194" s="229"/>
      <c r="Q194" s="13"/>
      <c r="R194" s="229"/>
      <c r="S194" s="13"/>
      <c r="T194" s="229"/>
      <c r="U194" s="13"/>
      <c r="V194" s="229"/>
      <c r="W194" s="13"/>
      <c r="X194" s="229"/>
      <c r="Y194" s="13"/>
      <c r="Z194" s="229"/>
      <c r="AA194" s="13"/>
      <c r="AB194" s="229">
        <f t="shared" si="70"/>
        <v>0</v>
      </c>
      <c r="AC194" s="228">
        <f t="shared" si="67"/>
        <v>0</v>
      </c>
      <c r="AD194" s="21">
        <v>0</v>
      </c>
      <c r="AE194" s="229"/>
      <c r="AF194" s="20"/>
      <c r="AG194" s="229"/>
      <c r="AH194" s="20"/>
      <c r="AI194" s="229"/>
      <c r="AJ194" s="20"/>
      <c r="AK194" s="229"/>
      <c r="AL194" s="20"/>
      <c r="AM194" s="229"/>
      <c r="AN194" s="20"/>
      <c r="AO194" s="229"/>
      <c r="AP194" s="20"/>
      <c r="AQ194" s="229"/>
      <c r="AR194" s="20"/>
      <c r="AS194" s="229"/>
      <c r="AT194" s="20"/>
      <c r="AU194" s="229"/>
      <c r="AV194" s="20"/>
      <c r="AW194" s="229"/>
      <c r="AX194" s="20"/>
      <c r="AY194" s="229"/>
      <c r="AZ194" s="20"/>
      <c r="BA194" s="229"/>
      <c r="BB194" s="20"/>
      <c r="BC194" s="229">
        <f t="shared" si="71"/>
        <v>0</v>
      </c>
      <c r="BD194" s="48">
        <f t="shared" si="68"/>
        <v>0</v>
      </c>
      <c r="BE194" s="19">
        <v>2</v>
      </c>
      <c r="BF194" s="229">
        <f t="shared" si="72"/>
        <v>0</v>
      </c>
      <c r="BG194" s="210">
        <f t="shared" si="69"/>
        <v>0</v>
      </c>
      <c r="BH194" s="210">
        <f t="shared" si="74"/>
        <v>2</v>
      </c>
      <c r="BI194" s="213">
        <f t="shared" si="73"/>
        <v>0</v>
      </c>
      <c r="BJ194" s="141"/>
      <c r="BK194" s="201"/>
      <c r="BL194" s="198"/>
      <c r="BM194" s="198"/>
    </row>
    <row r="195" spans="1:65" s="17" customFormat="1" ht="15.95" customHeight="1">
      <c r="A195" s="123">
        <v>81</v>
      </c>
      <c r="B195" s="9" t="s">
        <v>1689</v>
      </c>
      <c r="C195" s="11" t="s">
        <v>1690</v>
      </c>
      <c r="D195" s="229"/>
      <c r="E195" s="13"/>
      <c r="F195" s="229"/>
      <c r="G195" s="13"/>
      <c r="H195" s="229"/>
      <c r="I195" s="13"/>
      <c r="J195" s="229"/>
      <c r="K195" s="13"/>
      <c r="L195" s="229"/>
      <c r="M195" s="13"/>
      <c r="N195" s="229"/>
      <c r="O195" s="13"/>
      <c r="P195" s="229"/>
      <c r="Q195" s="13"/>
      <c r="R195" s="229"/>
      <c r="S195" s="13"/>
      <c r="T195" s="229"/>
      <c r="U195" s="13"/>
      <c r="V195" s="229"/>
      <c r="W195" s="13"/>
      <c r="X195" s="229"/>
      <c r="Y195" s="13"/>
      <c r="Z195" s="229"/>
      <c r="AA195" s="13"/>
      <c r="AB195" s="229">
        <f t="shared" si="70"/>
        <v>0</v>
      </c>
      <c r="AC195" s="228">
        <f t="shared" si="67"/>
        <v>0</v>
      </c>
      <c r="AD195" s="21">
        <v>0</v>
      </c>
      <c r="AE195" s="229"/>
      <c r="AF195" s="20"/>
      <c r="AG195" s="229"/>
      <c r="AH195" s="20"/>
      <c r="AI195" s="229"/>
      <c r="AJ195" s="20"/>
      <c r="AK195" s="229"/>
      <c r="AL195" s="20"/>
      <c r="AM195" s="229"/>
      <c r="AN195" s="20"/>
      <c r="AO195" s="229"/>
      <c r="AP195" s="20"/>
      <c r="AQ195" s="229"/>
      <c r="AR195" s="20"/>
      <c r="AS195" s="229"/>
      <c r="AT195" s="20"/>
      <c r="AU195" s="229"/>
      <c r="AV195" s="20"/>
      <c r="AW195" s="229"/>
      <c r="AX195" s="20"/>
      <c r="AY195" s="229"/>
      <c r="AZ195" s="20"/>
      <c r="BA195" s="229"/>
      <c r="BB195" s="20"/>
      <c r="BC195" s="229">
        <f t="shared" si="71"/>
        <v>0</v>
      </c>
      <c r="BD195" s="48">
        <f t="shared" si="68"/>
        <v>0</v>
      </c>
      <c r="BE195" s="19">
        <v>2</v>
      </c>
      <c r="BF195" s="229">
        <f t="shared" si="72"/>
        <v>0</v>
      </c>
      <c r="BG195" s="210">
        <f t="shared" si="69"/>
        <v>0</v>
      </c>
      <c r="BH195" s="210">
        <f t="shared" si="74"/>
        <v>2</v>
      </c>
      <c r="BI195" s="213">
        <f t="shared" si="73"/>
        <v>0</v>
      </c>
      <c r="BJ195" s="141"/>
      <c r="BK195" s="201"/>
      <c r="BL195" s="198"/>
      <c r="BM195" s="198"/>
    </row>
    <row r="196" spans="1:65" s="17" customFormat="1" ht="15.95" customHeight="1">
      <c r="A196" s="123">
        <v>82</v>
      </c>
      <c r="B196" s="9" t="s">
        <v>2645</v>
      </c>
      <c r="C196" s="11" t="s">
        <v>2646</v>
      </c>
      <c r="D196" s="229"/>
      <c r="E196" s="13"/>
      <c r="F196" s="229"/>
      <c r="G196" s="13"/>
      <c r="H196" s="229"/>
      <c r="I196" s="13"/>
      <c r="J196" s="229"/>
      <c r="K196" s="13"/>
      <c r="L196" s="229"/>
      <c r="M196" s="13"/>
      <c r="N196" s="229"/>
      <c r="O196" s="13"/>
      <c r="P196" s="229"/>
      <c r="Q196" s="13"/>
      <c r="R196" s="229"/>
      <c r="S196" s="13"/>
      <c r="T196" s="229"/>
      <c r="U196" s="13"/>
      <c r="V196" s="229"/>
      <c r="W196" s="13"/>
      <c r="X196" s="229"/>
      <c r="Y196" s="13"/>
      <c r="Z196" s="229"/>
      <c r="AA196" s="13"/>
      <c r="AB196" s="229">
        <f t="shared" si="70"/>
        <v>0</v>
      </c>
      <c r="AC196" s="228">
        <f t="shared" si="67"/>
        <v>0</v>
      </c>
      <c r="AD196" s="21">
        <v>0</v>
      </c>
      <c r="AE196" s="229"/>
      <c r="AF196" s="20"/>
      <c r="AG196" s="229"/>
      <c r="AH196" s="20"/>
      <c r="AI196" s="229"/>
      <c r="AJ196" s="20"/>
      <c r="AK196" s="229"/>
      <c r="AL196" s="20"/>
      <c r="AM196" s="229"/>
      <c r="AN196" s="20"/>
      <c r="AO196" s="229"/>
      <c r="AP196" s="20"/>
      <c r="AQ196" s="229"/>
      <c r="AR196" s="20"/>
      <c r="AS196" s="229"/>
      <c r="AT196" s="20"/>
      <c r="AU196" s="229"/>
      <c r="AV196" s="20"/>
      <c r="AW196" s="229"/>
      <c r="AX196" s="20"/>
      <c r="AY196" s="229"/>
      <c r="AZ196" s="20"/>
      <c r="BA196" s="229"/>
      <c r="BB196" s="20">
        <v>1</v>
      </c>
      <c r="BC196" s="229">
        <f t="shared" si="71"/>
        <v>0</v>
      </c>
      <c r="BD196" s="48">
        <f t="shared" si="68"/>
        <v>1</v>
      </c>
      <c r="BE196" s="19">
        <v>6</v>
      </c>
      <c r="BF196" s="229">
        <f t="shared" si="72"/>
        <v>0</v>
      </c>
      <c r="BG196" s="210">
        <f t="shared" si="69"/>
        <v>1</v>
      </c>
      <c r="BH196" s="210">
        <f t="shared" si="74"/>
        <v>6</v>
      </c>
      <c r="BI196" s="213">
        <f t="shared" si="73"/>
        <v>16.666666666666664</v>
      </c>
      <c r="BJ196" s="141"/>
      <c r="BK196" s="201"/>
      <c r="BL196" s="198"/>
      <c r="BM196" s="198"/>
    </row>
    <row r="197" spans="1:65" s="17" customFormat="1" ht="15.95" customHeight="1">
      <c r="A197" s="123">
        <v>83</v>
      </c>
      <c r="B197" s="9" t="s">
        <v>3066</v>
      </c>
      <c r="C197" s="11" t="s">
        <v>3067</v>
      </c>
      <c r="D197" s="229"/>
      <c r="E197" s="13"/>
      <c r="F197" s="229"/>
      <c r="G197" s="13"/>
      <c r="H197" s="229"/>
      <c r="I197" s="13"/>
      <c r="J197" s="229"/>
      <c r="K197" s="13"/>
      <c r="L197" s="229"/>
      <c r="M197" s="13"/>
      <c r="N197" s="229"/>
      <c r="O197" s="13"/>
      <c r="P197" s="229"/>
      <c r="Q197" s="13"/>
      <c r="R197" s="229"/>
      <c r="S197" s="13"/>
      <c r="T197" s="229"/>
      <c r="U197" s="13"/>
      <c r="V197" s="229"/>
      <c r="W197" s="13"/>
      <c r="X197" s="229"/>
      <c r="Y197" s="13"/>
      <c r="Z197" s="229"/>
      <c r="AA197" s="13"/>
      <c r="AB197" s="229"/>
      <c r="AC197" s="228">
        <f t="shared" si="67"/>
        <v>0</v>
      </c>
      <c r="AD197" s="19">
        <v>0</v>
      </c>
      <c r="AE197" s="229"/>
      <c r="AF197" s="20"/>
      <c r="AG197" s="229"/>
      <c r="AH197" s="20"/>
      <c r="AI197" s="229"/>
      <c r="AJ197" s="20"/>
      <c r="AK197" s="229"/>
      <c r="AL197" s="20"/>
      <c r="AM197" s="229"/>
      <c r="AN197" s="20"/>
      <c r="AO197" s="229"/>
      <c r="AP197" s="20">
        <v>1</v>
      </c>
      <c r="AQ197" s="229"/>
      <c r="AR197" s="20"/>
      <c r="AS197" s="229"/>
      <c r="AT197" s="20"/>
      <c r="AU197" s="229"/>
      <c r="AV197" s="20"/>
      <c r="AW197" s="229"/>
      <c r="AX197" s="20"/>
      <c r="AY197" s="229"/>
      <c r="AZ197" s="20"/>
      <c r="BA197" s="229"/>
      <c r="BB197" s="20">
        <v>1</v>
      </c>
      <c r="BC197" s="229"/>
      <c r="BD197" s="48">
        <f t="shared" si="68"/>
        <v>2</v>
      </c>
      <c r="BE197" s="19">
        <v>0</v>
      </c>
      <c r="BF197" s="229"/>
      <c r="BG197" s="210">
        <f t="shared" si="69"/>
        <v>2</v>
      </c>
      <c r="BH197" s="210">
        <f t="shared" si="74"/>
        <v>0</v>
      </c>
      <c r="BI197" s="213" t="e">
        <f t="shared" si="73"/>
        <v>#DIV/0!</v>
      </c>
      <c r="BJ197" s="141"/>
      <c r="BK197" s="201"/>
      <c r="BL197" s="198"/>
      <c r="BM197" s="198"/>
    </row>
    <row r="198" spans="1:65" s="17" customFormat="1" ht="15.95" customHeight="1">
      <c r="A198" s="123">
        <v>84</v>
      </c>
      <c r="B198" s="9" t="s">
        <v>2187</v>
      </c>
      <c r="C198" s="11" t="s">
        <v>2579</v>
      </c>
      <c r="D198" s="229"/>
      <c r="E198" s="13"/>
      <c r="F198" s="229"/>
      <c r="G198" s="13"/>
      <c r="H198" s="229"/>
      <c r="I198" s="13"/>
      <c r="J198" s="229"/>
      <c r="K198" s="13"/>
      <c r="L198" s="229"/>
      <c r="M198" s="13"/>
      <c r="N198" s="229"/>
      <c r="O198" s="13"/>
      <c r="P198" s="229"/>
      <c r="Q198" s="13"/>
      <c r="R198" s="229"/>
      <c r="S198" s="13"/>
      <c r="T198" s="229"/>
      <c r="U198" s="13"/>
      <c r="V198" s="229"/>
      <c r="W198" s="13"/>
      <c r="X198" s="229"/>
      <c r="Y198" s="13"/>
      <c r="Z198" s="229"/>
      <c r="AA198" s="13"/>
      <c r="AB198" s="229">
        <f t="shared" ref="AB198:AB229" si="75">D198+F198+H198+J198+L198+N198+P198+R198+T198+V198+X198+Z198</f>
        <v>0</v>
      </c>
      <c r="AC198" s="228">
        <f t="shared" si="67"/>
        <v>0</v>
      </c>
      <c r="AD198" s="21">
        <v>0</v>
      </c>
      <c r="AE198" s="229"/>
      <c r="AF198" s="20"/>
      <c r="AG198" s="229"/>
      <c r="AH198" s="20"/>
      <c r="AI198" s="229">
        <v>1</v>
      </c>
      <c r="AJ198" s="20">
        <v>1</v>
      </c>
      <c r="AK198" s="229"/>
      <c r="AL198" s="20"/>
      <c r="AM198" s="229"/>
      <c r="AN198" s="20"/>
      <c r="AO198" s="229"/>
      <c r="AP198" s="20"/>
      <c r="AQ198" s="229"/>
      <c r="AR198" s="20"/>
      <c r="AS198" s="229"/>
      <c r="AT198" s="20"/>
      <c r="AU198" s="229"/>
      <c r="AV198" s="20"/>
      <c r="AW198" s="229"/>
      <c r="AX198" s="20"/>
      <c r="AY198" s="229"/>
      <c r="AZ198" s="20"/>
      <c r="BA198" s="229"/>
      <c r="BB198" s="20"/>
      <c r="BC198" s="229">
        <f t="shared" ref="BC198:BC229" si="76">AE198+AG198+AI198+AK198+AM198+AO198+AQ198+AS198+AU198+AW198+AY198+BA198</f>
        <v>1</v>
      </c>
      <c r="BD198" s="48">
        <f t="shared" si="68"/>
        <v>1</v>
      </c>
      <c r="BE198" s="19">
        <v>5</v>
      </c>
      <c r="BF198" s="229">
        <f t="shared" ref="BF198:BF229" si="77">AB198+BC198</f>
        <v>1</v>
      </c>
      <c r="BG198" s="210">
        <f t="shared" si="69"/>
        <v>1</v>
      </c>
      <c r="BH198" s="210">
        <f t="shared" si="74"/>
        <v>5</v>
      </c>
      <c r="BI198" s="213">
        <f t="shared" si="73"/>
        <v>20</v>
      </c>
      <c r="BJ198" s="141"/>
      <c r="BK198" s="201"/>
      <c r="BL198" s="198"/>
      <c r="BM198" s="198"/>
    </row>
    <row r="199" spans="1:65" s="17" customFormat="1" ht="15.95" customHeight="1">
      <c r="A199" s="123">
        <v>85</v>
      </c>
      <c r="B199" s="9" t="s">
        <v>143</v>
      </c>
      <c r="C199" s="11" t="s">
        <v>144</v>
      </c>
      <c r="D199" s="229"/>
      <c r="E199" s="13"/>
      <c r="F199" s="229"/>
      <c r="G199" s="13"/>
      <c r="H199" s="229"/>
      <c r="I199" s="13"/>
      <c r="J199" s="229"/>
      <c r="K199" s="13"/>
      <c r="L199" s="229"/>
      <c r="M199" s="13"/>
      <c r="N199" s="229"/>
      <c r="O199" s="13"/>
      <c r="P199" s="229"/>
      <c r="Q199" s="13"/>
      <c r="R199" s="229"/>
      <c r="S199" s="13"/>
      <c r="T199" s="229"/>
      <c r="U199" s="13"/>
      <c r="V199" s="229"/>
      <c r="W199" s="13"/>
      <c r="X199" s="229"/>
      <c r="Y199" s="13"/>
      <c r="Z199" s="229"/>
      <c r="AA199" s="13"/>
      <c r="AB199" s="229">
        <f t="shared" si="75"/>
        <v>0</v>
      </c>
      <c r="AC199" s="228">
        <f t="shared" si="67"/>
        <v>0</v>
      </c>
      <c r="AD199" s="21">
        <v>0</v>
      </c>
      <c r="AE199" s="229"/>
      <c r="AF199" s="20"/>
      <c r="AG199" s="229"/>
      <c r="AH199" s="20"/>
      <c r="AI199" s="229">
        <v>5</v>
      </c>
      <c r="AJ199" s="20">
        <v>5</v>
      </c>
      <c r="AK199" s="229"/>
      <c r="AL199" s="20"/>
      <c r="AM199" s="229"/>
      <c r="AN199" s="20"/>
      <c r="AO199" s="229">
        <v>1</v>
      </c>
      <c r="AP199" s="20">
        <v>1</v>
      </c>
      <c r="AQ199" s="229"/>
      <c r="AR199" s="20"/>
      <c r="AS199" s="229"/>
      <c r="AT199" s="20"/>
      <c r="AU199" s="229"/>
      <c r="AV199" s="20">
        <v>2</v>
      </c>
      <c r="AW199" s="229"/>
      <c r="AX199" s="20"/>
      <c r="AY199" s="229"/>
      <c r="AZ199" s="20"/>
      <c r="BA199" s="229"/>
      <c r="BB199" s="20">
        <v>1</v>
      </c>
      <c r="BC199" s="229">
        <f t="shared" si="76"/>
        <v>6</v>
      </c>
      <c r="BD199" s="48">
        <f t="shared" si="68"/>
        <v>9</v>
      </c>
      <c r="BE199" s="19">
        <v>38</v>
      </c>
      <c r="BF199" s="229">
        <f t="shared" si="77"/>
        <v>6</v>
      </c>
      <c r="BG199" s="210">
        <f t="shared" si="69"/>
        <v>9</v>
      </c>
      <c r="BH199" s="210">
        <f t="shared" si="74"/>
        <v>38</v>
      </c>
      <c r="BI199" s="213">
        <f t="shared" si="73"/>
        <v>23.684210526315788</v>
      </c>
      <c r="BJ199" s="141"/>
      <c r="BK199" s="201"/>
      <c r="BL199" s="198"/>
      <c r="BM199" s="198"/>
    </row>
    <row r="200" spans="1:65" s="17" customFormat="1" ht="15.95" customHeight="1">
      <c r="A200" s="123">
        <v>86</v>
      </c>
      <c r="B200" s="9" t="s">
        <v>2237</v>
      </c>
      <c r="C200" s="11" t="s">
        <v>2238</v>
      </c>
      <c r="D200" s="229"/>
      <c r="E200" s="13"/>
      <c r="F200" s="229"/>
      <c r="G200" s="13"/>
      <c r="H200" s="229"/>
      <c r="I200" s="13"/>
      <c r="J200" s="229"/>
      <c r="K200" s="13"/>
      <c r="L200" s="229"/>
      <c r="M200" s="13"/>
      <c r="N200" s="229"/>
      <c r="O200" s="13"/>
      <c r="P200" s="229"/>
      <c r="Q200" s="13"/>
      <c r="R200" s="229"/>
      <c r="S200" s="13"/>
      <c r="T200" s="229"/>
      <c r="U200" s="13"/>
      <c r="V200" s="229"/>
      <c r="W200" s="13"/>
      <c r="X200" s="229"/>
      <c r="Y200" s="13"/>
      <c r="Z200" s="229"/>
      <c r="AA200" s="13"/>
      <c r="AB200" s="229">
        <f t="shared" si="75"/>
        <v>0</v>
      </c>
      <c r="AC200" s="228">
        <f t="shared" si="67"/>
        <v>0</v>
      </c>
      <c r="AD200" s="19">
        <v>0</v>
      </c>
      <c r="AE200" s="229"/>
      <c r="AF200" s="20"/>
      <c r="AG200" s="229"/>
      <c r="AH200" s="20"/>
      <c r="AI200" s="229"/>
      <c r="AJ200" s="20"/>
      <c r="AK200" s="229"/>
      <c r="AL200" s="20"/>
      <c r="AM200" s="229"/>
      <c r="AN200" s="20"/>
      <c r="AO200" s="229"/>
      <c r="AP200" s="20"/>
      <c r="AQ200" s="229"/>
      <c r="AR200" s="20"/>
      <c r="AS200" s="229"/>
      <c r="AT200" s="20"/>
      <c r="AU200" s="229"/>
      <c r="AV200" s="20"/>
      <c r="AW200" s="229"/>
      <c r="AX200" s="20"/>
      <c r="AY200" s="229"/>
      <c r="AZ200" s="20"/>
      <c r="BA200" s="229"/>
      <c r="BB200" s="28"/>
      <c r="BC200" s="229">
        <f t="shared" si="76"/>
        <v>0</v>
      </c>
      <c r="BD200" s="48">
        <f t="shared" si="68"/>
        <v>0</v>
      </c>
      <c r="BE200" s="19">
        <v>2</v>
      </c>
      <c r="BF200" s="229">
        <f t="shared" si="77"/>
        <v>0</v>
      </c>
      <c r="BG200" s="210">
        <f t="shared" si="69"/>
        <v>0</v>
      </c>
      <c r="BH200" s="210">
        <f t="shared" si="74"/>
        <v>2</v>
      </c>
      <c r="BI200" s="213">
        <f t="shared" si="73"/>
        <v>0</v>
      </c>
      <c r="BJ200" s="141"/>
      <c r="BK200" s="201"/>
      <c r="BL200" s="198"/>
      <c r="BM200" s="198"/>
    </row>
    <row r="201" spans="1:65" s="17" customFormat="1" ht="15.95" customHeight="1">
      <c r="A201" s="123">
        <v>87</v>
      </c>
      <c r="B201" s="9" t="s">
        <v>1979</v>
      </c>
      <c r="C201" s="11" t="s">
        <v>1980</v>
      </c>
      <c r="D201" s="229"/>
      <c r="E201" s="13"/>
      <c r="F201" s="229"/>
      <c r="G201" s="13"/>
      <c r="H201" s="229"/>
      <c r="I201" s="13"/>
      <c r="J201" s="229"/>
      <c r="K201" s="13"/>
      <c r="L201" s="229"/>
      <c r="M201" s="13"/>
      <c r="N201" s="229"/>
      <c r="O201" s="13"/>
      <c r="P201" s="229"/>
      <c r="Q201" s="13"/>
      <c r="R201" s="229"/>
      <c r="S201" s="13"/>
      <c r="T201" s="229"/>
      <c r="U201" s="13"/>
      <c r="V201" s="229"/>
      <c r="W201" s="13"/>
      <c r="X201" s="229"/>
      <c r="Y201" s="13"/>
      <c r="Z201" s="229"/>
      <c r="AA201" s="13"/>
      <c r="AB201" s="229">
        <f t="shared" si="75"/>
        <v>0</v>
      </c>
      <c r="AC201" s="228">
        <f t="shared" si="67"/>
        <v>0</v>
      </c>
      <c r="AD201" s="19">
        <v>0</v>
      </c>
      <c r="AE201" s="229"/>
      <c r="AF201" s="20"/>
      <c r="AG201" s="229"/>
      <c r="AH201" s="20"/>
      <c r="AI201" s="229">
        <v>1</v>
      </c>
      <c r="AJ201" s="20">
        <v>1</v>
      </c>
      <c r="AK201" s="229"/>
      <c r="AL201" s="20"/>
      <c r="AM201" s="229"/>
      <c r="AN201" s="20"/>
      <c r="AO201" s="229"/>
      <c r="AP201" s="20"/>
      <c r="AQ201" s="229"/>
      <c r="AR201" s="20"/>
      <c r="AS201" s="229"/>
      <c r="AT201" s="20"/>
      <c r="AU201" s="229"/>
      <c r="AV201" s="20"/>
      <c r="AW201" s="229"/>
      <c r="AX201" s="20"/>
      <c r="AY201" s="229"/>
      <c r="AZ201" s="20"/>
      <c r="BA201" s="229"/>
      <c r="BB201" s="28"/>
      <c r="BC201" s="229">
        <f t="shared" si="76"/>
        <v>1</v>
      </c>
      <c r="BD201" s="48">
        <f t="shared" si="68"/>
        <v>1</v>
      </c>
      <c r="BE201" s="19">
        <v>2</v>
      </c>
      <c r="BF201" s="229">
        <f t="shared" si="77"/>
        <v>1</v>
      </c>
      <c r="BG201" s="210">
        <f t="shared" si="69"/>
        <v>1</v>
      </c>
      <c r="BH201" s="210">
        <f t="shared" si="74"/>
        <v>2</v>
      </c>
      <c r="BI201" s="213">
        <f t="shared" si="73"/>
        <v>50</v>
      </c>
      <c r="BJ201" s="141"/>
      <c r="BK201" s="201"/>
      <c r="BL201" s="198"/>
      <c r="BM201" s="198"/>
    </row>
    <row r="202" spans="1:65" s="17" customFormat="1" ht="15.95" customHeight="1">
      <c r="A202" s="123">
        <v>88</v>
      </c>
      <c r="B202" s="9" t="s">
        <v>145</v>
      </c>
      <c r="C202" s="11" t="s">
        <v>146</v>
      </c>
      <c r="D202" s="229"/>
      <c r="E202" s="13"/>
      <c r="F202" s="229"/>
      <c r="G202" s="13"/>
      <c r="H202" s="229"/>
      <c r="I202" s="13"/>
      <c r="J202" s="229"/>
      <c r="K202" s="13"/>
      <c r="L202" s="229"/>
      <c r="M202" s="13"/>
      <c r="N202" s="229"/>
      <c r="O202" s="13"/>
      <c r="P202" s="229"/>
      <c r="Q202" s="13"/>
      <c r="R202" s="229"/>
      <c r="S202" s="13"/>
      <c r="T202" s="229"/>
      <c r="U202" s="13"/>
      <c r="V202" s="229"/>
      <c r="W202" s="13"/>
      <c r="X202" s="229"/>
      <c r="Y202" s="13"/>
      <c r="Z202" s="229"/>
      <c r="AA202" s="13"/>
      <c r="AB202" s="229">
        <f t="shared" si="75"/>
        <v>0</v>
      </c>
      <c r="AC202" s="228">
        <f t="shared" si="67"/>
        <v>0</v>
      </c>
      <c r="AD202" s="21">
        <v>0</v>
      </c>
      <c r="AE202" s="229"/>
      <c r="AF202" s="20"/>
      <c r="AG202" s="229"/>
      <c r="AH202" s="20"/>
      <c r="AI202" s="229">
        <v>10</v>
      </c>
      <c r="AJ202" s="20">
        <v>10</v>
      </c>
      <c r="AK202" s="229"/>
      <c r="AL202" s="20"/>
      <c r="AM202" s="229"/>
      <c r="AN202" s="20"/>
      <c r="AO202" s="229">
        <v>14</v>
      </c>
      <c r="AP202" s="20">
        <v>14</v>
      </c>
      <c r="AQ202" s="229"/>
      <c r="AR202" s="20"/>
      <c r="AS202" s="229"/>
      <c r="AT202" s="20"/>
      <c r="AU202" s="229"/>
      <c r="AV202" s="20">
        <v>11</v>
      </c>
      <c r="AW202" s="229"/>
      <c r="AX202" s="20"/>
      <c r="AY202" s="229"/>
      <c r="AZ202" s="20"/>
      <c r="BA202" s="229"/>
      <c r="BB202" s="68">
        <v>17</v>
      </c>
      <c r="BC202" s="229">
        <f t="shared" si="76"/>
        <v>24</v>
      </c>
      <c r="BD202" s="48">
        <f t="shared" si="68"/>
        <v>52</v>
      </c>
      <c r="BE202" s="19">
        <v>64</v>
      </c>
      <c r="BF202" s="229">
        <f t="shared" si="77"/>
        <v>24</v>
      </c>
      <c r="BG202" s="210">
        <f t="shared" si="69"/>
        <v>52</v>
      </c>
      <c r="BH202" s="210">
        <f t="shared" si="74"/>
        <v>64</v>
      </c>
      <c r="BI202" s="213">
        <f t="shared" si="73"/>
        <v>81.25</v>
      </c>
      <c r="BJ202" s="141"/>
      <c r="BK202" s="201"/>
      <c r="BL202" s="198"/>
      <c r="BM202" s="198"/>
    </row>
    <row r="203" spans="1:65" s="17" customFormat="1" ht="15.95" customHeight="1">
      <c r="A203" s="123">
        <v>89</v>
      </c>
      <c r="B203" s="9" t="s">
        <v>9</v>
      </c>
      <c r="C203" s="11" t="s">
        <v>10</v>
      </c>
      <c r="D203" s="229"/>
      <c r="E203" s="13"/>
      <c r="F203" s="229"/>
      <c r="G203" s="13"/>
      <c r="H203" s="229"/>
      <c r="I203" s="13"/>
      <c r="J203" s="229"/>
      <c r="K203" s="13"/>
      <c r="L203" s="229"/>
      <c r="M203" s="13"/>
      <c r="N203" s="229"/>
      <c r="O203" s="13"/>
      <c r="P203" s="229"/>
      <c r="Q203" s="13"/>
      <c r="R203" s="229"/>
      <c r="S203" s="13"/>
      <c r="T203" s="229"/>
      <c r="U203" s="13"/>
      <c r="V203" s="229"/>
      <c r="W203" s="13"/>
      <c r="X203" s="229"/>
      <c r="Y203" s="13"/>
      <c r="Z203" s="229"/>
      <c r="AA203" s="13"/>
      <c r="AB203" s="229">
        <f t="shared" si="75"/>
        <v>0</v>
      </c>
      <c r="AC203" s="228">
        <f t="shared" si="67"/>
        <v>0</v>
      </c>
      <c r="AD203" s="21">
        <v>3</v>
      </c>
      <c r="AE203" s="229"/>
      <c r="AF203" s="20"/>
      <c r="AG203" s="229"/>
      <c r="AH203" s="20"/>
      <c r="AI203" s="229">
        <v>153</v>
      </c>
      <c r="AJ203" s="20">
        <v>153</v>
      </c>
      <c r="AK203" s="229"/>
      <c r="AL203" s="20"/>
      <c r="AM203" s="229"/>
      <c r="AN203" s="20"/>
      <c r="AO203" s="229">
        <v>120</v>
      </c>
      <c r="AP203" s="20">
        <v>120</v>
      </c>
      <c r="AQ203" s="229"/>
      <c r="AR203" s="20"/>
      <c r="AS203" s="229"/>
      <c r="AT203" s="20"/>
      <c r="AU203" s="229"/>
      <c r="AV203" s="20">
        <v>67</v>
      </c>
      <c r="AW203" s="229"/>
      <c r="AX203" s="20"/>
      <c r="AY203" s="229"/>
      <c r="AZ203" s="20"/>
      <c r="BA203" s="229"/>
      <c r="BB203" s="68">
        <v>136</v>
      </c>
      <c r="BC203" s="229">
        <f t="shared" si="76"/>
        <v>273</v>
      </c>
      <c r="BD203" s="48">
        <f t="shared" si="68"/>
        <v>476</v>
      </c>
      <c r="BE203" s="19">
        <v>440</v>
      </c>
      <c r="BF203" s="229">
        <f t="shared" si="77"/>
        <v>273</v>
      </c>
      <c r="BG203" s="210">
        <f t="shared" si="69"/>
        <v>476</v>
      </c>
      <c r="BH203" s="210">
        <f t="shared" si="74"/>
        <v>443</v>
      </c>
      <c r="BI203" s="213">
        <f t="shared" si="73"/>
        <v>107.44920993227991</v>
      </c>
      <c r="BJ203" s="141"/>
      <c r="BK203" s="201"/>
      <c r="BL203" s="198"/>
      <c r="BM203" s="198"/>
    </row>
    <row r="204" spans="1:65" s="17" customFormat="1" ht="21.75" customHeight="1">
      <c r="A204" s="123">
        <v>90</v>
      </c>
      <c r="B204" s="9" t="s">
        <v>2964</v>
      </c>
      <c r="C204" s="10" t="s">
        <v>2965</v>
      </c>
      <c r="D204" s="229"/>
      <c r="E204" s="13"/>
      <c r="F204" s="229"/>
      <c r="G204" s="13"/>
      <c r="H204" s="229"/>
      <c r="I204" s="13"/>
      <c r="J204" s="229"/>
      <c r="K204" s="13"/>
      <c r="L204" s="229"/>
      <c r="M204" s="13"/>
      <c r="N204" s="229"/>
      <c r="O204" s="13"/>
      <c r="P204" s="229"/>
      <c r="Q204" s="13"/>
      <c r="R204" s="229"/>
      <c r="S204" s="13"/>
      <c r="T204" s="229"/>
      <c r="U204" s="13"/>
      <c r="V204" s="229"/>
      <c r="W204" s="13"/>
      <c r="X204" s="229"/>
      <c r="Y204" s="13"/>
      <c r="Z204" s="229"/>
      <c r="AA204" s="13"/>
      <c r="AB204" s="229">
        <f t="shared" si="75"/>
        <v>0</v>
      </c>
      <c r="AC204" s="228">
        <f t="shared" si="67"/>
        <v>0</v>
      </c>
      <c r="AD204" s="21">
        <v>0</v>
      </c>
      <c r="AE204" s="229"/>
      <c r="AF204" s="20"/>
      <c r="AG204" s="229"/>
      <c r="AH204" s="20"/>
      <c r="AI204" s="229">
        <v>2</v>
      </c>
      <c r="AJ204" s="20">
        <v>2</v>
      </c>
      <c r="AK204" s="229"/>
      <c r="AL204" s="20"/>
      <c r="AM204" s="229"/>
      <c r="AN204" s="20"/>
      <c r="AO204" s="229">
        <v>1</v>
      </c>
      <c r="AP204" s="20">
        <v>1</v>
      </c>
      <c r="AQ204" s="229"/>
      <c r="AR204" s="20"/>
      <c r="AS204" s="229"/>
      <c r="AT204" s="20"/>
      <c r="AU204" s="229"/>
      <c r="AV204" s="20"/>
      <c r="AW204" s="229"/>
      <c r="AX204" s="20"/>
      <c r="AY204" s="229"/>
      <c r="AZ204" s="20"/>
      <c r="BA204" s="229"/>
      <c r="BB204" s="68">
        <v>1</v>
      </c>
      <c r="BC204" s="229">
        <f t="shared" si="76"/>
        <v>3</v>
      </c>
      <c r="BD204" s="48">
        <f t="shared" si="68"/>
        <v>4</v>
      </c>
      <c r="BE204" s="19">
        <v>0</v>
      </c>
      <c r="BF204" s="229">
        <f t="shared" si="77"/>
        <v>3</v>
      </c>
      <c r="BG204" s="210">
        <f t="shared" si="69"/>
        <v>4</v>
      </c>
      <c r="BH204" s="210">
        <f t="shared" si="74"/>
        <v>0</v>
      </c>
      <c r="BI204" s="213" t="e">
        <f t="shared" si="73"/>
        <v>#DIV/0!</v>
      </c>
      <c r="BJ204" s="141"/>
      <c r="BK204" s="201"/>
      <c r="BL204" s="198"/>
      <c r="BM204" s="198"/>
    </row>
    <row r="205" spans="1:65" s="17" customFormat="1" ht="15.95" customHeight="1">
      <c r="A205" s="123">
        <v>91</v>
      </c>
      <c r="B205" s="9" t="s">
        <v>1755</v>
      </c>
      <c r="C205" s="11" t="s">
        <v>1765</v>
      </c>
      <c r="D205" s="229"/>
      <c r="E205" s="13"/>
      <c r="F205" s="229"/>
      <c r="G205" s="13"/>
      <c r="H205" s="229"/>
      <c r="I205" s="13"/>
      <c r="J205" s="229"/>
      <c r="K205" s="13"/>
      <c r="L205" s="229"/>
      <c r="M205" s="13"/>
      <c r="N205" s="229"/>
      <c r="O205" s="13"/>
      <c r="P205" s="229"/>
      <c r="Q205" s="13"/>
      <c r="R205" s="229"/>
      <c r="S205" s="13"/>
      <c r="T205" s="229"/>
      <c r="U205" s="13"/>
      <c r="V205" s="229"/>
      <c r="W205" s="13"/>
      <c r="X205" s="229"/>
      <c r="Y205" s="13"/>
      <c r="Z205" s="229"/>
      <c r="AA205" s="13"/>
      <c r="AB205" s="229">
        <f t="shared" si="75"/>
        <v>0</v>
      </c>
      <c r="AC205" s="228">
        <f t="shared" si="67"/>
        <v>0</v>
      </c>
      <c r="AD205" s="19">
        <v>0</v>
      </c>
      <c r="AE205" s="229"/>
      <c r="AF205" s="20"/>
      <c r="AG205" s="229"/>
      <c r="AH205" s="20"/>
      <c r="AI205" s="229"/>
      <c r="AJ205" s="20"/>
      <c r="AK205" s="229"/>
      <c r="AL205" s="20"/>
      <c r="AM205" s="229"/>
      <c r="AN205" s="20"/>
      <c r="AO205" s="229"/>
      <c r="AP205" s="20"/>
      <c r="AQ205" s="229"/>
      <c r="AR205" s="20"/>
      <c r="AS205" s="229"/>
      <c r="AT205" s="20"/>
      <c r="AU205" s="229"/>
      <c r="AV205" s="20"/>
      <c r="AW205" s="229"/>
      <c r="AX205" s="20"/>
      <c r="AY205" s="229"/>
      <c r="AZ205" s="20"/>
      <c r="BA205" s="229"/>
      <c r="BB205" s="26"/>
      <c r="BC205" s="229">
        <f t="shared" si="76"/>
        <v>0</v>
      </c>
      <c r="BD205" s="48">
        <f t="shared" si="68"/>
        <v>0</v>
      </c>
      <c r="BE205" s="19">
        <v>6</v>
      </c>
      <c r="BF205" s="229">
        <f t="shared" si="77"/>
        <v>0</v>
      </c>
      <c r="BG205" s="210">
        <f t="shared" si="69"/>
        <v>0</v>
      </c>
      <c r="BH205" s="210">
        <f t="shared" si="74"/>
        <v>6</v>
      </c>
      <c r="BI205" s="213">
        <f t="shared" si="73"/>
        <v>0</v>
      </c>
      <c r="BJ205" s="141"/>
      <c r="BK205" s="201"/>
      <c r="BL205" s="198"/>
      <c r="BM205" s="198"/>
    </row>
    <row r="206" spans="1:65" s="17" customFormat="1" ht="15.95" customHeight="1">
      <c r="A206" s="123">
        <v>92</v>
      </c>
      <c r="B206" s="9" t="s">
        <v>2647</v>
      </c>
      <c r="C206" s="11" t="s">
        <v>2648</v>
      </c>
      <c r="D206" s="229"/>
      <c r="E206" s="13"/>
      <c r="F206" s="229"/>
      <c r="G206" s="13"/>
      <c r="H206" s="229"/>
      <c r="I206" s="13"/>
      <c r="J206" s="229"/>
      <c r="K206" s="13"/>
      <c r="L206" s="229"/>
      <c r="M206" s="13"/>
      <c r="N206" s="229"/>
      <c r="O206" s="13"/>
      <c r="P206" s="229"/>
      <c r="Q206" s="13"/>
      <c r="R206" s="229"/>
      <c r="S206" s="13"/>
      <c r="T206" s="229"/>
      <c r="U206" s="13"/>
      <c r="V206" s="229"/>
      <c r="W206" s="13"/>
      <c r="X206" s="229"/>
      <c r="Y206" s="13"/>
      <c r="Z206" s="229"/>
      <c r="AA206" s="13"/>
      <c r="AB206" s="229">
        <f t="shared" si="75"/>
        <v>0</v>
      </c>
      <c r="AC206" s="228">
        <f t="shared" si="67"/>
        <v>0</v>
      </c>
      <c r="AD206" s="21">
        <v>0</v>
      </c>
      <c r="AE206" s="229"/>
      <c r="AF206" s="20"/>
      <c r="AG206" s="229"/>
      <c r="AH206" s="20"/>
      <c r="AI206" s="229"/>
      <c r="AJ206" s="20"/>
      <c r="AK206" s="229"/>
      <c r="AL206" s="20"/>
      <c r="AM206" s="229"/>
      <c r="AN206" s="20"/>
      <c r="AO206" s="229"/>
      <c r="AP206" s="20"/>
      <c r="AQ206" s="229"/>
      <c r="AR206" s="20"/>
      <c r="AS206" s="229"/>
      <c r="AT206" s="20"/>
      <c r="AU206" s="229"/>
      <c r="AV206" s="20"/>
      <c r="AW206" s="229"/>
      <c r="AX206" s="20"/>
      <c r="AY206" s="229"/>
      <c r="AZ206" s="20"/>
      <c r="BA206" s="229"/>
      <c r="BB206" s="68"/>
      <c r="BC206" s="229">
        <f t="shared" si="76"/>
        <v>0</v>
      </c>
      <c r="BD206" s="48">
        <f t="shared" si="68"/>
        <v>0</v>
      </c>
      <c r="BE206" s="19">
        <v>10</v>
      </c>
      <c r="BF206" s="229">
        <f t="shared" si="77"/>
        <v>0</v>
      </c>
      <c r="BG206" s="210">
        <f t="shared" si="69"/>
        <v>0</v>
      </c>
      <c r="BH206" s="210">
        <f t="shared" si="74"/>
        <v>10</v>
      </c>
      <c r="BI206" s="213">
        <f t="shared" si="73"/>
        <v>0</v>
      </c>
      <c r="BJ206" s="141"/>
      <c r="BK206" s="201"/>
      <c r="BL206" s="198"/>
      <c r="BM206" s="198"/>
    </row>
    <row r="207" spans="1:65" s="17" customFormat="1" ht="15.95" customHeight="1">
      <c r="A207" s="123">
        <v>93</v>
      </c>
      <c r="B207" s="9" t="s">
        <v>147</v>
      </c>
      <c r="C207" s="11" t="s">
        <v>148</v>
      </c>
      <c r="D207" s="229"/>
      <c r="E207" s="13"/>
      <c r="F207" s="229"/>
      <c r="G207" s="13"/>
      <c r="H207" s="229"/>
      <c r="I207" s="13"/>
      <c r="J207" s="229"/>
      <c r="K207" s="13"/>
      <c r="L207" s="229"/>
      <c r="M207" s="13"/>
      <c r="N207" s="229"/>
      <c r="O207" s="13"/>
      <c r="P207" s="229"/>
      <c r="Q207" s="13"/>
      <c r="R207" s="229"/>
      <c r="S207" s="13"/>
      <c r="T207" s="229"/>
      <c r="U207" s="13"/>
      <c r="V207" s="229"/>
      <c r="W207" s="13"/>
      <c r="X207" s="229"/>
      <c r="Y207" s="13"/>
      <c r="Z207" s="229"/>
      <c r="AA207" s="13"/>
      <c r="AB207" s="229">
        <f t="shared" si="75"/>
        <v>0</v>
      </c>
      <c r="AC207" s="228">
        <f t="shared" si="67"/>
        <v>0</v>
      </c>
      <c r="AD207" s="21">
        <v>0</v>
      </c>
      <c r="AE207" s="229"/>
      <c r="AF207" s="20"/>
      <c r="AG207" s="229"/>
      <c r="AH207" s="20"/>
      <c r="AI207" s="229">
        <v>1</v>
      </c>
      <c r="AJ207" s="20">
        <v>1</v>
      </c>
      <c r="AK207" s="229"/>
      <c r="AL207" s="20"/>
      <c r="AM207" s="229"/>
      <c r="AN207" s="20"/>
      <c r="AO207" s="229">
        <v>1</v>
      </c>
      <c r="AP207" s="20">
        <v>1</v>
      </c>
      <c r="AQ207" s="229"/>
      <c r="AR207" s="20"/>
      <c r="AS207" s="229"/>
      <c r="AT207" s="20"/>
      <c r="AU207" s="229"/>
      <c r="AV207" s="20">
        <v>2</v>
      </c>
      <c r="AW207" s="229"/>
      <c r="AX207" s="20"/>
      <c r="AY207" s="229"/>
      <c r="AZ207" s="20"/>
      <c r="BA207" s="229"/>
      <c r="BB207" s="20"/>
      <c r="BC207" s="229">
        <f t="shared" si="76"/>
        <v>2</v>
      </c>
      <c r="BD207" s="48">
        <f t="shared" si="68"/>
        <v>4</v>
      </c>
      <c r="BE207" s="19">
        <v>12</v>
      </c>
      <c r="BF207" s="229">
        <f t="shared" si="77"/>
        <v>2</v>
      </c>
      <c r="BG207" s="210">
        <f t="shared" si="69"/>
        <v>4</v>
      </c>
      <c r="BH207" s="210">
        <f t="shared" si="74"/>
        <v>12</v>
      </c>
      <c r="BI207" s="213">
        <f t="shared" si="73"/>
        <v>33.333333333333329</v>
      </c>
      <c r="BJ207" s="141"/>
      <c r="BK207" s="201"/>
      <c r="BL207" s="198"/>
      <c r="BM207" s="198"/>
    </row>
    <row r="208" spans="1:65" s="17" customFormat="1" ht="15.95" customHeight="1">
      <c r="A208" s="123">
        <v>94</v>
      </c>
      <c r="B208" s="9" t="s">
        <v>149</v>
      </c>
      <c r="C208" s="11" t="s">
        <v>150</v>
      </c>
      <c r="D208" s="229"/>
      <c r="E208" s="13"/>
      <c r="F208" s="229"/>
      <c r="G208" s="13"/>
      <c r="H208" s="229"/>
      <c r="I208" s="13"/>
      <c r="J208" s="229"/>
      <c r="K208" s="13"/>
      <c r="L208" s="229"/>
      <c r="M208" s="13"/>
      <c r="N208" s="229"/>
      <c r="O208" s="13"/>
      <c r="P208" s="229"/>
      <c r="Q208" s="13"/>
      <c r="R208" s="229"/>
      <c r="S208" s="13"/>
      <c r="T208" s="229"/>
      <c r="U208" s="13"/>
      <c r="V208" s="229"/>
      <c r="W208" s="13"/>
      <c r="X208" s="229"/>
      <c r="Y208" s="13"/>
      <c r="Z208" s="229"/>
      <c r="AA208" s="13"/>
      <c r="AB208" s="229">
        <f t="shared" si="75"/>
        <v>0</v>
      </c>
      <c r="AC208" s="228">
        <f t="shared" si="67"/>
        <v>0</v>
      </c>
      <c r="AD208" s="21">
        <v>0</v>
      </c>
      <c r="AE208" s="229"/>
      <c r="AF208" s="20"/>
      <c r="AG208" s="229"/>
      <c r="AH208" s="20"/>
      <c r="AI208" s="229"/>
      <c r="AJ208" s="20"/>
      <c r="AK208" s="229"/>
      <c r="AL208" s="20"/>
      <c r="AM208" s="229"/>
      <c r="AN208" s="20"/>
      <c r="AO208" s="229"/>
      <c r="AP208" s="20"/>
      <c r="AQ208" s="229"/>
      <c r="AR208" s="20"/>
      <c r="AS208" s="229"/>
      <c r="AT208" s="20"/>
      <c r="AU208" s="229"/>
      <c r="AV208" s="20"/>
      <c r="AW208" s="229"/>
      <c r="AX208" s="20"/>
      <c r="AY208" s="229"/>
      <c r="AZ208" s="20"/>
      <c r="BA208" s="229"/>
      <c r="BB208" s="68"/>
      <c r="BC208" s="229">
        <f t="shared" si="76"/>
        <v>0</v>
      </c>
      <c r="BD208" s="48">
        <f t="shared" si="68"/>
        <v>0</v>
      </c>
      <c r="BE208" s="19">
        <v>12</v>
      </c>
      <c r="BF208" s="229">
        <f t="shared" si="77"/>
        <v>0</v>
      </c>
      <c r="BG208" s="210">
        <f t="shared" si="69"/>
        <v>0</v>
      </c>
      <c r="BH208" s="210">
        <f t="shared" si="74"/>
        <v>12</v>
      </c>
      <c r="BI208" s="213">
        <f t="shared" si="73"/>
        <v>0</v>
      </c>
      <c r="BJ208" s="141"/>
      <c r="BK208" s="201"/>
      <c r="BL208" s="198"/>
      <c r="BM208" s="198"/>
    </row>
    <row r="209" spans="1:65" s="17" customFormat="1" ht="15.95" customHeight="1">
      <c r="A209" s="123">
        <v>95</v>
      </c>
      <c r="B209" s="9" t="s">
        <v>151</v>
      </c>
      <c r="C209" s="11" t="s">
        <v>2578</v>
      </c>
      <c r="D209" s="229"/>
      <c r="E209" s="13"/>
      <c r="F209" s="229"/>
      <c r="G209" s="13"/>
      <c r="H209" s="229"/>
      <c r="I209" s="13"/>
      <c r="J209" s="229"/>
      <c r="K209" s="13"/>
      <c r="L209" s="229"/>
      <c r="M209" s="13"/>
      <c r="N209" s="229"/>
      <c r="O209" s="13"/>
      <c r="P209" s="229"/>
      <c r="Q209" s="13"/>
      <c r="R209" s="229"/>
      <c r="S209" s="13"/>
      <c r="T209" s="229"/>
      <c r="U209" s="13"/>
      <c r="V209" s="229"/>
      <c r="W209" s="13"/>
      <c r="X209" s="229"/>
      <c r="Y209" s="13"/>
      <c r="Z209" s="229"/>
      <c r="AA209" s="13"/>
      <c r="AB209" s="229">
        <f t="shared" si="75"/>
        <v>0</v>
      </c>
      <c r="AC209" s="228">
        <f t="shared" si="67"/>
        <v>0</v>
      </c>
      <c r="AD209" s="21">
        <v>0</v>
      </c>
      <c r="AE209" s="229"/>
      <c r="AF209" s="20"/>
      <c r="AG209" s="229"/>
      <c r="AH209" s="20"/>
      <c r="AI209" s="229">
        <v>3</v>
      </c>
      <c r="AJ209" s="20">
        <v>3</v>
      </c>
      <c r="AK209" s="229"/>
      <c r="AL209" s="20"/>
      <c r="AM209" s="229"/>
      <c r="AN209" s="20"/>
      <c r="AO209" s="229"/>
      <c r="AP209" s="20"/>
      <c r="AQ209" s="229"/>
      <c r="AR209" s="20"/>
      <c r="AS209" s="229"/>
      <c r="AT209" s="20"/>
      <c r="AU209" s="229"/>
      <c r="AV209" s="20">
        <v>2</v>
      </c>
      <c r="AW209" s="229"/>
      <c r="AX209" s="20"/>
      <c r="AY209" s="229"/>
      <c r="AZ209" s="20"/>
      <c r="BA209" s="229"/>
      <c r="BB209" s="68"/>
      <c r="BC209" s="229">
        <f t="shared" si="76"/>
        <v>3</v>
      </c>
      <c r="BD209" s="48">
        <f t="shared" si="68"/>
        <v>5</v>
      </c>
      <c r="BE209" s="19">
        <v>10</v>
      </c>
      <c r="BF209" s="229">
        <f t="shared" si="77"/>
        <v>3</v>
      </c>
      <c r="BG209" s="210">
        <f t="shared" si="69"/>
        <v>5</v>
      </c>
      <c r="BH209" s="210">
        <f t="shared" si="74"/>
        <v>10</v>
      </c>
      <c r="BI209" s="213">
        <f t="shared" si="73"/>
        <v>50</v>
      </c>
      <c r="BJ209" s="141"/>
      <c r="BK209" s="201"/>
      <c r="BL209" s="198"/>
      <c r="BM209" s="198"/>
    </row>
    <row r="210" spans="1:65" s="17" customFormat="1" ht="15.95" customHeight="1">
      <c r="A210" s="123">
        <v>96</v>
      </c>
      <c r="B210" s="9" t="s">
        <v>152</v>
      </c>
      <c r="C210" s="11" t="s">
        <v>1912</v>
      </c>
      <c r="D210" s="229"/>
      <c r="E210" s="13"/>
      <c r="F210" s="229"/>
      <c r="G210" s="13"/>
      <c r="H210" s="229"/>
      <c r="I210" s="13"/>
      <c r="J210" s="229"/>
      <c r="K210" s="13"/>
      <c r="L210" s="229"/>
      <c r="M210" s="13"/>
      <c r="N210" s="229"/>
      <c r="O210" s="13"/>
      <c r="P210" s="229"/>
      <c r="Q210" s="13"/>
      <c r="R210" s="229"/>
      <c r="S210" s="13"/>
      <c r="T210" s="229"/>
      <c r="U210" s="13"/>
      <c r="V210" s="229"/>
      <c r="W210" s="13"/>
      <c r="X210" s="229"/>
      <c r="Y210" s="13"/>
      <c r="Z210" s="229"/>
      <c r="AA210" s="13"/>
      <c r="AB210" s="229">
        <f t="shared" si="75"/>
        <v>0</v>
      </c>
      <c r="AC210" s="228">
        <f t="shared" si="67"/>
        <v>0</v>
      </c>
      <c r="AD210" s="21">
        <v>0</v>
      </c>
      <c r="AE210" s="229"/>
      <c r="AF210" s="20"/>
      <c r="AG210" s="229"/>
      <c r="AH210" s="20"/>
      <c r="AI210" s="229"/>
      <c r="AJ210" s="20"/>
      <c r="AK210" s="229"/>
      <c r="AL210" s="20"/>
      <c r="AM210" s="229"/>
      <c r="AN210" s="20"/>
      <c r="AO210" s="229">
        <v>1</v>
      </c>
      <c r="AP210" s="20">
        <v>1</v>
      </c>
      <c r="AQ210" s="229"/>
      <c r="AR210" s="20"/>
      <c r="AS210" s="229"/>
      <c r="AT210" s="20"/>
      <c r="AU210" s="229"/>
      <c r="AV210" s="20"/>
      <c r="AW210" s="229"/>
      <c r="AX210" s="20"/>
      <c r="AY210" s="229"/>
      <c r="AZ210" s="20"/>
      <c r="BA210" s="229"/>
      <c r="BB210" s="20"/>
      <c r="BC210" s="229">
        <f t="shared" si="76"/>
        <v>1</v>
      </c>
      <c r="BD210" s="48">
        <f t="shared" si="68"/>
        <v>1</v>
      </c>
      <c r="BE210" s="19">
        <v>6</v>
      </c>
      <c r="BF210" s="229">
        <f t="shared" si="77"/>
        <v>1</v>
      </c>
      <c r="BG210" s="210">
        <f t="shared" si="69"/>
        <v>1</v>
      </c>
      <c r="BH210" s="210">
        <f t="shared" si="74"/>
        <v>6</v>
      </c>
      <c r="BI210" s="213">
        <f t="shared" si="73"/>
        <v>16.666666666666664</v>
      </c>
      <c r="BJ210" s="141"/>
      <c r="BK210" s="201"/>
      <c r="BL210" s="198"/>
      <c r="BM210" s="198"/>
    </row>
    <row r="211" spans="1:65" s="17" customFormat="1" ht="15.95" customHeight="1">
      <c r="A211" s="123">
        <v>97</v>
      </c>
      <c r="B211" s="9" t="s">
        <v>1541</v>
      </c>
      <c r="C211" s="11" t="s">
        <v>1542</v>
      </c>
      <c r="D211" s="229"/>
      <c r="E211" s="13"/>
      <c r="F211" s="229"/>
      <c r="G211" s="13"/>
      <c r="H211" s="229"/>
      <c r="I211" s="13"/>
      <c r="J211" s="229"/>
      <c r="K211" s="13"/>
      <c r="L211" s="229"/>
      <c r="M211" s="13"/>
      <c r="N211" s="229"/>
      <c r="O211" s="13"/>
      <c r="P211" s="229"/>
      <c r="Q211" s="13"/>
      <c r="R211" s="229"/>
      <c r="S211" s="13"/>
      <c r="T211" s="229"/>
      <c r="U211" s="13"/>
      <c r="V211" s="229"/>
      <c r="W211" s="13"/>
      <c r="X211" s="229"/>
      <c r="Y211" s="13"/>
      <c r="Z211" s="229"/>
      <c r="AA211" s="13"/>
      <c r="AB211" s="229">
        <f t="shared" si="75"/>
        <v>0</v>
      </c>
      <c r="AC211" s="228">
        <f t="shared" si="67"/>
        <v>0</v>
      </c>
      <c r="AD211" s="21">
        <v>0</v>
      </c>
      <c r="AE211" s="229"/>
      <c r="AF211" s="20"/>
      <c r="AG211" s="229"/>
      <c r="AH211" s="20"/>
      <c r="AI211" s="229"/>
      <c r="AJ211" s="20"/>
      <c r="AK211" s="229"/>
      <c r="AL211" s="20"/>
      <c r="AM211" s="229"/>
      <c r="AN211" s="20"/>
      <c r="AO211" s="229">
        <v>1</v>
      </c>
      <c r="AP211" s="20">
        <v>1</v>
      </c>
      <c r="AQ211" s="229"/>
      <c r="AR211" s="20"/>
      <c r="AS211" s="229"/>
      <c r="AT211" s="20"/>
      <c r="AU211" s="229"/>
      <c r="AV211" s="20"/>
      <c r="AW211" s="229"/>
      <c r="AX211" s="20"/>
      <c r="AY211" s="229"/>
      <c r="AZ211" s="20"/>
      <c r="BA211" s="229"/>
      <c r="BB211" s="20">
        <v>1</v>
      </c>
      <c r="BC211" s="229">
        <f t="shared" si="76"/>
        <v>1</v>
      </c>
      <c r="BD211" s="48">
        <f t="shared" si="68"/>
        <v>2</v>
      </c>
      <c r="BE211" s="19">
        <v>2</v>
      </c>
      <c r="BF211" s="229">
        <f t="shared" si="77"/>
        <v>1</v>
      </c>
      <c r="BG211" s="210">
        <f t="shared" si="69"/>
        <v>2</v>
      </c>
      <c r="BH211" s="210">
        <f t="shared" si="74"/>
        <v>2</v>
      </c>
      <c r="BI211" s="213">
        <f t="shared" si="73"/>
        <v>100</v>
      </c>
      <c r="BJ211" s="141"/>
      <c r="BK211" s="201"/>
      <c r="BL211" s="198"/>
      <c r="BM211" s="198"/>
    </row>
    <row r="212" spans="1:65" s="17" customFormat="1" ht="15.95" customHeight="1">
      <c r="A212" s="123">
        <v>98</v>
      </c>
      <c r="B212" s="9" t="s">
        <v>1476</v>
      </c>
      <c r="C212" s="11" t="s">
        <v>1477</v>
      </c>
      <c r="D212" s="229"/>
      <c r="E212" s="13"/>
      <c r="F212" s="229"/>
      <c r="G212" s="13"/>
      <c r="H212" s="229"/>
      <c r="I212" s="13"/>
      <c r="J212" s="229"/>
      <c r="K212" s="13"/>
      <c r="L212" s="229"/>
      <c r="M212" s="13"/>
      <c r="N212" s="229"/>
      <c r="O212" s="13"/>
      <c r="P212" s="229"/>
      <c r="Q212" s="13"/>
      <c r="R212" s="229"/>
      <c r="S212" s="13"/>
      <c r="T212" s="229"/>
      <c r="U212" s="13"/>
      <c r="V212" s="229"/>
      <c r="W212" s="13"/>
      <c r="X212" s="229"/>
      <c r="Y212" s="13"/>
      <c r="Z212" s="229"/>
      <c r="AA212" s="13"/>
      <c r="AB212" s="229">
        <f t="shared" si="75"/>
        <v>0</v>
      </c>
      <c r="AC212" s="228">
        <f t="shared" si="67"/>
        <v>0</v>
      </c>
      <c r="AD212" s="21">
        <v>0</v>
      </c>
      <c r="AE212" s="229"/>
      <c r="AF212" s="20"/>
      <c r="AG212" s="229"/>
      <c r="AH212" s="20"/>
      <c r="AI212" s="229">
        <v>1</v>
      </c>
      <c r="AJ212" s="20">
        <v>1</v>
      </c>
      <c r="AK212" s="229"/>
      <c r="AL212" s="20"/>
      <c r="AM212" s="229"/>
      <c r="AN212" s="20"/>
      <c r="AO212" s="229">
        <v>2</v>
      </c>
      <c r="AP212" s="20">
        <v>2</v>
      </c>
      <c r="AQ212" s="229"/>
      <c r="AR212" s="20"/>
      <c r="AS212" s="229"/>
      <c r="AT212" s="20"/>
      <c r="AU212" s="229"/>
      <c r="AV212" s="20">
        <v>2</v>
      </c>
      <c r="AW212" s="229"/>
      <c r="AX212" s="20"/>
      <c r="AY212" s="229"/>
      <c r="AZ212" s="20"/>
      <c r="BA212" s="229"/>
      <c r="BB212" s="20">
        <v>2</v>
      </c>
      <c r="BC212" s="229">
        <f t="shared" si="76"/>
        <v>3</v>
      </c>
      <c r="BD212" s="48">
        <f t="shared" si="68"/>
        <v>7</v>
      </c>
      <c r="BE212" s="19">
        <v>1</v>
      </c>
      <c r="BF212" s="229">
        <f t="shared" si="77"/>
        <v>3</v>
      </c>
      <c r="BG212" s="210">
        <f t="shared" si="69"/>
        <v>7</v>
      </c>
      <c r="BH212" s="210">
        <f t="shared" si="74"/>
        <v>1</v>
      </c>
      <c r="BI212" s="213">
        <f t="shared" si="73"/>
        <v>700</v>
      </c>
      <c r="BJ212" s="141"/>
      <c r="BK212" s="201"/>
      <c r="BL212" s="198"/>
      <c r="BM212" s="198"/>
    </row>
    <row r="213" spans="1:65" s="17" customFormat="1" ht="15.95" customHeight="1">
      <c r="A213" s="123">
        <v>99</v>
      </c>
      <c r="B213" s="9" t="s">
        <v>153</v>
      </c>
      <c r="C213" s="11" t="s">
        <v>2577</v>
      </c>
      <c r="D213" s="229"/>
      <c r="E213" s="13"/>
      <c r="F213" s="229"/>
      <c r="G213" s="13"/>
      <c r="H213" s="229"/>
      <c r="I213" s="13"/>
      <c r="J213" s="229"/>
      <c r="K213" s="13"/>
      <c r="L213" s="229"/>
      <c r="M213" s="13"/>
      <c r="N213" s="229"/>
      <c r="O213" s="13"/>
      <c r="P213" s="229"/>
      <c r="Q213" s="13"/>
      <c r="R213" s="229"/>
      <c r="S213" s="13"/>
      <c r="T213" s="229"/>
      <c r="U213" s="13"/>
      <c r="V213" s="229"/>
      <c r="W213" s="13"/>
      <c r="X213" s="229"/>
      <c r="Y213" s="13"/>
      <c r="Z213" s="229"/>
      <c r="AA213" s="13"/>
      <c r="AB213" s="229">
        <f t="shared" si="75"/>
        <v>0</v>
      </c>
      <c r="AC213" s="228">
        <f t="shared" ref="AC213:AC275" si="78">E213+G213+I213+K213+M213+O213+Q213+S213+U213+W213+Y213+AA213</f>
        <v>0</v>
      </c>
      <c r="AD213" s="21">
        <v>0</v>
      </c>
      <c r="AE213" s="229"/>
      <c r="AF213" s="20"/>
      <c r="AG213" s="229"/>
      <c r="AH213" s="20"/>
      <c r="AI213" s="229">
        <v>1</v>
      </c>
      <c r="AJ213" s="20">
        <v>1</v>
      </c>
      <c r="AK213" s="229"/>
      <c r="AL213" s="20"/>
      <c r="AM213" s="229"/>
      <c r="AN213" s="20"/>
      <c r="AO213" s="229">
        <v>2</v>
      </c>
      <c r="AP213" s="20">
        <v>2</v>
      </c>
      <c r="AQ213" s="229"/>
      <c r="AR213" s="20"/>
      <c r="AS213" s="229"/>
      <c r="AT213" s="20"/>
      <c r="AU213" s="229"/>
      <c r="AV213" s="20">
        <v>4</v>
      </c>
      <c r="AW213" s="229"/>
      <c r="AX213" s="20"/>
      <c r="AY213" s="229"/>
      <c r="AZ213" s="20"/>
      <c r="BA213" s="229"/>
      <c r="BB213" s="20">
        <v>1</v>
      </c>
      <c r="BC213" s="229">
        <f t="shared" si="76"/>
        <v>3</v>
      </c>
      <c r="BD213" s="48">
        <f t="shared" ref="BD213:BD275" si="79">AF213+AH213+AJ213+AL213+AN213+AP213+AR213+AT213+AV213+AX213+AZ213+BB213</f>
        <v>8</v>
      </c>
      <c r="BE213" s="19">
        <v>9</v>
      </c>
      <c r="BF213" s="229">
        <f t="shared" si="77"/>
        <v>3</v>
      </c>
      <c r="BG213" s="210">
        <f t="shared" ref="BG213:BG275" si="80">AC213+BD213</f>
        <v>8</v>
      </c>
      <c r="BH213" s="210">
        <f t="shared" si="74"/>
        <v>9</v>
      </c>
      <c r="BI213" s="213">
        <f t="shared" si="73"/>
        <v>88.888888888888886</v>
      </c>
      <c r="BJ213" s="141"/>
      <c r="BK213" s="201"/>
      <c r="BL213" s="198"/>
      <c r="BM213" s="198"/>
    </row>
    <row r="214" spans="1:65" s="17" customFormat="1" ht="15.95" customHeight="1">
      <c r="A214" s="123">
        <v>100</v>
      </c>
      <c r="B214" s="9" t="s">
        <v>2966</v>
      </c>
      <c r="C214" s="11" t="s">
        <v>2967</v>
      </c>
      <c r="D214" s="229"/>
      <c r="E214" s="13"/>
      <c r="F214" s="229"/>
      <c r="G214" s="13"/>
      <c r="H214" s="229"/>
      <c r="I214" s="13"/>
      <c r="J214" s="229"/>
      <c r="K214" s="13"/>
      <c r="L214" s="229"/>
      <c r="M214" s="13"/>
      <c r="N214" s="229"/>
      <c r="O214" s="13"/>
      <c r="P214" s="229"/>
      <c r="Q214" s="13"/>
      <c r="R214" s="229"/>
      <c r="S214" s="13"/>
      <c r="T214" s="229"/>
      <c r="U214" s="13"/>
      <c r="V214" s="229"/>
      <c r="W214" s="13"/>
      <c r="X214" s="229"/>
      <c r="Y214" s="13"/>
      <c r="Z214" s="229"/>
      <c r="AA214" s="13"/>
      <c r="AB214" s="229">
        <f t="shared" si="75"/>
        <v>0</v>
      </c>
      <c r="AC214" s="228">
        <f t="shared" si="78"/>
        <v>0</v>
      </c>
      <c r="AD214" s="21">
        <v>0</v>
      </c>
      <c r="AE214" s="229"/>
      <c r="AF214" s="20"/>
      <c r="AG214" s="229"/>
      <c r="AH214" s="20"/>
      <c r="AI214" s="229">
        <v>1</v>
      </c>
      <c r="AJ214" s="20">
        <v>1</v>
      </c>
      <c r="AK214" s="229"/>
      <c r="AL214" s="20"/>
      <c r="AM214" s="229"/>
      <c r="AN214" s="20"/>
      <c r="AO214" s="229"/>
      <c r="AP214" s="20"/>
      <c r="AQ214" s="229"/>
      <c r="AR214" s="20"/>
      <c r="AS214" s="229"/>
      <c r="AT214" s="20"/>
      <c r="AU214" s="229"/>
      <c r="AV214" s="20"/>
      <c r="AW214" s="229"/>
      <c r="AX214" s="20"/>
      <c r="AY214" s="229"/>
      <c r="AZ214" s="20"/>
      <c r="BA214" s="229"/>
      <c r="BB214" s="20"/>
      <c r="BC214" s="229">
        <f t="shared" si="76"/>
        <v>1</v>
      </c>
      <c r="BD214" s="48">
        <f t="shared" si="79"/>
        <v>1</v>
      </c>
      <c r="BE214" s="19">
        <v>0</v>
      </c>
      <c r="BF214" s="229">
        <f t="shared" si="77"/>
        <v>1</v>
      </c>
      <c r="BG214" s="210">
        <f t="shared" si="80"/>
        <v>1</v>
      </c>
      <c r="BH214" s="210">
        <f t="shared" si="74"/>
        <v>0</v>
      </c>
      <c r="BI214" s="213" t="e">
        <f t="shared" si="73"/>
        <v>#DIV/0!</v>
      </c>
      <c r="BJ214" s="141"/>
      <c r="BK214" s="201"/>
      <c r="BL214" s="198"/>
      <c r="BM214" s="198"/>
    </row>
    <row r="215" spans="1:65" s="17" customFormat="1" ht="15.95" customHeight="1">
      <c r="A215" s="123">
        <v>101</v>
      </c>
      <c r="B215" s="9" t="s">
        <v>2188</v>
      </c>
      <c r="C215" s="11" t="s">
        <v>2573</v>
      </c>
      <c r="D215" s="229"/>
      <c r="E215" s="13"/>
      <c r="F215" s="229"/>
      <c r="G215" s="13"/>
      <c r="H215" s="229"/>
      <c r="I215" s="13"/>
      <c r="J215" s="229"/>
      <c r="K215" s="13"/>
      <c r="L215" s="229"/>
      <c r="M215" s="13"/>
      <c r="N215" s="229"/>
      <c r="O215" s="13"/>
      <c r="P215" s="229"/>
      <c r="Q215" s="13"/>
      <c r="R215" s="229"/>
      <c r="S215" s="13"/>
      <c r="T215" s="229"/>
      <c r="U215" s="13"/>
      <c r="V215" s="229"/>
      <c r="W215" s="13"/>
      <c r="X215" s="229"/>
      <c r="Y215" s="13"/>
      <c r="Z215" s="229"/>
      <c r="AA215" s="13"/>
      <c r="AB215" s="229">
        <f t="shared" si="75"/>
        <v>0</v>
      </c>
      <c r="AC215" s="228">
        <f t="shared" si="78"/>
        <v>0</v>
      </c>
      <c r="AD215" s="21">
        <v>0</v>
      </c>
      <c r="AE215" s="229"/>
      <c r="AF215" s="20"/>
      <c r="AG215" s="229"/>
      <c r="AH215" s="20"/>
      <c r="AI215" s="229"/>
      <c r="AJ215" s="20"/>
      <c r="AK215" s="229"/>
      <c r="AL215" s="20"/>
      <c r="AM215" s="229"/>
      <c r="AN215" s="20"/>
      <c r="AO215" s="229"/>
      <c r="AP215" s="20"/>
      <c r="AQ215" s="229"/>
      <c r="AR215" s="20"/>
      <c r="AS215" s="229"/>
      <c r="AT215" s="20"/>
      <c r="AU215" s="229"/>
      <c r="AV215" s="20"/>
      <c r="AW215" s="229"/>
      <c r="AX215" s="20"/>
      <c r="AY215" s="229"/>
      <c r="AZ215" s="20"/>
      <c r="BA215" s="229"/>
      <c r="BB215" s="20"/>
      <c r="BC215" s="229">
        <f t="shared" si="76"/>
        <v>0</v>
      </c>
      <c r="BD215" s="48">
        <f t="shared" si="79"/>
        <v>0</v>
      </c>
      <c r="BE215" s="19">
        <v>2</v>
      </c>
      <c r="BF215" s="229">
        <f t="shared" si="77"/>
        <v>0</v>
      </c>
      <c r="BG215" s="210">
        <f t="shared" si="80"/>
        <v>0</v>
      </c>
      <c r="BH215" s="210">
        <f t="shared" si="74"/>
        <v>2</v>
      </c>
      <c r="BI215" s="213">
        <f t="shared" si="73"/>
        <v>0</v>
      </c>
      <c r="BJ215" s="141"/>
      <c r="BK215" s="201"/>
      <c r="BL215" s="198"/>
      <c r="BM215" s="198"/>
    </row>
    <row r="216" spans="1:65" s="17" customFormat="1" ht="21.95" customHeight="1">
      <c r="A216" s="123">
        <v>102</v>
      </c>
      <c r="B216" s="9" t="s">
        <v>1334</v>
      </c>
      <c r="C216" s="10" t="s">
        <v>2570</v>
      </c>
      <c r="D216" s="229"/>
      <c r="E216" s="13"/>
      <c r="F216" s="229"/>
      <c r="G216" s="13"/>
      <c r="H216" s="229"/>
      <c r="I216" s="13"/>
      <c r="J216" s="229"/>
      <c r="K216" s="13"/>
      <c r="L216" s="229"/>
      <c r="M216" s="13"/>
      <c r="N216" s="229"/>
      <c r="O216" s="13"/>
      <c r="P216" s="229"/>
      <c r="Q216" s="13"/>
      <c r="R216" s="229"/>
      <c r="S216" s="13"/>
      <c r="T216" s="229"/>
      <c r="U216" s="13"/>
      <c r="V216" s="229"/>
      <c r="W216" s="13"/>
      <c r="X216" s="229"/>
      <c r="Y216" s="13"/>
      <c r="Z216" s="229"/>
      <c r="AA216" s="13"/>
      <c r="AB216" s="229">
        <f t="shared" si="75"/>
        <v>0</v>
      </c>
      <c r="AC216" s="228">
        <f t="shared" si="78"/>
        <v>0</v>
      </c>
      <c r="AD216" s="21">
        <v>0</v>
      </c>
      <c r="AE216" s="229"/>
      <c r="AF216" s="20"/>
      <c r="AG216" s="229"/>
      <c r="AH216" s="20"/>
      <c r="AI216" s="229"/>
      <c r="AJ216" s="20"/>
      <c r="AK216" s="229"/>
      <c r="AL216" s="20"/>
      <c r="AM216" s="229"/>
      <c r="AN216" s="20"/>
      <c r="AO216" s="229"/>
      <c r="AP216" s="20"/>
      <c r="AQ216" s="229"/>
      <c r="AR216" s="20"/>
      <c r="AS216" s="229"/>
      <c r="AT216" s="20"/>
      <c r="AU216" s="229"/>
      <c r="AV216" s="20"/>
      <c r="AW216" s="229"/>
      <c r="AX216" s="20"/>
      <c r="AY216" s="229"/>
      <c r="AZ216" s="20"/>
      <c r="BA216" s="229"/>
      <c r="BB216" s="20"/>
      <c r="BC216" s="229">
        <f t="shared" si="76"/>
        <v>0</v>
      </c>
      <c r="BD216" s="48">
        <f t="shared" si="79"/>
        <v>0</v>
      </c>
      <c r="BE216" s="19">
        <v>1</v>
      </c>
      <c r="BF216" s="229">
        <f t="shared" si="77"/>
        <v>0</v>
      </c>
      <c r="BG216" s="210">
        <f t="shared" si="80"/>
        <v>0</v>
      </c>
      <c r="BH216" s="210">
        <f t="shared" si="74"/>
        <v>1</v>
      </c>
      <c r="BI216" s="213">
        <f t="shared" si="73"/>
        <v>0</v>
      </c>
      <c r="BJ216" s="141"/>
      <c r="BK216" s="201"/>
      <c r="BL216" s="198"/>
      <c r="BM216" s="198"/>
    </row>
    <row r="217" spans="1:65" s="17" customFormat="1" ht="15.95" customHeight="1">
      <c r="A217" s="123">
        <v>103</v>
      </c>
      <c r="B217" s="9" t="s">
        <v>500</v>
      </c>
      <c r="C217" s="11" t="s">
        <v>2571</v>
      </c>
      <c r="D217" s="229"/>
      <c r="E217" s="13"/>
      <c r="F217" s="229"/>
      <c r="G217" s="13"/>
      <c r="H217" s="229"/>
      <c r="I217" s="13"/>
      <c r="J217" s="229"/>
      <c r="K217" s="13"/>
      <c r="L217" s="229"/>
      <c r="M217" s="13"/>
      <c r="N217" s="229"/>
      <c r="O217" s="13"/>
      <c r="P217" s="229"/>
      <c r="Q217" s="13"/>
      <c r="R217" s="229"/>
      <c r="S217" s="13"/>
      <c r="T217" s="229"/>
      <c r="U217" s="13"/>
      <c r="V217" s="229"/>
      <c r="W217" s="13"/>
      <c r="X217" s="229"/>
      <c r="Y217" s="13"/>
      <c r="Z217" s="229"/>
      <c r="AA217" s="13"/>
      <c r="AB217" s="229">
        <f t="shared" si="75"/>
        <v>0</v>
      </c>
      <c r="AC217" s="228">
        <f t="shared" si="78"/>
        <v>0</v>
      </c>
      <c r="AD217" s="21">
        <v>0</v>
      </c>
      <c r="AE217" s="229"/>
      <c r="AF217" s="20"/>
      <c r="AG217" s="229"/>
      <c r="AH217" s="20"/>
      <c r="AI217" s="229"/>
      <c r="AJ217" s="20"/>
      <c r="AK217" s="229"/>
      <c r="AL217" s="20"/>
      <c r="AM217" s="229"/>
      <c r="AN217" s="20"/>
      <c r="AO217" s="229"/>
      <c r="AP217" s="20"/>
      <c r="AQ217" s="229"/>
      <c r="AR217" s="20"/>
      <c r="AS217" s="229"/>
      <c r="AT217" s="20"/>
      <c r="AU217" s="229"/>
      <c r="AV217" s="20"/>
      <c r="AW217" s="229"/>
      <c r="AX217" s="20"/>
      <c r="AY217" s="229"/>
      <c r="AZ217" s="20"/>
      <c r="BA217" s="229"/>
      <c r="BB217" s="20">
        <v>3</v>
      </c>
      <c r="BC217" s="229">
        <f t="shared" si="76"/>
        <v>0</v>
      </c>
      <c r="BD217" s="48">
        <f t="shared" si="79"/>
        <v>3</v>
      </c>
      <c r="BE217" s="19">
        <v>4</v>
      </c>
      <c r="BF217" s="229">
        <f t="shared" si="77"/>
        <v>0</v>
      </c>
      <c r="BG217" s="210">
        <f t="shared" si="80"/>
        <v>3</v>
      </c>
      <c r="BH217" s="210">
        <f t="shared" si="74"/>
        <v>4</v>
      </c>
      <c r="BI217" s="213">
        <f t="shared" si="73"/>
        <v>75</v>
      </c>
      <c r="BJ217" s="141"/>
      <c r="BK217" s="201"/>
      <c r="BL217" s="198"/>
      <c r="BM217" s="198"/>
    </row>
    <row r="218" spans="1:65" s="17" customFormat="1" ht="15.95" customHeight="1">
      <c r="A218" s="123">
        <v>104</v>
      </c>
      <c r="B218" s="9" t="s">
        <v>1478</v>
      </c>
      <c r="C218" s="11" t="s">
        <v>1479</v>
      </c>
      <c r="D218" s="229"/>
      <c r="E218" s="13"/>
      <c r="F218" s="229"/>
      <c r="G218" s="13"/>
      <c r="H218" s="229"/>
      <c r="I218" s="13"/>
      <c r="J218" s="229"/>
      <c r="K218" s="13"/>
      <c r="L218" s="229"/>
      <c r="M218" s="13"/>
      <c r="N218" s="229"/>
      <c r="O218" s="13"/>
      <c r="P218" s="229"/>
      <c r="Q218" s="13"/>
      <c r="R218" s="229"/>
      <c r="S218" s="13"/>
      <c r="T218" s="229"/>
      <c r="U218" s="13"/>
      <c r="V218" s="229"/>
      <c r="W218" s="13"/>
      <c r="X218" s="229"/>
      <c r="Y218" s="13"/>
      <c r="Z218" s="229"/>
      <c r="AA218" s="13"/>
      <c r="AB218" s="229">
        <f t="shared" si="75"/>
        <v>0</v>
      </c>
      <c r="AC218" s="228">
        <f t="shared" si="78"/>
        <v>0</v>
      </c>
      <c r="AD218" s="21">
        <v>0</v>
      </c>
      <c r="AE218" s="229"/>
      <c r="AF218" s="20"/>
      <c r="AG218" s="229"/>
      <c r="AH218" s="20"/>
      <c r="AI218" s="229"/>
      <c r="AJ218" s="20"/>
      <c r="AK218" s="229"/>
      <c r="AL218" s="20"/>
      <c r="AM218" s="229"/>
      <c r="AN218" s="20"/>
      <c r="AO218" s="229"/>
      <c r="AP218" s="20"/>
      <c r="AQ218" s="229"/>
      <c r="AR218" s="20"/>
      <c r="AS218" s="229"/>
      <c r="AT218" s="20"/>
      <c r="AU218" s="229"/>
      <c r="AV218" s="20">
        <v>1</v>
      </c>
      <c r="AW218" s="229"/>
      <c r="AX218" s="20"/>
      <c r="AY218" s="229"/>
      <c r="AZ218" s="20"/>
      <c r="BA218" s="229"/>
      <c r="BB218" s="20"/>
      <c r="BC218" s="229">
        <f t="shared" si="76"/>
        <v>0</v>
      </c>
      <c r="BD218" s="48">
        <f t="shared" si="79"/>
        <v>1</v>
      </c>
      <c r="BE218" s="19">
        <v>3</v>
      </c>
      <c r="BF218" s="229">
        <f t="shared" si="77"/>
        <v>0</v>
      </c>
      <c r="BG218" s="210">
        <f t="shared" si="80"/>
        <v>1</v>
      </c>
      <c r="BH218" s="210">
        <f t="shared" si="74"/>
        <v>3</v>
      </c>
      <c r="BI218" s="213">
        <f t="shared" si="73"/>
        <v>33.333333333333329</v>
      </c>
      <c r="BJ218" s="141"/>
      <c r="BK218" s="201"/>
      <c r="BL218" s="198"/>
      <c r="BM218" s="198"/>
    </row>
    <row r="219" spans="1:65" s="17" customFormat="1" ht="15.95" customHeight="1">
      <c r="A219" s="123">
        <v>105</v>
      </c>
      <c r="B219" s="9" t="s">
        <v>154</v>
      </c>
      <c r="C219" s="11" t="s">
        <v>155</v>
      </c>
      <c r="D219" s="229"/>
      <c r="E219" s="13"/>
      <c r="F219" s="229"/>
      <c r="G219" s="13"/>
      <c r="H219" s="229"/>
      <c r="I219" s="13"/>
      <c r="J219" s="229"/>
      <c r="K219" s="13"/>
      <c r="L219" s="229"/>
      <c r="M219" s="13"/>
      <c r="N219" s="229"/>
      <c r="O219" s="13"/>
      <c r="P219" s="229"/>
      <c r="Q219" s="13"/>
      <c r="R219" s="229"/>
      <c r="S219" s="13"/>
      <c r="T219" s="229"/>
      <c r="U219" s="13"/>
      <c r="V219" s="229"/>
      <c r="W219" s="13"/>
      <c r="X219" s="229"/>
      <c r="Y219" s="13"/>
      <c r="Z219" s="229"/>
      <c r="AA219" s="13"/>
      <c r="AB219" s="229">
        <f t="shared" si="75"/>
        <v>0</v>
      </c>
      <c r="AC219" s="228">
        <f t="shared" si="78"/>
        <v>0</v>
      </c>
      <c r="AD219" s="21">
        <v>0</v>
      </c>
      <c r="AE219" s="229"/>
      <c r="AF219" s="20"/>
      <c r="AG219" s="229"/>
      <c r="AH219" s="20"/>
      <c r="AI219" s="229"/>
      <c r="AJ219" s="20"/>
      <c r="AK219" s="229"/>
      <c r="AL219" s="20"/>
      <c r="AM219" s="229"/>
      <c r="AN219" s="20"/>
      <c r="AO219" s="229">
        <v>1</v>
      </c>
      <c r="AP219" s="20">
        <v>1</v>
      </c>
      <c r="AQ219" s="229"/>
      <c r="AR219" s="20"/>
      <c r="AS219" s="229"/>
      <c r="AT219" s="20"/>
      <c r="AU219" s="229"/>
      <c r="AV219" s="20">
        <v>1</v>
      </c>
      <c r="AW219" s="229"/>
      <c r="AX219" s="20"/>
      <c r="AY219" s="229"/>
      <c r="AZ219" s="20"/>
      <c r="BA219" s="229"/>
      <c r="BB219" s="20">
        <v>1</v>
      </c>
      <c r="BC219" s="229">
        <f t="shared" si="76"/>
        <v>1</v>
      </c>
      <c r="BD219" s="48">
        <f t="shared" si="79"/>
        <v>3</v>
      </c>
      <c r="BE219" s="19">
        <v>6</v>
      </c>
      <c r="BF219" s="229">
        <f t="shared" si="77"/>
        <v>1</v>
      </c>
      <c r="BG219" s="210">
        <f t="shared" si="80"/>
        <v>3</v>
      </c>
      <c r="BH219" s="210">
        <f t="shared" si="74"/>
        <v>6</v>
      </c>
      <c r="BI219" s="213">
        <f t="shared" si="73"/>
        <v>50</v>
      </c>
      <c r="BJ219" s="141"/>
      <c r="BK219" s="201"/>
      <c r="BL219" s="198"/>
      <c r="BM219" s="198"/>
    </row>
    <row r="220" spans="1:65" s="17" customFormat="1" ht="15.95" customHeight="1">
      <c r="A220" s="123">
        <v>106</v>
      </c>
      <c r="B220" s="9" t="s">
        <v>156</v>
      </c>
      <c r="C220" s="11" t="s">
        <v>157</v>
      </c>
      <c r="D220" s="229"/>
      <c r="E220" s="13"/>
      <c r="F220" s="229"/>
      <c r="G220" s="13"/>
      <c r="H220" s="229"/>
      <c r="I220" s="13"/>
      <c r="J220" s="229"/>
      <c r="K220" s="13"/>
      <c r="L220" s="229"/>
      <c r="M220" s="13"/>
      <c r="N220" s="229"/>
      <c r="O220" s="13"/>
      <c r="P220" s="229"/>
      <c r="Q220" s="13"/>
      <c r="R220" s="229"/>
      <c r="S220" s="13"/>
      <c r="T220" s="229"/>
      <c r="U220" s="13"/>
      <c r="V220" s="229"/>
      <c r="W220" s="13"/>
      <c r="X220" s="229"/>
      <c r="Y220" s="13"/>
      <c r="Z220" s="229"/>
      <c r="AA220" s="13"/>
      <c r="AB220" s="229">
        <f t="shared" si="75"/>
        <v>0</v>
      </c>
      <c r="AC220" s="228">
        <f t="shared" si="78"/>
        <v>0</v>
      </c>
      <c r="AD220" s="21">
        <v>0</v>
      </c>
      <c r="AE220" s="229"/>
      <c r="AF220" s="20"/>
      <c r="AG220" s="229"/>
      <c r="AH220" s="20"/>
      <c r="AI220" s="229">
        <v>1</v>
      </c>
      <c r="AJ220" s="20">
        <v>1</v>
      </c>
      <c r="AK220" s="229"/>
      <c r="AL220" s="20"/>
      <c r="AM220" s="229"/>
      <c r="AN220" s="20"/>
      <c r="AO220" s="229">
        <v>4</v>
      </c>
      <c r="AP220" s="20">
        <v>4</v>
      </c>
      <c r="AQ220" s="229"/>
      <c r="AR220" s="20"/>
      <c r="AS220" s="229"/>
      <c r="AT220" s="20"/>
      <c r="AU220" s="229"/>
      <c r="AV220" s="20">
        <v>2</v>
      </c>
      <c r="AW220" s="229"/>
      <c r="AX220" s="20"/>
      <c r="AY220" s="229"/>
      <c r="AZ220" s="20"/>
      <c r="BA220" s="229"/>
      <c r="BB220" s="20">
        <v>6</v>
      </c>
      <c r="BC220" s="229">
        <f t="shared" si="76"/>
        <v>5</v>
      </c>
      <c r="BD220" s="48">
        <f t="shared" si="79"/>
        <v>13</v>
      </c>
      <c r="BE220" s="19">
        <v>7</v>
      </c>
      <c r="BF220" s="229">
        <f t="shared" si="77"/>
        <v>5</v>
      </c>
      <c r="BG220" s="210">
        <f t="shared" si="80"/>
        <v>13</v>
      </c>
      <c r="BH220" s="210">
        <f t="shared" si="74"/>
        <v>7</v>
      </c>
      <c r="BI220" s="213">
        <f t="shared" si="73"/>
        <v>185.71428571428572</v>
      </c>
      <c r="BJ220" s="141"/>
      <c r="BK220" s="201"/>
      <c r="BL220" s="198"/>
      <c r="BM220" s="198"/>
    </row>
    <row r="221" spans="1:65" s="17" customFormat="1" ht="15.95" customHeight="1">
      <c r="A221" s="123">
        <v>107</v>
      </c>
      <c r="B221" s="9" t="s">
        <v>158</v>
      </c>
      <c r="C221" s="11" t="s">
        <v>2568</v>
      </c>
      <c r="D221" s="229"/>
      <c r="E221" s="13"/>
      <c r="F221" s="229"/>
      <c r="G221" s="13"/>
      <c r="H221" s="229"/>
      <c r="I221" s="13"/>
      <c r="J221" s="229"/>
      <c r="K221" s="13"/>
      <c r="L221" s="229"/>
      <c r="M221" s="13"/>
      <c r="N221" s="229"/>
      <c r="O221" s="13"/>
      <c r="P221" s="229"/>
      <c r="Q221" s="13"/>
      <c r="R221" s="229"/>
      <c r="S221" s="13"/>
      <c r="T221" s="229"/>
      <c r="U221" s="13"/>
      <c r="V221" s="229"/>
      <c r="W221" s="13"/>
      <c r="X221" s="229"/>
      <c r="Y221" s="13"/>
      <c r="Z221" s="229"/>
      <c r="AA221" s="13"/>
      <c r="AB221" s="229">
        <f t="shared" si="75"/>
        <v>0</v>
      </c>
      <c r="AC221" s="228">
        <f t="shared" si="78"/>
        <v>0</v>
      </c>
      <c r="AD221" s="21">
        <v>0</v>
      </c>
      <c r="AE221" s="229"/>
      <c r="AF221" s="20"/>
      <c r="AG221" s="229"/>
      <c r="AH221" s="20"/>
      <c r="AI221" s="229">
        <v>4</v>
      </c>
      <c r="AJ221" s="20">
        <v>4</v>
      </c>
      <c r="AK221" s="229"/>
      <c r="AL221" s="20"/>
      <c r="AM221" s="229"/>
      <c r="AN221" s="20"/>
      <c r="AO221" s="229">
        <v>2</v>
      </c>
      <c r="AP221" s="20">
        <v>2</v>
      </c>
      <c r="AQ221" s="229"/>
      <c r="AR221" s="20"/>
      <c r="AS221" s="229"/>
      <c r="AT221" s="20"/>
      <c r="AU221" s="229"/>
      <c r="AV221" s="20">
        <v>1</v>
      </c>
      <c r="AW221" s="229"/>
      <c r="AX221" s="20"/>
      <c r="AY221" s="229"/>
      <c r="AZ221" s="20"/>
      <c r="BA221" s="229"/>
      <c r="BB221" s="20">
        <v>3</v>
      </c>
      <c r="BC221" s="229">
        <f t="shared" si="76"/>
        <v>6</v>
      </c>
      <c r="BD221" s="48">
        <f t="shared" si="79"/>
        <v>10</v>
      </c>
      <c r="BE221" s="19">
        <v>5</v>
      </c>
      <c r="BF221" s="229">
        <f t="shared" si="77"/>
        <v>6</v>
      </c>
      <c r="BG221" s="210">
        <f t="shared" si="80"/>
        <v>10</v>
      </c>
      <c r="BH221" s="210">
        <f t="shared" si="74"/>
        <v>5</v>
      </c>
      <c r="BI221" s="213">
        <f t="shared" si="73"/>
        <v>200</v>
      </c>
      <c r="BJ221" s="141"/>
      <c r="BK221" s="201"/>
      <c r="BL221" s="198"/>
      <c r="BM221" s="198"/>
    </row>
    <row r="222" spans="1:65" s="17" customFormat="1" ht="15.95" customHeight="1">
      <c r="A222" s="123">
        <v>108</v>
      </c>
      <c r="B222" s="9" t="s">
        <v>159</v>
      </c>
      <c r="C222" s="11" t="s">
        <v>2569</v>
      </c>
      <c r="D222" s="229"/>
      <c r="E222" s="13"/>
      <c r="F222" s="229"/>
      <c r="G222" s="13"/>
      <c r="H222" s="229"/>
      <c r="I222" s="13"/>
      <c r="J222" s="229"/>
      <c r="K222" s="13"/>
      <c r="L222" s="229"/>
      <c r="M222" s="13"/>
      <c r="N222" s="229"/>
      <c r="O222" s="13"/>
      <c r="P222" s="229"/>
      <c r="Q222" s="13"/>
      <c r="R222" s="229"/>
      <c r="S222" s="13"/>
      <c r="T222" s="229"/>
      <c r="U222" s="13"/>
      <c r="V222" s="229"/>
      <c r="W222" s="13"/>
      <c r="X222" s="229"/>
      <c r="Y222" s="13"/>
      <c r="Z222" s="229"/>
      <c r="AA222" s="13"/>
      <c r="AB222" s="229">
        <f t="shared" si="75"/>
        <v>0</v>
      </c>
      <c r="AC222" s="228">
        <f t="shared" si="78"/>
        <v>0</v>
      </c>
      <c r="AD222" s="21">
        <v>0</v>
      </c>
      <c r="AE222" s="229"/>
      <c r="AF222" s="20"/>
      <c r="AG222" s="229"/>
      <c r="AH222" s="20"/>
      <c r="AI222" s="229">
        <v>5</v>
      </c>
      <c r="AJ222" s="20">
        <v>5</v>
      </c>
      <c r="AK222" s="229"/>
      <c r="AL222" s="20"/>
      <c r="AM222" s="229"/>
      <c r="AN222" s="20"/>
      <c r="AO222" s="229">
        <v>5</v>
      </c>
      <c r="AP222" s="20">
        <v>5</v>
      </c>
      <c r="AQ222" s="229"/>
      <c r="AR222" s="20"/>
      <c r="AS222" s="229"/>
      <c r="AT222" s="20"/>
      <c r="AU222" s="229"/>
      <c r="AV222" s="20">
        <v>5</v>
      </c>
      <c r="AW222" s="229"/>
      <c r="AX222" s="20"/>
      <c r="AY222" s="229"/>
      <c r="AZ222" s="20"/>
      <c r="BA222" s="229"/>
      <c r="BB222" s="20">
        <v>4</v>
      </c>
      <c r="BC222" s="229">
        <f t="shared" si="76"/>
        <v>10</v>
      </c>
      <c r="BD222" s="48">
        <f t="shared" si="79"/>
        <v>19</v>
      </c>
      <c r="BE222" s="19">
        <v>12</v>
      </c>
      <c r="BF222" s="229">
        <f t="shared" si="77"/>
        <v>10</v>
      </c>
      <c r="BG222" s="210">
        <f t="shared" si="80"/>
        <v>19</v>
      </c>
      <c r="BH222" s="210">
        <f t="shared" si="74"/>
        <v>12</v>
      </c>
      <c r="BI222" s="213">
        <f t="shared" si="73"/>
        <v>158.33333333333331</v>
      </c>
      <c r="BJ222" s="141"/>
      <c r="BK222" s="201"/>
      <c r="BL222" s="198"/>
      <c r="BM222" s="198"/>
    </row>
    <row r="223" spans="1:65" s="17" customFormat="1" ht="15.95" customHeight="1">
      <c r="A223" s="123">
        <v>109</v>
      </c>
      <c r="B223" s="9" t="s">
        <v>1637</v>
      </c>
      <c r="C223" s="11" t="s">
        <v>1638</v>
      </c>
      <c r="D223" s="229"/>
      <c r="E223" s="13"/>
      <c r="F223" s="229"/>
      <c r="G223" s="13"/>
      <c r="H223" s="229"/>
      <c r="I223" s="13"/>
      <c r="J223" s="229"/>
      <c r="K223" s="13"/>
      <c r="L223" s="229"/>
      <c r="M223" s="13"/>
      <c r="N223" s="229"/>
      <c r="O223" s="13"/>
      <c r="P223" s="229"/>
      <c r="Q223" s="13"/>
      <c r="R223" s="229"/>
      <c r="S223" s="13"/>
      <c r="T223" s="229"/>
      <c r="U223" s="13"/>
      <c r="V223" s="229"/>
      <c r="W223" s="13"/>
      <c r="X223" s="229"/>
      <c r="Y223" s="13"/>
      <c r="Z223" s="229"/>
      <c r="AA223" s="13"/>
      <c r="AB223" s="229">
        <f t="shared" si="75"/>
        <v>0</v>
      </c>
      <c r="AC223" s="228">
        <f t="shared" si="78"/>
        <v>0</v>
      </c>
      <c r="AD223" s="21">
        <v>0</v>
      </c>
      <c r="AE223" s="229"/>
      <c r="AF223" s="20"/>
      <c r="AG223" s="229"/>
      <c r="AH223" s="20"/>
      <c r="AI223" s="229"/>
      <c r="AJ223" s="20"/>
      <c r="AK223" s="229"/>
      <c r="AL223" s="20"/>
      <c r="AM223" s="229"/>
      <c r="AN223" s="20"/>
      <c r="AO223" s="229"/>
      <c r="AP223" s="20"/>
      <c r="AQ223" s="229"/>
      <c r="AR223" s="20"/>
      <c r="AS223" s="229"/>
      <c r="AT223" s="20"/>
      <c r="AU223" s="229"/>
      <c r="AV223" s="20">
        <v>1</v>
      </c>
      <c r="AW223" s="229"/>
      <c r="AX223" s="20"/>
      <c r="AY223" s="229"/>
      <c r="AZ223" s="20"/>
      <c r="BA223" s="229"/>
      <c r="BB223" s="20"/>
      <c r="BC223" s="229">
        <f t="shared" si="76"/>
        <v>0</v>
      </c>
      <c r="BD223" s="48">
        <f t="shared" si="79"/>
        <v>1</v>
      </c>
      <c r="BE223" s="19">
        <v>2</v>
      </c>
      <c r="BF223" s="229">
        <f t="shared" si="77"/>
        <v>0</v>
      </c>
      <c r="BG223" s="210">
        <f t="shared" si="80"/>
        <v>1</v>
      </c>
      <c r="BH223" s="210">
        <f t="shared" si="74"/>
        <v>2</v>
      </c>
      <c r="BI223" s="213">
        <f t="shared" si="73"/>
        <v>50</v>
      </c>
      <c r="BJ223" s="141"/>
      <c r="BK223" s="201"/>
      <c r="BL223" s="198"/>
      <c r="BM223" s="198"/>
    </row>
    <row r="224" spans="1:65" s="17" customFormat="1" ht="15.95" customHeight="1">
      <c r="A224" s="123">
        <v>110</v>
      </c>
      <c r="B224" s="9" t="s">
        <v>1691</v>
      </c>
      <c r="C224" s="11" t="s">
        <v>1692</v>
      </c>
      <c r="D224" s="229"/>
      <c r="E224" s="13"/>
      <c r="F224" s="229"/>
      <c r="G224" s="13"/>
      <c r="H224" s="229"/>
      <c r="I224" s="13"/>
      <c r="J224" s="229"/>
      <c r="K224" s="13"/>
      <c r="L224" s="229"/>
      <c r="M224" s="13"/>
      <c r="N224" s="229"/>
      <c r="O224" s="13"/>
      <c r="P224" s="229"/>
      <c r="Q224" s="13"/>
      <c r="R224" s="229"/>
      <c r="S224" s="13"/>
      <c r="T224" s="229"/>
      <c r="U224" s="13"/>
      <c r="V224" s="229"/>
      <c r="W224" s="13"/>
      <c r="X224" s="229"/>
      <c r="Y224" s="13"/>
      <c r="Z224" s="229"/>
      <c r="AA224" s="13"/>
      <c r="AB224" s="229">
        <f t="shared" si="75"/>
        <v>0</v>
      </c>
      <c r="AC224" s="228">
        <f t="shared" si="78"/>
        <v>0</v>
      </c>
      <c r="AD224" s="21">
        <v>0</v>
      </c>
      <c r="AE224" s="229"/>
      <c r="AF224" s="20"/>
      <c r="AG224" s="229"/>
      <c r="AH224" s="20"/>
      <c r="AI224" s="229">
        <v>1</v>
      </c>
      <c r="AJ224" s="20">
        <v>1</v>
      </c>
      <c r="AK224" s="229"/>
      <c r="AL224" s="20"/>
      <c r="AM224" s="229"/>
      <c r="AN224" s="20"/>
      <c r="AO224" s="229"/>
      <c r="AP224" s="20"/>
      <c r="AQ224" s="229"/>
      <c r="AR224" s="20"/>
      <c r="AS224" s="229"/>
      <c r="AT224" s="20"/>
      <c r="AU224" s="229"/>
      <c r="AV224" s="20">
        <v>1</v>
      </c>
      <c r="AW224" s="229"/>
      <c r="AX224" s="20"/>
      <c r="AY224" s="229"/>
      <c r="AZ224" s="20"/>
      <c r="BA224" s="229"/>
      <c r="BB224" s="20"/>
      <c r="BC224" s="229">
        <f t="shared" si="76"/>
        <v>1</v>
      </c>
      <c r="BD224" s="48">
        <f t="shared" si="79"/>
        <v>2</v>
      </c>
      <c r="BE224" s="19">
        <v>3</v>
      </c>
      <c r="BF224" s="229">
        <f t="shared" si="77"/>
        <v>1</v>
      </c>
      <c r="BG224" s="210">
        <f t="shared" si="80"/>
        <v>2</v>
      </c>
      <c r="BH224" s="210">
        <f t="shared" si="74"/>
        <v>3</v>
      </c>
      <c r="BI224" s="213">
        <f t="shared" si="73"/>
        <v>66.666666666666657</v>
      </c>
      <c r="BJ224" s="141"/>
      <c r="BK224" s="201"/>
      <c r="BL224" s="198"/>
      <c r="BM224" s="198"/>
    </row>
    <row r="225" spans="1:65" s="17" customFormat="1" ht="15.95" customHeight="1">
      <c r="A225" s="123">
        <v>111</v>
      </c>
      <c r="B225" s="9" t="s">
        <v>160</v>
      </c>
      <c r="C225" s="11" t="s">
        <v>161</v>
      </c>
      <c r="D225" s="229"/>
      <c r="E225" s="13"/>
      <c r="F225" s="229"/>
      <c r="G225" s="13"/>
      <c r="H225" s="229"/>
      <c r="I225" s="13"/>
      <c r="J225" s="229"/>
      <c r="K225" s="13"/>
      <c r="L225" s="229"/>
      <c r="M225" s="13"/>
      <c r="N225" s="229"/>
      <c r="O225" s="13"/>
      <c r="P225" s="229"/>
      <c r="Q225" s="13"/>
      <c r="R225" s="229"/>
      <c r="S225" s="13"/>
      <c r="T225" s="229"/>
      <c r="U225" s="13"/>
      <c r="V225" s="229"/>
      <c r="W225" s="13"/>
      <c r="X225" s="229"/>
      <c r="Y225" s="13"/>
      <c r="Z225" s="229"/>
      <c r="AA225" s="13"/>
      <c r="AB225" s="229">
        <f t="shared" si="75"/>
        <v>0</v>
      </c>
      <c r="AC225" s="228">
        <f t="shared" si="78"/>
        <v>0</v>
      </c>
      <c r="AD225" s="21">
        <v>0</v>
      </c>
      <c r="AE225" s="229"/>
      <c r="AF225" s="20"/>
      <c r="AG225" s="229"/>
      <c r="AH225" s="20"/>
      <c r="AI225" s="229"/>
      <c r="AJ225" s="20"/>
      <c r="AK225" s="229"/>
      <c r="AL225" s="20"/>
      <c r="AM225" s="229"/>
      <c r="AN225" s="20"/>
      <c r="AO225" s="229"/>
      <c r="AP225" s="20"/>
      <c r="AQ225" s="229"/>
      <c r="AR225" s="20"/>
      <c r="AS225" s="229"/>
      <c r="AT225" s="20"/>
      <c r="AU225" s="229"/>
      <c r="AV225" s="20"/>
      <c r="AW225" s="229"/>
      <c r="AX225" s="20"/>
      <c r="AY225" s="229"/>
      <c r="AZ225" s="20"/>
      <c r="BA225" s="229"/>
      <c r="BB225" s="20">
        <v>1</v>
      </c>
      <c r="BC225" s="229">
        <f t="shared" si="76"/>
        <v>0</v>
      </c>
      <c r="BD225" s="48">
        <f t="shared" si="79"/>
        <v>1</v>
      </c>
      <c r="BE225" s="19">
        <v>5</v>
      </c>
      <c r="BF225" s="229">
        <f t="shared" si="77"/>
        <v>0</v>
      </c>
      <c r="BG225" s="210">
        <f t="shared" si="80"/>
        <v>1</v>
      </c>
      <c r="BH225" s="210">
        <f t="shared" si="74"/>
        <v>5</v>
      </c>
      <c r="BI225" s="213">
        <f t="shared" si="73"/>
        <v>20</v>
      </c>
      <c r="BJ225" s="141"/>
      <c r="BK225" s="201"/>
      <c r="BL225" s="198"/>
      <c r="BM225" s="198"/>
    </row>
    <row r="226" spans="1:65" s="17" customFormat="1" ht="15.95" customHeight="1">
      <c r="A226" s="123">
        <v>112</v>
      </c>
      <c r="B226" s="9" t="s">
        <v>162</v>
      </c>
      <c r="C226" s="11" t="s">
        <v>163</v>
      </c>
      <c r="D226" s="229"/>
      <c r="E226" s="13"/>
      <c r="F226" s="229"/>
      <c r="G226" s="13"/>
      <c r="H226" s="229"/>
      <c r="I226" s="13"/>
      <c r="J226" s="229"/>
      <c r="K226" s="13"/>
      <c r="L226" s="229"/>
      <c r="M226" s="13"/>
      <c r="N226" s="229"/>
      <c r="O226" s="13"/>
      <c r="P226" s="229"/>
      <c r="Q226" s="13"/>
      <c r="R226" s="229"/>
      <c r="S226" s="13"/>
      <c r="T226" s="229"/>
      <c r="U226" s="13"/>
      <c r="V226" s="229"/>
      <c r="W226" s="13"/>
      <c r="X226" s="229"/>
      <c r="Y226" s="13"/>
      <c r="Z226" s="229"/>
      <c r="AA226" s="13"/>
      <c r="AB226" s="229">
        <f t="shared" si="75"/>
        <v>0</v>
      </c>
      <c r="AC226" s="228">
        <f t="shared" si="78"/>
        <v>0</v>
      </c>
      <c r="AD226" s="21">
        <v>0</v>
      </c>
      <c r="AE226" s="229"/>
      <c r="AF226" s="20"/>
      <c r="AG226" s="229"/>
      <c r="AH226" s="20"/>
      <c r="AI226" s="229">
        <v>1</v>
      </c>
      <c r="AJ226" s="20">
        <v>1</v>
      </c>
      <c r="AK226" s="229"/>
      <c r="AL226" s="20"/>
      <c r="AM226" s="229"/>
      <c r="AN226" s="20"/>
      <c r="AO226" s="229">
        <v>5</v>
      </c>
      <c r="AP226" s="20">
        <v>5</v>
      </c>
      <c r="AQ226" s="229"/>
      <c r="AR226" s="20"/>
      <c r="AS226" s="229"/>
      <c r="AT226" s="20"/>
      <c r="AU226" s="229"/>
      <c r="AV226" s="20">
        <v>1</v>
      </c>
      <c r="AW226" s="229"/>
      <c r="AX226" s="20"/>
      <c r="AY226" s="229"/>
      <c r="AZ226" s="20"/>
      <c r="BA226" s="229"/>
      <c r="BB226" s="20">
        <v>5</v>
      </c>
      <c r="BC226" s="229">
        <f t="shared" si="76"/>
        <v>6</v>
      </c>
      <c r="BD226" s="48">
        <f t="shared" si="79"/>
        <v>12</v>
      </c>
      <c r="BE226" s="19">
        <v>14</v>
      </c>
      <c r="BF226" s="229">
        <f t="shared" si="77"/>
        <v>6</v>
      </c>
      <c r="BG226" s="210">
        <f t="shared" si="80"/>
        <v>12</v>
      </c>
      <c r="BH226" s="210">
        <f t="shared" si="74"/>
        <v>14</v>
      </c>
      <c r="BI226" s="213">
        <f t="shared" si="73"/>
        <v>85.714285714285708</v>
      </c>
      <c r="BJ226" s="141"/>
      <c r="BK226" s="201"/>
      <c r="BL226" s="198"/>
      <c r="BM226" s="198"/>
    </row>
    <row r="227" spans="1:65" s="17" customFormat="1" ht="27" customHeight="1">
      <c r="A227" s="123">
        <v>113</v>
      </c>
      <c r="B227" s="146" t="s">
        <v>1777</v>
      </c>
      <c r="C227" s="175" t="s">
        <v>1778</v>
      </c>
      <c r="D227" s="229"/>
      <c r="E227" s="13"/>
      <c r="F227" s="229"/>
      <c r="G227" s="13"/>
      <c r="H227" s="229"/>
      <c r="I227" s="13"/>
      <c r="J227" s="229"/>
      <c r="K227" s="13"/>
      <c r="L227" s="229"/>
      <c r="M227" s="13"/>
      <c r="N227" s="229"/>
      <c r="O227" s="13"/>
      <c r="P227" s="229"/>
      <c r="Q227" s="13"/>
      <c r="R227" s="229"/>
      <c r="S227" s="13"/>
      <c r="T227" s="229"/>
      <c r="U227" s="13"/>
      <c r="V227" s="229"/>
      <c r="W227" s="13"/>
      <c r="X227" s="229"/>
      <c r="Y227" s="13"/>
      <c r="Z227" s="229"/>
      <c r="AA227" s="13"/>
      <c r="AB227" s="229">
        <f t="shared" si="75"/>
        <v>0</v>
      </c>
      <c r="AC227" s="228">
        <f t="shared" si="78"/>
        <v>0</v>
      </c>
      <c r="AD227" s="21">
        <v>0</v>
      </c>
      <c r="AE227" s="229"/>
      <c r="AF227" s="20"/>
      <c r="AG227" s="229"/>
      <c r="AH227" s="20"/>
      <c r="AI227" s="229"/>
      <c r="AJ227" s="20"/>
      <c r="AK227" s="229"/>
      <c r="AL227" s="20"/>
      <c r="AM227" s="229"/>
      <c r="AN227" s="20"/>
      <c r="AO227" s="229"/>
      <c r="AP227" s="20"/>
      <c r="AQ227" s="229"/>
      <c r="AR227" s="20"/>
      <c r="AS227" s="229"/>
      <c r="AT227" s="20"/>
      <c r="AU227" s="229"/>
      <c r="AV227" s="20"/>
      <c r="AW227" s="229"/>
      <c r="AX227" s="20"/>
      <c r="AY227" s="229"/>
      <c r="AZ227" s="20"/>
      <c r="BA227" s="229"/>
      <c r="BB227" s="20"/>
      <c r="BC227" s="229">
        <f t="shared" si="76"/>
        <v>0</v>
      </c>
      <c r="BD227" s="48">
        <f t="shared" si="79"/>
        <v>0</v>
      </c>
      <c r="BE227" s="19">
        <v>2</v>
      </c>
      <c r="BF227" s="229">
        <f t="shared" si="77"/>
        <v>0</v>
      </c>
      <c r="BG227" s="210">
        <f t="shared" si="80"/>
        <v>0</v>
      </c>
      <c r="BH227" s="210">
        <f t="shared" si="74"/>
        <v>2</v>
      </c>
      <c r="BI227" s="213">
        <f t="shared" si="73"/>
        <v>0</v>
      </c>
      <c r="BJ227" s="141"/>
      <c r="BK227" s="201"/>
      <c r="BL227" s="198"/>
      <c r="BM227" s="198"/>
    </row>
    <row r="228" spans="1:65" s="17" customFormat="1" ht="15.95" customHeight="1">
      <c r="A228" s="123">
        <v>114</v>
      </c>
      <c r="B228" s="9" t="s">
        <v>501</v>
      </c>
      <c r="C228" s="11" t="s">
        <v>2566</v>
      </c>
      <c r="D228" s="229"/>
      <c r="E228" s="13"/>
      <c r="F228" s="229"/>
      <c r="G228" s="13"/>
      <c r="H228" s="229"/>
      <c r="I228" s="13"/>
      <c r="J228" s="229"/>
      <c r="K228" s="13"/>
      <c r="L228" s="229"/>
      <c r="M228" s="13"/>
      <c r="N228" s="229"/>
      <c r="O228" s="13"/>
      <c r="P228" s="229"/>
      <c r="Q228" s="13"/>
      <c r="R228" s="229"/>
      <c r="S228" s="13"/>
      <c r="T228" s="229"/>
      <c r="U228" s="13"/>
      <c r="V228" s="229"/>
      <c r="W228" s="13"/>
      <c r="X228" s="229"/>
      <c r="Y228" s="13"/>
      <c r="Z228" s="229"/>
      <c r="AA228" s="13"/>
      <c r="AB228" s="229">
        <f t="shared" si="75"/>
        <v>0</v>
      </c>
      <c r="AC228" s="228">
        <f t="shared" si="78"/>
        <v>0</v>
      </c>
      <c r="AD228" s="21">
        <v>0</v>
      </c>
      <c r="AE228" s="229"/>
      <c r="AF228" s="20"/>
      <c r="AG228" s="229"/>
      <c r="AH228" s="20"/>
      <c r="AI228" s="229">
        <v>1</v>
      </c>
      <c r="AJ228" s="20">
        <v>1</v>
      </c>
      <c r="AK228" s="229"/>
      <c r="AL228" s="20"/>
      <c r="AM228" s="229"/>
      <c r="AN228" s="20"/>
      <c r="AO228" s="229">
        <v>1</v>
      </c>
      <c r="AP228" s="20">
        <v>1</v>
      </c>
      <c r="AQ228" s="229"/>
      <c r="AR228" s="20"/>
      <c r="AS228" s="229"/>
      <c r="AT228" s="20"/>
      <c r="AU228" s="229"/>
      <c r="AV228" s="20">
        <v>2</v>
      </c>
      <c r="AW228" s="229"/>
      <c r="AX228" s="20"/>
      <c r="AY228" s="229"/>
      <c r="AZ228" s="20"/>
      <c r="BA228" s="229"/>
      <c r="BB228" s="20">
        <v>2</v>
      </c>
      <c r="BC228" s="229">
        <f t="shared" si="76"/>
        <v>2</v>
      </c>
      <c r="BD228" s="48">
        <f t="shared" si="79"/>
        <v>6</v>
      </c>
      <c r="BE228" s="19">
        <v>10</v>
      </c>
      <c r="BF228" s="229">
        <f t="shared" si="77"/>
        <v>2</v>
      </c>
      <c r="BG228" s="210">
        <f t="shared" si="80"/>
        <v>6</v>
      </c>
      <c r="BH228" s="210">
        <f t="shared" si="74"/>
        <v>10</v>
      </c>
      <c r="BI228" s="213">
        <f t="shared" si="73"/>
        <v>60</v>
      </c>
      <c r="BJ228" s="141"/>
      <c r="BK228" s="201"/>
      <c r="BL228" s="198"/>
      <c r="BM228" s="198"/>
    </row>
    <row r="229" spans="1:65" s="17" customFormat="1" ht="21.95" customHeight="1">
      <c r="A229" s="123">
        <v>115</v>
      </c>
      <c r="B229" s="9" t="s">
        <v>164</v>
      </c>
      <c r="C229" s="10" t="s">
        <v>2567</v>
      </c>
      <c r="D229" s="229"/>
      <c r="E229" s="13"/>
      <c r="F229" s="229"/>
      <c r="G229" s="13"/>
      <c r="H229" s="229"/>
      <c r="I229" s="13"/>
      <c r="J229" s="229"/>
      <c r="K229" s="13"/>
      <c r="L229" s="229"/>
      <c r="M229" s="13"/>
      <c r="N229" s="229"/>
      <c r="O229" s="13"/>
      <c r="P229" s="229"/>
      <c r="Q229" s="13"/>
      <c r="R229" s="229"/>
      <c r="S229" s="13"/>
      <c r="T229" s="229"/>
      <c r="U229" s="13"/>
      <c r="V229" s="229"/>
      <c r="W229" s="13"/>
      <c r="X229" s="229"/>
      <c r="Y229" s="13"/>
      <c r="Z229" s="229"/>
      <c r="AA229" s="13"/>
      <c r="AB229" s="229">
        <f t="shared" si="75"/>
        <v>0</v>
      </c>
      <c r="AC229" s="228">
        <f t="shared" si="78"/>
        <v>0</v>
      </c>
      <c r="AD229" s="21">
        <v>0</v>
      </c>
      <c r="AE229" s="229"/>
      <c r="AF229" s="20"/>
      <c r="AG229" s="229"/>
      <c r="AH229" s="20"/>
      <c r="AI229" s="229"/>
      <c r="AJ229" s="20"/>
      <c r="AK229" s="229"/>
      <c r="AL229" s="20"/>
      <c r="AM229" s="229"/>
      <c r="AN229" s="20"/>
      <c r="AO229" s="229"/>
      <c r="AP229" s="20"/>
      <c r="AQ229" s="229"/>
      <c r="AR229" s="20"/>
      <c r="AS229" s="229"/>
      <c r="AT229" s="20"/>
      <c r="AU229" s="229"/>
      <c r="AV229" s="20">
        <v>2</v>
      </c>
      <c r="AW229" s="229"/>
      <c r="AX229" s="20"/>
      <c r="AY229" s="229"/>
      <c r="AZ229" s="20"/>
      <c r="BA229" s="229"/>
      <c r="BB229" s="20">
        <v>1</v>
      </c>
      <c r="BC229" s="229">
        <f t="shared" si="76"/>
        <v>0</v>
      </c>
      <c r="BD229" s="48">
        <f t="shared" si="79"/>
        <v>3</v>
      </c>
      <c r="BE229" s="19">
        <v>7</v>
      </c>
      <c r="BF229" s="229">
        <f t="shared" si="77"/>
        <v>0</v>
      </c>
      <c r="BG229" s="210">
        <f t="shared" si="80"/>
        <v>3</v>
      </c>
      <c r="BH229" s="210">
        <f t="shared" si="74"/>
        <v>7</v>
      </c>
      <c r="BI229" s="213">
        <f t="shared" si="73"/>
        <v>42.857142857142854</v>
      </c>
      <c r="BJ229" s="141"/>
      <c r="BK229" s="201"/>
      <c r="BL229" s="198"/>
      <c r="BM229" s="198"/>
    </row>
    <row r="230" spans="1:65" s="17" customFormat="1" ht="15.95" customHeight="1">
      <c r="A230" s="123">
        <v>116</v>
      </c>
      <c r="B230" s="9" t="s">
        <v>165</v>
      </c>
      <c r="C230" s="11" t="s">
        <v>166</v>
      </c>
      <c r="D230" s="229"/>
      <c r="E230" s="13"/>
      <c r="F230" s="229"/>
      <c r="G230" s="13"/>
      <c r="H230" s="229"/>
      <c r="I230" s="13"/>
      <c r="J230" s="229"/>
      <c r="K230" s="13"/>
      <c r="L230" s="229"/>
      <c r="M230" s="13"/>
      <c r="N230" s="229"/>
      <c r="O230" s="13"/>
      <c r="P230" s="229"/>
      <c r="Q230" s="13"/>
      <c r="R230" s="229"/>
      <c r="S230" s="13"/>
      <c r="T230" s="229"/>
      <c r="U230" s="13"/>
      <c r="V230" s="229"/>
      <c r="W230" s="13"/>
      <c r="X230" s="229"/>
      <c r="Y230" s="13"/>
      <c r="Z230" s="229"/>
      <c r="AA230" s="13"/>
      <c r="AB230" s="229">
        <f t="shared" ref="AB230:AB261" si="81">D230+F230+H230+J230+L230+N230+P230+R230+T230+V230+X230+Z230</f>
        <v>0</v>
      </c>
      <c r="AC230" s="228">
        <f t="shared" si="78"/>
        <v>0</v>
      </c>
      <c r="AD230" s="21">
        <v>0</v>
      </c>
      <c r="AE230" s="229"/>
      <c r="AF230" s="20"/>
      <c r="AG230" s="229"/>
      <c r="AH230" s="20"/>
      <c r="AI230" s="229">
        <v>1</v>
      </c>
      <c r="AJ230" s="20">
        <v>1</v>
      </c>
      <c r="AK230" s="229"/>
      <c r="AL230" s="20"/>
      <c r="AM230" s="229"/>
      <c r="AN230" s="20"/>
      <c r="AO230" s="229"/>
      <c r="AP230" s="20"/>
      <c r="AQ230" s="229"/>
      <c r="AR230" s="20"/>
      <c r="AS230" s="229"/>
      <c r="AT230" s="20"/>
      <c r="AU230" s="229"/>
      <c r="AV230" s="20">
        <v>2</v>
      </c>
      <c r="AW230" s="229"/>
      <c r="AX230" s="20"/>
      <c r="AY230" s="229"/>
      <c r="AZ230" s="20"/>
      <c r="BA230" s="229"/>
      <c r="BB230" s="20"/>
      <c r="BC230" s="229">
        <f t="shared" ref="BC230:BC261" si="82">AE230+AG230+AI230+AK230+AM230+AO230+AQ230+AS230+AU230+AW230+AY230+BA230</f>
        <v>1</v>
      </c>
      <c r="BD230" s="48">
        <f t="shared" si="79"/>
        <v>3</v>
      </c>
      <c r="BE230" s="19">
        <v>9</v>
      </c>
      <c r="BF230" s="229">
        <f t="shared" ref="BF230:BF260" si="83">AB230+BC230</f>
        <v>1</v>
      </c>
      <c r="BG230" s="210">
        <f t="shared" si="80"/>
        <v>3</v>
      </c>
      <c r="BH230" s="210">
        <f t="shared" si="74"/>
        <v>9</v>
      </c>
      <c r="BI230" s="213">
        <f t="shared" si="73"/>
        <v>33.333333333333329</v>
      </c>
      <c r="BJ230" s="141"/>
      <c r="BK230" s="201"/>
      <c r="BL230" s="198"/>
      <c r="BM230" s="198"/>
    </row>
    <row r="231" spans="1:65" s="17" customFormat="1" ht="15.95" customHeight="1">
      <c r="A231" s="123">
        <v>117</v>
      </c>
      <c r="B231" s="9" t="s">
        <v>1335</v>
      </c>
      <c r="C231" s="11" t="s">
        <v>1336</v>
      </c>
      <c r="D231" s="229"/>
      <c r="E231" s="13"/>
      <c r="F231" s="229"/>
      <c r="G231" s="13"/>
      <c r="H231" s="229"/>
      <c r="I231" s="13"/>
      <c r="J231" s="229"/>
      <c r="K231" s="13"/>
      <c r="L231" s="229"/>
      <c r="M231" s="13"/>
      <c r="N231" s="229"/>
      <c r="O231" s="13"/>
      <c r="P231" s="229"/>
      <c r="Q231" s="13"/>
      <c r="R231" s="229"/>
      <c r="S231" s="13"/>
      <c r="T231" s="229"/>
      <c r="U231" s="13"/>
      <c r="V231" s="229"/>
      <c r="W231" s="13"/>
      <c r="X231" s="229"/>
      <c r="Y231" s="13"/>
      <c r="Z231" s="229"/>
      <c r="AA231" s="13"/>
      <c r="AB231" s="229">
        <f t="shared" si="81"/>
        <v>0</v>
      </c>
      <c r="AC231" s="228">
        <f t="shared" si="78"/>
        <v>0</v>
      </c>
      <c r="AD231" s="21">
        <v>0</v>
      </c>
      <c r="AE231" s="229"/>
      <c r="AF231" s="20"/>
      <c r="AG231" s="229"/>
      <c r="AH231" s="20"/>
      <c r="AI231" s="229">
        <v>1</v>
      </c>
      <c r="AJ231" s="20">
        <v>1</v>
      </c>
      <c r="AK231" s="229"/>
      <c r="AL231" s="20"/>
      <c r="AM231" s="229"/>
      <c r="AN231" s="20"/>
      <c r="AO231" s="229"/>
      <c r="AP231" s="20"/>
      <c r="AQ231" s="229"/>
      <c r="AR231" s="20"/>
      <c r="AS231" s="229"/>
      <c r="AT231" s="20"/>
      <c r="AU231" s="229"/>
      <c r="AV231" s="20"/>
      <c r="AW231" s="229"/>
      <c r="AX231" s="20"/>
      <c r="AY231" s="229"/>
      <c r="AZ231" s="20"/>
      <c r="BA231" s="229"/>
      <c r="BB231" s="20">
        <v>1</v>
      </c>
      <c r="BC231" s="229">
        <f t="shared" si="82"/>
        <v>1</v>
      </c>
      <c r="BD231" s="48">
        <f t="shared" si="79"/>
        <v>2</v>
      </c>
      <c r="BE231" s="19">
        <v>4</v>
      </c>
      <c r="BF231" s="229">
        <f t="shared" si="83"/>
        <v>1</v>
      </c>
      <c r="BG231" s="210">
        <f t="shared" si="80"/>
        <v>2</v>
      </c>
      <c r="BH231" s="210">
        <f t="shared" si="74"/>
        <v>4</v>
      </c>
      <c r="BI231" s="213">
        <f t="shared" si="73"/>
        <v>50</v>
      </c>
      <c r="BJ231" s="141"/>
      <c r="BK231" s="201"/>
      <c r="BL231" s="198"/>
      <c r="BM231" s="198"/>
    </row>
    <row r="232" spans="1:65" s="17" customFormat="1" ht="15.95" customHeight="1">
      <c r="A232" s="123">
        <v>118</v>
      </c>
      <c r="B232" s="9" t="s">
        <v>2968</v>
      </c>
      <c r="C232" s="180" t="s">
        <v>2969</v>
      </c>
      <c r="D232" s="229"/>
      <c r="E232" s="13"/>
      <c r="F232" s="229"/>
      <c r="G232" s="13"/>
      <c r="H232" s="229"/>
      <c r="I232" s="13"/>
      <c r="J232" s="229"/>
      <c r="K232" s="13"/>
      <c r="L232" s="229"/>
      <c r="M232" s="13"/>
      <c r="N232" s="229"/>
      <c r="O232" s="13"/>
      <c r="P232" s="229"/>
      <c r="Q232" s="13"/>
      <c r="R232" s="229"/>
      <c r="S232" s="13"/>
      <c r="T232" s="229"/>
      <c r="U232" s="13"/>
      <c r="V232" s="229"/>
      <c r="W232" s="13"/>
      <c r="X232" s="229"/>
      <c r="Y232" s="13"/>
      <c r="Z232" s="229"/>
      <c r="AA232" s="13"/>
      <c r="AB232" s="229">
        <f t="shared" si="81"/>
        <v>0</v>
      </c>
      <c r="AC232" s="228">
        <f t="shared" si="78"/>
        <v>0</v>
      </c>
      <c r="AD232" s="21">
        <v>0</v>
      </c>
      <c r="AE232" s="229"/>
      <c r="AF232" s="20"/>
      <c r="AG232" s="229"/>
      <c r="AH232" s="20"/>
      <c r="AI232" s="229">
        <v>1</v>
      </c>
      <c r="AJ232" s="20">
        <v>1</v>
      </c>
      <c r="AK232" s="229"/>
      <c r="AL232" s="20"/>
      <c r="AM232" s="229"/>
      <c r="AN232" s="20"/>
      <c r="AO232" s="229"/>
      <c r="AP232" s="20"/>
      <c r="AQ232" s="229"/>
      <c r="AR232" s="20"/>
      <c r="AS232" s="229"/>
      <c r="AT232" s="20"/>
      <c r="AU232" s="229"/>
      <c r="AV232" s="20"/>
      <c r="AW232" s="229"/>
      <c r="AX232" s="20"/>
      <c r="AY232" s="229"/>
      <c r="AZ232" s="20"/>
      <c r="BA232" s="229"/>
      <c r="BB232" s="20"/>
      <c r="BC232" s="229">
        <f t="shared" si="82"/>
        <v>1</v>
      </c>
      <c r="BD232" s="48">
        <f t="shared" si="79"/>
        <v>1</v>
      </c>
      <c r="BE232" s="19">
        <v>0</v>
      </c>
      <c r="BF232" s="229">
        <f t="shared" si="83"/>
        <v>1</v>
      </c>
      <c r="BG232" s="210">
        <f t="shared" si="80"/>
        <v>1</v>
      </c>
      <c r="BH232" s="210">
        <f t="shared" si="74"/>
        <v>0</v>
      </c>
      <c r="BI232" s="213" t="e">
        <f t="shared" si="73"/>
        <v>#DIV/0!</v>
      </c>
      <c r="BJ232" s="141"/>
      <c r="BK232" s="201"/>
      <c r="BL232" s="198"/>
      <c r="BM232" s="198"/>
    </row>
    <row r="233" spans="1:65" s="17" customFormat="1" ht="15.95" customHeight="1">
      <c r="A233" s="123">
        <v>119</v>
      </c>
      <c r="B233" s="146" t="s">
        <v>1779</v>
      </c>
      <c r="C233" s="223" t="s">
        <v>1780</v>
      </c>
      <c r="D233" s="229"/>
      <c r="E233" s="13"/>
      <c r="F233" s="229"/>
      <c r="G233" s="13"/>
      <c r="H233" s="229"/>
      <c r="I233" s="13"/>
      <c r="J233" s="229"/>
      <c r="K233" s="13"/>
      <c r="L233" s="229"/>
      <c r="M233" s="13"/>
      <c r="N233" s="229"/>
      <c r="O233" s="13"/>
      <c r="P233" s="229"/>
      <c r="Q233" s="13"/>
      <c r="R233" s="229"/>
      <c r="S233" s="13"/>
      <c r="T233" s="229"/>
      <c r="U233" s="13"/>
      <c r="V233" s="229"/>
      <c r="W233" s="13"/>
      <c r="X233" s="229"/>
      <c r="Y233" s="13"/>
      <c r="Z233" s="229"/>
      <c r="AA233" s="13"/>
      <c r="AB233" s="229">
        <f t="shared" si="81"/>
        <v>0</v>
      </c>
      <c r="AC233" s="228">
        <f t="shared" si="78"/>
        <v>0</v>
      </c>
      <c r="AD233" s="21">
        <v>0</v>
      </c>
      <c r="AE233" s="229"/>
      <c r="AF233" s="20"/>
      <c r="AG233" s="229"/>
      <c r="AH233" s="20"/>
      <c r="AI233" s="229">
        <v>1</v>
      </c>
      <c r="AJ233" s="20">
        <v>1</v>
      </c>
      <c r="AK233" s="229"/>
      <c r="AL233" s="20"/>
      <c r="AM233" s="229"/>
      <c r="AN233" s="20"/>
      <c r="AO233" s="229"/>
      <c r="AP233" s="20"/>
      <c r="AQ233" s="229"/>
      <c r="AR233" s="20"/>
      <c r="AS233" s="229"/>
      <c r="AT233" s="20"/>
      <c r="AU233" s="229"/>
      <c r="AV233" s="20"/>
      <c r="AW233" s="229"/>
      <c r="AX233" s="20"/>
      <c r="AY233" s="229"/>
      <c r="AZ233" s="20"/>
      <c r="BA233" s="229"/>
      <c r="BB233" s="20"/>
      <c r="BC233" s="229">
        <f t="shared" si="82"/>
        <v>1</v>
      </c>
      <c r="BD233" s="48">
        <f t="shared" si="79"/>
        <v>1</v>
      </c>
      <c r="BE233" s="19">
        <v>5</v>
      </c>
      <c r="BF233" s="229">
        <f t="shared" si="83"/>
        <v>1</v>
      </c>
      <c r="BG233" s="210">
        <f t="shared" si="80"/>
        <v>1</v>
      </c>
      <c r="BH233" s="210">
        <f t="shared" si="74"/>
        <v>5</v>
      </c>
      <c r="BI233" s="213">
        <f t="shared" si="73"/>
        <v>20</v>
      </c>
      <c r="BJ233" s="141"/>
      <c r="BK233" s="201"/>
      <c r="BL233" s="198"/>
      <c r="BM233" s="198"/>
    </row>
    <row r="234" spans="1:65" s="17" customFormat="1" ht="15.95" customHeight="1">
      <c r="A234" s="123">
        <v>120</v>
      </c>
      <c r="B234" s="9" t="s">
        <v>2370</v>
      </c>
      <c r="C234" s="180" t="s">
        <v>2371</v>
      </c>
      <c r="D234" s="229"/>
      <c r="E234" s="13"/>
      <c r="F234" s="229"/>
      <c r="G234" s="13"/>
      <c r="H234" s="229"/>
      <c r="I234" s="13"/>
      <c r="J234" s="229"/>
      <c r="K234" s="13"/>
      <c r="L234" s="229"/>
      <c r="M234" s="13"/>
      <c r="N234" s="229"/>
      <c r="O234" s="13"/>
      <c r="P234" s="229"/>
      <c r="Q234" s="13"/>
      <c r="R234" s="229"/>
      <c r="S234" s="13"/>
      <c r="T234" s="229"/>
      <c r="U234" s="13"/>
      <c r="V234" s="229"/>
      <c r="W234" s="13"/>
      <c r="X234" s="229"/>
      <c r="Y234" s="13"/>
      <c r="Z234" s="229"/>
      <c r="AA234" s="13"/>
      <c r="AB234" s="229">
        <f t="shared" si="81"/>
        <v>0</v>
      </c>
      <c r="AC234" s="228">
        <f t="shared" si="78"/>
        <v>0</v>
      </c>
      <c r="AD234" s="21">
        <v>0</v>
      </c>
      <c r="AE234" s="229"/>
      <c r="AF234" s="20"/>
      <c r="AG234" s="229"/>
      <c r="AH234" s="20"/>
      <c r="AI234" s="229"/>
      <c r="AJ234" s="20"/>
      <c r="AK234" s="229"/>
      <c r="AL234" s="20"/>
      <c r="AM234" s="229"/>
      <c r="AN234" s="20"/>
      <c r="AO234" s="229"/>
      <c r="AP234" s="20"/>
      <c r="AQ234" s="229"/>
      <c r="AR234" s="20"/>
      <c r="AS234" s="229"/>
      <c r="AT234" s="20"/>
      <c r="AU234" s="229"/>
      <c r="AV234" s="20"/>
      <c r="AW234" s="229"/>
      <c r="AX234" s="20"/>
      <c r="AY234" s="229"/>
      <c r="AZ234" s="20"/>
      <c r="BA234" s="229"/>
      <c r="BB234" s="20"/>
      <c r="BC234" s="229">
        <f t="shared" si="82"/>
        <v>0</v>
      </c>
      <c r="BD234" s="48">
        <f t="shared" si="79"/>
        <v>0</v>
      </c>
      <c r="BE234" s="19">
        <v>2</v>
      </c>
      <c r="BF234" s="229">
        <f t="shared" si="83"/>
        <v>0</v>
      </c>
      <c r="BG234" s="210">
        <f t="shared" si="80"/>
        <v>0</v>
      </c>
      <c r="BH234" s="210">
        <f t="shared" si="74"/>
        <v>2</v>
      </c>
      <c r="BI234" s="213">
        <f t="shared" si="73"/>
        <v>0</v>
      </c>
      <c r="BJ234" s="141"/>
      <c r="BK234" s="201"/>
      <c r="BL234" s="198"/>
      <c r="BM234" s="198"/>
    </row>
    <row r="235" spans="1:65" s="17" customFormat="1" ht="15.95" customHeight="1">
      <c r="A235" s="123">
        <v>121</v>
      </c>
      <c r="B235" s="9" t="s">
        <v>1843</v>
      </c>
      <c r="C235" s="11" t="s">
        <v>2565</v>
      </c>
      <c r="D235" s="229"/>
      <c r="E235" s="13"/>
      <c r="F235" s="229"/>
      <c r="G235" s="13"/>
      <c r="H235" s="229"/>
      <c r="I235" s="13"/>
      <c r="J235" s="229"/>
      <c r="K235" s="13"/>
      <c r="L235" s="229"/>
      <c r="M235" s="13"/>
      <c r="N235" s="229"/>
      <c r="O235" s="13"/>
      <c r="P235" s="229"/>
      <c r="Q235" s="13"/>
      <c r="R235" s="229"/>
      <c r="S235" s="13"/>
      <c r="T235" s="229"/>
      <c r="U235" s="13"/>
      <c r="V235" s="229"/>
      <c r="W235" s="13"/>
      <c r="X235" s="229"/>
      <c r="Y235" s="13"/>
      <c r="Z235" s="229"/>
      <c r="AA235" s="13"/>
      <c r="AB235" s="229">
        <f t="shared" si="81"/>
        <v>0</v>
      </c>
      <c r="AC235" s="228">
        <f t="shared" si="78"/>
        <v>0</v>
      </c>
      <c r="AD235" s="21">
        <v>0</v>
      </c>
      <c r="AE235" s="229"/>
      <c r="AF235" s="20"/>
      <c r="AG235" s="229"/>
      <c r="AH235" s="20"/>
      <c r="AI235" s="229"/>
      <c r="AJ235" s="20"/>
      <c r="AK235" s="229"/>
      <c r="AL235" s="20"/>
      <c r="AM235" s="229"/>
      <c r="AN235" s="20"/>
      <c r="AO235" s="229"/>
      <c r="AP235" s="20"/>
      <c r="AQ235" s="229"/>
      <c r="AR235" s="20"/>
      <c r="AS235" s="229"/>
      <c r="AT235" s="20"/>
      <c r="AU235" s="229"/>
      <c r="AV235" s="20"/>
      <c r="AW235" s="229"/>
      <c r="AX235" s="20"/>
      <c r="AY235" s="229"/>
      <c r="AZ235" s="20"/>
      <c r="BA235" s="229"/>
      <c r="BB235" s="20"/>
      <c r="BC235" s="229">
        <f t="shared" si="82"/>
        <v>0</v>
      </c>
      <c r="BD235" s="48">
        <f t="shared" si="79"/>
        <v>0</v>
      </c>
      <c r="BE235" s="19">
        <v>4</v>
      </c>
      <c r="BF235" s="229">
        <f t="shared" si="83"/>
        <v>0</v>
      </c>
      <c r="BG235" s="210">
        <f t="shared" si="80"/>
        <v>0</v>
      </c>
      <c r="BH235" s="210">
        <f t="shared" si="74"/>
        <v>4</v>
      </c>
      <c r="BI235" s="213">
        <f t="shared" si="73"/>
        <v>0</v>
      </c>
      <c r="BJ235" s="141"/>
      <c r="BK235" s="201"/>
      <c r="BL235" s="198"/>
      <c r="BM235" s="198"/>
    </row>
    <row r="236" spans="1:65" s="17" customFormat="1" ht="15.95" customHeight="1">
      <c r="A236" s="123">
        <v>122</v>
      </c>
      <c r="B236" s="9" t="s">
        <v>1941</v>
      </c>
      <c r="C236" s="11" t="s">
        <v>1942</v>
      </c>
      <c r="D236" s="229"/>
      <c r="E236" s="13"/>
      <c r="F236" s="229"/>
      <c r="G236" s="13"/>
      <c r="H236" s="229"/>
      <c r="I236" s="13"/>
      <c r="J236" s="229"/>
      <c r="K236" s="13"/>
      <c r="L236" s="229"/>
      <c r="M236" s="13"/>
      <c r="N236" s="229"/>
      <c r="O236" s="13"/>
      <c r="P236" s="229"/>
      <c r="Q236" s="13"/>
      <c r="R236" s="229"/>
      <c r="S236" s="13"/>
      <c r="T236" s="229"/>
      <c r="U236" s="13"/>
      <c r="V236" s="229"/>
      <c r="W236" s="13"/>
      <c r="X236" s="229"/>
      <c r="Y236" s="13"/>
      <c r="Z236" s="229"/>
      <c r="AA236" s="13"/>
      <c r="AB236" s="229">
        <f t="shared" si="81"/>
        <v>0</v>
      </c>
      <c r="AC236" s="228">
        <f t="shared" si="78"/>
        <v>0</v>
      </c>
      <c r="AD236" s="21">
        <v>0</v>
      </c>
      <c r="AE236" s="229"/>
      <c r="AF236" s="20"/>
      <c r="AG236" s="229"/>
      <c r="AH236" s="20"/>
      <c r="AI236" s="229"/>
      <c r="AJ236" s="20"/>
      <c r="AK236" s="229"/>
      <c r="AL236" s="20"/>
      <c r="AM236" s="229"/>
      <c r="AN236" s="20"/>
      <c r="AO236" s="229"/>
      <c r="AP236" s="20"/>
      <c r="AQ236" s="229"/>
      <c r="AR236" s="20"/>
      <c r="AS236" s="229"/>
      <c r="AT236" s="20"/>
      <c r="AU236" s="229"/>
      <c r="AV236" s="20"/>
      <c r="AW236" s="229"/>
      <c r="AX236" s="20"/>
      <c r="AY236" s="229"/>
      <c r="AZ236" s="20"/>
      <c r="BA236" s="229"/>
      <c r="BB236" s="20"/>
      <c r="BC236" s="229">
        <f t="shared" si="82"/>
        <v>0</v>
      </c>
      <c r="BD236" s="48">
        <f t="shared" si="79"/>
        <v>0</v>
      </c>
      <c r="BE236" s="19">
        <v>5</v>
      </c>
      <c r="BF236" s="229">
        <f t="shared" si="83"/>
        <v>0</v>
      </c>
      <c r="BG236" s="210">
        <f t="shared" si="80"/>
        <v>0</v>
      </c>
      <c r="BH236" s="210">
        <f t="shared" si="74"/>
        <v>5</v>
      </c>
      <c r="BI236" s="213">
        <f t="shared" si="73"/>
        <v>0</v>
      </c>
      <c r="BJ236" s="141"/>
      <c r="BK236" s="201"/>
      <c r="BL236" s="198"/>
      <c r="BM236" s="198"/>
    </row>
    <row r="237" spans="1:65" s="17" customFormat="1" ht="15.95" customHeight="1">
      <c r="A237" s="123">
        <v>123</v>
      </c>
      <c r="B237" s="9" t="s">
        <v>167</v>
      </c>
      <c r="C237" s="11" t="s">
        <v>168</v>
      </c>
      <c r="D237" s="229"/>
      <c r="E237" s="13"/>
      <c r="F237" s="229"/>
      <c r="G237" s="13"/>
      <c r="H237" s="229"/>
      <c r="I237" s="13"/>
      <c r="J237" s="229"/>
      <c r="K237" s="13"/>
      <c r="L237" s="229"/>
      <c r="M237" s="13"/>
      <c r="N237" s="229"/>
      <c r="O237" s="13"/>
      <c r="P237" s="229"/>
      <c r="Q237" s="13"/>
      <c r="R237" s="229"/>
      <c r="S237" s="13"/>
      <c r="T237" s="229"/>
      <c r="U237" s="13"/>
      <c r="V237" s="229"/>
      <c r="W237" s="13"/>
      <c r="X237" s="229"/>
      <c r="Y237" s="13"/>
      <c r="Z237" s="229"/>
      <c r="AA237" s="13"/>
      <c r="AB237" s="229">
        <f t="shared" si="81"/>
        <v>0</v>
      </c>
      <c r="AC237" s="228">
        <f t="shared" si="78"/>
        <v>0</v>
      </c>
      <c r="AD237" s="21">
        <v>0</v>
      </c>
      <c r="AE237" s="229"/>
      <c r="AF237" s="20"/>
      <c r="AG237" s="229"/>
      <c r="AH237" s="20"/>
      <c r="AI237" s="229">
        <v>1</v>
      </c>
      <c r="AJ237" s="20">
        <v>1</v>
      </c>
      <c r="AK237" s="229"/>
      <c r="AL237" s="20"/>
      <c r="AM237" s="229"/>
      <c r="AN237" s="20"/>
      <c r="AO237" s="229"/>
      <c r="AP237" s="20"/>
      <c r="AQ237" s="229"/>
      <c r="AR237" s="20"/>
      <c r="AS237" s="229"/>
      <c r="AT237" s="20"/>
      <c r="AU237" s="229"/>
      <c r="AV237" s="20">
        <v>3</v>
      </c>
      <c r="AW237" s="229"/>
      <c r="AX237" s="20"/>
      <c r="AY237" s="229"/>
      <c r="AZ237" s="20"/>
      <c r="BA237" s="229"/>
      <c r="BB237" s="20"/>
      <c r="BC237" s="229">
        <f t="shared" si="82"/>
        <v>1</v>
      </c>
      <c r="BD237" s="48">
        <f t="shared" si="79"/>
        <v>4</v>
      </c>
      <c r="BE237" s="19">
        <v>5</v>
      </c>
      <c r="BF237" s="229">
        <f t="shared" si="83"/>
        <v>1</v>
      </c>
      <c r="BG237" s="210">
        <f t="shared" si="80"/>
        <v>4</v>
      </c>
      <c r="BH237" s="210">
        <f t="shared" si="74"/>
        <v>5</v>
      </c>
      <c r="BI237" s="213">
        <f t="shared" si="73"/>
        <v>80</v>
      </c>
      <c r="BJ237" s="141"/>
      <c r="BK237" s="201"/>
      <c r="BL237" s="198"/>
      <c r="BM237" s="198"/>
    </row>
    <row r="238" spans="1:65" s="17" customFormat="1" ht="15.95" customHeight="1">
      <c r="A238" s="123">
        <v>124</v>
      </c>
      <c r="B238" s="9" t="s">
        <v>169</v>
      </c>
      <c r="C238" s="11" t="s">
        <v>170</v>
      </c>
      <c r="D238" s="229"/>
      <c r="E238" s="13"/>
      <c r="F238" s="229"/>
      <c r="G238" s="13"/>
      <c r="H238" s="229"/>
      <c r="I238" s="13"/>
      <c r="J238" s="229"/>
      <c r="K238" s="13"/>
      <c r="L238" s="229"/>
      <c r="M238" s="13"/>
      <c r="N238" s="229"/>
      <c r="O238" s="13"/>
      <c r="P238" s="229"/>
      <c r="Q238" s="13"/>
      <c r="R238" s="229"/>
      <c r="S238" s="13"/>
      <c r="T238" s="229"/>
      <c r="U238" s="13"/>
      <c r="V238" s="229"/>
      <c r="W238" s="13"/>
      <c r="X238" s="229"/>
      <c r="Y238" s="13"/>
      <c r="Z238" s="229"/>
      <c r="AA238" s="13"/>
      <c r="AB238" s="229">
        <f t="shared" si="81"/>
        <v>0</v>
      </c>
      <c r="AC238" s="228">
        <f t="shared" si="78"/>
        <v>0</v>
      </c>
      <c r="AD238" s="21">
        <v>0</v>
      </c>
      <c r="AE238" s="229"/>
      <c r="AF238" s="20"/>
      <c r="AG238" s="229"/>
      <c r="AH238" s="20"/>
      <c r="AI238" s="229">
        <v>8</v>
      </c>
      <c r="AJ238" s="20">
        <v>8</v>
      </c>
      <c r="AK238" s="229"/>
      <c r="AL238" s="20"/>
      <c r="AM238" s="229"/>
      <c r="AN238" s="20"/>
      <c r="AO238" s="229">
        <v>6</v>
      </c>
      <c r="AP238" s="20">
        <v>6</v>
      </c>
      <c r="AQ238" s="229"/>
      <c r="AR238" s="20"/>
      <c r="AS238" s="229"/>
      <c r="AT238" s="20"/>
      <c r="AU238" s="229"/>
      <c r="AV238" s="20">
        <v>10</v>
      </c>
      <c r="AW238" s="229"/>
      <c r="AX238" s="20"/>
      <c r="AY238" s="229"/>
      <c r="AZ238" s="20"/>
      <c r="BA238" s="229"/>
      <c r="BB238" s="20">
        <v>6</v>
      </c>
      <c r="BC238" s="229">
        <f t="shared" si="82"/>
        <v>14</v>
      </c>
      <c r="BD238" s="48">
        <f t="shared" si="79"/>
        <v>30</v>
      </c>
      <c r="BE238" s="19">
        <v>30</v>
      </c>
      <c r="BF238" s="229">
        <f t="shared" si="83"/>
        <v>14</v>
      </c>
      <c r="BG238" s="210">
        <f t="shared" si="80"/>
        <v>30</v>
      </c>
      <c r="BH238" s="210">
        <f t="shared" si="74"/>
        <v>30</v>
      </c>
      <c r="BI238" s="213">
        <f t="shared" si="73"/>
        <v>100</v>
      </c>
      <c r="BJ238" s="141"/>
      <c r="BK238" s="201"/>
      <c r="BL238" s="198"/>
      <c r="BM238" s="198"/>
    </row>
    <row r="239" spans="1:65" s="17" customFormat="1" ht="15.95" customHeight="1">
      <c r="A239" s="123">
        <v>125</v>
      </c>
      <c r="B239" s="9" t="s">
        <v>34</v>
      </c>
      <c r="C239" s="11" t="s">
        <v>35</v>
      </c>
      <c r="D239" s="229"/>
      <c r="E239" s="13"/>
      <c r="F239" s="229"/>
      <c r="G239" s="13"/>
      <c r="H239" s="229"/>
      <c r="I239" s="13"/>
      <c r="J239" s="229"/>
      <c r="K239" s="13"/>
      <c r="L239" s="229"/>
      <c r="M239" s="13"/>
      <c r="N239" s="229"/>
      <c r="O239" s="13"/>
      <c r="P239" s="229"/>
      <c r="Q239" s="13"/>
      <c r="R239" s="229"/>
      <c r="S239" s="13"/>
      <c r="T239" s="229"/>
      <c r="U239" s="13"/>
      <c r="V239" s="229"/>
      <c r="W239" s="13"/>
      <c r="X239" s="229"/>
      <c r="Y239" s="13"/>
      <c r="Z239" s="229"/>
      <c r="AA239" s="13"/>
      <c r="AB239" s="229">
        <f t="shared" si="81"/>
        <v>0</v>
      </c>
      <c r="AC239" s="228">
        <f t="shared" si="78"/>
        <v>0</v>
      </c>
      <c r="AD239" s="21">
        <v>0</v>
      </c>
      <c r="AE239" s="229"/>
      <c r="AF239" s="20"/>
      <c r="AG239" s="229"/>
      <c r="AH239" s="20"/>
      <c r="AI239" s="229">
        <v>8</v>
      </c>
      <c r="AJ239" s="20">
        <v>8</v>
      </c>
      <c r="AK239" s="229"/>
      <c r="AL239" s="20"/>
      <c r="AM239" s="229"/>
      <c r="AN239" s="20"/>
      <c r="AO239" s="229">
        <v>6</v>
      </c>
      <c r="AP239" s="20">
        <v>6</v>
      </c>
      <c r="AQ239" s="229"/>
      <c r="AR239" s="20"/>
      <c r="AS239" s="229"/>
      <c r="AT239" s="20"/>
      <c r="AU239" s="229"/>
      <c r="AV239" s="20">
        <v>9</v>
      </c>
      <c r="AW239" s="229"/>
      <c r="AX239" s="20"/>
      <c r="AY239" s="229"/>
      <c r="AZ239" s="20"/>
      <c r="BA239" s="229"/>
      <c r="BB239" s="20">
        <v>7</v>
      </c>
      <c r="BC239" s="229">
        <f t="shared" si="82"/>
        <v>14</v>
      </c>
      <c r="BD239" s="48">
        <f t="shared" si="79"/>
        <v>30</v>
      </c>
      <c r="BE239" s="19">
        <v>210</v>
      </c>
      <c r="BF239" s="229">
        <f t="shared" si="83"/>
        <v>14</v>
      </c>
      <c r="BG239" s="210">
        <f t="shared" si="80"/>
        <v>30</v>
      </c>
      <c r="BH239" s="210">
        <f t="shared" si="74"/>
        <v>210</v>
      </c>
      <c r="BI239" s="213">
        <f t="shared" si="73"/>
        <v>14.285714285714285</v>
      </c>
      <c r="BJ239" s="141"/>
      <c r="BK239" s="201"/>
      <c r="BL239" s="198"/>
      <c r="BM239" s="198"/>
    </row>
    <row r="240" spans="1:65" s="17" customFormat="1" ht="15.95" customHeight="1">
      <c r="A240" s="123">
        <v>126</v>
      </c>
      <c r="B240" s="9" t="s">
        <v>502</v>
      </c>
      <c r="C240" s="11" t="s">
        <v>503</v>
      </c>
      <c r="D240" s="229"/>
      <c r="E240" s="13"/>
      <c r="F240" s="229"/>
      <c r="G240" s="13"/>
      <c r="H240" s="229"/>
      <c r="I240" s="13"/>
      <c r="J240" s="229"/>
      <c r="K240" s="13"/>
      <c r="L240" s="229"/>
      <c r="M240" s="13"/>
      <c r="N240" s="229"/>
      <c r="O240" s="13"/>
      <c r="P240" s="229"/>
      <c r="Q240" s="13"/>
      <c r="R240" s="229"/>
      <c r="S240" s="13"/>
      <c r="T240" s="229"/>
      <c r="U240" s="13"/>
      <c r="V240" s="229"/>
      <c r="W240" s="13"/>
      <c r="X240" s="229"/>
      <c r="Y240" s="13"/>
      <c r="Z240" s="229"/>
      <c r="AA240" s="13"/>
      <c r="AB240" s="229">
        <f t="shared" si="81"/>
        <v>0</v>
      </c>
      <c r="AC240" s="228">
        <f t="shared" si="78"/>
        <v>0</v>
      </c>
      <c r="AD240" s="21">
        <v>0</v>
      </c>
      <c r="AE240" s="229"/>
      <c r="AF240" s="20"/>
      <c r="AG240" s="229"/>
      <c r="AH240" s="20"/>
      <c r="AI240" s="229">
        <v>25</v>
      </c>
      <c r="AJ240" s="20">
        <v>25</v>
      </c>
      <c r="AK240" s="229"/>
      <c r="AL240" s="20"/>
      <c r="AM240" s="229"/>
      <c r="AN240" s="20"/>
      <c r="AO240" s="229">
        <v>27</v>
      </c>
      <c r="AP240" s="20">
        <v>27</v>
      </c>
      <c r="AQ240" s="229"/>
      <c r="AR240" s="20"/>
      <c r="AS240" s="229"/>
      <c r="AT240" s="20"/>
      <c r="AU240" s="229"/>
      <c r="AV240" s="20">
        <v>31</v>
      </c>
      <c r="AW240" s="229"/>
      <c r="AX240" s="20"/>
      <c r="AY240" s="229"/>
      <c r="AZ240" s="20"/>
      <c r="BA240" s="229"/>
      <c r="BB240" s="20">
        <v>22</v>
      </c>
      <c r="BC240" s="229">
        <f t="shared" si="82"/>
        <v>52</v>
      </c>
      <c r="BD240" s="48">
        <f t="shared" si="79"/>
        <v>105</v>
      </c>
      <c r="BE240" s="19">
        <v>93</v>
      </c>
      <c r="BF240" s="229">
        <f t="shared" si="83"/>
        <v>52</v>
      </c>
      <c r="BG240" s="210">
        <f t="shared" si="80"/>
        <v>105</v>
      </c>
      <c r="BH240" s="210">
        <f t="shared" si="74"/>
        <v>93</v>
      </c>
      <c r="BI240" s="213">
        <f t="shared" si="73"/>
        <v>112.90322580645163</v>
      </c>
      <c r="BJ240" s="141"/>
      <c r="BK240" s="201"/>
      <c r="BL240" s="198"/>
      <c r="BM240" s="198"/>
    </row>
    <row r="241" spans="1:65" s="17" customFormat="1" ht="15.95" customHeight="1">
      <c r="A241" s="123">
        <v>127</v>
      </c>
      <c r="B241" s="9" t="s">
        <v>2372</v>
      </c>
      <c r="C241" s="11" t="s">
        <v>2373</v>
      </c>
      <c r="D241" s="229"/>
      <c r="E241" s="13"/>
      <c r="F241" s="229"/>
      <c r="G241" s="13"/>
      <c r="H241" s="229"/>
      <c r="I241" s="13"/>
      <c r="J241" s="229"/>
      <c r="K241" s="13"/>
      <c r="L241" s="229"/>
      <c r="M241" s="13"/>
      <c r="N241" s="229"/>
      <c r="O241" s="13"/>
      <c r="P241" s="229"/>
      <c r="Q241" s="13"/>
      <c r="R241" s="229"/>
      <c r="S241" s="13"/>
      <c r="T241" s="229"/>
      <c r="U241" s="13"/>
      <c r="V241" s="229"/>
      <c r="W241" s="13"/>
      <c r="X241" s="229"/>
      <c r="Y241" s="13"/>
      <c r="Z241" s="229"/>
      <c r="AA241" s="13"/>
      <c r="AB241" s="229">
        <f t="shared" si="81"/>
        <v>0</v>
      </c>
      <c r="AC241" s="228">
        <f t="shared" si="78"/>
        <v>0</v>
      </c>
      <c r="AD241" s="21">
        <v>0</v>
      </c>
      <c r="AE241" s="229"/>
      <c r="AF241" s="20"/>
      <c r="AG241" s="229"/>
      <c r="AH241" s="20"/>
      <c r="AI241" s="229"/>
      <c r="AJ241" s="20"/>
      <c r="AK241" s="229"/>
      <c r="AL241" s="20"/>
      <c r="AM241" s="229"/>
      <c r="AN241" s="20"/>
      <c r="AO241" s="229"/>
      <c r="AP241" s="20"/>
      <c r="AQ241" s="229"/>
      <c r="AR241" s="20"/>
      <c r="AS241" s="229"/>
      <c r="AT241" s="20"/>
      <c r="AU241" s="229"/>
      <c r="AV241" s="20"/>
      <c r="AW241" s="229"/>
      <c r="AX241" s="20"/>
      <c r="AY241" s="229"/>
      <c r="AZ241" s="20"/>
      <c r="BA241" s="229"/>
      <c r="BB241" s="20"/>
      <c r="BC241" s="229">
        <f t="shared" si="82"/>
        <v>0</v>
      </c>
      <c r="BD241" s="48">
        <f t="shared" si="79"/>
        <v>0</v>
      </c>
      <c r="BE241" s="19">
        <v>2</v>
      </c>
      <c r="BF241" s="229">
        <f t="shared" si="83"/>
        <v>0</v>
      </c>
      <c r="BG241" s="210">
        <f t="shared" si="80"/>
        <v>0</v>
      </c>
      <c r="BH241" s="210">
        <f t="shared" si="74"/>
        <v>2</v>
      </c>
      <c r="BI241" s="213">
        <f t="shared" si="73"/>
        <v>0</v>
      </c>
      <c r="BJ241" s="141"/>
      <c r="BK241" s="201"/>
      <c r="BL241" s="198"/>
      <c r="BM241" s="198"/>
    </row>
    <row r="242" spans="1:65" s="17" customFormat="1" ht="15.95" customHeight="1">
      <c r="A242" s="123">
        <v>128</v>
      </c>
      <c r="B242" s="9" t="s">
        <v>1588</v>
      </c>
      <c r="C242" s="181" t="s">
        <v>2416</v>
      </c>
      <c r="D242" s="229"/>
      <c r="E242" s="13"/>
      <c r="F242" s="229"/>
      <c r="G242" s="13"/>
      <c r="H242" s="229"/>
      <c r="I242" s="13"/>
      <c r="J242" s="229"/>
      <c r="K242" s="13"/>
      <c r="L242" s="229"/>
      <c r="M242" s="13"/>
      <c r="N242" s="229"/>
      <c r="O242" s="13"/>
      <c r="P242" s="229"/>
      <c r="Q242" s="13"/>
      <c r="R242" s="229"/>
      <c r="S242" s="13"/>
      <c r="T242" s="229"/>
      <c r="U242" s="13"/>
      <c r="V242" s="229"/>
      <c r="W242" s="13"/>
      <c r="X242" s="229"/>
      <c r="Y242" s="13"/>
      <c r="Z242" s="229"/>
      <c r="AA242" s="13"/>
      <c r="AB242" s="229">
        <f t="shared" si="81"/>
        <v>0</v>
      </c>
      <c r="AC242" s="228">
        <f t="shared" si="78"/>
        <v>0</v>
      </c>
      <c r="AD242" s="21">
        <v>0</v>
      </c>
      <c r="AE242" s="229"/>
      <c r="AF242" s="20"/>
      <c r="AG242" s="229"/>
      <c r="AH242" s="20"/>
      <c r="AI242" s="229"/>
      <c r="AJ242" s="20"/>
      <c r="AK242" s="229"/>
      <c r="AL242" s="20"/>
      <c r="AM242" s="229"/>
      <c r="AN242" s="20"/>
      <c r="AO242" s="229"/>
      <c r="AP242" s="20"/>
      <c r="AQ242" s="229"/>
      <c r="AR242" s="20"/>
      <c r="AS242" s="229"/>
      <c r="AT242" s="20"/>
      <c r="AU242" s="229"/>
      <c r="AV242" s="20"/>
      <c r="AW242" s="229"/>
      <c r="AX242" s="20"/>
      <c r="AY242" s="229"/>
      <c r="AZ242" s="20"/>
      <c r="BA242" s="229"/>
      <c r="BB242" s="20"/>
      <c r="BC242" s="229">
        <f t="shared" si="82"/>
        <v>0</v>
      </c>
      <c r="BD242" s="48">
        <f t="shared" si="79"/>
        <v>0</v>
      </c>
      <c r="BE242" s="19">
        <v>5</v>
      </c>
      <c r="BF242" s="229">
        <f t="shared" si="83"/>
        <v>0</v>
      </c>
      <c r="BG242" s="210">
        <f t="shared" si="80"/>
        <v>0</v>
      </c>
      <c r="BH242" s="210">
        <f t="shared" si="74"/>
        <v>5</v>
      </c>
      <c r="BI242" s="213">
        <f t="shared" si="73"/>
        <v>0</v>
      </c>
      <c r="BJ242" s="141"/>
      <c r="BK242" s="201"/>
      <c r="BL242" s="198"/>
      <c r="BM242" s="198"/>
    </row>
    <row r="243" spans="1:65" s="17" customFormat="1" ht="15.95" customHeight="1">
      <c r="A243" s="123">
        <v>129</v>
      </c>
      <c r="B243" s="9" t="s">
        <v>1913</v>
      </c>
      <c r="C243" s="11" t="s">
        <v>1589</v>
      </c>
      <c r="D243" s="229"/>
      <c r="E243" s="13"/>
      <c r="F243" s="229"/>
      <c r="G243" s="13"/>
      <c r="H243" s="229"/>
      <c r="I243" s="13"/>
      <c r="J243" s="229"/>
      <c r="K243" s="13"/>
      <c r="L243" s="229"/>
      <c r="M243" s="13"/>
      <c r="N243" s="229"/>
      <c r="O243" s="13"/>
      <c r="P243" s="229"/>
      <c r="Q243" s="13"/>
      <c r="R243" s="229"/>
      <c r="S243" s="13"/>
      <c r="T243" s="229"/>
      <c r="U243" s="13"/>
      <c r="V243" s="229"/>
      <c r="W243" s="13"/>
      <c r="X243" s="229"/>
      <c r="Y243" s="13"/>
      <c r="Z243" s="229"/>
      <c r="AA243" s="13"/>
      <c r="AB243" s="229">
        <f t="shared" si="81"/>
        <v>0</v>
      </c>
      <c r="AC243" s="228">
        <f t="shared" si="78"/>
        <v>0</v>
      </c>
      <c r="AD243" s="21">
        <v>0</v>
      </c>
      <c r="AE243" s="229"/>
      <c r="AF243" s="20"/>
      <c r="AG243" s="229"/>
      <c r="AH243" s="20"/>
      <c r="AI243" s="229"/>
      <c r="AJ243" s="20"/>
      <c r="AK243" s="229"/>
      <c r="AL243" s="20"/>
      <c r="AM243" s="229"/>
      <c r="AN243" s="20"/>
      <c r="AO243" s="229"/>
      <c r="AP243" s="20"/>
      <c r="AQ243" s="229"/>
      <c r="AR243" s="20"/>
      <c r="AS243" s="229"/>
      <c r="AT243" s="20"/>
      <c r="AU243" s="229"/>
      <c r="AV243" s="20"/>
      <c r="AW243" s="229"/>
      <c r="AX243" s="20"/>
      <c r="AY243" s="229"/>
      <c r="AZ243" s="20"/>
      <c r="BA243" s="229"/>
      <c r="BB243" s="20"/>
      <c r="BC243" s="229">
        <f t="shared" si="82"/>
        <v>0</v>
      </c>
      <c r="BD243" s="48">
        <f t="shared" si="79"/>
        <v>0</v>
      </c>
      <c r="BE243" s="19">
        <v>1</v>
      </c>
      <c r="BF243" s="229">
        <f t="shared" si="83"/>
        <v>0</v>
      </c>
      <c r="BG243" s="210">
        <f t="shared" si="80"/>
        <v>0</v>
      </c>
      <c r="BH243" s="210">
        <f t="shared" si="74"/>
        <v>1</v>
      </c>
      <c r="BI243" s="213">
        <f t="shared" ref="BI243:BI305" si="84">BG243/BH243*100</f>
        <v>0</v>
      </c>
      <c r="BJ243" s="141"/>
      <c r="BK243" s="201"/>
      <c r="BL243" s="198"/>
      <c r="BM243" s="198"/>
    </row>
    <row r="244" spans="1:65" s="17" customFormat="1" ht="15.95" customHeight="1">
      <c r="A244" s="123">
        <v>130</v>
      </c>
      <c r="B244" s="9" t="s">
        <v>1549</v>
      </c>
      <c r="C244" s="15" t="s">
        <v>1550</v>
      </c>
      <c r="D244" s="229"/>
      <c r="E244" s="13"/>
      <c r="F244" s="229"/>
      <c r="G244" s="13"/>
      <c r="H244" s="229"/>
      <c r="I244" s="13"/>
      <c r="J244" s="229"/>
      <c r="K244" s="13"/>
      <c r="L244" s="229"/>
      <c r="M244" s="13"/>
      <c r="N244" s="229"/>
      <c r="O244" s="13"/>
      <c r="P244" s="229"/>
      <c r="Q244" s="13"/>
      <c r="R244" s="229"/>
      <c r="S244" s="13"/>
      <c r="T244" s="229"/>
      <c r="U244" s="13"/>
      <c r="V244" s="229"/>
      <c r="W244" s="13"/>
      <c r="X244" s="229"/>
      <c r="Y244" s="13"/>
      <c r="Z244" s="229"/>
      <c r="AA244" s="13"/>
      <c r="AB244" s="229">
        <f t="shared" si="81"/>
        <v>0</v>
      </c>
      <c r="AC244" s="228">
        <f t="shared" si="78"/>
        <v>0</v>
      </c>
      <c r="AD244" s="21">
        <v>0</v>
      </c>
      <c r="AE244" s="229"/>
      <c r="AF244" s="20"/>
      <c r="AG244" s="229"/>
      <c r="AH244" s="20"/>
      <c r="AI244" s="229"/>
      <c r="AJ244" s="20"/>
      <c r="AK244" s="229"/>
      <c r="AL244" s="20"/>
      <c r="AM244" s="229"/>
      <c r="AN244" s="20"/>
      <c r="AO244" s="229"/>
      <c r="AP244" s="20"/>
      <c r="AQ244" s="229"/>
      <c r="AR244" s="20"/>
      <c r="AS244" s="229"/>
      <c r="AT244" s="20"/>
      <c r="AU244" s="229"/>
      <c r="AV244" s="20"/>
      <c r="AW244" s="229"/>
      <c r="AX244" s="20"/>
      <c r="AY244" s="229"/>
      <c r="AZ244" s="20"/>
      <c r="BA244" s="229"/>
      <c r="BB244" s="20"/>
      <c r="BC244" s="229">
        <f t="shared" si="82"/>
        <v>0</v>
      </c>
      <c r="BD244" s="48">
        <f t="shared" si="79"/>
        <v>0</v>
      </c>
      <c r="BE244" s="19">
        <v>2</v>
      </c>
      <c r="BF244" s="229">
        <f t="shared" si="83"/>
        <v>0</v>
      </c>
      <c r="BG244" s="210">
        <f t="shared" si="80"/>
        <v>0</v>
      </c>
      <c r="BH244" s="210">
        <f t="shared" si="74"/>
        <v>2</v>
      </c>
      <c r="BI244" s="213">
        <f t="shared" si="84"/>
        <v>0</v>
      </c>
      <c r="BJ244" s="141"/>
      <c r="BK244" s="201"/>
      <c r="BL244" s="198"/>
      <c r="BM244" s="198"/>
    </row>
    <row r="245" spans="1:65" s="17" customFormat="1" ht="15.95" customHeight="1">
      <c r="A245" s="123">
        <v>131</v>
      </c>
      <c r="B245" s="9" t="s">
        <v>1590</v>
      </c>
      <c r="C245" s="15" t="s">
        <v>2564</v>
      </c>
      <c r="D245" s="229"/>
      <c r="E245" s="13"/>
      <c r="F245" s="229"/>
      <c r="G245" s="13"/>
      <c r="H245" s="229"/>
      <c r="I245" s="13"/>
      <c r="J245" s="229"/>
      <c r="K245" s="13"/>
      <c r="L245" s="229"/>
      <c r="M245" s="13"/>
      <c r="N245" s="229"/>
      <c r="O245" s="13"/>
      <c r="P245" s="229"/>
      <c r="Q245" s="13"/>
      <c r="R245" s="229"/>
      <c r="S245" s="13"/>
      <c r="T245" s="229"/>
      <c r="U245" s="13"/>
      <c r="V245" s="229"/>
      <c r="W245" s="13"/>
      <c r="X245" s="229"/>
      <c r="Y245" s="13"/>
      <c r="Z245" s="229"/>
      <c r="AA245" s="13"/>
      <c r="AB245" s="229">
        <f t="shared" si="81"/>
        <v>0</v>
      </c>
      <c r="AC245" s="228">
        <f t="shared" si="78"/>
        <v>0</v>
      </c>
      <c r="AD245" s="21">
        <v>0</v>
      </c>
      <c r="AE245" s="229"/>
      <c r="AF245" s="20"/>
      <c r="AG245" s="229"/>
      <c r="AH245" s="20"/>
      <c r="AI245" s="229"/>
      <c r="AJ245" s="20"/>
      <c r="AK245" s="229"/>
      <c r="AL245" s="20"/>
      <c r="AM245" s="229"/>
      <c r="AN245" s="20"/>
      <c r="AO245" s="229"/>
      <c r="AP245" s="20"/>
      <c r="AQ245" s="229"/>
      <c r="AR245" s="20"/>
      <c r="AS245" s="229"/>
      <c r="AT245" s="20"/>
      <c r="AU245" s="229"/>
      <c r="AV245" s="20"/>
      <c r="AW245" s="229"/>
      <c r="AX245" s="20"/>
      <c r="AY245" s="229"/>
      <c r="AZ245" s="20"/>
      <c r="BA245" s="229"/>
      <c r="BB245" s="20"/>
      <c r="BC245" s="229">
        <f t="shared" si="82"/>
        <v>0</v>
      </c>
      <c r="BD245" s="48">
        <f t="shared" si="79"/>
        <v>0</v>
      </c>
      <c r="BE245" s="19">
        <v>4</v>
      </c>
      <c r="BF245" s="229">
        <f t="shared" si="83"/>
        <v>0</v>
      </c>
      <c r="BG245" s="210">
        <f t="shared" si="80"/>
        <v>0</v>
      </c>
      <c r="BH245" s="210">
        <f t="shared" si="74"/>
        <v>4</v>
      </c>
      <c r="BI245" s="213">
        <f t="shared" si="84"/>
        <v>0</v>
      </c>
      <c r="BJ245" s="141"/>
      <c r="BK245" s="201"/>
      <c r="BL245" s="198"/>
      <c r="BM245" s="198"/>
    </row>
    <row r="246" spans="1:65" s="17" customFormat="1" ht="15.95" customHeight="1">
      <c r="A246" s="123">
        <v>132</v>
      </c>
      <c r="B246" s="9" t="s">
        <v>1925</v>
      </c>
      <c r="C246" s="11" t="s">
        <v>1926</v>
      </c>
      <c r="D246" s="229"/>
      <c r="E246" s="13"/>
      <c r="F246" s="229"/>
      <c r="G246" s="13"/>
      <c r="H246" s="229"/>
      <c r="I246" s="13"/>
      <c r="J246" s="229"/>
      <c r="K246" s="13"/>
      <c r="L246" s="229"/>
      <c r="M246" s="13"/>
      <c r="N246" s="229"/>
      <c r="O246" s="13"/>
      <c r="P246" s="229"/>
      <c r="Q246" s="13"/>
      <c r="R246" s="229"/>
      <c r="S246" s="13"/>
      <c r="T246" s="229"/>
      <c r="U246" s="13"/>
      <c r="V246" s="229"/>
      <c r="W246" s="13"/>
      <c r="X246" s="229"/>
      <c r="Y246" s="13"/>
      <c r="Z246" s="229"/>
      <c r="AA246" s="13"/>
      <c r="AB246" s="229">
        <f t="shared" si="81"/>
        <v>0</v>
      </c>
      <c r="AC246" s="228">
        <f t="shared" si="78"/>
        <v>0</v>
      </c>
      <c r="AD246" s="21">
        <v>0</v>
      </c>
      <c r="AE246" s="229"/>
      <c r="AF246" s="20"/>
      <c r="AG246" s="229"/>
      <c r="AH246" s="20"/>
      <c r="AI246" s="229"/>
      <c r="AJ246" s="20"/>
      <c r="AK246" s="229"/>
      <c r="AL246" s="20"/>
      <c r="AM246" s="229"/>
      <c r="AN246" s="20"/>
      <c r="AO246" s="229"/>
      <c r="AP246" s="20"/>
      <c r="AQ246" s="229"/>
      <c r="AR246" s="20"/>
      <c r="AS246" s="229"/>
      <c r="AT246" s="20"/>
      <c r="AU246" s="229"/>
      <c r="AV246" s="20"/>
      <c r="AW246" s="229"/>
      <c r="AX246" s="20"/>
      <c r="AY246" s="229"/>
      <c r="AZ246" s="20"/>
      <c r="BA246" s="229"/>
      <c r="BB246" s="20">
        <v>1</v>
      </c>
      <c r="BC246" s="229">
        <f t="shared" si="82"/>
        <v>0</v>
      </c>
      <c r="BD246" s="48">
        <f t="shared" si="79"/>
        <v>1</v>
      </c>
      <c r="BE246" s="19">
        <v>1</v>
      </c>
      <c r="BF246" s="229">
        <f t="shared" si="83"/>
        <v>0</v>
      </c>
      <c r="BG246" s="210">
        <f t="shared" si="80"/>
        <v>1</v>
      </c>
      <c r="BH246" s="210">
        <f t="shared" si="74"/>
        <v>1</v>
      </c>
      <c r="BI246" s="213">
        <f t="shared" si="84"/>
        <v>100</v>
      </c>
      <c r="BJ246" s="141"/>
      <c r="BK246" s="201"/>
      <c r="BL246" s="198"/>
      <c r="BM246" s="198"/>
    </row>
    <row r="247" spans="1:65" s="17" customFormat="1" ht="15.95" customHeight="1">
      <c r="A247" s="123">
        <v>133</v>
      </c>
      <c r="B247" s="9" t="s">
        <v>1719</v>
      </c>
      <c r="C247" s="11" t="s">
        <v>2563</v>
      </c>
      <c r="D247" s="229"/>
      <c r="E247" s="13"/>
      <c r="F247" s="229"/>
      <c r="G247" s="13"/>
      <c r="H247" s="229"/>
      <c r="I247" s="13"/>
      <c r="J247" s="229"/>
      <c r="K247" s="13"/>
      <c r="L247" s="229"/>
      <c r="M247" s="13"/>
      <c r="N247" s="229"/>
      <c r="O247" s="13"/>
      <c r="P247" s="229"/>
      <c r="Q247" s="13"/>
      <c r="R247" s="229"/>
      <c r="S247" s="13"/>
      <c r="T247" s="229"/>
      <c r="U247" s="13"/>
      <c r="V247" s="229"/>
      <c r="W247" s="13"/>
      <c r="X247" s="229"/>
      <c r="Y247" s="13"/>
      <c r="Z247" s="229"/>
      <c r="AA247" s="13"/>
      <c r="AB247" s="229">
        <f t="shared" si="81"/>
        <v>0</v>
      </c>
      <c r="AC247" s="228">
        <f t="shared" si="78"/>
        <v>0</v>
      </c>
      <c r="AD247" s="21">
        <v>0</v>
      </c>
      <c r="AE247" s="229"/>
      <c r="AF247" s="20"/>
      <c r="AG247" s="229"/>
      <c r="AH247" s="20"/>
      <c r="AI247" s="229"/>
      <c r="AJ247" s="20"/>
      <c r="AK247" s="229"/>
      <c r="AL247" s="20"/>
      <c r="AM247" s="229"/>
      <c r="AN247" s="20"/>
      <c r="AO247" s="229"/>
      <c r="AP247" s="20"/>
      <c r="AQ247" s="229"/>
      <c r="AR247" s="20"/>
      <c r="AS247" s="229"/>
      <c r="AT247" s="20"/>
      <c r="AU247" s="229"/>
      <c r="AV247" s="20"/>
      <c r="AW247" s="229"/>
      <c r="AX247" s="20"/>
      <c r="AY247" s="229"/>
      <c r="AZ247" s="20"/>
      <c r="BA247" s="229"/>
      <c r="BB247" s="20"/>
      <c r="BC247" s="229">
        <f t="shared" si="82"/>
        <v>0</v>
      </c>
      <c r="BD247" s="48">
        <f t="shared" si="79"/>
        <v>0</v>
      </c>
      <c r="BE247" s="19">
        <v>2</v>
      </c>
      <c r="BF247" s="229">
        <f t="shared" si="83"/>
        <v>0</v>
      </c>
      <c r="BG247" s="210">
        <f t="shared" si="80"/>
        <v>0</v>
      </c>
      <c r="BH247" s="210">
        <f t="shared" si="74"/>
        <v>2</v>
      </c>
      <c r="BI247" s="213">
        <f t="shared" si="84"/>
        <v>0</v>
      </c>
      <c r="BJ247" s="141"/>
      <c r="BK247" s="201"/>
      <c r="BL247" s="198"/>
      <c r="BM247" s="198"/>
    </row>
    <row r="248" spans="1:65" s="17" customFormat="1" ht="15.95" customHeight="1">
      <c r="A248" s="123">
        <v>134</v>
      </c>
      <c r="B248" s="9" t="s">
        <v>1427</v>
      </c>
      <c r="C248" s="11" t="s">
        <v>1428</v>
      </c>
      <c r="D248" s="229"/>
      <c r="E248" s="13"/>
      <c r="F248" s="229"/>
      <c r="G248" s="13"/>
      <c r="H248" s="229"/>
      <c r="I248" s="13"/>
      <c r="J248" s="229"/>
      <c r="K248" s="13"/>
      <c r="L248" s="229"/>
      <c r="M248" s="13"/>
      <c r="N248" s="229"/>
      <c r="O248" s="13"/>
      <c r="P248" s="229"/>
      <c r="Q248" s="13"/>
      <c r="R248" s="229"/>
      <c r="S248" s="13"/>
      <c r="T248" s="229"/>
      <c r="U248" s="13"/>
      <c r="V248" s="229"/>
      <c r="W248" s="13"/>
      <c r="X248" s="229"/>
      <c r="Y248" s="13"/>
      <c r="Z248" s="229"/>
      <c r="AA248" s="13"/>
      <c r="AB248" s="229">
        <f t="shared" si="81"/>
        <v>0</v>
      </c>
      <c r="AC248" s="228">
        <f t="shared" si="78"/>
        <v>0</v>
      </c>
      <c r="AD248" s="21">
        <v>0</v>
      </c>
      <c r="AE248" s="229"/>
      <c r="AF248" s="20"/>
      <c r="AG248" s="229"/>
      <c r="AH248" s="20"/>
      <c r="AI248" s="229"/>
      <c r="AJ248" s="20"/>
      <c r="AK248" s="229"/>
      <c r="AL248" s="20"/>
      <c r="AM248" s="229"/>
      <c r="AN248" s="20"/>
      <c r="AO248" s="229">
        <v>1</v>
      </c>
      <c r="AP248" s="20">
        <v>1</v>
      </c>
      <c r="AQ248" s="229"/>
      <c r="AR248" s="20"/>
      <c r="AS248" s="229"/>
      <c r="AT248" s="20"/>
      <c r="AU248" s="229"/>
      <c r="AV248" s="20"/>
      <c r="AW248" s="229"/>
      <c r="AX248" s="20"/>
      <c r="AY248" s="229"/>
      <c r="AZ248" s="20"/>
      <c r="BA248" s="229"/>
      <c r="BB248" s="20">
        <v>2</v>
      </c>
      <c r="BC248" s="229">
        <f t="shared" si="82"/>
        <v>1</v>
      </c>
      <c r="BD248" s="48">
        <f t="shared" si="79"/>
        <v>3</v>
      </c>
      <c r="BE248" s="19">
        <v>6</v>
      </c>
      <c r="BF248" s="229">
        <f t="shared" si="83"/>
        <v>1</v>
      </c>
      <c r="BG248" s="210">
        <f t="shared" si="80"/>
        <v>3</v>
      </c>
      <c r="BH248" s="210">
        <f t="shared" si="74"/>
        <v>6</v>
      </c>
      <c r="BI248" s="213">
        <f t="shared" si="84"/>
        <v>50</v>
      </c>
      <c r="BJ248" s="141"/>
      <c r="BK248" s="201"/>
      <c r="BL248" s="198"/>
      <c r="BM248" s="198"/>
    </row>
    <row r="249" spans="1:65" s="17" customFormat="1" ht="15.95" customHeight="1">
      <c r="A249" s="123">
        <v>135</v>
      </c>
      <c r="B249" s="146" t="s">
        <v>1781</v>
      </c>
      <c r="C249" s="172" t="s">
        <v>1782</v>
      </c>
      <c r="D249" s="229"/>
      <c r="E249" s="13"/>
      <c r="F249" s="229"/>
      <c r="G249" s="13"/>
      <c r="H249" s="229"/>
      <c r="I249" s="13"/>
      <c r="J249" s="229"/>
      <c r="K249" s="13"/>
      <c r="L249" s="229"/>
      <c r="M249" s="13"/>
      <c r="N249" s="229"/>
      <c r="O249" s="13"/>
      <c r="P249" s="229"/>
      <c r="Q249" s="13"/>
      <c r="R249" s="229"/>
      <c r="S249" s="13"/>
      <c r="T249" s="229"/>
      <c r="U249" s="13"/>
      <c r="V249" s="229"/>
      <c r="W249" s="13"/>
      <c r="X249" s="229"/>
      <c r="Y249" s="13"/>
      <c r="Z249" s="229"/>
      <c r="AA249" s="13"/>
      <c r="AB249" s="229">
        <f t="shared" si="81"/>
        <v>0</v>
      </c>
      <c r="AC249" s="228">
        <f t="shared" si="78"/>
        <v>0</v>
      </c>
      <c r="AD249" s="21">
        <v>0</v>
      </c>
      <c r="AE249" s="229"/>
      <c r="AF249" s="20"/>
      <c r="AG249" s="229"/>
      <c r="AH249" s="20"/>
      <c r="AI249" s="229"/>
      <c r="AJ249" s="20"/>
      <c r="AK249" s="229"/>
      <c r="AL249" s="20"/>
      <c r="AM249" s="229"/>
      <c r="AN249" s="20"/>
      <c r="AO249" s="229"/>
      <c r="AP249" s="20"/>
      <c r="AQ249" s="229"/>
      <c r="AR249" s="20"/>
      <c r="AS249" s="229"/>
      <c r="AT249" s="20"/>
      <c r="AU249" s="229"/>
      <c r="AV249" s="20"/>
      <c r="AW249" s="229"/>
      <c r="AX249" s="20"/>
      <c r="AY249" s="229"/>
      <c r="AZ249" s="20"/>
      <c r="BA249" s="229"/>
      <c r="BB249" s="20"/>
      <c r="BC249" s="229">
        <f t="shared" si="82"/>
        <v>0</v>
      </c>
      <c r="BD249" s="48">
        <f t="shared" si="79"/>
        <v>0</v>
      </c>
      <c r="BE249" s="19">
        <v>2</v>
      </c>
      <c r="BF249" s="229">
        <f t="shared" si="83"/>
        <v>0</v>
      </c>
      <c r="BG249" s="210">
        <f t="shared" si="80"/>
        <v>0</v>
      </c>
      <c r="BH249" s="210">
        <f t="shared" si="74"/>
        <v>2</v>
      </c>
      <c r="BI249" s="213">
        <f t="shared" si="84"/>
        <v>0</v>
      </c>
      <c r="BJ249" s="141"/>
      <c r="BK249" s="201"/>
      <c r="BL249" s="198"/>
      <c r="BM249" s="198"/>
    </row>
    <row r="250" spans="1:65" s="17" customFormat="1" ht="15.95" customHeight="1">
      <c r="A250" s="123">
        <v>136</v>
      </c>
      <c r="B250" s="9" t="s">
        <v>171</v>
      </c>
      <c r="C250" s="11" t="s">
        <v>172</v>
      </c>
      <c r="D250" s="229"/>
      <c r="E250" s="13"/>
      <c r="F250" s="229"/>
      <c r="G250" s="13"/>
      <c r="H250" s="229"/>
      <c r="I250" s="13"/>
      <c r="J250" s="229"/>
      <c r="K250" s="13"/>
      <c r="L250" s="229"/>
      <c r="M250" s="13"/>
      <c r="N250" s="229"/>
      <c r="O250" s="13"/>
      <c r="P250" s="229"/>
      <c r="Q250" s="13"/>
      <c r="R250" s="229"/>
      <c r="S250" s="13"/>
      <c r="T250" s="229"/>
      <c r="U250" s="13"/>
      <c r="V250" s="229"/>
      <c r="W250" s="13"/>
      <c r="X250" s="229"/>
      <c r="Y250" s="13"/>
      <c r="Z250" s="229"/>
      <c r="AA250" s="13"/>
      <c r="AB250" s="229">
        <f t="shared" si="81"/>
        <v>0</v>
      </c>
      <c r="AC250" s="228">
        <f t="shared" si="78"/>
        <v>0</v>
      </c>
      <c r="AD250" s="21">
        <v>0</v>
      </c>
      <c r="AE250" s="229"/>
      <c r="AF250" s="20"/>
      <c r="AG250" s="229"/>
      <c r="AH250" s="20"/>
      <c r="AI250" s="229">
        <v>2</v>
      </c>
      <c r="AJ250" s="20">
        <v>2</v>
      </c>
      <c r="AK250" s="229"/>
      <c r="AL250" s="20"/>
      <c r="AM250" s="229"/>
      <c r="AN250" s="20"/>
      <c r="AO250" s="229">
        <v>3</v>
      </c>
      <c r="AP250" s="20">
        <v>3</v>
      </c>
      <c r="AQ250" s="229"/>
      <c r="AR250" s="20"/>
      <c r="AS250" s="229"/>
      <c r="AT250" s="20"/>
      <c r="AU250" s="229"/>
      <c r="AV250" s="20">
        <v>4</v>
      </c>
      <c r="AW250" s="229"/>
      <c r="AX250" s="20"/>
      <c r="AY250" s="229"/>
      <c r="AZ250" s="20"/>
      <c r="BA250" s="229"/>
      <c r="BB250" s="20">
        <v>2</v>
      </c>
      <c r="BC250" s="229">
        <f t="shared" si="82"/>
        <v>5</v>
      </c>
      <c r="BD250" s="48">
        <f t="shared" si="79"/>
        <v>11</v>
      </c>
      <c r="BE250" s="19">
        <v>12</v>
      </c>
      <c r="BF250" s="229">
        <f t="shared" si="83"/>
        <v>5</v>
      </c>
      <c r="BG250" s="210">
        <f t="shared" si="80"/>
        <v>11</v>
      </c>
      <c r="BH250" s="210">
        <f t="shared" si="74"/>
        <v>12</v>
      </c>
      <c r="BI250" s="213">
        <f t="shared" si="84"/>
        <v>91.666666666666657</v>
      </c>
      <c r="BJ250" s="141"/>
      <c r="BK250" s="201"/>
      <c r="BL250" s="198"/>
      <c r="BM250" s="198"/>
    </row>
    <row r="251" spans="1:65" s="17" customFormat="1" ht="15.95" customHeight="1">
      <c r="A251" s="123">
        <v>137</v>
      </c>
      <c r="B251" s="9" t="s">
        <v>173</v>
      </c>
      <c r="C251" s="11" t="s">
        <v>174</v>
      </c>
      <c r="D251" s="229"/>
      <c r="E251" s="13"/>
      <c r="F251" s="229"/>
      <c r="G251" s="13"/>
      <c r="H251" s="229"/>
      <c r="I251" s="13"/>
      <c r="J251" s="229"/>
      <c r="K251" s="13"/>
      <c r="L251" s="229"/>
      <c r="M251" s="13"/>
      <c r="N251" s="229"/>
      <c r="O251" s="13"/>
      <c r="P251" s="229"/>
      <c r="Q251" s="13"/>
      <c r="R251" s="229"/>
      <c r="S251" s="13"/>
      <c r="T251" s="229"/>
      <c r="U251" s="13"/>
      <c r="V251" s="229"/>
      <c r="W251" s="13"/>
      <c r="X251" s="229"/>
      <c r="Y251" s="13"/>
      <c r="Z251" s="229"/>
      <c r="AA251" s="13"/>
      <c r="AB251" s="229">
        <f t="shared" si="81"/>
        <v>0</v>
      </c>
      <c r="AC251" s="228">
        <f t="shared" si="78"/>
        <v>0</v>
      </c>
      <c r="AD251" s="21">
        <v>0</v>
      </c>
      <c r="AE251" s="229"/>
      <c r="AF251" s="20"/>
      <c r="AG251" s="229"/>
      <c r="AH251" s="20"/>
      <c r="AI251" s="229">
        <v>2</v>
      </c>
      <c r="AJ251" s="20">
        <v>2</v>
      </c>
      <c r="AK251" s="229"/>
      <c r="AL251" s="20"/>
      <c r="AM251" s="229"/>
      <c r="AN251" s="20"/>
      <c r="AO251" s="229">
        <v>1</v>
      </c>
      <c r="AP251" s="20">
        <v>1</v>
      </c>
      <c r="AQ251" s="229"/>
      <c r="AR251" s="20"/>
      <c r="AS251" s="229"/>
      <c r="AT251" s="20"/>
      <c r="AU251" s="229"/>
      <c r="AV251" s="20">
        <v>74</v>
      </c>
      <c r="AW251" s="229"/>
      <c r="AX251" s="20"/>
      <c r="AY251" s="229"/>
      <c r="AZ251" s="20"/>
      <c r="BA251" s="229"/>
      <c r="BB251" s="20">
        <v>4</v>
      </c>
      <c r="BC251" s="229">
        <f t="shared" si="82"/>
        <v>3</v>
      </c>
      <c r="BD251" s="48">
        <f t="shared" si="79"/>
        <v>81</v>
      </c>
      <c r="BE251" s="19">
        <v>14</v>
      </c>
      <c r="BF251" s="229">
        <f t="shared" si="83"/>
        <v>3</v>
      </c>
      <c r="BG251" s="210">
        <f t="shared" si="80"/>
        <v>81</v>
      </c>
      <c r="BH251" s="210">
        <f t="shared" si="74"/>
        <v>14</v>
      </c>
      <c r="BI251" s="213">
        <f t="shared" si="84"/>
        <v>578.57142857142856</v>
      </c>
      <c r="BJ251" s="141"/>
      <c r="BK251" s="201"/>
      <c r="BL251" s="198"/>
      <c r="BM251" s="198"/>
    </row>
    <row r="252" spans="1:65" s="17" customFormat="1" ht="15.95" customHeight="1">
      <c r="A252" s="123">
        <v>138</v>
      </c>
      <c r="B252" s="9" t="s">
        <v>1458</v>
      </c>
      <c r="C252" s="11" t="s">
        <v>1459</v>
      </c>
      <c r="D252" s="229"/>
      <c r="E252" s="13"/>
      <c r="F252" s="229"/>
      <c r="G252" s="13"/>
      <c r="H252" s="229"/>
      <c r="I252" s="13"/>
      <c r="J252" s="229"/>
      <c r="K252" s="13"/>
      <c r="L252" s="229"/>
      <c r="M252" s="13"/>
      <c r="N252" s="229"/>
      <c r="O252" s="13"/>
      <c r="P252" s="229"/>
      <c r="Q252" s="13"/>
      <c r="R252" s="229"/>
      <c r="S252" s="13"/>
      <c r="T252" s="229"/>
      <c r="U252" s="13"/>
      <c r="V252" s="229"/>
      <c r="W252" s="13"/>
      <c r="X252" s="229"/>
      <c r="Y252" s="13"/>
      <c r="Z252" s="229"/>
      <c r="AA252" s="13"/>
      <c r="AB252" s="229">
        <f t="shared" si="81"/>
        <v>0</v>
      </c>
      <c r="AC252" s="228">
        <f t="shared" si="78"/>
        <v>0</v>
      </c>
      <c r="AD252" s="21">
        <v>0</v>
      </c>
      <c r="AE252" s="229"/>
      <c r="AF252" s="20"/>
      <c r="AG252" s="229"/>
      <c r="AH252" s="20"/>
      <c r="AI252" s="229"/>
      <c r="AJ252" s="20"/>
      <c r="AK252" s="229"/>
      <c r="AL252" s="20"/>
      <c r="AM252" s="229"/>
      <c r="AN252" s="20"/>
      <c r="AO252" s="229"/>
      <c r="AP252" s="20"/>
      <c r="AQ252" s="229"/>
      <c r="AR252" s="20"/>
      <c r="AS252" s="229"/>
      <c r="AT252" s="20"/>
      <c r="AU252" s="229"/>
      <c r="AV252" s="20"/>
      <c r="AW252" s="229"/>
      <c r="AX252" s="20"/>
      <c r="AY252" s="229"/>
      <c r="AZ252" s="20"/>
      <c r="BA252" s="229"/>
      <c r="BB252" s="20"/>
      <c r="BC252" s="229">
        <f t="shared" si="82"/>
        <v>0</v>
      </c>
      <c r="BD252" s="48">
        <f t="shared" si="79"/>
        <v>0</v>
      </c>
      <c r="BE252" s="19">
        <v>0</v>
      </c>
      <c r="BF252" s="229">
        <f t="shared" si="83"/>
        <v>0</v>
      </c>
      <c r="BG252" s="210">
        <f t="shared" si="80"/>
        <v>0</v>
      </c>
      <c r="BH252" s="210">
        <f t="shared" si="74"/>
        <v>0</v>
      </c>
      <c r="BI252" s="213" t="e">
        <f t="shared" si="84"/>
        <v>#DIV/0!</v>
      </c>
      <c r="BJ252" s="141"/>
      <c r="BK252" s="201"/>
      <c r="BL252" s="198"/>
      <c r="BM252" s="198"/>
    </row>
    <row r="253" spans="1:65" s="17" customFormat="1" ht="15.95" customHeight="1">
      <c r="A253" s="123">
        <v>139</v>
      </c>
      <c r="B253" s="9" t="s">
        <v>175</v>
      </c>
      <c r="C253" s="11" t="s">
        <v>2562</v>
      </c>
      <c r="D253" s="229"/>
      <c r="E253" s="13"/>
      <c r="F253" s="229"/>
      <c r="G253" s="13"/>
      <c r="H253" s="229"/>
      <c r="I253" s="13"/>
      <c r="J253" s="229"/>
      <c r="K253" s="13"/>
      <c r="L253" s="229"/>
      <c r="M253" s="13"/>
      <c r="N253" s="229"/>
      <c r="O253" s="13"/>
      <c r="P253" s="229"/>
      <c r="Q253" s="13"/>
      <c r="R253" s="229"/>
      <c r="S253" s="13"/>
      <c r="T253" s="229"/>
      <c r="U253" s="13"/>
      <c r="V253" s="229"/>
      <c r="W253" s="13"/>
      <c r="X253" s="229"/>
      <c r="Y253" s="13"/>
      <c r="Z253" s="229"/>
      <c r="AA253" s="13"/>
      <c r="AB253" s="229">
        <f t="shared" si="81"/>
        <v>0</v>
      </c>
      <c r="AC253" s="228">
        <f t="shared" si="78"/>
        <v>0</v>
      </c>
      <c r="AD253" s="21">
        <v>5</v>
      </c>
      <c r="AE253" s="229"/>
      <c r="AF253" s="20"/>
      <c r="AG253" s="229"/>
      <c r="AH253" s="20"/>
      <c r="AI253" s="229">
        <v>111</v>
      </c>
      <c r="AJ253" s="20">
        <v>111</v>
      </c>
      <c r="AK253" s="229"/>
      <c r="AL253" s="20"/>
      <c r="AM253" s="229"/>
      <c r="AN253" s="20"/>
      <c r="AO253" s="229">
        <v>115</v>
      </c>
      <c r="AP253" s="20">
        <v>115</v>
      </c>
      <c r="AQ253" s="229"/>
      <c r="AR253" s="20"/>
      <c r="AS253" s="229"/>
      <c r="AT253" s="20"/>
      <c r="AU253" s="229"/>
      <c r="AV253" s="20"/>
      <c r="AW253" s="229"/>
      <c r="AX253" s="20"/>
      <c r="AY253" s="229"/>
      <c r="AZ253" s="20"/>
      <c r="BA253" s="229"/>
      <c r="BB253" s="20">
        <v>102</v>
      </c>
      <c r="BC253" s="229">
        <f t="shared" si="82"/>
        <v>226</v>
      </c>
      <c r="BD253" s="48">
        <f t="shared" si="79"/>
        <v>328</v>
      </c>
      <c r="BE253" s="19">
        <v>295</v>
      </c>
      <c r="BF253" s="229">
        <f t="shared" si="83"/>
        <v>226</v>
      </c>
      <c r="BG253" s="210">
        <f t="shared" si="80"/>
        <v>328</v>
      </c>
      <c r="BH253" s="210">
        <f t="shared" si="74"/>
        <v>300</v>
      </c>
      <c r="BI253" s="213">
        <f t="shared" si="84"/>
        <v>109.33333333333333</v>
      </c>
      <c r="BJ253" s="141"/>
      <c r="BK253" s="201"/>
      <c r="BL253" s="198"/>
      <c r="BM253" s="198"/>
    </row>
    <row r="254" spans="1:65" s="17" customFormat="1" ht="15.95" customHeight="1">
      <c r="A254" s="123">
        <v>140</v>
      </c>
      <c r="B254" s="9" t="s">
        <v>176</v>
      </c>
      <c r="C254" s="11" t="s">
        <v>177</v>
      </c>
      <c r="D254" s="229"/>
      <c r="E254" s="13"/>
      <c r="F254" s="229"/>
      <c r="G254" s="13"/>
      <c r="H254" s="229"/>
      <c r="I254" s="13"/>
      <c r="J254" s="229"/>
      <c r="K254" s="13"/>
      <c r="L254" s="229"/>
      <c r="M254" s="13"/>
      <c r="N254" s="229"/>
      <c r="O254" s="13"/>
      <c r="P254" s="229"/>
      <c r="Q254" s="13"/>
      <c r="R254" s="229"/>
      <c r="S254" s="13"/>
      <c r="T254" s="229"/>
      <c r="U254" s="13"/>
      <c r="V254" s="229"/>
      <c r="W254" s="13"/>
      <c r="X254" s="229"/>
      <c r="Y254" s="13"/>
      <c r="Z254" s="229"/>
      <c r="AA254" s="13"/>
      <c r="AB254" s="229">
        <f t="shared" si="81"/>
        <v>0</v>
      </c>
      <c r="AC254" s="228">
        <f t="shared" si="78"/>
        <v>0</v>
      </c>
      <c r="AD254" s="21">
        <v>0</v>
      </c>
      <c r="AE254" s="229"/>
      <c r="AF254" s="20"/>
      <c r="AG254" s="229"/>
      <c r="AH254" s="20"/>
      <c r="AI254" s="229">
        <v>14</v>
      </c>
      <c r="AJ254" s="20">
        <v>14</v>
      </c>
      <c r="AK254" s="229"/>
      <c r="AL254" s="20"/>
      <c r="AM254" s="229"/>
      <c r="AN254" s="20"/>
      <c r="AO254" s="229">
        <v>14</v>
      </c>
      <c r="AP254" s="20">
        <v>14</v>
      </c>
      <c r="AQ254" s="229"/>
      <c r="AR254" s="20"/>
      <c r="AS254" s="229"/>
      <c r="AT254" s="20"/>
      <c r="AU254" s="229"/>
      <c r="AV254" s="20">
        <v>7</v>
      </c>
      <c r="AW254" s="229"/>
      <c r="AX254" s="20"/>
      <c r="AY254" s="229"/>
      <c r="AZ254" s="20"/>
      <c r="BA254" s="229"/>
      <c r="BB254" s="20">
        <v>17</v>
      </c>
      <c r="BC254" s="229">
        <f t="shared" si="82"/>
        <v>28</v>
      </c>
      <c r="BD254" s="48">
        <f t="shared" si="79"/>
        <v>52</v>
      </c>
      <c r="BE254" s="19">
        <v>71</v>
      </c>
      <c r="BF254" s="229">
        <f t="shared" si="83"/>
        <v>28</v>
      </c>
      <c r="BG254" s="210">
        <f t="shared" si="80"/>
        <v>52</v>
      </c>
      <c r="BH254" s="210">
        <f t="shared" si="74"/>
        <v>71</v>
      </c>
      <c r="BI254" s="213">
        <f t="shared" si="84"/>
        <v>73.239436619718319</v>
      </c>
      <c r="BJ254" s="141"/>
      <c r="BK254" s="201"/>
      <c r="BL254" s="198"/>
      <c r="BM254" s="198"/>
    </row>
    <row r="255" spans="1:65" s="17" customFormat="1" ht="15.95" customHeight="1">
      <c r="A255" s="123">
        <v>141</v>
      </c>
      <c r="B255" s="9" t="s">
        <v>178</v>
      </c>
      <c r="C255" s="11" t="s">
        <v>2561</v>
      </c>
      <c r="D255" s="229"/>
      <c r="E255" s="13"/>
      <c r="F255" s="229"/>
      <c r="G255" s="13"/>
      <c r="H255" s="229"/>
      <c r="I255" s="13"/>
      <c r="J255" s="229"/>
      <c r="K255" s="13"/>
      <c r="L255" s="229"/>
      <c r="M255" s="13"/>
      <c r="N255" s="229"/>
      <c r="O255" s="13"/>
      <c r="P255" s="229"/>
      <c r="Q255" s="13"/>
      <c r="R255" s="229"/>
      <c r="S255" s="13"/>
      <c r="T255" s="229"/>
      <c r="U255" s="13"/>
      <c r="V255" s="229"/>
      <c r="W255" s="13"/>
      <c r="X255" s="229"/>
      <c r="Y255" s="13"/>
      <c r="Z255" s="229"/>
      <c r="AA255" s="13"/>
      <c r="AB255" s="229">
        <f t="shared" si="81"/>
        <v>0</v>
      </c>
      <c r="AC255" s="228">
        <f t="shared" si="78"/>
        <v>0</v>
      </c>
      <c r="AD255" s="21">
        <v>0</v>
      </c>
      <c r="AE255" s="229"/>
      <c r="AF255" s="20"/>
      <c r="AG255" s="229"/>
      <c r="AH255" s="20"/>
      <c r="AI255" s="229">
        <v>3</v>
      </c>
      <c r="AJ255" s="20">
        <v>4</v>
      </c>
      <c r="AK255" s="229"/>
      <c r="AL255" s="20"/>
      <c r="AM255" s="229"/>
      <c r="AN255" s="20"/>
      <c r="AO255" s="229">
        <v>3</v>
      </c>
      <c r="AP255" s="20">
        <v>3</v>
      </c>
      <c r="AQ255" s="229"/>
      <c r="AR255" s="20"/>
      <c r="AS255" s="229"/>
      <c r="AT255" s="20"/>
      <c r="AU255" s="229"/>
      <c r="AV255" s="20">
        <v>4</v>
      </c>
      <c r="AW255" s="229"/>
      <c r="AX255" s="20"/>
      <c r="AY255" s="229"/>
      <c r="AZ255" s="20"/>
      <c r="BA255" s="229"/>
      <c r="BB255" s="20">
        <v>2</v>
      </c>
      <c r="BC255" s="229">
        <f t="shared" si="82"/>
        <v>6</v>
      </c>
      <c r="BD255" s="48">
        <f t="shared" si="79"/>
        <v>13</v>
      </c>
      <c r="BE255" s="19">
        <v>40</v>
      </c>
      <c r="BF255" s="229">
        <f t="shared" si="83"/>
        <v>6</v>
      </c>
      <c r="BG255" s="210">
        <f t="shared" si="80"/>
        <v>13</v>
      </c>
      <c r="BH255" s="210">
        <f t="shared" ref="BH255:BH317" si="85">AD255+BE255</f>
        <v>40</v>
      </c>
      <c r="BI255" s="213">
        <f t="shared" si="84"/>
        <v>32.5</v>
      </c>
      <c r="BJ255" s="141"/>
      <c r="BK255" s="201"/>
      <c r="BL255" s="198"/>
      <c r="BM255" s="198"/>
    </row>
    <row r="256" spans="1:65" s="17" customFormat="1" ht="15.95" customHeight="1">
      <c r="A256" s="123">
        <v>142</v>
      </c>
      <c r="B256" s="9" t="s">
        <v>179</v>
      </c>
      <c r="C256" s="11" t="s">
        <v>180</v>
      </c>
      <c r="D256" s="229"/>
      <c r="E256" s="13"/>
      <c r="F256" s="229"/>
      <c r="G256" s="13"/>
      <c r="H256" s="229"/>
      <c r="I256" s="13"/>
      <c r="J256" s="229"/>
      <c r="K256" s="13"/>
      <c r="L256" s="229"/>
      <c r="M256" s="13"/>
      <c r="N256" s="229"/>
      <c r="O256" s="13"/>
      <c r="P256" s="229"/>
      <c r="Q256" s="13"/>
      <c r="R256" s="229"/>
      <c r="S256" s="13"/>
      <c r="T256" s="229"/>
      <c r="U256" s="13"/>
      <c r="V256" s="229"/>
      <c r="W256" s="13"/>
      <c r="X256" s="229"/>
      <c r="Y256" s="13"/>
      <c r="Z256" s="229"/>
      <c r="AA256" s="13"/>
      <c r="AB256" s="229">
        <f t="shared" si="81"/>
        <v>0</v>
      </c>
      <c r="AC256" s="228">
        <f t="shared" si="78"/>
        <v>0</v>
      </c>
      <c r="AD256" s="21">
        <v>0</v>
      </c>
      <c r="AE256" s="229"/>
      <c r="AF256" s="20"/>
      <c r="AG256" s="229"/>
      <c r="AH256" s="20"/>
      <c r="AI256" s="229">
        <v>18</v>
      </c>
      <c r="AJ256" s="20">
        <v>18</v>
      </c>
      <c r="AK256" s="229"/>
      <c r="AL256" s="20"/>
      <c r="AM256" s="229"/>
      <c r="AN256" s="20"/>
      <c r="AO256" s="229">
        <v>27</v>
      </c>
      <c r="AP256" s="20">
        <v>27</v>
      </c>
      <c r="AQ256" s="229"/>
      <c r="AR256" s="20"/>
      <c r="AS256" s="229"/>
      <c r="AT256" s="20"/>
      <c r="AU256" s="229"/>
      <c r="AV256" s="20">
        <v>14</v>
      </c>
      <c r="AW256" s="229"/>
      <c r="AX256" s="20"/>
      <c r="AY256" s="229"/>
      <c r="AZ256" s="20"/>
      <c r="BA256" s="229"/>
      <c r="BB256" s="20">
        <v>26</v>
      </c>
      <c r="BC256" s="229">
        <f t="shared" si="82"/>
        <v>45</v>
      </c>
      <c r="BD256" s="48">
        <f t="shared" si="79"/>
        <v>85</v>
      </c>
      <c r="BE256" s="19">
        <v>85</v>
      </c>
      <c r="BF256" s="229">
        <f t="shared" si="83"/>
        <v>45</v>
      </c>
      <c r="BG256" s="210">
        <f t="shared" si="80"/>
        <v>85</v>
      </c>
      <c r="BH256" s="210">
        <f t="shared" si="85"/>
        <v>85</v>
      </c>
      <c r="BI256" s="213">
        <f t="shared" si="84"/>
        <v>100</v>
      </c>
      <c r="BJ256" s="141"/>
      <c r="BK256" s="201"/>
      <c r="BL256" s="198"/>
      <c r="BM256" s="198"/>
    </row>
    <row r="257" spans="1:65" s="17" customFormat="1" ht="15.95" customHeight="1">
      <c r="A257" s="123">
        <v>143</v>
      </c>
      <c r="B257" s="9" t="s">
        <v>181</v>
      </c>
      <c r="C257" s="11" t="s">
        <v>182</v>
      </c>
      <c r="D257" s="229"/>
      <c r="E257" s="13"/>
      <c r="F257" s="229"/>
      <c r="G257" s="13"/>
      <c r="H257" s="229"/>
      <c r="I257" s="13"/>
      <c r="J257" s="229"/>
      <c r="K257" s="13"/>
      <c r="L257" s="229"/>
      <c r="M257" s="13"/>
      <c r="N257" s="229"/>
      <c r="O257" s="13"/>
      <c r="P257" s="229"/>
      <c r="Q257" s="13"/>
      <c r="R257" s="229"/>
      <c r="S257" s="13"/>
      <c r="T257" s="229"/>
      <c r="U257" s="13"/>
      <c r="V257" s="229"/>
      <c r="W257" s="13"/>
      <c r="X257" s="229"/>
      <c r="Y257" s="13"/>
      <c r="Z257" s="229"/>
      <c r="AA257" s="13"/>
      <c r="AB257" s="229">
        <f t="shared" si="81"/>
        <v>0</v>
      </c>
      <c r="AC257" s="228">
        <f t="shared" si="78"/>
        <v>0</v>
      </c>
      <c r="AD257" s="21">
        <v>0</v>
      </c>
      <c r="AE257" s="229"/>
      <c r="AF257" s="20"/>
      <c r="AG257" s="229"/>
      <c r="AH257" s="20"/>
      <c r="AI257" s="229">
        <v>3</v>
      </c>
      <c r="AJ257" s="20">
        <v>3</v>
      </c>
      <c r="AK257" s="229"/>
      <c r="AL257" s="20"/>
      <c r="AM257" s="229"/>
      <c r="AN257" s="20"/>
      <c r="AO257" s="229">
        <v>3</v>
      </c>
      <c r="AP257" s="20">
        <v>3</v>
      </c>
      <c r="AQ257" s="229"/>
      <c r="AR257" s="20"/>
      <c r="AS257" s="229"/>
      <c r="AT257" s="20"/>
      <c r="AU257" s="229"/>
      <c r="AV257" s="20">
        <v>2</v>
      </c>
      <c r="AW257" s="229"/>
      <c r="AX257" s="20"/>
      <c r="AY257" s="229"/>
      <c r="AZ257" s="20"/>
      <c r="BA257" s="229"/>
      <c r="BB257" s="20">
        <v>2</v>
      </c>
      <c r="BC257" s="229">
        <f t="shared" si="82"/>
        <v>6</v>
      </c>
      <c r="BD257" s="48">
        <f t="shared" si="79"/>
        <v>10</v>
      </c>
      <c r="BE257" s="19">
        <v>30</v>
      </c>
      <c r="BF257" s="229">
        <f t="shared" si="83"/>
        <v>6</v>
      </c>
      <c r="BG257" s="210">
        <f t="shared" si="80"/>
        <v>10</v>
      </c>
      <c r="BH257" s="210">
        <f t="shared" si="85"/>
        <v>30</v>
      </c>
      <c r="BI257" s="213">
        <f t="shared" si="84"/>
        <v>33.333333333333329</v>
      </c>
      <c r="BJ257" s="141"/>
      <c r="BK257" s="201"/>
      <c r="BL257" s="198"/>
      <c r="BM257" s="198"/>
    </row>
    <row r="258" spans="1:65" s="17" customFormat="1" ht="15.95" customHeight="1">
      <c r="A258" s="123">
        <v>144</v>
      </c>
      <c r="B258" s="9" t="s">
        <v>183</v>
      </c>
      <c r="C258" s="11" t="s">
        <v>184</v>
      </c>
      <c r="D258" s="229"/>
      <c r="E258" s="13"/>
      <c r="F258" s="229"/>
      <c r="G258" s="13"/>
      <c r="H258" s="229"/>
      <c r="I258" s="13"/>
      <c r="J258" s="229"/>
      <c r="K258" s="13"/>
      <c r="L258" s="229"/>
      <c r="M258" s="13"/>
      <c r="N258" s="229"/>
      <c r="O258" s="13"/>
      <c r="P258" s="229"/>
      <c r="Q258" s="13"/>
      <c r="R258" s="229"/>
      <c r="S258" s="13"/>
      <c r="T258" s="229"/>
      <c r="U258" s="13"/>
      <c r="V258" s="229"/>
      <c r="W258" s="13"/>
      <c r="X258" s="229"/>
      <c r="Y258" s="13"/>
      <c r="Z258" s="229"/>
      <c r="AA258" s="13"/>
      <c r="AB258" s="229">
        <f t="shared" si="81"/>
        <v>0</v>
      </c>
      <c r="AC258" s="228">
        <f t="shared" si="78"/>
        <v>0</v>
      </c>
      <c r="AD258" s="21">
        <v>0</v>
      </c>
      <c r="AE258" s="229"/>
      <c r="AF258" s="20"/>
      <c r="AG258" s="229"/>
      <c r="AH258" s="20"/>
      <c r="AI258" s="229">
        <v>9</v>
      </c>
      <c r="AJ258" s="20">
        <v>9</v>
      </c>
      <c r="AK258" s="229"/>
      <c r="AL258" s="20"/>
      <c r="AM258" s="229"/>
      <c r="AN258" s="20"/>
      <c r="AO258" s="229">
        <v>11</v>
      </c>
      <c r="AP258" s="20">
        <v>11</v>
      </c>
      <c r="AQ258" s="229"/>
      <c r="AR258" s="20"/>
      <c r="AS258" s="229"/>
      <c r="AT258" s="20"/>
      <c r="AU258" s="229"/>
      <c r="AV258" s="20">
        <v>7</v>
      </c>
      <c r="AW258" s="229"/>
      <c r="AX258" s="20"/>
      <c r="AY258" s="229"/>
      <c r="AZ258" s="20"/>
      <c r="BA258" s="229"/>
      <c r="BB258" s="20">
        <v>17</v>
      </c>
      <c r="BC258" s="229">
        <f t="shared" si="82"/>
        <v>20</v>
      </c>
      <c r="BD258" s="48">
        <f t="shared" si="79"/>
        <v>44</v>
      </c>
      <c r="BE258" s="19">
        <v>22</v>
      </c>
      <c r="BF258" s="229">
        <f t="shared" si="83"/>
        <v>20</v>
      </c>
      <c r="BG258" s="210">
        <f t="shared" si="80"/>
        <v>44</v>
      </c>
      <c r="BH258" s="210">
        <f t="shared" si="85"/>
        <v>22</v>
      </c>
      <c r="BI258" s="213">
        <f t="shared" si="84"/>
        <v>200</v>
      </c>
      <c r="BJ258" s="141"/>
      <c r="BK258" s="201"/>
      <c r="BL258" s="198"/>
      <c r="BM258" s="198"/>
    </row>
    <row r="259" spans="1:65" s="17" customFormat="1" ht="15.95" customHeight="1">
      <c r="A259" s="123">
        <v>145</v>
      </c>
      <c r="B259" s="9" t="s">
        <v>185</v>
      </c>
      <c r="C259" s="11" t="s">
        <v>2560</v>
      </c>
      <c r="D259" s="229"/>
      <c r="E259" s="13"/>
      <c r="F259" s="229"/>
      <c r="G259" s="13"/>
      <c r="H259" s="229"/>
      <c r="I259" s="13"/>
      <c r="J259" s="229"/>
      <c r="K259" s="13"/>
      <c r="L259" s="229"/>
      <c r="M259" s="13"/>
      <c r="N259" s="229"/>
      <c r="O259" s="13"/>
      <c r="P259" s="229"/>
      <c r="Q259" s="13"/>
      <c r="R259" s="229"/>
      <c r="S259" s="13"/>
      <c r="T259" s="229"/>
      <c r="U259" s="13"/>
      <c r="V259" s="229"/>
      <c r="W259" s="13"/>
      <c r="X259" s="229"/>
      <c r="Y259" s="13"/>
      <c r="Z259" s="229"/>
      <c r="AA259" s="13"/>
      <c r="AB259" s="229">
        <f t="shared" si="81"/>
        <v>0</v>
      </c>
      <c r="AC259" s="228">
        <f t="shared" si="78"/>
        <v>0</v>
      </c>
      <c r="AD259" s="21">
        <v>0</v>
      </c>
      <c r="AE259" s="229"/>
      <c r="AF259" s="20"/>
      <c r="AG259" s="229"/>
      <c r="AH259" s="20"/>
      <c r="AI259" s="229">
        <v>4</v>
      </c>
      <c r="AJ259" s="20">
        <v>4</v>
      </c>
      <c r="AK259" s="229"/>
      <c r="AL259" s="20"/>
      <c r="AM259" s="229"/>
      <c r="AN259" s="20"/>
      <c r="AO259" s="229">
        <v>1</v>
      </c>
      <c r="AP259" s="20">
        <v>1</v>
      </c>
      <c r="AQ259" s="229"/>
      <c r="AR259" s="20"/>
      <c r="AS259" s="229"/>
      <c r="AT259" s="20"/>
      <c r="AU259" s="229"/>
      <c r="AV259" s="20"/>
      <c r="AW259" s="229"/>
      <c r="AX259" s="20"/>
      <c r="AY259" s="229"/>
      <c r="AZ259" s="20"/>
      <c r="BA259" s="229"/>
      <c r="BB259" s="20">
        <v>2</v>
      </c>
      <c r="BC259" s="229">
        <f t="shared" si="82"/>
        <v>5</v>
      </c>
      <c r="BD259" s="48">
        <f t="shared" si="79"/>
        <v>7</v>
      </c>
      <c r="BE259" s="19">
        <v>8</v>
      </c>
      <c r="BF259" s="229">
        <f t="shared" si="83"/>
        <v>5</v>
      </c>
      <c r="BG259" s="210">
        <f t="shared" si="80"/>
        <v>7</v>
      </c>
      <c r="BH259" s="210">
        <f t="shared" si="85"/>
        <v>8</v>
      </c>
      <c r="BI259" s="213">
        <f t="shared" si="84"/>
        <v>87.5</v>
      </c>
      <c r="BJ259" s="141"/>
      <c r="BK259" s="201"/>
      <c r="BL259" s="198"/>
      <c r="BM259" s="198"/>
    </row>
    <row r="260" spans="1:65" s="17" customFormat="1" ht="15.95" customHeight="1">
      <c r="A260" s="123">
        <v>146</v>
      </c>
      <c r="B260" s="9" t="s">
        <v>187</v>
      </c>
      <c r="C260" s="11" t="s">
        <v>188</v>
      </c>
      <c r="D260" s="229"/>
      <c r="E260" s="13"/>
      <c r="F260" s="229"/>
      <c r="G260" s="13"/>
      <c r="H260" s="229"/>
      <c r="I260" s="13"/>
      <c r="J260" s="229"/>
      <c r="K260" s="13"/>
      <c r="L260" s="229"/>
      <c r="M260" s="13"/>
      <c r="N260" s="229"/>
      <c r="O260" s="13"/>
      <c r="P260" s="229"/>
      <c r="Q260" s="13"/>
      <c r="R260" s="229"/>
      <c r="S260" s="13"/>
      <c r="T260" s="229"/>
      <c r="U260" s="13"/>
      <c r="V260" s="229"/>
      <c r="W260" s="13"/>
      <c r="X260" s="229"/>
      <c r="Y260" s="13"/>
      <c r="Z260" s="229"/>
      <c r="AA260" s="13"/>
      <c r="AB260" s="229">
        <f t="shared" si="81"/>
        <v>0</v>
      </c>
      <c r="AC260" s="228">
        <f t="shared" si="78"/>
        <v>0</v>
      </c>
      <c r="AD260" s="21">
        <v>0</v>
      </c>
      <c r="AE260" s="229"/>
      <c r="AF260" s="20"/>
      <c r="AG260" s="229"/>
      <c r="AH260" s="20"/>
      <c r="AI260" s="229"/>
      <c r="AJ260" s="20"/>
      <c r="AK260" s="229"/>
      <c r="AL260" s="20"/>
      <c r="AM260" s="229"/>
      <c r="AN260" s="20"/>
      <c r="AO260" s="229">
        <v>1</v>
      </c>
      <c r="AP260" s="20">
        <v>1</v>
      </c>
      <c r="AQ260" s="229"/>
      <c r="AR260" s="20"/>
      <c r="AS260" s="229"/>
      <c r="AT260" s="20"/>
      <c r="AU260" s="229"/>
      <c r="AV260" s="20"/>
      <c r="AW260" s="229"/>
      <c r="AX260" s="20"/>
      <c r="AY260" s="229"/>
      <c r="AZ260" s="20"/>
      <c r="BA260" s="229"/>
      <c r="BB260" s="20">
        <v>1</v>
      </c>
      <c r="BC260" s="229">
        <f t="shared" si="82"/>
        <v>1</v>
      </c>
      <c r="BD260" s="48">
        <f t="shared" si="79"/>
        <v>2</v>
      </c>
      <c r="BE260" s="19">
        <v>4</v>
      </c>
      <c r="BF260" s="229">
        <f t="shared" si="83"/>
        <v>1</v>
      </c>
      <c r="BG260" s="210">
        <f t="shared" si="80"/>
        <v>2</v>
      </c>
      <c r="BH260" s="210">
        <f t="shared" si="85"/>
        <v>4</v>
      </c>
      <c r="BI260" s="213">
        <f t="shared" si="84"/>
        <v>50</v>
      </c>
      <c r="BJ260" s="141"/>
      <c r="BK260" s="201"/>
      <c r="BL260" s="198"/>
      <c r="BM260" s="198"/>
    </row>
    <row r="261" spans="1:65" s="17" customFormat="1" ht="15.95" customHeight="1">
      <c r="A261" s="123">
        <v>147</v>
      </c>
      <c r="B261" s="9" t="s">
        <v>283</v>
      </c>
      <c r="C261" s="11" t="s">
        <v>284</v>
      </c>
      <c r="D261" s="229"/>
      <c r="E261" s="13"/>
      <c r="F261" s="229"/>
      <c r="G261" s="13"/>
      <c r="H261" s="229"/>
      <c r="I261" s="13"/>
      <c r="J261" s="229"/>
      <c r="K261" s="13"/>
      <c r="L261" s="229"/>
      <c r="M261" s="13"/>
      <c r="N261" s="229"/>
      <c r="O261" s="13"/>
      <c r="P261" s="229"/>
      <c r="Q261" s="13"/>
      <c r="R261" s="229"/>
      <c r="S261" s="13"/>
      <c r="T261" s="229"/>
      <c r="U261" s="13">
        <v>5</v>
      </c>
      <c r="V261" s="229"/>
      <c r="W261" s="13"/>
      <c r="X261" s="229"/>
      <c r="Y261" s="13"/>
      <c r="Z261" s="229"/>
      <c r="AA261" s="13"/>
      <c r="AB261" s="229">
        <f t="shared" si="81"/>
        <v>0</v>
      </c>
      <c r="AC261" s="228">
        <f t="shared" si="78"/>
        <v>5</v>
      </c>
      <c r="AD261" s="21">
        <v>0</v>
      </c>
      <c r="AE261" s="229"/>
      <c r="AF261" s="20"/>
      <c r="AG261" s="229"/>
      <c r="AH261" s="20"/>
      <c r="AI261" s="229"/>
      <c r="AJ261" s="20"/>
      <c r="AK261" s="229"/>
      <c r="AL261" s="20"/>
      <c r="AM261" s="229"/>
      <c r="AN261" s="20"/>
      <c r="AO261" s="229">
        <v>1</v>
      </c>
      <c r="AP261" s="20">
        <v>1</v>
      </c>
      <c r="AQ261" s="229"/>
      <c r="AR261" s="20"/>
      <c r="AS261" s="229"/>
      <c r="AT261" s="20"/>
      <c r="AU261" s="229"/>
      <c r="AV261" s="20"/>
      <c r="AW261" s="229"/>
      <c r="AX261" s="20"/>
      <c r="AY261" s="229"/>
      <c r="AZ261" s="20"/>
      <c r="BA261" s="229"/>
      <c r="BB261" s="20"/>
      <c r="BC261" s="229">
        <f t="shared" si="82"/>
        <v>1</v>
      </c>
      <c r="BD261" s="48">
        <f t="shared" si="79"/>
        <v>1</v>
      </c>
      <c r="BE261" s="19">
        <v>0</v>
      </c>
      <c r="BF261" s="229"/>
      <c r="BG261" s="210">
        <f t="shared" si="80"/>
        <v>6</v>
      </c>
      <c r="BH261" s="210">
        <f t="shared" si="85"/>
        <v>0</v>
      </c>
      <c r="BI261" s="213" t="e">
        <f t="shared" si="84"/>
        <v>#DIV/0!</v>
      </c>
      <c r="BJ261" s="141"/>
      <c r="BK261" s="201"/>
      <c r="BL261" s="198"/>
      <c r="BM261" s="198"/>
    </row>
    <row r="262" spans="1:65" s="17" customFormat="1" ht="15.95" customHeight="1">
      <c r="A262" s="123">
        <v>148</v>
      </c>
      <c r="B262" s="9" t="s">
        <v>189</v>
      </c>
      <c r="C262" s="11" t="s">
        <v>2558</v>
      </c>
      <c r="D262" s="229"/>
      <c r="E262" s="13"/>
      <c r="F262" s="229"/>
      <c r="G262" s="13"/>
      <c r="H262" s="229">
        <v>2</v>
      </c>
      <c r="I262" s="13">
        <v>2</v>
      </c>
      <c r="J262" s="229"/>
      <c r="K262" s="13"/>
      <c r="L262" s="229"/>
      <c r="M262" s="13"/>
      <c r="N262" s="229"/>
      <c r="O262" s="13"/>
      <c r="P262" s="229"/>
      <c r="Q262" s="13"/>
      <c r="R262" s="229"/>
      <c r="S262" s="13"/>
      <c r="T262" s="229"/>
      <c r="U262" s="13">
        <v>4</v>
      </c>
      <c r="V262" s="229"/>
      <c r="W262" s="13"/>
      <c r="X262" s="229"/>
      <c r="Y262" s="13"/>
      <c r="Z262" s="229"/>
      <c r="AA262" s="13">
        <v>16</v>
      </c>
      <c r="AB262" s="229">
        <f t="shared" ref="AB262:AB267" si="86">D262+F262+H262+J262+L262+N262+P262+R262+T262+V262+X262+Z262</f>
        <v>2</v>
      </c>
      <c r="AC262" s="228">
        <f t="shared" si="78"/>
        <v>22</v>
      </c>
      <c r="AD262" s="21">
        <v>12</v>
      </c>
      <c r="AE262" s="229"/>
      <c r="AF262" s="20"/>
      <c r="AG262" s="229"/>
      <c r="AH262" s="20"/>
      <c r="AI262" s="229">
        <v>19</v>
      </c>
      <c r="AJ262" s="20">
        <v>19</v>
      </c>
      <c r="AK262" s="229"/>
      <c r="AL262" s="20"/>
      <c r="AM262" s="229"/>
      <c r="AN262" s="20"/>
      <c r="AO262" s="229">
        <f>12+8</f>
        <v>20</v>
      </c>
      <c r="AP262" s="20">
        <v>12</v>
      </c>
      <c r="AQ262" s="229"/>
      <c r="AR262" s="20"/>
      <c r="AS262" s="229"/>
      <c r="AT262" s="20"/>
      <c r="AU262" s="229"/>
      <c r="AV262" s="20">
        <v>6</v>
      </c>
      <c r="AW262" s="229"/>
      <c r="AX262" s="20"/>
      <c r="AY262" s="229"/>
      <c r="AZ262" s="20"/>
      <c r="BA262" s="229"/>
      <c r="BB262" s="20">
        <v>14</v>
      </c>
      <c r="BC262" s="229">
        <f t="shared" ref="BC262:BC267" si="87">AE262+AG262+AI262+AK262+AM262+AO262+AQ262+AS262+AU262+AW262+AY262+BA262</f>
        <v>39</v>
      </c>
      <c r="BD262" s="48">
        <f t="shared" si="79"/>
        <v>51</v>
      </c>
      <c r="BE262" s="19">
        <v>105</v>
      </c>
      <c r="BF262" s="229">
        <f t="shared" ref="BF262:BF267" si="88">AB262+BC262</f>
        <v>41</v>
      </c>
      <c r="BG262" s="210">
        <f t="shared" si="80"/>
        <v>73</v>
      </c>
      <c r="BH262" s="210">
        <f t="shared" si="85"/>
        <v>117</v>
      </c>
      <c r="BI262" s="213">
        <f t="shared" si="84"/>
        <v>62.393162393162392</v>
      </c>
      <c r="BJ262" s="141"/>
      <c r="BK262" s="201"/>
      <c r="BL262" s="198"/>
      <c r="BM262" s="198"/>
    </row>
    <row r="263" spans="1:65" s="17" customFormat="1" ht="15.95" customHeight="1">
      <c r="A263" s="123">
        <v>149</v>
      </c>
      <c r="B263" s="9" t="s">
        <v>190</v>
      </c>
      <c r="C263" s="11" t="s">
        <v>191</v>
      </c>
      <c r="D263" s="229"/>
      <c r="E263" s="13"/>
      <c r="F263" s="229"/>
      <c r="G263" s="13"/>
      <c r="H263" s="229">
        <v>8</v>
      </c>
      <c r="I263" s="13">
        <v>9</v>
      </c>
      <c r="J263" s="229"/>
      <c r="K263" s="13"/>
      <c r="L263" s="229"/>
      <c r="M263" s="13"/>
      <c r="N263" s="229"/>
      <c r="O263" s="13"/>
      <c r="P263" s="229"/>
      <c r="Q263" s="13"/>
      <c r="R263" s="229"/>
      <c r="S263" s="13"/>
      <c r="T263" s="229"/>
      <c r="U263" s="13">
        <v>8</v>
      </c>
      <c r="V263" s="229"/>
      <c r="W263" s="13"/>
      <c r="X263" s="229"/>
      <c r="Y263" s="13"/>
      <c r="Z263" s="229"/>
      <c r="AA263" s="13">
        <v>5</v>
      </c>
      <c r="AB263" s="229">
        <f t="shared" si="86"/>
        <v>8</v>
      </c>
      <c r="AC263" s="228">
        <f t="shared" si="78"/>
        <v>22</v>
      </c>
      <c r="AD263" s="21">
        <v>22</v>
      </c>
      <c r="AE263" s="229"/>
      <c r="AF263" s="20"/>
      <c r="AG263" s="229"/>
      <c r="AH263" s="20"/>
      <c r="AI263" s="229">
        <v>140</v>
      </c>
      <c r="AJ263" s="20">
        <v>140</v>
      </c>
      <c r="AK263" s="229"/>
      <c r="AL263" s="20"/>
      <c r="AM263" s="229"/>
      <c r="AN263" s="20"/>
      <c r="AO263" s="229">
        <v>139</v>
      </c>
      <c r="AP263" s="20">
        <f>141+8</f>
        <v>149</v>
      </c>
      <c r="AQ263" s="229"/>
      <c r="AR263" s="20"/>
      <c r="AS263" s="229"/>
      <c r="AT263" s="20"/>
      <c r="AU263" s="229"/>
      <c r="AV263" s="20">
        <v>124</v>
      </c>
      <c r="AW263" s="229"/>
      <c r="AX263" s="20"/>
      <c r="AY263" s="229"/>
      <c r="AZ263" s="20"/>
      <c r="BA263" s="229"/>
      <c r="BB263" s="20">
        <v>140</v>
      </c>
      <c r="BC263" s="229">
        <f t="shared" si="87"/>
        <v>279</v>
      </c>
      <c r="BD263" s="48">
        <f t="shared" si="79"/>
        <v>553</v>
      </c>
      <c r="BE263" s="19">
        <v>382</v>
      </c>
      <c r="BF263" s="229">
        <f t="shared" si="88"/>
        <v>287</v>
      </c>
      <c r="BG263" s="210">
        <f t="shared" si="80"/>
        <v>575</v>
      </c>
      <c r="BH263" s="210">
        <f t="shared" si="85"/>
        <v>404</v>
      </c>
      <c r="BI263" s="213">
        <f t="shared" si="84"/>
        <v>142.32673267326732</v>
      </c>
      <c r="BJ263" s="141"/>
      <c r="BK263" s="201"/>
      <c r="BL263" s="198"/>
      <c r="BM263" s="198"/>
    </row>
    <row r="264" spans="1:65" s="17" customFormat="1" ht="15.95" customHeight="1">
      <c r="A264" s="123">
        <v>150</v>
      </c>
      <c r="B264" s="9" t="s">
        <v>1029</v>
      </c>
      <c r="C264" s="11" t="s">
        <v>1030</v>
      </c>
      <c r="D264" s="229"/>
      <c r="E264" s="13"/>
      <c r="F264" s="229"/>
      <c r="G264" s="13"/>
      <c r="H264" s="229"/>
      <c r="I264" s="13"/>
      <c r="J264" s="229"/>
      <c r="K264" s="13"/>
      <c r="L264" s="229"/>
      <c r="M264" s="13"/>
      <c r="N264" s="229"/>
      <c r="O264" s="13"/>
      <c r="P264" s="229"/>
      <c r="Q264" s="13"/>
      <c r="R264" s="229"/>
      <c r="S264" s="13"/>
      <c r="T264" s="229"/>
      <c r="U264" s="13"/>
      <c r="V264" s="229"/>
      <c r="W264" s="13"/>
      <c r="X264" s="229"/>
      <c r="Y264" s="13"/>
      <c r="Z264" s="229"/>
      <c r="AA264" s="13"/>
      <c r="AB264" s="229">
        <f t="shared" si="86"/>
        <v>0</v>
      </c>
      <c r="AC264" s="228">
        <f t="shared" si="78"/>
        <v>0</v>
      </c>
      <c r="AD264" s="19">
        <v>0</v>
      </c>
      <c r="AE264" s="229"/>
      <c r="AF264" s="20"/>
      <c r="AG264" s="229"/>
      <c r="AH264" s="20"/>
      <c r="AI264" s="229"/>
      <c r="AJ264" s="20"/>
      <c r="AK264" s="229"/>
      <c r="AL264" s="20"/>
      <c r="AM264" s="229"/>
      <c r="AN264" s="20"/>
      <c r="AO264" s="229">
        <f>1+9</f>
        <v>10</v>
      </c>
      <c r="AP264" s="20">
        <f>1+9</f>
        <v>10</v>
      </c>
      <c r="AQ264" s="229"/>
      <c r="AR264" s="20"/>
      <c r="AS264" s="229"/>
      <c r="AT264" s="20"/>
      <c r="AU264" s="229"/>
      <c r="AV264" s="20">
        <v>1</v>
      </c>
      <c r="AW264" s="229"/>
      <c r="AX264" s="20"/>
      <c r="AY264" s="229"/>
      <c r="AZ264" s="20"/>
      <c r="BA264" s="229"/>
      <c r="BB264" s="20"/>
      <c r="BC264" s="229">
        <f t="shared" si="87"/>
        <v>10</v>
      </c>
      <c r="BD264" s="48">
        <f t="shared" si="79"/>
        <v>11</v>
      </c>
      <c r="BE264" s="19">
        <v>7</v>
      </c>
      <c r="BF264" s="229">
        <f t="shared" si="88"/>
        <v>10</v>
      </c>
      <c r="BG264" s="210">
        <f t="shared" si="80"/>
        <v>11</v>
      </c>
      <c r="BH264" s="210">
        <f t="shared" si="85"/>
        <v>7</v>
      </c>
      <c r="BI264" s="213">
        <f t="shared" si="84"/>
        <v>157.14285714285714</v>
      </c>
      <c r="BJ264" s="141"/>
      <c r="BK264" s="201"/>
      <c r="BL264" s="198"/>
      <c r="BM264" s="198"/>
    </row>
    <row r="265" spans="1:65" s="17" customFormat="1" ht="15.95" customHeight="1">
      <c r="A265" s="123">
        <v>151</v>
      </c>
      <c r="B265" s="9" t="s">
        <v>192</v>
      </c>
      <c r="C265" s="11" t="s">
        <v>321</v>
      </c>
      <c r="D265" s="229"/>
      <c r="E265" s="13"/>
      <c r="F265" s="229"/>
      <c r="G265" s="13"/>
      <c r="H265" s="229"/>
      <c r="I265" s="13"/>
      <c r="J265" s="229"/>
      <c r="K265" s="13"/>
      <c r="L265" s="229"/>
      <c r="M265" s="13"/>
      <c r="N265" s="229"/>
      <c r="O265" s="13"/>
      <c r="P265" s="229"/>
      <c r="Q265" s="13"/>
      <c r="R265" s="229"/>
      <c r="S265" s="13"/>
      <c r="T265" s="229"/>
      <c r="U265" s="13"/>
      <c r="V265" s="229"/>
      <c r="W265" s="13"/>
      <c r="X265" s="229"/>
      <c r="Y265" s="13"/>
      <c r="Z265" s="229"/>
      <c r="AA265" s="13"/>
      <c r="AB265" s="229">
        <f t="shared" si="86"/>
        <v>0</v>
      </c>
      <c r="AC265" s="228">
        <f t="shared" si="78"/>
        <v>0</v>
      </c>
      <c r="AD265" s="21">
        <v>0</v>
      </c>
      <c r="AE265" s="229"/>
      <c r="AF265" s="20"/>
      <c r="AG265" s="229"/>
      <c r="AH265" s="20"/>
      <c r="AI265" s="229"/>
      <c r="AJ265" s="20"/>
      <c r="AK265" s="229"/>
      <c r="AL265" s="20"/>
      <c r="AM265" s="229"/>
      <c r="AN265" s="20"/>
      <c r="AO265" s="229"/>
      <c r="AP265" s="20"/>
      <c r="AQ265" s="229"/>
      <c r="AR265" s="20"/>
      <c r="AS265" s="229"/>
      <c r="AT265" s="20"/>
      <c r="AU265" s="229"/>
      <c r="AV265" s="20"/>
      <c r="AW265" s="229"/>
      <c r="AX265" s="20"/>
      <c r="AY265" s="229"/>
      <c r="AZ265" s="20"/>
      <c r="BA265" s="229"/>
      <c r="BB265" s="20"/>
      <c r="BC265" s="229">
        <f t="shared" si="87"/>
        <v>0</v>
      </c>
      <c r="BD265" s="48">
        <f t="shared" si="79"/>
        <v>0</v>
      </c>
      <c r="BE265" s="19">
        <v>3</v>
      </c>
      <c r="BF265" s="229">
        <f t="shared" si="88"/>
        <v>0</v>
      </c>
      <c r="BG265" s="210">
        <f t="shared" si="80"/>
        <v>0</v>
      </c>
      <c r="BH265" s="210">
        <f t="shared" si="85"/>
        <v>3</v>
      </c>
      <c r="BI265" s="213">
        <f t="shared" si="84"/>
        <v>0</v>
      </c>
      <c r="BJ265" s="141"/>
      <c r="BK265" s="201"/>
      <c r="BL265" s="198"/>
      <c r="BM265" s="198"/>
    </row>
    <row r="266" spans="1:65" s="17" customFormat="1" ht="15.95" customHeight="1">
      <c r="A266" s="123">
        <v>152</v>
      </c>
      <c r="B266" s="9" t="s">
        <v>415</v>
      </c>
      <c r="C266" s="11" t="s">
        <v>1355</v>
      </c>
      <c r="D266" s="229"/>
      <c r="E266" s="13"/>
      <c r="F266" s="229"/>
      <c r="G266" s="13"/>
      <c r="H266" s="229"/>
      <c r="I266" s="13"/>
      <c r="J266" s="229"/>
      <c r="K266" s="13"/>
      <c r="L266" s="229"/>
      <c r="M266" s="13"/>
      <c r="N266" s="229"/>
      <c r="O266" s="13"/>
      <c r="P266" s="229"/>
      <c r="Q266" s="13"/>
      <c r="R266" s="229"/>
      <c r="S266" s="13"/>
      <c r="T266" s="229"/>
      <c r="U266" s="13"/>
      <c r="V266" s="229"/>
      <c r="W266" s="13"/>
      <c r="X266" s="229"/>
      <c r="Y266" s="13"/>
      <c r="Z266" s="229"/>
      <c r="AA266" s="13"/>
      <c r="AB266" s="229">
        <f t="shared" si="86"/>
        <v>0</v>
      </c>
      <c r="AC266" s="228">
        <f t="shared" si="78"/>
        <v>0</v>
      </c>
      <c r="AD266" s="21">
        <v>0</v>
      </c>
      <c r="AE266" s="229"/>
      <c r="AF266" s="20"/>
      <c r="AG266" s="229"/>
      <c r="AH266" s="20"/>
      <c r="AI266" s="229"/>
      <c r="AJ266" s="20"/>
      <c r="AK266" s="229"/>
      <c r="AL266" s="20"/>
      <c r="AM266" s="229"/>
      <c r="AN266" s="20"/>
      <c r="AO266" s="229"/>
      <c r="AP266" s="20"/>
      <c r="AQ266" s="229"/>
      <c r="AR266" s="20"/>
      <c r="AS266" s="229"/>
      <c r="AT266" s="20"/>
      <c r="AU266" s="229"/>
      <c r="AV266" s="20"/>
      <c r="AW266" s="229"/>
      <c r="AX266" s="20"/>
      <c r="AY266" s="229"/>
      <c r="AZ266" s="20"/>
      <c r="BA266" s="229"/>
      <c r="BB266" s="20"/>
      <c r="BC266" s="229">
        <f t="shared" si="87"/>
        <v>0</v>
      </c>
      <c r="BD266" s="48">
        <f t="shared" si="79"/>
        <v>0</v>
      </c>
      <c r="BE266" s="19">
        <v>4</v>
      </c>
      <c r="BF266" s="229">
        <f t="shared" si="88"/>
        <v>0</v>
      </c>
      <c r="BG266" s="210">
        <f t="shared" si="80"/>
        <v>0</v>
      </c>
      <c r="BH266" s="210">
        <f t="shared" si="85"/>
        <v>4</v>
      </c>
      <c r="BI266" s="213">
        <f t="shared" si="84"/>
        <v>0</v>
      </c>
      <c r="BJ266" s="141"/>
      <c r="BK266" s="201"/>
      <c r="BL266" s="198"/>
      <c r="BM266" s="198"/>
    </row>
    <row r="267" spans="1:65" s="17" customFormat="1" ht="15.95" customHeight="1">
      <c r="A267" s="123">
        <v>153</v>
      </c>
      <c r="B267" s="9" t="s">
        <v>193</v>
      </c>
      <c r="C267" s="11" t="s">
        <v>1657</v>
      </c>
      <c r="D267" s="229"/>
      <c r="E267" s="13"/>
      <c r="F267" s="229"/>
      <c r="G267" s="13"/>
      <c r="H267" s="229"/>
      <c r="I267" s="13"/>
      <c r="J267" s="229"/>
      <c r="K267" s="13"/>
      <c r="L267" s="229"/>
      <c r="M267" s="13"/>
      <c r="N267" s="229"/>
      <c r="O267" s="13"/>
      <c r="P267" s="229"/>
      <c r="Q267" s="13"/>
      <c r="R267" s="229"/>
      <c r="S267" s="13"/>
      <c r="T267" s="229"/>
      <c r="U267" s="13"/>
      <c r="V267" s="229"/>
      <c r="W267" s="13"/>
      <c r="X267" s="229"/>
      <c r="Y267" s="13"/>
      <c r="Z267" s="229"/>
      <c r="AA267" s="13"/>
      <c r="AB267" s="229">
        <f t="shared" si="86"/>
        <v>0</v>
      </c>
      <c r="AC267" s="228">
        <f t="shared" si="78"/>
        <v>0</v>
      </c>
      <c r="AD267" s="21">
        <v>0</v>
      </c>
      <c r="AE267" s="229"/>
      <c r="AF267" s="20"/>
      <c r="AG267" s="229"/>
      <c r="AH267" s="20"/>
      <c r="AI267" s="229"/>
      <c r="AJ267" s="20"/>
      <c r="AK267" s="229"/>
      <c r="AL267" s="20"/>
      <c r="AM267" s="229"/>
      <c r="AN267" s="20"/>
      <c r="AO267" s="229"/>
      <c r="AP267" s="20"/>
      <c r="AQ267" s="229"/>
      <c r="AR267" s="20"/>
      <c r="AS267" s="229"/>
      <c r="AT267" s="20"/>
      <c r="AU267" s="229"/>
      <c r="AV267" s="20"/>
      <c r="AW267" s="229"/>
      <c r="AX267" s="20"/>
      <c r="AY267" s="229"/>
      <c r="AZ267" s="20"/>
      <c r="BA267" s="229"/>
      <c r="BB267" s="20"/>
      <c r="BC267" s="229">
        <f t="shared" si="87"/>
        <v>0</v>
      </c>
      <c r="BD267" s="48">
        <f t="shared" si="79"/>
        <v>0</v>
      </c>
      <c r="BE267" s="19">
        <v>3</v>
      </c>
      <c r="BF267" s="229">
        <f t="shared" si="88"/>
        <v>0</v>
      </c>
      <c r="BG267" s="210">
        <f t="shared" si="80"/>
        <v>0</v>
      </c>
      <c r="BH267" s="210">
        <f t="shared" si="85"/>
        <v>3</v>
      </c>
      <c r="BI267" s="213">
        <f t="shared" si="84"/>
        <v>0</v>
      </c>
      <c r="BJ267" s="141"/>
      <c r="BK267" s="201"/>
      <c r="BL267" s="198"/>
      <c r="BM267" s="198"/>
    </row>
    <row r="268" spans="1:65" s="17" customFormat="1" ht="15.95" customHeight="1">
      <c r="A268" s="123">
        <v>154</v>
      </c>
      <c r="B268" s="9" t="s">
        <v>3071</v>
      </c>
      <c r="C268" s="11" t="s">
        <v>3172</v>
      </c>
      <c r="D268" s="229"/>
      <c r="E268" s="13"/>
      <c r="F268" s="229"/>
      <c r="G268" s="13"/>
      <c r="H268" s="229"/>
      <c r="I268" s="13"/>
      <c r="J268" s="229"/>
      <c r="K268" s="13"/>
      <c r="L268" s="229"/>
      <c r="M268" s="13"/>
      <c r="N268" s="229"/>
      <c r="O268" s="13"/>
      <c r="P268" s="229"/>
      <c r="Q268" s="13"/>
      <c r="R268" s="229"/>
      <c r="S268" s="13"/>
      <c r="T268" s="229"/>
      <c r="U268" s="13"/>
      <c r="V268" s="229"/>
      <c r="W268" s="13"/>
      <c r="X268" s="229"/>
      <c r="Y268" s="13"/>
      <c r="Z268" s="229"/>
      <c r="AA268" s="13"/>
      <c r="AB268" s="229"/>
      <c r="AC268" s="228">
        <f t="shared" si="78"/>
        <v>0</v>
      </c>
      <c r="AD268" s="21">
        <v>0</v>
      </c>
      <c r="AE268" s="229"/>
      <c r="AF268" s="20"/>
      <c r="AG268" s="229"/>
      <c r="AH268" s="20"/>
      <c r="AI268" s="229"/>
      <c r="AJ268" s="20"/>
      <c r="AK268" s="229"/>
      <c r="AL268" s="20"/>
      <c r="AM268" s="229"/>
      <c r="AN268" s="20"/>
      <c r="AO268" s="229"/>
      <c r="AP268" s="20"/>
      <c r="AQ268" s="229"/>
      <c r="AR268" s="20"/>
      <c r="AS268" s="229"/>
      <c r="AT268" s="20"/>
      <c r="AU268" s="229"/>
      <c r="AV268" s="20">
        <v>1</v>
      </c>
      <c r="AW268" s="229"/>
      <c r="AX268" s="20"/>
      <c r="AY268" s="229"/>
      <c r="AZ268" s="20"/>
      <c r="BA268" s="229"/>
      <c r="BB268" s="20"/>
      <c r="BC268" s="229"/>
      <c r="BD268" s="48">
        <f t="shared" si="79"/>
        <v>1</v>
      </c>
      <c r="BE268" s="19">
        <v>0</v>
      </c>
      <c r="BF268" s="229"/>
      <c r="BG268" s="210">
        <f t="shared" si="80"/>
        <v>1</v>
      </c>
      <c r="BH268" s="210">
        <f t="shared" si="85"/>
        <v>0</v>
      </c>
      <c r="BI268" s="213" t="e">
        <f t="shared" si="84"/>
        <v>#DIV/0!</v>
      </c>
      <c r="BJ268" s="141"/>
      <c r="BK268" s="201"/>
      <c r="BL268" s="198"/>
      <c r="BM268" s="198"/>
    </row>
    <row r="269" spans="1:65" s="17" customFormat="1" ht="15.95" customHeight="1">
      <c r="A269" s="123">
        <v>155</v>
      </c>
      <c r="B269" s="9" t="s">
        <v>194</v>
      </c>
      <c r="C269" s="11" t="s">
        <v>195</v>
      </c>
      <c r="D269" s="229"/>
      <c r="E269" s="13"/>
      <c r="F269" s="229"/>
      <c r="G269" s="13"/>
      <c r="H269" s="229">
        <v>1</v>
      </c>
      <c r="I269" s="13">
        <v>1</v>
      </c>
      <c r="J269" s="229"/>
      <c r="K269" s="13"/>
      <c r="L269" s="229"/>
      <c r="M269" s="13"/>
      <c r="N269" s="229"/>
      <c r="O269" s="13"/>
      <c r="P269" s="229"/>
      <c r="Q269" s="13"/>
      <c r="R269" s="229"/>
      <c r="S269" s="13"/>
      <c r="T269" s="229"/>
      <c r="U269" s="13"/>
      <c r="V269" s="229"/>
      <c r="W269" s="13"/>
      <c r="X269" s="229"/>
      <c r="Y269" s="13"/>
      <c r="Z269" s="229"/>
      <c r="AA269" s="13">
        <v>1</v>
      </c>
      <c r="AB269" s="229">
        <f t="shared" ref="AB269:AB291" si="89">D269+F269+H269+J269+L269+N269+P269+R269+T269+V269+X269+Z269</f>
        <v>1</v>
      </c>
      <c r="AC269" s="228">
        <f t="shared" si="78"/>
        <v>2</v>
      </c>
      <c r="AD269" s="21">
        <v>2</v>
      </c>
      <c r="AE269" s="229"/>
      <c r="AF269" s="20"/>
      <c r="AG269" s="229"/>
      <c r="AH269" s="20"/>
      <c r="AI269" s="229"/>
      <c r="AJ269" s="20"/>
      <c r="AK269" s="229"/>
      <c r="AL269" s="20"/>
      <c r="AM269" s="229"/>
      <c r="AN269" s="20"/>
      <c r="AO269" s="229"/>
      <c r="AP269" s="20"/>
      <c r="AQ269" s="229"/>
      <c r="AR269" s="20"/>
      <c r="AS269" s="229"/>
      <c r="AT269" s="20"/>
      <c r="AU269" s="229"/>
      <c r="AV269" s="20"/>
      <c r="AW269" s="229"/>
      <c r="AX269" s="20"/>
      <c r="AY269" s="229"/>
      <c r="AZ269" s="20"/>
      <c r="BA269" s="229"/>
      <c r="BB269" s="20"/>
      <c r="BC269" s="229">
        <f t="shared" ref="BC269:BC291" si="90">AE269+AG269+AI269+AK269+AM269+AO269+AQ269+AS269+AU269+AW269+AY269+BA269</f>
        <v>0</v>
      </c>
      <c r="BD269" s="48">
        <f t="shared" si="79"/>
        <v>0</v>
      </c>
      <c r="BE269" s="19">
        <v>5</v>
      </c>
      <c r="BF269" s="229">
        <f t="shared" ref="BF269:BF291" si="91">AB269+BC269</f>
        <v>1</v>
      </c>
      <c r="BG269" s="210">
        <f t="shared" si="80"/>
        <v>2</v>
      </c>
      <c r="BH269" s="210">
        <f t="shared" si="85"/>
        <v>7</v>
      </c>
      <c r="BI269" s="213">
        <f t="shared" si="84"/>
        <v>28.571428571428569</v>
      </c>
      <c r="BJ269" s="141"/>
      <c r="BK269" s="201"/>
      <c r="BL269" s="198"/>
      <c r="BM269" s="198"/>
    </row>
    <row r="270" spans="1:65" s="17" customFormat="1" ht="15.95" customHeight="1">
      <c r="A270" s="123">
        <v>156</v>
      </c>
      <c r="B270" s="9" t="s">
        <v>196</v>
      </c>
      <c r="C270" s="11" t="s">
        <v>2554</v>
      </c>
      <c r="D270" s="229"/>
      <c r="E270" s="13"/>
      <c r="F270" s="229"/>
      <c r="G270" s="13"/>
      <c r="H270" s="229"/>
      <c r="I270" s="13"/>
      <c r="J270" s="229"/>
      <c r="K270" s="13"/>
      <c r="L270" s="229"/>
      <c r="M270" s="13"/>
      <c r="N270" s="229"/>
      <c r="O270" s="13"/>
      <c r="P270" s="229"/>
      <c r="Q270" s="13"/>
      <c r="R270" s="229"/>
      <c r="S270" s="13"/>
      <c r="T270" s="229"/>
      <c r="U270" s="13"/>
      <c r="V270" s="229"/>
      <c r="W270" s="13"/>
      <c r="X270" s="229"/>
      <c r="Y270" s="13"/>
      <c r="Z270" s="229"/>
      <c r="AA270" s="13"/>
      <c r="AB270" s="229">
        <f t="shared" si="89"/>
        <v>0</v>
      </c>
      <c r="AC270" s="228">
        <f t="shared" si="78"/>
        <v>0</v>
      </c>
      <c r="AD270" s="21">
        <v>0</v>
      </c>
      <c r="AE270" s="229"/>
      <c r="AF270" s="20"/>
      <c r="AG270" s="229"/>
      <c r="AH270" s="20"/>
      <c r="AI270" s="229"/>
      <c r="AJ270" s="20"/>
      <c r="AK270" s="229"/>
      <c r="AL270" s="20"/>
      <c r="AM270" s="229"/>
      <c r="AN270" s="20"/>
      <c r="AO270" s="229"/>
      <c r="AP270" s="20"/>
      <c r="AQ270" s="229"/>
      <c r="AR270" s="20"/>
      <c r="AS270" s="229"/>
      <c r="AT270" s="20"/>
      <c r="AU270" s="229"/>
      <c r="AV270" s="20">
        <v>1</v>
      </c>
      <c r="AW270" s="229"/>
      <c r="AX270" s="20"/>
      <c r="AY270" s="229"/>
      <c r="AZ270" s="20"/>
      <c r="BA270" s="229"/>
      <c r="BB270" s="20">
        <v>1</v>
      </c>
      <c r="BC270" s="229">
        <f t="shared" si="90"/>
        <v>0</v>
      </c>
      <c r="BD270" s="48">
        <f t="shared" si="79"/>
        <v>2</v>
      </c>
      <c r="BE270" s="19">
        <v>3</v>
      </c>
      <c r="BF270" s="229">
        <f t="shared" si="91"/>
        <v>0</v>
      </c>
      <c r="BG270" s="210">
        <f t="shared" si="80"/>
        <v>2</v>
      </c>
      <c r="BH270" s="210">
        <f t="shared" si="85"/>
        <v>3</v>
      </c>
      <c r="BI270" s="213">
        <f t="shared" si="84"/>
        <v>66.666666666666657</v>
      </c>
      <c r="BJ270" s="141"/>
      <c r="BK270" s="201"/>
      <c r="BL270" s="198"/>
      <c r="BM270" s="198"/>
    </row>
    <row r="271" spans="1:65" s="17" customFormat="1" ht="15.95" customHeight="1">
      <c r="A271" s="123">
        <v>157</v>
      </c>
      <c r="B271" s="9" t="s">
        <v>197</v>
      </c>
      <c r="C271" s="11" t="s">
        <v>198</v>
      </c>
      <c r="D271" s="229"/>
      <c r="E271" s="13"/>
      <c r="F271" s="229"/>
      <c r="G271" s="13"/>
      <c r="H271" s="229"/>
      <c r="I271" s="13"/>
      <c r="J271" s="229"/>
      <c r="K271" s="13"/>
      <c r="L271" s="229"/>
      <c r="M271" s="13"/>
      <c r="N271" s="229"/>
      <c r="O271" s="13"/>
      <c r="P271" s="229"/>
      <c r="Q271" s="13"/>
      <c r="R271" s="229"/>
      <c r="S271" s="13"/>
      <c r="T271" s="229"/>
      <c r="U271" s="13"/>
      <c r="V271" s="229"/>
      <c r="W271" s="13"/>
      <c r="X271" s="229"/>
      <c r="Y271" s="13"/>
      <c r="Z271" s="229"/>
      <c r="AA271" s="13"/>
      <c r="AB271" s="229">
        <f t="shared" si="89"/>
        <v>0</v>
      </c>
      <c r="AC271" s="228">
        <f t="shared" si="78"/>
        <v>0</v>
      </c>
      <c r="AD271" s="21">
        <v>0</v>
      </c>
      <c r="AE271" s="229"/>
      <c r="AF271" s="20"/>
      <c r="AG271" s="229"/>
      <c r="AH271" s="20"/>
      <c r="AI271" s="229">
        <v>4</v>
      </c>
      <c r="AJ271" s="20">
        <v>4</v>
      </c>
      <c r="AK271" s="229"/>
      <c r="AL271" s="20"/>
      <c r="AM271" s="229"/>
      <c r="AN271" s="20"/>
      <c r="AO271" s="229">
        <v>2</v>
      </c>
      <c r="AP271" s="20">
        <v>2</v>
      </c>
      <c r="AQ271" s="229"/>
      <c r="AR271" s="20"/>
      <c r="AS271" s="229"/>
      <c r="AT271" s="20"/>
      <c r="AU271" s="229"/>
      <c r="AV271" s="20">
        <v>1</v>
      </c>
      <c r="AW271" s="229"/>
      <c r="AX271" s="20"/>
      <c r="AY271" s="229"/>
      <c r="AZ271" s="20"/>
      <c r="BA271" s="229"/>
      <c r="BB271" s="20"/>
      <c r="BC271" s="229">
        <f t="shared" si="90"/>
        <v>6</v>
      </c>
      <c r="BD271" s="48">
        <f t="shared" si="79"/>
        <v>7</v>
      </c>
      <c r="BE271" s="19">
        <v>5</v>
      </c>
      <c r="BF271" s="229">
        <f t="shared" si="91"/>
        <v>6</v>
      </c>
      <c r="BG271" s="210">
        <f t="shared" si="80"/>
        <v>7</v>
      </c>
      <c r="BH271" s="210">
        <f t="shared" si="85"/>
        <v>5</v>
      </c>
      <c r="BI271" s="213">
        <f t="shared" si="84"/>
        <v>140</v>
      </c>
      <c r="BJ271" s="141"/>
      <c r="BK271" s="201"/>
      <c r="BL271" s="198"/>
      <c r="BM271" s="198"/>
    </row>
    <row r="272" spans="1:65" s="17" customFormat="1" ht="15.95" customHeight="1">
      <c r="A272" s="123">
        <v>158</v>
      </c>
      <c r="B272" s="9" t="s">
        <v>199</v>
      </c>
      <c r="C272" s="11" t="s">
        <v>200</v>
      </c>
      <c r="D272" s="229"/>
      <c r="E272" s="13"/>
      <c r="F272" s="229"/>
      <c r="G272" s="13"/>
      <c r="H272" s="229"/>
      <c r="I272" s="13"/>
      <c r="J272" s="229"/>
      <c r="K272" s="13"/>
      <c r="L272" s="229"/>
      <c r="M272" s="13"/>
      <c r="N272" s="229"/>
      <c r="O272" s="13"/>
      <c r="P272" s="229"/>
      <c r="Q272" s="13"/>
      <c r="R272" s="229"/>
      <c r="S272" s="13"/>
      <c r="T272" s="229"/>
      <c r="U272" s="13"/>
      <c r="V272" s="229"/>
      <c r="W272" s="13"/>
      <c r="X272" s="229"/>
      <c r="Y272" s="13"/>
      <c r="Z272" s="229"/>
      <c r="AA272" s="13"/>
      <c r="AB272" s="229">
        <f t="shared" si="89"/>
        <v>0</v>
      </c>
      <c r="AC272" s="228">
        <f t="shared" si="78"/>
        <v>0</v>
      </c>
      <c r="AD272" s="21">
        <v>0</v>
      </c>
      <c r="AE272" s="229"/>
      <c r="AF272" s="20"/>
      <c r="AG272" s="229"/>
      <c r="AH272" s="20"/>
      <c r="AI272" s="229">
        <v>4</v>
      </c>
      <c r="AJ272" s="20">
        <v>4</v>
      </c>
      <c r="AK272" s="229"/>
      <c r="AL272" s="20"/>
      <c r="AM272" s="229"/>
      <c r="AN272" s="20"/>
      <c r="AO272" s="229">
        <v>4</v>
      </c>
      <c r="AP272" s="20">
        <v>4</v>
      </c>
      <c r="AQ272" s="229"/>
      <c r="AR272" s="20"/>
      <c r="AS272" s="229"/>
      <c r="AT272" s="20"/>
      <c r="AU272" s="229"/>
      <c r="AV272" s="20">
        <v>6</v>
      </c>
      <c r="AW272" s="229"/>
      <c r="AX272" s="20"/>
      <c r="AY272" s="229"/>
      <c r="AZ272" s="20"/>
      <c r="BA272" s="229"/>
      <c r="BB272" s="20">
        <v>5</v>
      </c>
      <c r="BC272" s="229">
        <f t="shared" si="90"/>
        <v>8</v>
      </c>
      <c r="BD272" s="48">
        <f t="shared" si="79"/>
        <v>19</v>
      </c>
      <c r="BE272" s="19">
        <v>10</v>
      </c>
      <c r="BF272" s="229">
        <f t="shared" si="91"/>
        <v>8</v>
      </c>
      <c r="BG272" s="210">
        <f t="shared" si="80"/>
        <v>19</v>
      </c>
      <c r="BH272" s="210">
        <f t="shared" si="85"/>
        <v>10</v>
      </c>
      <c r="BI272" s="213">
        <f t="shared" si="84"/>
        <v>190</v>
      </c>
      <c r="BJ272" s="141"/>
      <c r="BK272" s="201"/>
      <c r="BL272" s="198"/>
      <c r="BM272" s="198"/>
    </row>
    <row r="273" spans="1:65" s="17" customFormat="1" ht="15.95" customHeight="1">
      <c r="A273" s="123">
        <v>159</v>
      </c>
      <c r="B273" s="9" t="s">
        <v>2970</v>
      </c>
      <c r="C273" s="11" t="s">
        <v>2971</v>
      </c>
      <c r="D273" s="229"/>
      <c r="E273" s="13"/>
      <c r="F273" s="229"/>
      <c r="G273" s="13"/>
      <c r="H273" s="229"/>
      <c r="I273" s="13"/>
      <c r="J273" s="229"/>
      <c r="K273" s="13"/>
      <c r="L273" s="229"/>
      <c r="M273" s="13"/>
      <c r="N273" s="229"/>
      <c r="O273" s="13"/>
      <c r="P273" s="229"/>
      <c r="Q273" s="13"/>
      <c r="R273" s="229"/>
      <c r="S273" s="13"/>
      <c r="T273" s="229"/>
      <c r="U273" s="13"/>
      <c r="V273" s="229"/>
      <c r="W273" s="13"/>
      <c r="X273" s="229"/>
      <c r="Y273" s="13"/>
      <c r="Z273" s="229"/>
      <c r="AA273" s="13"/>
      <c r="AB273" s="229">
        <f t="shared" si="89"/>
        <v>0</v>
      </c>
      <c r="AC273" s="228">
        <f t="shared" si="78"/>
        <v>0</v>
      </c>
      <c r="AD273" s="21">
        <v>0</v>
      </c>
      <c r="AE273" s="229"/>
      <c r="AF273" s="20"/>
      <c r="AG273" s="229"/>
      <c r="AH273" s="20"/>
      <c r="AI273" s="229">
        <v>1</v>
      </c>
      <c r="AJ273" s="20">
        <v>1</v>
      </c>
      <c r="AK273" s="229"/>
      <c r="AL273" s="20"/>
      <c r="AM273" s="229"/>
      <c r="AN273" s="20"/>
      <c r="AO273" s="229"/>
      <c r="AP273" s="20"/>
      <c r="AQ273" s="229"/>
      <c r="AR273" s="20"/>
      <c r="AS273" s="229"/>
      <c r="AT273" s="20"/>
      <c r="AU273" s="229"/>
      <c r="AV273" s="20"/>
      <c r="AW273" s="229"/>
      <c r="AX273" s="20"/>
      <c r="AY273" s="229"/>
      <c r="AZ273" s="20"/>
      <c r="BA273" s="229"/>
      <c r="BB273" s="20"/>
      <c r="BC273" s="229">
        <f t="shared" si="90"/>
        <v>1</v>
      </c>
      <c r="BD273" s="48">
        <f t="shared" si="79"/>
        <v>1</v>
      </c>
      <c r="BE273" s="19">
        <v>0</v>
      </c>
      <c r="BF273" s="229">
        <f t="shared" si="91"/>
        <v>1</v>
      </c>
      <c r="BG273" s="210">
        <f t="shared" si="80"/>
        <v>1</v>
      </c>
      <c r="BH273" s="210">
        <f t="shared" si="85"/>
        <v>0</v>
      </c>
      <c r="BI273" s="213" t="e">
        <f t="shared" si="84"/>
        <v>#DIV/0!</v>
      </c>
      <c r="BJ273" s="141"/>
      <c r="BK273" s="201"/>
      <c r="BL273" s="198"/>
      <c r="BM273" s="198"/>
    </row>
    <row r="274" spans="1:65" s="17" customFormat="1" ht="15.95" customHeight="1">
      <c r="A274" s="123">
        <v>160</v>
      </c>
      <c r="B274" s="9" t="s">
        <v>504</v>
      </c>
      <c r="C274" s="11" t="s">
        <v>505</v>
      </c>
      <c r="D274" s="229"/>
      <c r="E274" s="13"/>
      <c r="F274" s="229"/>
      <c r="G274" s="13"/>
      <c r="H274" s="229">
        <v>2</v>
      </c>
      <c r="I274" s="13">
        <v>2</v>
      </c>
      <c r="J274" s="229"/>
      <c r="K274" s="13"/>
      <c r="L274" s="229"/>
      <c r="M274" s="13"/>
      <c r="N274" s="229"/>
      <c r="O274" s="13"/>
      <c r="P274" s="229"/>
      <c r="Q274" s="13"/>
      <c r="R274" s="229"/>
      <c r="S274" s="13"/>
      <c r="T274" s="229"/>
      <c r="U274" s="13"/>
      <c r="V274" s="229"/>
      <c r="W274" s="13"/>
      <c r="X274" s="229"/>
      <c r="Y274" s="13"/>
      <c r="Z274" s="229"/>
      <c r="AA274" s="13">
        <v>2</v>
      </c>
      <c r="AB274" s="229">
        <f t="shared" si="89"/>
        <v>2</v>
      </c>
      <c r="AC274" s="228">
        <f t="shared" si="78"/>
        <v>4</v>
      </c>
      <c r="AD274" s="21">
        <v>10</v>
      </c>
      <c r="AE274" s="229"/>
      <c r="AF274" s="20"/>
      <c r="AG274" s="229"/>
      <c r="AH274" s="20"/>
      <c r="AI274" s="229"/>
      <c r="AJ274" s="20"/>
      <c r="AK274" s="229"/>
      <c r="AL274" s="20"/>
      <c r="AM274" s="229"/>
      <c r="AN274" s="20"/>
      <c r="AO274" s="229"/>
      <c r="AP274" s="20"/>
      <c r="AQ274" s="229"/>
      <c r="AR274" s="20"/>
      <c r="AS274" s="229"/>
      <c r="AT274" s="20"/>
      <c r="AU274" s="229"/>
      <c r="AV274" s="20"/>
      <c r="AW274" s="229"/>
      <c r="AX274" s="20"/>
      <c r="AY274" s="229"/>
      <c r="AZ274" s="20"/>
      <c r="BA274" s="229"/>
      <c r="BB274" s="20"/>
      <c r="BC274" s="229">
        <f t="shared" si="90"/>
        <v>0</v>
      </c>
      <c r="BD274" s="48">
        <f t="shared" si="79"/>
        <v>0</v>
      </c>
      <c r="BE274" s="19">
        <v>0</v>
      </c>
      <c r="BF274" s="229">
        <f t="shared" si="91"/>
        <v>2</v>
      </c>
      <c r="BG274" s="210">
        <f t="shared" si="80"/>
        <v>4</v>
      </c>
      <c r="BH274" s="210">
        <f t="shared" si="85"/>
        <v>10</v>
      </c>
      <c r="BI274" s="213">
        <f t="shared" si="84"/>
        <v>40</v>
      </c>
      <c r="BJ274" s="141"/>
      <c r="BK274" s="201"/>
      <c r="BL274" s="198"/>
      <c r="BM274" s="198"/>
    </row>
    <row r="275" spans="1:65" s="17" customFormat="1" ht="15.95" customHeight="1">
      <c r="A275" s="123">
        <v>161</v>
      </c>
      <c r="B275" s="9" t="s">
        <v>201</v>
      </c>
      <c r="C275" s="11" t="s">
        <v>2553</v>
      </c>
      <c r="D275" s="229"/>
      <c r="E275" s="13"/>
      <c r="F275" s="229"/>
      <c r="G275" s="13"/>
      <c r="H275" s="229"/>
      <c r="I275" s="13"/>
      <c r="J275" s="229"/>
      <c r="K275" s="13"/>
      <c r="L275" s="229"/>
      <c r="M275" s="13"/>
      <c r="N275" s="229"/>
      <c r="O275" s="13"/>
      <c r="P275" s="229"/>
      <c r="Q275" s="13"/>
      <c r="R275" s="229"/>
      <c r="S275" s="13"/>
      <c r="T275" s="229"/>
      <c r="U275" s="13"/>
      <c r="V275" s="229"/>
      <c r="W275" s="13"/>
      <c r="X275" s="229"/>
      <c r="Y275" s="13"/>
      <c r="Z275" s="229"/>
      <c r="AA275" s="13"/>
      <c r="AB275" s="229">
        <f t="shared" si="89"/>
        <v>0</v>
      </c>
      <c r="AC275" s="228">
        <f t="shared" si="78"/>
        <v>0</v>
      </c>
      <c r="AD275" s="21">
        <v>0</v>
      </c>
      <c r="AE275" s="229"/>
      <c r="AF275" s="20"/>
      <c r="AG275" s="229"/>
      <c r="AH275" s="20"/>
      <c r="AI275" s="229"/>
      <c r="AJ275" s="20"/>
      <c r="AK275" s="229"/>
      <c r="AL275" s="20"/>
      <c r="AM275" s="229"/>
      <c r="AN275" s="20"/>
      <c r="AO275" s="229">
        <v>4</v>
      </c>
      <c r="AP275" s="20">
        <v>4</v>
      </c>
      <c r="AQ275" s="229"/>
      <c r="AR275" s="20"/>
      <c r="AS275" s="229"/>
      <c r="AT275" s="20"/>
      <c r="AU275" s="229"/>
      <c r="AV275" s="20">
        <v>3</v>
      </c>
      <c r="AW275" s="229"/>
      <c r="AX275" s="20"/>
      <c r="AY275" s="229"/>
      <c r="AZ275" s="20"/>
      <c r="BA275" s="229"/>
      <c r="BB275" s="20">
        <v>2</v>
      </c>
      <c r="BC275" s="229">
        <f t="shared" si="90"/>
        <v>4</v>
      </c>
      <c r="BD275" s="48">
        <f t="shared" si="79"/>
        <v>9</v>
      </c>
      <c r="BE275" s="19">
        <v>15</v>
      </c>
      <c r="BF275" s="229">
        <f t="shared" si="91"/>
        <v>4</v>
      </c>
      <c r="BG275" s="210">
        <f t="shared" si="80"/>
        <v>9</v>
      </c>
      <c r="BH275" s="210">
        <f t="shared" si="85"/>
        <v>15</v>
      </c>
      <c r="BI275" s="213">
        <f t="shared" si="84"/>
        <v>60</v>
      </c>
      <c r="BJ275" s="141"/>
      <c r="BK275" s="201"/>
      <c r="BL275" s="198"/>
      <c r="BM275" s="198"/>
    </row>
    <row r="276" spans="1:65" s="17" customFormat="1" ht="15.95" customHeight="1">
      <c r="A276" s="123">
        <v>162</v>
      </c>
      <c r="B276" s="9" t="s">
        <v>202</v>
      </c>
      <c r="C276" s="11" t="s">
        <v>203</v>
      </c>
      <c r="D276" s="229"/>
      <c r="E276" s="13"/>
      <c r="F276" s="229"/>
      <c r="G276" s="13"/>
      <c r="H276" s="229"/>
      <c r="I276" s="13"/>
      <c r="J276" s="229"/>
      <c r="K276" s="13"/>
      <c r="L276" s="229"/>
      <c r="M276" s="13"/>
      <c r="N276" s="229"/>
      <c r="O276" s="13"/>
      <c r="P276" s="229"/>
      <c r="Q276" s="13"/>
      <c r="R276" s="229"/>
      <c r="S276" s="13"/>
      <c r="T276" s="229"/>
      <c r="U276" s="13"/>
      <c r="V276" s="229"/>
      <c r="W276" s="13"/>
      <c r="X276" s="229"/>
      <c r="Y276" s="13"/>
      <c r="Z276" s="229"/>
      <c r="AA276" s="13"/>
      <c r="AB276" s="229">
        <f t="shared" si="89"/>
        <v>0</v>
      </c>
      <c r="AC276" s="228">
        <f t="shared" ref="AC276:AC339" si="92">E276+G276+I276+K276+M276+O276+Q276+S276+U276+W276+Y276+AA276</f>
        <v>0</v>
      </c>
      <c r="AD276" s="21">
        <v>0</v>
      </c>
      <c r="AE276" s="229"/>
      <c r="AF276" s="20"/>
      <c r="AG276" s="229"/>
      <c r="AH276" s="20"/>
      <c r="AI276" s="229">
        <v>1</v>
      </c>
      <c r="AJ276" s="20">
        <v>1</v>
      </c>
      <c r="AK276" s="229"/>
      <c r="AL276" s="20"/>
      <c r="AM276" s="229"/>
      <c r="AN276" s="20"/>
      <c r="AO276" s="229">
        <v>1</v>
      </c>
      <c r="AP276" s="20">
        <v>1</v>
      </c>
      <c r="AQ276" s="229"/>
      <c r="AR276" s="20"/>
      <c r="AS276" s="229"/>
      <c r="AT276" s="20"/>
      <c r="AU276" s="229"/>
      <c r="AV276" s="20">
        <v>1</v>
      </c>
      <c r="AW276" s="229"/>
      <c r="AX276" s="20"/>
      <c r="AY276" s="229"/>
      <c r="AZ276" s="20"/>
      <c r="BA276" s="229"/>
      <c r="BB276" s="20">
        <v>1</v>
      </c>
      <c r="BC276" s="229">
        <f t="shared" si="90"/>
        <v>2</v>
      </c>
      <c r="BD276" s="48">
        <f t="shared" ref="BD276:BD339" si="93">AF276+AH276+AJ276+AL276+AN276+AP276+AR276+AT276+AV276+AX276+AZ276+BB276</f>
        <v>4</v>
      </c>
      <c r="BE276" s="19">
        <v>8</v>
      </c>
      <c r="BF276" s="229">
        <f t="shared" si="91"/>
        <v>2</v>
      </c>
      <c r="BG276" s="210">
        <f t="shared" ref="BG276:BG339" si="94">AC276+BD276</f>
        <v>4</v>
      </c>
      <c r="BH276" s="210">
        <f t="shared" si="85"/>
        <v>8</v>
      </c>
      <c r="BI276" s="213">
        <f t="shared" si="84"/>
        <v>50</v>
      </c>
      <c r="BJ276" s="141"/>
      <c r="BK276" s="201"/>
      <c r="BL276" s="198"/>
      <c r="BM276" s="198"/>
    </row>
    <row r="277" spans="1:65" s="17" customFormat="1" ht="15.95" customHeight="1">
      <c r="A277" s="123">
        <v>163</v>
      </c>
      <c r="B277" s="9" t="s">
        <v>36</v>
      </c>
      <c r="C277" s="11" t="s">
        <v>2552</v>
      </c>
      <c r="D277" s="229"/>
      <c r="E277" s="13"/>
      <c r="F277" s="229"/>
      <c r="G277" s="13"/>
      <c r="H277" s="229"/>
      <c r="I277" s="13"/>
      <c r="J277" s="229"/>
      <c r="K277" s="13"/>
      <c r="L277" s="229"/>
      <c r="M277" s="13"/>
      <c r="N277" s="229"/>
      <c r="O277" s="13"/>
      <c r="P277" s="229"/>
      <c r="Q277" s="13"/>
      <c r="R277" s="229"/>
      <c r="S277" s="13"/>
      <c r="T277" s="229"/>
      <c r="U277" s="13"/>
      <c r="V277" s="229"/>
      <c r="W277" s="13"/>
      <c r="X277" s="229"/>
      <c r="Y277" s="13"/>
      <c r="Z277" s="229"/>
      <c r="AA277" s="13"/>
      <c r="AB277" s="229">
        <f t="shared" si="89"/>
        <v>0</v>
      </c>
      <c r="AC277" s="228">
        <f t="shared" si="92"/>
        <v>0</v>
      </c>
      <c r="AD277" s="21">
        <v>0</v>
      </c>
      <c r="AE277" s="229"/>
      <c r="AF277" s="20"/>
      <c r="AG277" s="229"/>
      <c r="AH277" s="20"/>
      <c r="AI277" s="229">
        <v>5</v>
      </c>
      <c r="AJ277" s="20">
        <v>5</v>
      </c>
      <c r="AK277" s="229"/>
      <c r="AL277" s="20"/>
      <c r="AM277" s="229"/>
      <c r="AN277" s="20"/>
      <c r="AO277" s="229">
        <v>4</v>
      </c>
      <c r="AP277" s="20">
        <v>4</v>
      </c>
      <c r="AQ277" s="229"/>
      <c r="AR277" s="20"/>
      <c r="AS277" s="229"/>
      <c r="AT277" s="20"/>
      <c r="AU277" s="229"/>
      <c r="AV277" s="20">
        <v>2</v>
      </c>
      <c r="AW277" s="229"/>
      <c r="AX277" s="20"/>
      <c r="AY277" s="229"/>
      <c r="AZ277" s="20"/>
      <c r="BA277" s="229"/>
      <c r="BB277" s="20">
        <v>4</v>
      </c>
      <c r="BC277" s="229">
        <f t="shared" si="90"/>
        <v>9</v>
      </c>
      <c r="BD277" s="48">
        <f t="shared" si="93"/>
        <v>15</v>
      </c>
      <c r="BE277" s="19">
        <v>21</v>
      </c>
      <c r="BF277" s="229">
        <f t="shared" si="91"/>
        <v>9</v>
      </c>
      <c r="BG277" s="210">
        <f t="shared" si="94"/>
        <v>15</v>
      </c>
      <c r="BH277" s="210">
        <f t="shared" si="85"/>
        <v>21</v>
      </c>
      <c r="BI277" s="213">
        <f t="shared" si="84"/>
        <v>71.428571428571431</v>
      </c>
      <c r="BJ277" s="141"/>
      <c r="BK277" s="201"/>
      <c r="BL277" s="198"/>
      <c r="BM277" s="198"/>
    </row>
    <row r="278" spans="1:65" s="17" customFormat="1" ht="15.95" customHeight="1">
      <c r="A278" s="123">
        <v>164</v>
      </c>
      <c r="B278" s="9" t="s">
        <v>204</v>
      </c>
      <c r="C278" s="11" t="s">
        <v>205</v>
      </c>
      <c r="D278" s="229"/>
      <c r="E278" s="13"/>
      <c r="F278" s="229"/>
      <c r="G278" s="13"/>
      <c r="H278" s="229"/>
      <c r="I278" s="13"/>
      <c r="J278" s="229"/>
      <c r="K278" s="13"/>
      <c r="L278" s="229"/>
      <c r="M278" s="13"/>
      <c r="N278" s="229"/>
      <c r="O278" s="13"/>
      <c r="P278" s="229"/>
      <c r="Q278" s="13"/>
      <c r="R278" s="229"/>
      <c r="S278" s="13"/>
      <c r="T278" s="229"/>
      <c r="U278" s="13"/>
      <c r="V278" s="229"/>
      <c r="W278" s="13"/>
      <c r="X278" s="229"/>
      <c r="Y278" s="13"/>
      <c r="Z278" s="229"/>
      <c r="AA278" s="13"/>
      <c r="AB278" s="229">
        <f t="shared" si="89"/>
        <v>0</v>
      </c>
      <c r="AC278" s="228">
        <f t="shared" si="92"/>
        <v>0</v>
      </c>
      <c r="AD278" s="21">
        <v>0</v>
      </c>
      <c r="AE278" s="229"/>
      <c r="AF278" s="20"/>
      <c r="AG278" s="229"/>
      <c r="AH278" s="20"/>
      <c r="AI278" s="229">
        <v>8</v>
      </c>
      <c r="AJ278" s="20">
        <v>8</v>
      </c>
      <c r="AK278" s="229"/>
      <c r="AL278" s="20"/>
      <c r="AM278" s="229"/>
      <c r="AN278" s="20"/>
      <c r="AO278" s="229">
        <v>11</v>
      </c>
      <c r="AP278" s="20">
        <v>11</v>
      </c>
      <c r="AQ278" s="229"/>
      <c r="AR278" s="20"/>
      <c r="AS278" s="229"/>
      <c r="AT278" s="20"/>
      <c r="AU278" s="229"/>
      <c r="AV278" s="20">
        <v>6</v>
      </c>
      <c r="AW278" s="229"/>
      <c r="AX278" s="20"/>
      <c r="AY278" s="229"/>
      <c r="AZ278" s="20"/>
      <c r="BA278" s="229"/>
      <c r="BB278" s="20">
        <v>16</v>
      </c>
      <c r="BC278" s="229">
        <f t="shared" si="90"/>
        <v>19</v>
      </c>
      <c r="BD278" s="48">
        <f t="shared" si="93"/>
        <v>41</v>
      </c>
      <c r="BE278" s="19">
        <v>52</v>
      </c>
      <c r="BF278" s="229">
        <f t="shared" si="91"/>
        <v>19</v>
      </c>
      <c r="BG278" s="210">
        <f t="shared" si="94"/>
        <v>41</v>
      </c>
      <c r="BH278" s="210">
        <f t="shared" si="85"/>
        <v>52</v>
      </c>
      <c r="BI278" s="213">
        <f t="shared" si="84"/>
        <v>78.84615384615384</v>
      </c>
      <c r="BJ278" s="141"/>
      <c r="BK278" s="201"/>
      <c r="BL278" s="198"/>
      <c r="BM278" s="198"/>
    </row>
    <row r="279" spans="1:65" s="17" customFormat="1" ht="15.95" customHeight="1">
      <c r="A279" s="123">
        <v>165</v>
      </c>
      <c r="B279" s="9" t="s">
        <v>506</v>
      </c>
      <c r="C279" s="11" t="s">
        <v>507</v>
      </c>
      <c r="D279" s="229"/>
      <c r="E279" s="13"/>
      <c r="F279" s="229"/>
      <c r="G279" s="13"/>
      <c r="H279" s="229"/>
      <c r="I279" s="13"/>
      <c r="J279" s="229"/>
      <c r="K279" s="13"/>
      <c r="L279" s="229"/>
      <c r="M279" s="13"/>
      <c r="N279" s="229"/>
      <c r="O279" s="13"/>
      <c r="P279" s="229"/>
      <c r="Q279" s="13"/>
      <c r="R279" s="229"/>
      <c r="S279" s="13"/>
      <c r="T279" s="229"/>
      <c r="U279" s="13"/>
      <c r="V279" s="229"/>
      <c r="W279" s="13"/>
      <c r="X279" s="229"/>
      <c r="Y279" s="13"/>
      <c r="Z279" s="229"/>
      <c r="AA279" s="13"/>
      <c r="AB279" s="229">
        <f t="shared" si="89"/>
        <v>0</v>
      </c>
      <c r="AC279" s="228">
        <f t="shared" si="92"/>
        <v>0</v>
      </c>
      <c r="AD279" s="21">
        <v>0</v>
      </c>
      <c r="AE279" s="229"/>
      <c r="AF279" s="20"/>
      <c r="AG279" s="229"/>
      <c r="AH279" s="20"/>
      <c r="AI279" s="229">
        <v>2</v>
      </c>
      <c r="AJ279" s="20">
        <v>2</v>
      </c>
      <c r="AK279" s="229"/>
      <c r="AL279" s="20"/>
      <c r="AM279" s="229"/>
      <c r="AN279" s="20"/>
      <c r="AO279" s="229"/>
      <c r="AP279" s="20"/>
      <c r="AQ279" s="229"/>
      <c r="AR279" s="20"/>
      <c r="AS279" s="229"/>
      <c r="AT279" s="20"/>
      <c r="AU279" s="229"/>
      <c r="AV279" s="20">
        <v>1</v>
      </c>
      <c r="AW279" s="229"/>
      <c r="AX279" s="20"/>
      <c r="AY279" s="229"/>
      <c r="AZ279" s="20"/>
      <c r="BA279" s="229"/>
      <c r="BB279" s="20"/>
      <c r="BC279" s="229">
        <f t="shared" si="90"/>
        <v>2</v>
      </c>
      <c r="BD279" s="48">
        <f t="shared" si="93"/>
        <v>3</v>
      </c>
      <c r="BE279" s="19">
        <v>5</v>
      </c>
      <c r="BF279" s="229">
        <f t="shared" si="91"/>
        <v>2</v>
      </c>
      <c r="BG279" s="210">
        <f t="shared" si="94"/>
        <v>3</v>
      </c>
      <c r="BH279" s="210">
        <f t="shared" si="85"/>
        <v>5</v>
      </c>
      <c r="BI279" s="213">
        <f t="shared" si="84"/>
        <v>60</v>
      </c>
      <c r="BJ279" s="141"/>
      <c r="BK279" s="201"/>
      <c r="BL279" s="198"/>
      <c r="BM279" s="198"/>
    </row>
    <row r="280" spans="1:65" s="17" customFormat="1" ht="15.95" customHeight="1">
      <c r="A280" s="123">
        <v>166</v>
      </c>
      <c r="B280" s="9" t="s">
        <v>2972</v>
      </c>
      <c r="C280" s="11" t="s">
        <v>2973</v>
      </c>
      <c r="D280" s="229"/>
      <c r="E280" s="13"/>
      <c r="F280" s="229"/>
      <c r="G280" s="13"/>
      <c r="H280" s="229"/>
      <c r="I280" s="13"/>
      <c r="J280" s="229"/>
      <c r="K280" s="13"/>
      <c r="L280" s="229"/>
      <c r="M280" s="13"/>
      <c r="N280" s="229"/>
      <c r="O280" s="13"/>
      <c r="P280" s="229"/>
      <c r="Q280" s="13"/>
      <c r="R280" s="229"/>
      <c r="S280" s="13"/>
      <c r="T280" s="229"/>
      <c r="U280" s="13"/>
      <c r="V280" s="229"/>
      <c r="W280" s="13"/>
      <c r="X280" s="229"/>
      <c r="Y280" s="13"/>
      <c r="Z280" s="229"/>
      <c r="AA280" s="13"/>
      <c r="AB280" s="229">
        <f t="shared" si="89"/>
        <v>0</v>
      </c>
      <c r="AC280" s="228">
        <f t="shared" si="92"/>
        <v>0</v>
      </c>
      <c r="AD280" s="21">
        <v>0</v>
      </c>
      <c r="AE280" s="229"/>
      <c r="AF280" s="20"/>
      <c r="AG280" s="229"/>
      <c r="AH280" s="20"/>
      <c r="AI280" s="229">
        <v>1</v>
      </c>
      <c r="AJ280" s="20">
        <v>1</v>
      </c>
      <c r="AK280" s="229"/>
      <c r="AL280" s="20"/>
      <c r="AM280" s="229"/>
      <c r="AN280" s="20"/>
      <c r="AO280" s="229"/>
      <c r="AP280" s="20"/>
      <c r="AQ280" s="229"/>
      <c r="AR280" s="20"/>
      <c r="AS280" s="229"/>
      <c r="AT280" s="20"/>
      <c r="AU280" s="229"/>
      <c r="AV280" s="20"/>
      <c r="AW280" s="229"/>
      <c r="AX280" s="20"/>
      <c r="AY280" s="229"/>
      <c r="AZ280" s="20"/>
      <c r="BA280" s="229"/>
      <c r="BB280" s="20"/>
      <c r="BC280" s="229">
        <f t="shared" si="90"/>
        <v>1</v>
      </c>
      <c r="BD280" s="48">
        <f t="shared" si="93"/>
        <v>1</v>
      </c>
      <c r="BE280" s="19">
        <v>0</v>
      </c>
      <c r="BF280" s="229">
        <f t="shared" si="91"/>
        <v>1</v>
      </c>
      <c r="BG280" s="210">
        <f t="shared" si="94"/>
        <v>1</v>
      </c>
      <c r="BH280" s="210">
        <f t="shared" si="85"/>
        <v>0</v>
      </c>
      <c r="BI280" s="213" t="e">
        <f t="shared" si="84"/>
        <v>#DIV/0!</v>
      </c>
      <c r="BJ280" s="141"/>
      <c r="BK280" s="201"/>
      <c r="BL280" s="198"/>
      <c r="BM280" s="198"/>
    </row>
    <row r="281" spans="1:65" s="17" customFormat="1" ht="15.95" customHeight="1">
      <c r="A281" s="123">
        <v>167</v>
      </c>
      <c r="B281" s="9" t="s">
        <v>2189</v>
      </c>
      <c r="C281" s="11" t="s">
        <v>2190</v>
      </c>
      <c r="D281" s="229"/>
      <c r="E281" s="13"/>
      <c r="F281" s="229"/>
      <c r="G281" s="13"/>
      <c r="H281" s="229"/>
      <c r="I281" s="13"/>
      <c r="J281" s="229"/>
      <c r="K281" s="13"/>
      <c r="L281" s="229"/>
      <c r="M281" s="13"/>
      <c r="N281" s="229"/>
      <c r="O281" s="13"/>
      <c r="P281" s="229"/>
      <c r="Q281" s="13"/>
      <c r="R281" s="229"/>
      <c r="S281" s="13"/>
      <c r="T281" s="229"/>
      <c r="U281" s="13"/>
      <c r="V281" s="229"/>
      <c r="W281" s="13"/>
      <c r="X281" s="229"/>
      <c r="Y281" s="13"/>
      <c r="Z281" s="229"/>
      <c r="AA281" s="13"/>
      <c r="AB281" s="229">
        <f t="shared" si="89"/>
        <v>0</v>
      </c>
      <c r="AC281" s="228">
        <f t="shared" si="92"/>
        <v>0</v>
      </c>
      <c r="AD281" s="21">
        <v>0</v>
      </c>
      <c r="AE281" s="229"/>
      <c r="AF281" s="20"/>
      <c r="AG281" s="229"/>
      <c r="AH281" s="20"/>
      <c r="AI281" s="229"/>
      <c r="AJ281" s="20"/>
      <c r="AK281" s="229"/>
      <c r="AL281" s="20"/>
      <c r="AM281" s="229"/>
      <c r="AN281" s="20"/>
      <c r="AO281" s="229"/>
      <c r="AP281" s="20"/>
      <c r="AQ281" s="229"/>
      <c r="AR281" s="20"/>
      <c r="AS281" s="229"/>
      <c r="AT281" s="20"/>
      <c r="AU281" s="229"/>
      <c r="AV281" s="20"/>
      <c r="AW281" s="229"/>
      <c r="AX281" s="20"/>
      <c r="AY281" s="229"/>
      <c r="AZ281" s="20"/>
      <c r="BA281" s="229"/>
      <c r="BB281" s="20"/>
      <c r="BC281" s="229">
        <f t="shared" si="90"/>
        <v>0</v>
      </c>
      <c r="BD281" s="48">
        <f t="shared" si="93"/>
        <v>0</v>
      </c>
      <c r="BE281" s="19">
        <v>5</v>
      </c>
      <c r="BF281" s="229">
        <f t="shared" si="91"/>
        <v>0</v>
      </c>
      <c r="BG281" s="210">
        <f t="shared" si="94"/>
        <v>0</v>
      </c>
      <c r="BH281" s="210">
        <f t="shared" si="85"/>
        <v>5</v>
      </c>
      <c r="BI281" s="213">
        <f t="shared" si="84"/>
        <v>0</v>
      </c>
      <c r="BJ281" s="141"/>
      <c r="BK281" s="201"/>
      <c r="BL281" s="198"/>
      <c r="BM281" s="198"/>
    </row>
    <row r="282" spans="1:65" s="17" customFormat="1" ht="15.95" customHeight="1">
      <c r="A282" s="123">
        <v>168</v>
      </c>
      <c r="B282" s="9" t="s">
        <v>486</v>
      </c>
      <c r="C282" s="11" t="s">
        <v>487</v>
      </c>
      <c r="D282" s="229"/>
      <c r="E282" s="13"/>
      <c r="F282" s="229"/>
      <c r="G282" s="13"/>
      <c r="H282" s="229"/>
      <c r="I282" s="13"/>
      <c r="J282" s="229"/>
      <c r="K282" s="13"/>
      <c r="L282" s="229"/>
      <c r="M282" s="13"/>
      <c r="N282" s="229"/>
      <c r="O282" s="13"/>
      <c r="P282" s="229"/>
      <c r="Q282" s="13"/>
      <c r="R282" s="229"/>
      <c r="S282" s="13"/>
      <c r="T282" s="229"/>
      <c r="U282" s="13"/>
      <c r="V282" s="229"/>
      <c r="W282" s="13"/>
      <c r="X282" s="229"/>
      <c r="Y282" s="13"/>
      <c r="Z282" s="229"/>
      <c r="AA282" s="13"/>
      <c r="AB282" s="229">
        <f t="shared" si="89"/>
        <v>0</v>
      </c>
      <c r="AC282" s="228">
        <f t="shared" si="92"/>
        <v>0</v>
      </c>
      <c r="AD282" s="21">
        <v>0</v>
      </c>
      <c r="AE282" s="229"/>
      <c r="AF282" s="20"/>
      <c r="AG282" s="229"/>
      <c r="AH282" s="20"/>
      <c r="AI282" s="229"/>
      <c r="AJ282" s="20"/>
      <c r="AK282" s="229"/>
      <c r="AL282" s="20"/>
      <c r="AM282" s="229"/>
      <c r="AN282" s="20"/>
      <c r="AO282" s="229">
        <v>1</v>
      </c>
      <c r="AP282" s="20">
        <v>1</v>
      </c>
      <c r="AQ282" s="229"/>
      <c r="AR282" s="20"/>
      <c r="AS282" s="229"/>
      <c r="AT282" s="20"/>
      <c r="AU282" s="229"/>
      <c r="AV282" s="20"/>
      <c r="AW282" s="229"/>
      <c r="AX282" s="20"/>
      <c r="AY282" s="229"/>
      <c r="AZ282" s="20"/>
      <c r="BA282" s="229"/>
      <c r="BB282" s="20">
        <v>1</v>
      </c>
      <c r="BC282" s="229">
        <f t="shared" si="90"/>
        <v>1</v>
      </c>
      <c r="BD282" s="48">
        <f t="shared" si="93"/>
        <v>2</v>
      </c>
      <c r="BE282" s="19">
        <v>5</v>
      </c>
      <c r="BF282" s="229">
        <f t="shared" si="91"/>
        <v>1</v>
      </c>
      <c r="BG282" s="210">
        <f t="shared" si="94"/>
        <v>2</v>
      </c>
      <c r="BH282" s="210">
        <f t="shared" si="85"/>
        <v>5</v>
      </c>
      <c r="BI282" s="213">
        <f t="shared" si="84"/>
        <v>40</v>
      </c>
      <c r="BJ282" s="141"/>
      <c r="BK282" s="201"/>
      <c r="BL282" s="198"/>
      <c r="BM282" s="198"/>
    </row>
    <row r="283" spans="1:65" s="17" customFormat="1" ht="15.95" customHeight="1">
      <c r="A283" s="123">
        <v>169</v>
      </c>
      <c r="B283" s="9" t="s">
        <v>206</v>
      </c>
      <c r="C283" s="11" t="s">
        <v>207</v>
      </c>
      <c r="D283" s="229"/>
      <c r="E283" s="13"/>
      <c r="F283" s="229"/>
      <c r="G283" s="13"/>
      <c r="H283" s="229"/>
      <c r="I283" s="13"/>
      <c r="J283" s="229"/>
      <c r="K283" s="13"/>
      <c r="L283" s="229"/>
      <c r="M283" s="13"/>
      <c r="N283" s="229"/>
      <c r="O283" s="13"/>
      <c r="P283" s="229"/>
      <c r="Q283" s="13"/>
      <c r="R283" s="229"/>
      <c r="S283" s="13"/>
      <c r="T283" s="229"/>
      <c r="U283" s="13"/>
      <c r="V283" s="229"/>
      <c r="W283" s="13"/>
      <c r="X283" s="229"/>
      <c r="Y283" s="13"/>
      <c r="Z283" s="229"/>
      <c r="AA283" s="13"/>
      <c r="AB283" s="229">
        <f t="shared" si="89"/>
        <v>0</v>
      </c>
      <c r="AC283" s="228">
        <f t="shared" si="92"/>
        <v>0</v>
      </c>
      <c r="AD283" s="21">
        <v>0</v>
      </c>
      <c r="AE283" s="229"/>
      <c r="AF283" s="20"/>
      <c r="AG283" s="229"/>
      <c r="AH283" s="20"/>
      <c r="AI283" s="229">
        <v>4</v>
      </c>
      <c r="AJ283" s="20">
        <v>4</v>
      </c>
      <c r="AK283" s="229"/>
      <c r="AL283" s="20"/>
      <c r="AM283" s="229"/>
      <c r="AN283" s="20"/>
      <c r="AO283" s="229">
        <v>3</v>
      </c>
      <c r="AP283" s="20">
        <v>3</v>
      </c>
      <c r="AQ283" s="229"/>
      <c r="AR283" s="20"/>
      <c r="AS283" s="229"/>
      <c r="AT283" s="20"/>
      <c r="AU283" s="229"/>
      <c r="AV283" s="20">
        <v>5</v>
      </c>
      <c r="AW283" s="229"/>
      <c r="AX283" s="20"/>
      <c r="AY283" s="229"/>
      <c r="AZ283" s="20"/>
      <c r="BA283" s="229"/>
      <c r="BB283" s="20"/>
      <c r="BC283" s="229">
        <f t="shared" si="90"/>
        <v>7</v>
      </c>
      <c r="BD283" s="48">
        <f t="shared" si="93"/>
        <v>12</v>
      </c>
      <c r="BE283" s="19">
        <v>15</v>
      </c>
      <c r="BF283" s="229">
        <f t="shared" si="91"/>
        <v>7</v>
      </c>
      <c r="BG283" s="210">
        <f t="shared" si="94"/>
        <v>12</v>
      </c>
      <c r="BH283" s="210">
        <f t="shared" si="85"/>
        <v>15</v>
      </c>
      <c r="BI283" s="213">
        <f t="shared" si="84"/>
        <v>80</v>
      </c>
      <c r="BJ283" s="141"/>
      <c r="BK283" s="201"/>
      <c r="BL283" s="198"/>
      <c r="BM283" s="198"/>
    </row>
    <row r="284" spans="1:65" s="17" customFormat="1" ht="15.95" customHeight="1">
      <c r="A284" s="123">
        <v>170</v>
      </c>
      <c r="B284" s="9" t="s">
        <v>508</v>
      </c>
      <c r="C284" s="11" t="s">
        <v>509</v>
      </c>
      <c r="D284" s="229"/>
      <c r="E284" s="13"/>
      <c r="F284" s="229"/>
      <c r="G284" s="13"/>
      <c r="H284" s="229"/>
      <c r="I284" s="13"/>
      <c r="J284" s="229"/>
      <c r="K284" s="13"/>
      <c r="L284" s="229"/>
      <c r="M284" s="13"/>
      <c r="N284" s="229"/>
      <c r="O284" s="13"/>
      <c r="P284" s="229"/>
      <c r="Q284" s="13"/>
      <c r="R284" s="229"/>
      <c r="S284" s="13"/>
      <c r="T284" s="229"/>
      <c r="U284" s="13"/>
      <c r="V284" s="229"/>
      <c r="W284" s="13"/>
      <c r="X284" s="229"/>
      <c r="Y284" s="13"/>
      <c r="Z284" s="229"/>
      <c r="AA284" s="13"/>
      <c r="AB284" s="229">
        <f t="shared" si="89"/>
        <v>0</v>
      </c>
      <c r="AC284" s="228">
        <f t="shared" si="92"/>
        <v>0</v>
      </c>
      <c r="AD284" s="21">
        <v>0</v>
      </c>
      <c r="AE284" s="229"/>
      <c r="AF284" s="20"/>
      <c r="AG284" s="229"/>
      <c r="AH284" s="20"/>
      <c r="AI284" s="229"/>
      <c r="AJ284" s="20"/>
      <c r="AK284" s="229"/>
      <c r="AL284" s="20"/>
      <c r="AM284" s="229"/>
      <c r="AN284" s="20"/>
      <c r="AO284" s="229">
        <v>1</v>
      </c>
      <c r="AP284" s="20">
        <v>1</v>
      </c>
      <c r="AQ284" s="229"/>
      <c r="AR284" s="20"/>
      <c r="AS284" s="229"/>
      <c r="AT284" s="20"/>
      <c r="AU284" s="229"/>
      <c r="AV284" s="20">
        <v>1</v>
      </c>
      <c r="AW284" s="229"/>
      <c r="AX284" s="20"/>
      <c r="AY284" s="229"/>
      <c r="AZ284" s="20"/>
      <c r="BA284" s="229"/>
      <c r="BB284" s="20"/>
      <c r="BC284" s="229">
        <f t="shared" si="90"/>
        <v>1</v>
      </c>
      <c r="BD284" s="48">
        <f t="shared" si="93"/>
        <v>2</v>
      </c>
      <c r="BE284" s="19">
        <v>4</v>
      </c>
      <c r="BF284" s="229">
        <f t="shared" si="91"/>
        <v>1</v>
      </c>
      <c r="BG284" s="210">
        <f t="shared" si="94"/>
        <v>2</v>
      </c>
      <c r="BH284" s="210">
        <f t="shared" si="85"/>
        <v>4</v>
      </c>
      <c r="BI284" s="213">
        <f t="shared" si="84"/>
        <v>50</v>
      </c>
      <c r="BJ284" s="141"/>
      <c r="BK284" s="201"/>
      <c r="BL284" s="198"/>
      <c r="BM284" s="198"/>
    </row>
    <row r="285" spans="1:65" s="17" customFormat="1" ht="15.95" customHeight="1">
      <c r="A285" s="123">
        <v>171</v>
      </c>
      <c r="B285" s="9" t="s">
        <v>963</v>
      </c>
      <c r="C285" s="11" t="s">
        <v>964</v>
      </c>
      <c r="D285" s="229"/>
      <c r="E285" s="13"/>
      <c r="F285" s="229"/>
      <c r="G285" s="13"/>
      <c r="H285" s="229"/>
      <c r="I285" s="13"/>
      <c r="J285" s="229"/>
      <c r="K285" s="13"/>
      <c r="L285" s="229"/>
      <c r="M285" s="13"/>
      <c r="N285" s="229"/>
      <c r="O285" s="13"/>
      <c r="P285" s="229"/>
      <c r="Q285" s="13"/>
      <c r="R285" s="229"/>
      <c r="S285" s="13"/>
      <c r="T285" s="229"/>
      <c r="U285" s="13"/>
      <c r="V285" s="229"/>
      <c r="W285" s="13"/>
      <c r="X285" s="229"/>
      <c r="Y285" s="13"/>
      <c r="Z285" s="229"/>
      <c r="AA285" s="13"/>
      <c r="AB285" s="229">
        <f t="shared" si="89"/>
        <v>0</v>
      </c>
      <c r="AC285" s="228">
        <f t="shared" si="92"/>
        <v>0</v>
      </c>
      <c r="AD285" s="21">
        <v>0</v>
      </c>
      <c r="AE285" s="229"/>
      <c r="AF285" s="20"/>
      <c r="AG285" s="229"/>
      <c r="AH285" s="20"/>
      <c r="AI285" s="229"/>
      <c r="AJ285" s="20"/>
      <c r="AK285" s="229"/>
      <c r="AL285" s="20"/>
      <c r="AM285" s="229"/>
      <c r="AN285" s="20"/>
      <c r="AO285" s="229"/>
      <c r="AP285" s="20"/>
      <c r="AQ285" s="229"/>
      <c r="AR285" s="20"/>
      <c r="AS285" s="229"/>
      <c r="AT285" s="20"/>
      <c r="AU285" s="229"/>
      <c r="AV285" s="20"/>
      <c r="AW285" s="229"/>
      <c r="AX285" s="20"/>
      <c r="AY285" s="229"/>
      <c r="AZ285" s="20"/>
      <c r="BA285" s="229"/>
      <c r="BB285" s="20"/>
      <c r="BC285" s="229">
        <f t="shared" si="90"/>
        <v>0</v>
      </c>
      <c r="BD285" s="48">
        <f t="shared" si="93"/>
        <v>0</v>
      </c>
      <c r="BE285" s="19">
        <v>4</v>
      </c>
      <c r="BF285" s="229">
        <f t="shared" si="91"/>
        <v>0</v>
      </c>
      <c r="BG285" s="210">
        <f t="shared" si="94"/>
        <v>0</v>
      </c>
      <c r="BH285" s="210">
        <f t="shared" si="85"/>
        <v>4</v>
      </c>
      <c r="BI285" s="213">
        <f t="shared" si="84"/>
        <v>0</v>
      </c>
      <c r="BJ285" s="141"/>
      <c r="BK285" s="201"/>
      <c r="BL285" s="198"/>
      <c r="BM285" s="198"/>
    </row>
    <row r="286" spans="1:65" s="17" customFormat="1" ht="15.95" customHeight="1">
      <c r="A286" s="123">
        <v>172</v>
      </c>
      <c r="B286" s="9" t="s">
        <v>208</v>
      </c>
      <c r="C286" s="11" t="s">
        <v>2551</v>
      </c>
      <c r="D286" s="229"/>
      <c r="E286" s="13"/>
      <c r="F286" s="229"/>
      <c r="G286" s="13"/>
      <c r="H286" s="229"/>
      <c r="I286" s="13"/>
      <c r="J286" s="229"/>
      <c r="K286" s="13"/>
      <c r="L286" s="229"/>
      <c r="M286" s="13"/>
      <c r="N286" s="229"/>
      <c r="O286" s="13"/>
      <c r="P286" s="229"/>
      <c r="Q286" s="13"/>
      <c r="R286" s="229"/>
      <c r="S286" s="13"/>
      <c r="T286" s="229"/>
      <c r="U286" s="13"/>
      <c r="V286" s="229"/>
      <c r="W286" s="13"/>
      <c r="X286" s="229"/>
      <c r="Y286" s="13"/>
      <c r="Z286" s="229"/>
      <c r="AA286" s="13"/>
      <c r="AB286" s="229">
        <f t="shared" si="89"/>
        <v>0</v>
      </c>
      <c r="AC286" s="228">
        <f t="shared" si="92"/>
        <v>0</v>
      </c>
      <c r="AD286" s="21">
        <v>0</v>
      </c>
      <c r="AE286" s="229"/>
      <c r="AF286" s="20"/>
      <c r="AG286" s="229"/>
      <c r="AH286" s="20"/>
      <c r="AI286" s="229">
        <v>6</v>
      </c>
      <c r="AJ286" s="20">
        <v>6</v>
      </c>
      <c r="AK286" s="229"/>
      <c r="AL286" s="20"/>
      <c r="AM286" s="229"/>
      <c r="AN286" s="20"/>
      <c r="AO286" s="229">
        <v>5</v>
      </c>
      <c r="AP286" s="20">
        <v>5</v>
      </c>
      <c r="AQ286" s="229"/>
      <c r="AR286" s="20"/>
      <c r="AS286" s="229"/>
      <c r="AT286" s="20"/>
      <c r="AU286" s="229"/>
      <c r="AV286" s="20">
        <v>3</v>
      </c>
      <c r="AW286" s="229"/>
      <c r="AX286" s="20"/>
      <c r="AY286" s="229"/>
      <c r="AZ286" s="20"/>
      <c r="BA286" s="229"/>
      <c r="BB286" s="20">
        <v>3</v>
      </c>
      <c r="BC286" s="229">
        <f t="shared" si="90"/>
        <v>11</v>
      </c>
      <c r="BD286" s="48">
        <f t="shared" si="93"/>
        <v>17</v>
      </c>
      <c r="BE286" s="19">
        <v>44</v>
      </c>
      <c r="BF286" s="229">
        <f t="shared" si="91"/>
        <v>11</v>
      </c>
      <c r="BG286" s="210">
        <f t="shared" si="94"/>
        <v>17</v>
      </c>
      <c r="BH286" s="210">
        <f t="shared" si="85"/>
        <v>44</v>
      </c>
      <c r="BI286" s="213">
        <f t="shared" si="84"/>
        <v>38.636363636363633</v>
      </c>
      <c r="BJ286" s="141"/>
      <c r="BK286" s="201"/>
      <c r="BL286" s="198"/>
      <c r="BM286" s="198"/>
    </row>
    <row r="287" spans="1:65" s="17" customFormat="1" ht="15.95" customHeight="1">
      <c r="A287" s="123">
        <v>173</v>
      </c>
      <c r="B287" s="9" t="s">
        <v>209</v>
      </c>
      <c r="C287" s="11" t="s">
        <v>2549</v>
      </c>
      <c r="D287" s="229"/>
      <c r="E287" s="13"/>
      <c r="F287" s="229"/>
      <c r="G287" s="13"/>
      <c r="H287" s="229"/>
      <c r="I287" s="13"/>
      <c r="J287" s="229"/>
      <c r="K287" s="13"/>
      <c r="L287" s="229"/>
      <c r="M287" s="13"/>
      <c r="N287" s="229"/>
      <c r="O287" s="13"/>
      <c r="P287" s="229"/>
      <c r="Q287" s="13"/>
      <c r="R287" s="229"/>
      <c r="S287" s="13"/>
      <c r="T287" s="229"/>
      <c r="U287" s="13"/>
      <c r="V287" s="229"/>
      <c r="W287" s="13"/>
      <c r="X287" s="229"/>
      <c r="Y287" s="13"/>
      <c r="Z287" s="229"/>
      <c r="AA287" s="13"/>
      <c r="AB287" s="229">
        <f t="shared" si="89"/>
        <v>0</v>
      </c>
      <c r="AC287" s="228">
        <f t="shared" si="92"/>
        <v>0</v>
      </c>
      <c r="AD287" s="21">
        <v>0</v>
      </c>
      <c r="AE287" s="229"/>
      <c r="AF287" s="20"/>
      <c r="AG287" s="229"/>
      <c r="AH287" s="20"/>
      <c r="AI287" s="229">
        <v>3</v>
      </c>
      <c r="AJ287" s="20">
        <v>3</v>
      </c>
      <c r="AK287" s="229"/>
      <c r="AL287" s="20"/>
      <c r="AM287" s="229"/>
      <c r="AN287" s="20"/>
      <c r="AO287" s="229">
        <v>4</v>
      </c>
      <c r="AP287" s="20">
        <v>4</v>
      </c>
      <c r="AQ287" s="229"/>
      <c r="AR287" s="20"/>
      <c r="AS287" s="229"/>
      <c r="AT287" s="20"/>
      <c r="AU287" s="229"/>
      <c r="AV287" s="20">
        <v>3</v>
      </c>
      <c r="AW287" s="229"/>
      <c r="AX287" s="20"/>
      <c r="AY287" s="229"/>
      <c r="AZ287" s="20"/>
      <c r="BA287" s="229"/>
      <c r="BB287" s="20">
        <v>1</v>
      </c>
      <c r="BC287" s="229">
        <f t="shared" si="90"/>
        <v>7</v>
      </c>
      <c r="BD287" s="48">
        <f t="shared" si="93"/>
        <v>11</v>
      </c>
      <c r="BE287" s="19">
        <v>18</v>
      </c>
      <c r="BF287" s="229">
        <f t="shared" si="91"/>
        <v>7</v>
      </c>
      <c r="BG287" s="210">
        <f t="shared" si="94"/>
        <v>11</v>
      </c>
      <c r="BH287" s="210">
        <f t="shared" si="85"/>
        <v>18</v>
      </c>
      <c r="BI287" s="213">
        <f t="shared" si="84"/>
        <v>61.111111111111114</v>
      </c>
      <c r="BJ287" s="141"/>
      <c r="BK287" s="201"/>
      <c r="BL287" s="198"/>
      <c r="BM287" s="198"/>
    </row>
    <row r="288" spans="1:65" s="17" customFormat="1" ht="15.95" customHeight="1">
      <c r="A288" s="123">
        <v>174</v>
      </c>
      <c r="B288" s="9" t="s">
        <v>210</v>
      </c>
      <c r="C288" s="181" t="s">
        <v>2550</v>
      </c>
      <c r="D288" s="229"/>
      <c r="E288" s="13"/>
      <c r="F288" s="229"/>
      <c r="G288" s="13"/>
      <c r="H288" s="229"/>
      <c r="I288" s="13"/>
      <c r="J288" s="229"/>
      <c r="K288" s="13"/>
      <c r="L288" s="229"/>
      <c r="M288" s="13"/>
      <c r="N288" s="229"/>
      <c r="O288" s="13"/>
      <c r="P288" s="229"/>
      <c r="Q288" s="13"/>
      <c r="R288" s="229"/>
      <c r="S288" s="13"/>
      <c r="T288" s="229"/>
      <c r="U288" s="13"/>
      <c r="V288" s="229"/>
      <c r="W288" s="13"/>
      <c r="X288" s="229"/>
      <c r="Y288" s="13"/>
      <c r="Z288" s="229"/>
      <c r="AA288" s="13"/>
      <c r="AB288" s="229">
        <f t="shared" si="89"/>
        <v>0</v>
      </c>
      <c r="AC288" s="228">
        <f t="shared" si="92"/>
        <v>0</v>
      </c>
      <c r="AD288" s="21">
        <v>0</v>
      </c>
      <c r="AE288" s="229"/>
      <c r="AF288" s="20"/>
      <c r="AG288" s="229"/>
      <c r="AH288" s="20"/>
      <c r="AI288" s="229">
        <v>1</v>
      </c>
      <c r="AJ288" s="20">
        <v>1</v>
      </c>
      <c r="AK288" s="229"/>
      <c r="AL288" s="20"/>
      <c r="AM288" s="229"/>
      <c r="AN288" s="20"/>
      <c r="AO288" s="229"/>
      <c r="AP288" s="20"/>
      <c r="AQ288" s="229"/>
      <c r="AR288" s="20"/>
      <c r="AS288" s="229"/>
      <c r="AT288" s="20"/>
      <c r="AU288" s="229"/>
      <c r="AV288" s="20"/>
      <c r="AW288" s="229"/>
      <c r="AX288" s="20"/>
      <c r="AY288" s="229"/>
      <c r="AZ288" s="20"/>
      <c r="BA288" s="229"/>
      <c r="BB288" s="20"/>
      <c r="BC288" s="229">
        <f t="shared" si="90"/>
        <v>1</v>
      </c>
      <c r="BD288" s="48">
        <f t="shared" si="93"/>
        <v>1</v>
      </c>
      <c r="BE288" s="19">
        <v>2</v>
      </c>
      <c r="BF288" s="229">
        <f t="shared" si="91"/>
        <v>1</v>
      </c>
      <c r="BG288" s="210">
        <f t="shared" si="94"/>
        <v>1</v>
      </c>
      <c r="BH288" s="210">
        <f t="shared" si="85"/>
        <v>2</v>
      </c>
      <c r="BI288" s="213">
        <f t="shared" si="84"/>
        <v>50</v>
      </c>
      <c r="BJ288" s="141"/>
      <c r="BK288" s="201"/>
      <c r="BL288" s="198"/>
      <c r="BM288" s="198"/>
    </row>
    <row r="289" spans="1:65" s="17" customFormat="1" ht="15.95" customHeight="1">
      <c r="A289" s="123">
        <v>175</v>
      </c>
      <c r="B289" s="9" t="s">
        <v>211</v>
      </c>
      <c r="C289" s="181" t="s">
        <v>2548</v>
      </c>
      <c r="D289" s="229"/>
      <c r="E289" s="13"/>
      <c r="F289" s="229"/>
      <c r="G289" s="13"/>
      <c r="H289" s="229"/>
      <c r="I289" s="13"/>
      <c r="J289" s="229"/>
      <c r="K289" s="13"/>
      <c r="L289" s="229"/>
      <c r="M289" s="13"/>
      <c r="N289" s="229"/>
      <c r="O289" s="13"/>
      <c r="P289" s="229"/>
      <c r="Q289" s="13"/>
      <c r="R289" s="229"/>
      <c r="S289" s="13"/>
      <c r="T289" s="229"/>
      <c r="U289" s="13"/>
      <c r="V289" s="229"/>
      <c r="W289" s="13"/>
      <c r="X289" s="229"/>
      <c r="Y289" s="13"/>
      <c r="Z289" s="229"/>
      <c r="AA289" s="13"/>
      <c r="AB289" s="229">
        <f t="shared" si="89"/>
        <v>0</v>
      </c>
      <c r="AC289" s="228">
        <f t="shared" si="92"/>
        <v>0</v>
      </c>
      <c r="AD289" s="21">
        <v>0</v>
      </c>
      <c r="AE289" s="229"/>
      <c r="AF289" s="20"/>
      <c r="AG289" s="229"/>
      <c r="AH289" s="20"/>
      <c r="AI289" s="229">
        <v>7</v>
      </c>
      <c r="AJ289" s="20">
        <v>7</v>
      </c>
      <c r="AK289" s="229"/>
      <c r="AL289" s="20"/>
      <c r="AM289" s="229"/>
      <c r="AN289" s="20"/>
      <c r="AO289" s="229">
        <v>1</v>
      </c>
      <c r="AP289" s="20">
        <v>1</v>
      </c>
      <c r="AQ289" s="229"/>
      <c r="AR289" s="20"/>
      <c r="AS289" s="229"/>
      <c r="AT289" s="20"/>
      <c r="AU289" s="229"/>
      <c r="AV289" s="20">
        <v>5</v>
      </c>
      <c r="AW289" s="229"/>
      <c r="AX289" s="20"/>
      <c r="AY289" s="229"/>
      <c r="AZ289" s="20"/>
      <c r="BA289" s="229"/>
      <c r="BB289" s="20">
        <v>13</v>
      </c>
      <c r="BC289" s="229">
        <f t="shared" si="90"/>
        <v>8</v>
      </c>
      <c r="BD289" s="48">
        <f t="shared" si="93"/>
        <v>26</v>
      </c>
      <c r="BE289" s="19">
        <v>35</v>
      </c>
      <c r="BF289" s="229">
        <f t="shared" si="91"/>
        <v>8</v>
      </c>
      <c r="BG289" s="210">
        <f t="shared" si="94"/>
        <v>26</v>
      </c>
      <c r="BH289" s="210">
        <f t="shared" si="85"/>
        <v>35</v>
      </c>
      <c r="BI289" s="213">
        <f t="shared" si="84"/>
        <v>74.285714285714292</v>
      </c>
      <c r="BJ289" s="141"/>
      <c r="BK289" s="201"/>
      <c r="BL289" s="198"/>
      <c r="BM289" s="198"/>
    </row>
    <row r="290" spans="1:65" s="17" customFormat="1" ht="21.95" customHeight="1">
      <c r="A290" s="123">
        <v>176</v>
      </c>
      <c r="B290" s="9" t="s">
        <v>212</v>
      </c>
      <c r="C290" s="218" t="s">
        <v>2546</v>
      </c>
      <c r="D290" s="229"/>
      <c r="E290" s="13"/>
      <c r="F290" s="229"/>
      <c r="G290" s="13"/>
      <c r="H290" s="229"/>
      <c r="I290" s="13"/>
      <c r="J290" s="229"/>
      <c r="K290" s="13"/>
      <c r="L290" s="229"/>
      <c r="M290" s="13"/>
      <c r="N290" s="229"/>
      <c r="O290" s="13"/>
      <c r="P290" s="229"/>
      <c r="Q290" s="13"/>
      <c r="R290" s="229"/>
      <c r="S290" s="13"/>
      <c r="T290" s="229"/>
      <c r="U290" s="13"/>
      <c r="V290" s="229"/>
      <c r="W290" s="13"/>
      <c r="X290" s="229"/>
      <c r="Y290" s="13"/>
      <c r="Z290" s="229"/>
      <c r="AA290" s="13"/>
      <c r="AB290" s="229">
        <f t="shared" si="89"/>
        <v>0</v>
      </c>
      <c r="AC290" s="228">
        <f t="shared" si="92"/>
        <v>0</v>
      </c>
      <c r="AD290" s="21">
        <v>0</v>
      </c>
      <c r="AE290" s="229"/>
      <c r="AF290" s="20"/>
      <c r="AG290" s="229"/>
      <c r="AH290" s="20"/>
      <c r="AI290" s="229">
        <v>1</v>
      </c>
      <c r="AJ290" s="20">
        <v>1</v>
      </c>
      <c r="AK290" s="229"/>
      <c r="AL290" s="20"/>
      <c r="AM290" s="229"/>
      <c r="AN290" s="20"/>
      <c r="AO290" s="229">
        <v>2</v>
      </c>
      <c r="AP290" s="20">
        <v>2</v>
      </c>
      <c r="AQ290" s="229"/>
      <c r="AR290" s="20"/>
      <c r="AS290" s="229"/>
      <c r="AT290" s="20"/>
      <c r="AU290" s="229"/>
      <c r="AV290" s="20">
        <v>2</v>
      </c>
      <c r="AW290" s="229"/>
      <c r="AX290" s="20"/>
      <c r="AY290" s="229"/>
      <c r="AZ290" s="20"/>
      <c r="BA290" s="229"/>
      <c r="BB290" s="20">
        <v>1</v>
      </c>
      <c r="BC290" s="229">
        <f t="shared" si="90"/>
        <v>3</v>
      </c>
      <c r="BD290" s="48">
        <f t="shared" si="93"/>
        <v>6</v>
      </c>
      <c r="BE290" s="19">
        <v>5</v>
      </c>
      <c r="BF290" s="229">
        <f t="shared" si="91"/>
        <v>3</v>
      </c>
      <c r="BG290" s="210">
        <f t="shared" si="94"/>
        <v>6</v>
      </c>
      <c r="BH290" s="210">
        <f t="shared" si="85"/>
        <v>5</v>
      </c>
      <c r="BI290" s="213">
        <f t="shared" si="84"/>
        <v>120</v>
      </c>
      <c r="BJ290" s="141"/>
      <c r="BK290" s="201"/>
      <c r="BL290" s="198"/>
      <c r="BM290" s="198"/>
    </row>
    <row r="291" spans="1:65" s="17" customFormat="1" ht="15.95" customHeight="1">
      <c r="A291" s="123">
        <v>177</v>
      </c>
      <c r="B291" s="9" t="s">
        <v>213</v>
      </c>
      <c r="C291" s="11" t="s">
        <v>2547</v>
      </c>
      <c r="D291" s="229"/>
      <c r="E291" s="13"/>
      <c r="F291" s="229"/>
      <c r="G291" s="13"/>
      <c r="H291" s="229"/>
      <c r="I291" s="13"/>
      <c r="J291" s="229"/>
      <c r="K291" s="13"/>
      <c r="L291" s="229"/>
      <c r="M291" s="13"/>
      <c r="N291" s="229"/>
      <c r="O291" s="13"/>
      <c r="P291" s="229"/>
      <c r="Q291" s="13"/>
      <c r="R291" s="229"/>
      <c r="S291" s="13"/>
      <c r="T291" s="229"/>
      <c r="U291" s="13"/>
      <c r="V291" s="229"/>
      <c r="W291" s="13"/>
      <c r="X291" s="229"/>
      <c r="Y291" s="13"/>
      <c r="Z291" s="229"/>
      <c r="AA291" s="13"/>
      <c r="AB291" s="229">
        <f t="shared" si="89"/>
        <v>0</v>
      </c>
      <c r="AC291" s="228">
        <f t="shared" si="92"/>
        <v>0</v>
      </c>
      <c r="AD291" s="21">
        <v>0</v>
      </c>
      <c r="AE291" s="229"/>
      <c r="AF291" s="20"/>
      <c r="AG291" s="229"/>
      <c r="AH291" s="20"/>
      <c r="AI291" s="229">
        <v>1</v>
      </c>
      <c r="AJ291" s="20">
        <v>1</v>
      </c>
      <c r="AK291" s="229"/>
      <c r="AL291" s="20"/>
      <c r="AM291" s="229"/>
      <c r="AN291" s="20"/>
      <c r="AO291" s="229">
        <v>3</v>
      </c>
      <c r="AP291" s="20">
        <v>3</v>
      </c>
      <c r="AQ291" s="229"/>
      <c r="AR291" s="20"/>
      <c r="AS291" s="229"/>
      <c r="AT291" s="20"/>
      <c r="AU291" s="229"/>
      <c r="AV291" s="20">
        <v>2</v>
      </c>
      <c r="AW291" s="229"/>
      <c r="AX291" s="20"/>
      <c r="AY291" s="229"/>
      <c r="AZ291" s="20"/>
      <c r="BA291" s="229"/>
      <c r="BB291" s="20">
        <v>1</v>
      </c>
      <c r="BC291" s="229">
        <f t="shared" si="90"/>
        <v>4</v>
      </c>
      <c r="BD291" s="48">
        <f t="shared" si="93"/>
        <v>7</v>
      </c>
      <c r="BE291" s="19">
        <v>7</v>
      </c>
      <c r="BF291" s="229">
        <f t="shared" si="91"/>
        <v>4</v>
      </c>
      <c r="BG291" s="210">
        <f t="shared" si="94"/>
        <v>7</v>
      </c>
      <c r="BH291" s="210">
        <f t="shared" si="85"/>
        <v>7</v>
      </c>
      <c r="BI291" s="213">
        <f t="shared" si="84"/>
        <v>100</v>
      </c>
      <c r="BJ291" s="141"/>
      <c r="BK291" s="201"/>
      <c r="BL291" s="198"/>
      <c r="BM291" s="198"/>
    </row>
    <row r="292" spans="1:65" s="17" customFormat="1" ht="15.95" customHeight="1">
      <c r="A292" s="123">
        <v>178</v>
      </c>
      <c r="B292" s="9" t="s">
        <v>3073</v>
      </c>
      <c r="C292" s="11" t="s">
        <v>3074</v>
      </c>
      <c r="D292" s="229"/>
      <c r="E292" s="13"/>
      <c r="F292" s="229"/>
      <c r="G292" s="13"/>
      <c r="H292" s="229"/>
      <c r="I292" s="13"/>
      <c r="J292" s="229"/>
      <c r="K292" s="13"/>
      <c r="L292" s="229"/>
      <c r="M292" s="13"/>
      <c r="N292" s="229"/>
      <c r="O292" s="13"/>
      <c r="P292" s="229"/>
      <c r="Q292" s="13"/>
      <c r="R292" s="229"/>
      <c r="S292" s="13"/>
      <c r="T292" s="229"/>
      <c r="U292" s="13"/>
      <c r="V292" s="229"/>
      <c r="W292" s="13"/>
      <c r="X292" s="229"/>
      <c r="Y292" s="13"/>
      <c r="Z292" s="229"/>
      <c r="AA292" s="13"/>
      <c r="AB292" s="229"/>
      <c r="AC292" s="228">
        <f t="shared" si="92"/>
        <v>0</v>
      </c>
      <c r="AD292" s="21">
        <v>0</v>
      </c>
      <c r="AE292" s="229"/>
      <c r="AF292" s="20"/>
      <c r="AG292" s="229"/>
      <c r="AH292" s="20"/>
      <c r="AI292" s="229"/>
      <c r="AJ292" s="20"/>
      <c r="AK292" s="229"/>
      <c r="AL292" s="20"/>
      <c r="AM292" s="229"/>
      <c r="AN292" s="20"/>
      <c r="AO292" s="229"/>
      <c r="AP292" s="20">
        <v>1</v>
      </c>
      <c r="AQ292" s="229"/>
      <c r="AR292" s="20"/>
      <c r="AS292" s="229"/>
      <c r="AT292" s="20"/>
      <c r="AU292" s="229"/>
      <c r="AV292" s="20"/>
      <c r="AW292" s="229"/>
      <c r="AX292" s="20"/>
      <c r="AY292" s="229"/>
      <c r="AZ292" s="20"/>
      <c r="BA292" s="229"/>
      <c r="BB292" s="20"/>
      <c r="BC292" s="229"/>
      <c r="BD292" s="48">
        <f t="shared" si="93"/>
        <v>1</v>
      </c>
      <c r="BE292" s="19">
        <v>0</v>
      </c>
      <c r="BF292" s="229"/>
      <c r="BG292" s="210">
        <f t="shared" si="94"/>
        <v>1</v>
      </c>
      <c r="BH292" s="210">
        <f t="shared" si="85"/>
        <v>0</v>
      </c>
      <c r="BI292" s="213" t="e">
        <f t="shared" si="84"/>
        <v>#DIV/0!</v>
      </c>
      <c r="BJ292" s="141"/>
      <c r="BK292" s="201"/>
      <c r="BL292" s="198"/>
      <c r="BM292" s="198"/>
    </row>
    <row r="293" spans="1:65" s="17" customFormat="1" ht="15.95" customHeight="1">
      <c r="A293" s="123">
        <v>179</v>
      </c>
      <c r="B293" s="9" t="s">
        <v>965</v>
      </c>
      <c r="C293" s="11" t="s">
        <v>2545</v>
      </c>
      <c r="D293" s="229"/>
      <c r="E293" s="13"/>
      <c r="F293" s="229"/>
      <c r="G293" s="13"/>
      <c r="H293" s="229"/>
      <c r="I293" s="13"/>
      <c r="J293" s="229"/>
      <c r="K293" s="13"/>
      <c r="L293" s="229"/>
      <c r="M293" s="13"/>
      <c r="N293" s="229"/>
      <c r="O293" s="13"/>
      <c r="P293" s="229"/>
      <c r="Q293" s="13"/>
      <c r="R293" s="229"/>
      <c r="S293" s="13"/>
      <c r="T293" s="229"/>
      <c r="U293" s="13">
        <v>5</v>
      </c>
      <c r="V293" s="229"/>
      <c r="W293" s="13"/>
      <c r="X293" s="229"/>
      <c r="Y293" s="13"/>
      <c r="Z293" s="229"/>
      <c r="AA293" s="13">
        <v>3</v>
      </c>
      <c r="AB293" s="229">
        <f>D293+F293+H293+J293+L293+N293+P293+R293+T293+V293+X293+Z293</f>
        <v>0</v>
      </c>
      <c r="AC293" s="228">
        <f t="shared" si="92"/>
        <v>8</v>
      </c>
      <c r="AD293" s="19">
        <v>45</v>
      </c>
      <c r="AE293" s="229"/>
      <c r="AF293" s="20"/>
      <c r="AG293" s="229"/>
      <c r="AH293" s="20"/>
      <c r="AI293" s="229"/>
      <c r="AJ293" s="20"/>
      <c r="AK293" s="229"/>
      <c r="AL293" s="20"/>
      <c r="AM293" s="229"/>
      <c r="AN293" s="20"/>
      <c r="AO293" s="229">
        <v>1</v>
      </c>
      <c r="AP293" s="20">
        <v>1</v>
      </c>
      <c r="AQ293" s="229"/>
      <c r="AR293" s="20"/>
      <c r="AS293" s="229"/>
      <c r="AT293" s="20"/>
      <c r="AU293" s="229"/>
      <c r="AV293" s="20"/>
      <c r="AW293" s="229"/>
      <c r="AX293" s="20"/>
      <c r="AY293" s="229"/>
      <c r="AZ293" s="20"/>
      <c r="BA293" s="229"/>
      <c r="BB293" s="20"/>
      <c r="BC293" s="229">
        <f>AE293+AG293+AI293+AK293+AM293+AO293+AQ293+AS293+AU293+AW293+AY293+BA293</f>
        <v>1</v>
      </c>
      <c r="BD293" s="48">
        <f t="shared" si="93"/>
        <v>1</v>
      </c>
      <c r="BE293" s="19">
        <v>0</v>
      </c>
      <c r="BF293" s="229">
        <f>AB293+BC293</f>
        <v>1</v>
      </c>
      <c r="BG293" s="210">
        <f t="shared" si="94"/>
        <v>9</v>
      </c>
      <c r="BH293" s="210">
        <f t="shared" si="85"/>
        <v>45</v>
      </c>
      <c r="BI293" s="213">
        <f t="shared" si="84"/>
        <v>20</v>
      </c>
      <c r="BJ293" s="141"/>
      <c r="BK293" s="201"/>
      <c r="BL293" s="198"/>
      <c r="BM293" s="198"/>
    </row>
    <row r="294" spans="1:65" s="17" customFormat="1" ht="15.95" customHeight="1">
      <c r="A294" s="123">
        <v>180</v>
      </c>
      <c r="B294" s="9" t="s">
        <v>2116</v>
      </c>
      <c r="C294" s="11" t="s">
        <v>2117</v>
      </c>
      <c r="D294" s="229"/>
      <c r="E294" s="13"/>
      <c r="F294" s="229"/>
      <c r="G294" s="13"/>
      <c r="H294" s="229"/>
      <c r="I294" s="13"/>
      <c r="J294" s="229"/>
      <c r="K294" s="13"/>
      <c r="L294" s="229"/>
      <c r="M294" s="13"/>
      <c r="N294" s="229"/>
      <c r="O294" s="13"/>
      <c r="P294" s="229"/>
      <c r="Q294" s="13"/>
      <c r="R294" s="229"/>
      <c r="S294" s="13"/>
      <c r="T294" s="229"/>
      <c r="U294" s="13"/>
      <c r="V294" s="229"/>
      <c r="W294" s="13"/>
      <c r="X294" s="229"/>
      <c r="Y294" s="13"/>
      <c r="Z294" s="229"/>
      <c r="AA294" s="13"/>
      <c r="AB294" s="229">
        <f>D294+F294+H294+J294+L294+N294+P294+R294+T294+V294+X294+Z294</f>
        <v>0</v>
      </c>
      <c r="AC294" s="228">
        <f t="shared" si="92"/>
        <v>0</v>
      </c>
      <c r="AD294" s="19">
        <v>0</v>
      </c>
      <c r="AE294" s="229"/>
      <c r="AF294" s="20"/>
      <c r="AG294" s="229"/>
      <c r="AH294" s="20"/>
      <c r="AI294" s="229">
        <v>1</v>
      </c>
      <c r="AJ294" s="20">
        <v>1</v>
      </c>
      <c r="AK294" s="229"/>
      <c r="AL294" s="20"/>
      <c r="AM294" s="229"/>
      <c r="AN294" s="20"/>
      <c r="AO294" s="229"/>
      <c r="AP294" s="20"/>
      <c r="AQ294" s="229"/>
      <c r="AR294" s="20"/>
      <c r="AS294" s="229"/>
      <c r="AT294" s="20"/>
      <c r="AU294" s="229"/>
      <c r="AV294" s="20"/>
      <c r="AW294" s="229"/>
      <c r="AX294" s="20"/>
      <c r="AY294" s="229"/>
      <c r="AZ294" s="20"/>
      <c r="BA294" s="229"/>
      <c r="BB294" s="20"/>
      <c r="BC294" s="229">
        <f>AE294+AG294+AI294+AK294+AM294+AO294+AQ294+AS294+AU294+AW294+AY294+BA294</f>
        <v>1</v>
      </c>
      <c r="BD294" s="48">
        <f t="shared" si="93"/>
        <v>1</v>
      </c>
      <c r="BE294" s="19">
        <v>2</v>
      </c>
      <c r="BF294" s="229">
        <f>AB294+BC294</f>
        <v>1</v>
      </c>
      <c r="BG294" s="210">
        <f t="shared" si="94"/>
        <v>1</v>
      </c>
      <c r="BH294" s="210">
        <f t="shared" si="85"/>
        <v>2</v>
      </c>
      <c r="BI294" s="213">
        <f t="shared" si="84"/>
        <v>50</v>
      </c>
      <c r="BJ294" s="141"/>
      <c r="BK294" s="201"/>
      <c r="BL294" s="198"/>
      <c r="BM294" s="198"/>
    </row>
    <row r="295" spans="1:65" s="17" customFormat="1" ht="15.95" customHeight="1">
      <c r="A295" s="123">
        <v>181</v>
      </c>
      <c r="B295" s="9" t="s">
        <v>3075</v>
      </c>
      <c r="C295" s="11" t="s">
        <v>3076</v>
      </c>
      <c r="D295" s="229"/>
      <c r="E295" s="13"/>
      <c r="F295" s="229"/>
      <c r="G295" s="13"/>
      <c r="H295" s="229"/>
      <c r="I295" s="13"/>
      <c r="J295" s="229"/>
      <c r="K295" s="13"/>
      <c r="L295" s="229"/>
      <c r="M295" s="13"/>
      <c r="N295" s="229"/>
      <c r="O295" s="13"/>
      <c r="P295" s="229"/>
      <c r="Q295" s="13"/>
      <c r="R295" s="229"/>
      <c r="S295" s="13"/>
      <c r="T295" s="229"/>
      <c r="U295" s="13"/>
      <c r="V295" s="229"/>
      <c r="W295" s="13"/>
      <c r="X295" s="229"/>
      <c r="Y295" s="13"/>
      <c r="Z295" s="229"/>
      <c r="AA295" s="13"/>
      <c r="AB295" s="229"/>
      <c r="AC295" s="228">
        <f t="shared" si="92"/>
        <v>0</v>
      </c>
      <c r="AD295" s="21">
        <v>0</v>
      </c>
      <c r="AE295" s="229"/>
      <c r="AF295" s="20"/>
      <c r="AG295" s="229"/>
      <c r="AH295" s="20"/>
      <c r="AI295" s="229"/>
      <c r="AJ295" s="20"/>
      <c r="AK295" s="229"/>
      <c r="AL295" s="20"/>
      <c r="AM295" s="229"/>
      <c r="AN295" s="20"/>
      <c r="AO295" s="229"/>
      <c r="AP295" s="20">
        <v>3</v>
      </c>
      <c r="AQ295" s="229"/>
      <c r="AR295" s="20"/>
      <c r="AS295" s="229"/>
      <c r="AT295" s="20"/>
      <c r="AU295" s="229"/>
      <c r="AV295" s="20"/>
      <c r="AW295" s="229"/>
      <c r="AX295" s="20"/>
      <c r="AY295" s="229"/>
      <c r="AZ295" s="20"/>
      <c r="BA295" s="229"/>
      <c r="BB295" s="20"/>
      <c r="BC295" s="229"/>
      <c r="BD295" s="48">
        <f t="shared" si="93"/>
        <v>3</v>
      </c>
      <c r="BE295" s="19">
        <v>0</v>
      </c>
      <c r="BF295" s="229"/>
      <c r="BG295" s="210">
        <f t="shared" si="94"/>
        <v>3</v>
      </c>
      <c r="BH295" s="210">
        <f t="shared" si="85"/>
        <v>0</v>
      </c>
      <c r="BI295" s="213" t="e">
        <f t="shared" si="84"/>
        <v>#DIV/0!</v>
      </c>
      <c r="BJ295" s="141"/>
      <c r="BK295" s="201"/>
      <c r="BL295" s="198"/>
      <c r="BM295" s="198"/>
    </row>
    <row r="296" spans="1:65" s="17" customFormat="1" ht="21.95" customHeight="1">
      <c r="A296" s="123">
        <v>182</v>
      </c>
      <c r="B296" s="9" t="s">
        <v>1943</v>
      </c>
      <c r="C296" s="10" t="s">
        <v>2541</v>
      </c>
      <c r="D296" s="229"/>
      <c r="E296" s="13"/>
      <c r="F296" s="229"/>
      <c r="G296" s="13"/>
      <c r="H296" s="229"/>
      <c r="I296" s="13"/>
      <c r="J296" s="229"/>
      <c r="K296" s="13"/>
      <c r="L296" s="229"/>
      <c r="M296" s="13"/>
      <c r="N296" s="229"/>
      <c r="O296" s="13"/>
      <c r="P296" s="229"/>
      <c r="Q296" s="13"/>
      <c r="R296" s="229"/>
      <c r="S296" s="13"/>
      <c r="T296" s="229"/>
      <c r="U296" s="13"/>
      <c r="V296" s="229"/>
      <c r="W296" s="13"/>
      <c r="X296" s="229"/>
      <c r="Y296" s="13"/>
      <c r="Z296" s="229"/>
      <c r="AA296" s="13"/>
      <c r="AB296" s="229">
        <f t="shared" ref="AB296:AB318" si="95">D296+F296+H296+J296+L296+N296+P296+R296+T296+V296+X296+Z296</f>
        <v>0</v>
      </c>
      <c r="AC296" s="228">
        <f t="shared" si="92"/>
        <v>0</v>
      </c>
      <c r="AD296" s="21">
        <v>0</v>
      </c>
      <c r="AE296" s="229"/>
      <c r="AF296" s="20"/>
      <c r="AG296" s="229"/>
      <c r="AH296" s="20"/>
      <c r="AI296" s="229"/>
      <c r="AJ296" s="20"/>
      <c r="AK296" s="229"/>
      <c r="AL296" s="20"/>
      <c r="AM296" s="229"/>
      <c r="AN296" s="20"/>
      <c r="AO296" s="229"/>
      <c r="AP296" s="20"/>
      <c r="AQ296" s="229"/>
      <c r="AR296" s="20"/>
      <c r="AS296" s="229"/>
      <c r="AT296" s="20"/>
      <c r="AU296" s="229"/>
      <c r="AV296" s="20"/>
      <c r="AW296" s="229"/>
      <c r="AX296" s="20"/>
      <c r="AY296" s="229"/>
      <c r="AZ296" s="20"/>
      <c r="BA296" s="229"/>
      <c r="BB296" s="20">
        <v>1</v>
      </c>
      <c r="BC296" s="229">
        <f t="shared" ref="BC296:BC318" si="96">AE296+AG296+AI296+AK296+AM296+AO296+AQ296+AS296+AU296+AW296+AY296+BA296</f>
        <v>0</v>
      </c>
      <c r="BD296" s="48">
        <f t="shared" si="93"/>
        <v>1</v>
      </c>
      <c r="BE296" s="19">
        <v>2</v>
      </c>
      <c r="BF296" s="229">
        <f t="shared" ref="BF296:BF313" si="97">AB296+BC296</f>
        <v>0</v>
      </c>
      <c r="BG296" s="210">
        <f t="shared" si="94"/>
        <v>1</v>
      </c>
      <c r="BH296" s="210">
        <f t="shared" si="85"/>
        <v>2</v>
      </c>
      <c r="BI296" s="213">
        <f t="shared" si="84"/>
        <v>50</v>
      </c>
      <c r="BJ296" s="141"/>
      <c r="BK296" s="201"/>
      <c r="BL296" s="198"/>
      <c r="BM296" s="198"/>
    </row>
    <row r="297" spans="1:65" s="17" customFormat="1" ht="15.95" customHeight="1">
      <c r="A297" s="123">
        <v>183</v>
      </c>
      <c r="B297" s="9" t="s">
        <v>1337</v>
      </c>
      <c r="C297" s="11" t="s">
        <v>2540</v>
      </c>
      <c r="D297" s="229"/>
      <c r="E297" s="13"/>
      <c r="F297" s="229"/>
      <c r="G297" s="13"/>
      <c r="H297" s="229"/>
      <c r="I297" s="13"/>
      <c r="J297" s="229"/>
      <c r="K297" s="13"/>
      <c r="L297" s="229"/>
      <c r="M297" s="13"/>
      <c r="N297" s="229"/>
      <c r="O297" s="13"/>
      <c r="P297" s="229"/>
      <c r="Q297" s="13"/>
      <c r="R297" s="229"/>
      <c r="S297" s="13"/>
      <c r="T297" s="229"/>
      <c r="U297" s="13"/>
      <c r="V297" s="229"/>
      <c r="W297" s="13"/>
      <c r="X297" s="229"/>
      <c r="Y297" s="13"/>
      <c r="Z297" s="229"/>
      <c r="AA297" s="13"/>
      <c r="AB297" s="229">
        <f t="shared" si="95"/>
        <v>0</v>
      </c>
      <c r="AC297" s="228">
        <f t="shared" si="92"/>
        <v>0</v>
      </c>
      <c r="AD297" s="21">
        <v>0</v>
      </c>
      <c r="AE297" s="229"/>
      <c r="AF297" s="20"/>
      <c r="AG297" s="229"/>
      <c r="AH297" s="20"/>
      <c r="AI297" s="229"/>
      <c r="AJ297" s="20"/>
      <c r="AK297" s="229"/>
      <c r="AL297" s="20"/>
      <c r="AM297" s="229"/>
      <c r="AN297" s="20"/>
      <c r="AO297" s="229"/>
      <c r="AP297" s="20"/>
      <c r="AQ297" s="229"/>
      <c r="AR297" s="20"/>
      <c r="AS297" s="229"/>
      <c r="AT297" s="20"/>
      <c r="AU297" s="229"/>
      <c r="AV297" s="20"/>
      <c r="AW297" s="229"/>
      <c r="AX297" s="20"/>
      <c r="AY297" s="229"/>
      <c r="AZ297" s="20"/>
      <c r="BA297" s="229"/>
      <c r="BB297" s="20"/>
      <c r="BC297" s="229">
        <f t="shared" si="96"/>
        <v>0</v>
      </c>
      <c r="BD297" s="48">
        <f t="shared" si="93"/>
        <v>0</v>
      </c>
      <c r="BE297" s="19">
        <v>2</v>
      </c>
      <c r="BF297" s="229">
        <f t="shared" si="97"/>
        <v>0</v>
      </c>
      <c r="BG297" s="210">
        <f t="shared" si="94"/>
        <v>0</v>
      </c>
      <c r="BH297" s="210">
        <f t="shared" si="85"/>
        <v>2</v>
      </c>
      <c r="BI297" s="213">
        <f t="shared" si="84"/>
        <v>0</v>
      </c>
      <c r="BJ297" s="141"/>
      <c r="BK297" s="201"/>
      <c r="BL297" s="198"/>
      <c r="BM297" s="198"/>
    </row>
    <row r="298" spans="1:65" s="17" customFormat="1" ht="15.95" customHeight="1">
      <c r="A298" s="123">
        <v>184</v>
      </c>
      <c r="B298" s="9" t="s">
        <v>2374</v>
      </c>
      <c r="C298" s="11" t="s">
        <v>2375</v>
      </c>
      <c r="D298" s="229"/>
      <c r="E298" s="13"/>
      <c r="F298" s="229"/>
      <c r="G298" s="13"/>
      <c r="H298" s="229"/>
      <c r="I298" s="13"/>
      <c r="J298" s="229"/>
      <c r="K298" s="13"/>
      <c r="L298" s="229"/>
      <c r="M298" s="13"/>
      <c r="N298" s="229"/>
      <c r="O298" s="13"/>
      <c r="P298" s="229"/>
      <c r="Q298" s="13"/>
      <c r="R298" s="229"/>
      <c r="S298" s="13"/>
      <c r="T298" s="229"/>
      <c r="U298" s="13"/>
      <c r="V298" s="229"/>
      <c r="W298" s="13"/>
      <c r="X298" s="229"/>
      <c r="Y298" s="13"/>
      <c r="Z298" s="229"/>
      <c r="AA298" s="13"/>
      <c r="AB298" s="229">
        <f t="shared" si="95"/>
        <v>0</v>
      </c>
      <c r="AC298" s="228">
        <f t="shared" si="92"/>
        <v>0</v>
      </c>
      <c r="AD298" s="21">
        <v>0</v>
      </c>
      <c r="AE298" s="229"/>
      <c r="AF298" s="20"/>
      <c r="AG298" s="229"/>
      <c r="AH298" s="20"/>
      <c r="AI298" s="229"/>
      <c r="AJ298" s="20"/>
      <c r="AK298" s="229"/>
      <c r="AL298" s="20"/>
      <c r="AM298" s="229"/>
      <c r="AN298" s="20"/>
      <c r="AO298" s="229"/>
      <c r="AP298" s="20"/>
      <c r="AQ298" s="229"/>
      <c r="AR298" s="20"/>
      <c r="AS298" s="229"/>
      <c r="AT298" s="20"/>
      <c r="AU298" s="229"/>
      <c r="AV298" s="20"/>
      <c r="AW298" s="229"/>
      <c r="AX298" s="20"/>
      <c r="AY298" s="229"/>
      <c r="AZ298" s="20"/>
      <c r="BA298" s="229"/>
      <c r="BB298" s="20"/>
      <c r="BC298" s="229">
        <f t="shared" si="96"/>
        <v>0</v>
      </c>
      <c r="BD298" s="48">
        <f t="shared" si="93"/>
        <v>0</v>
      </c>
      <c r="BE298" s="19">
        <v>2</v>
      </c>
      <c r="BF298" s="229">
        <f t="shared" si="97"/>
        <v>0</v>
      </c>
      <c r="BG298" s="210">
        <f t="shared" si="94"/>
        <v>0</v>
      </c>
      <c r="BH298" s="210">
        <f t="shared" si="85"/>
        <v>2</v>
      </c>
      <c r="BI298" s="213">
        <f t="shared" si="84"/>
        <v>0</v>
      </c>
      <c r="BJ298" s="141"/>
      <c r="BK298" s="201"/>
      <c r="BL298" s="198"/>
      <c r="BM298" s="198"/>
    </row>
    <row r="299" spans="1:65" s="17" customFormat="1" ht="15.95" customHeight="1">
      <c r="A299" s="123">
        <v>185</v>
      </c>
      <c r="B299" s="9" t="s">
        <v>967</v>
      </c>
      <c r="C299" s="11" t="s">
        <v>968</v>
      </c>
      <c r="D299" s="229"/>
      <c r="E299" s="13"/>
      <c r="F299" s="229"/>
      <c r="G299" s="13"/>
      <c r="H299" s="229"/>
      <c r="I299" s="13"/>
      <c r="J299" s="229"/>
      <c r="K299" s="13"/>
      <c r="L299" s="229"/>
      <c r="M299" s="13"/>
      <c r="N299" s="229"/>
      <c r="O299" s="13"/>
      <c r="P299" s="229"/>
      <c r="Q299" s="13"/>
      <c r="R299" s="229"/>
      <c r="S299" s="13"/>
      <c r="T299" s="229"/>
      <c r="U299" s="13"/>
      <c r="V299" s="229"/>
      <c r="W299" s="13"/>
      <c r="X299" s="229"/>
      <c r="Y299" s="13"/>
      <c r="Z299" s="229"/>
      <c r="AA299" s="13"/>
      <c r="AB299" s="229">
        <f t="shared" si="95"/>
        <v>0</v>
      </c>
      <c r="AC299" s="228">
        <f t="shared" si="92"/>
        <v>0</v>
      </c>
      <c r="AD299" s="19">
        <v>1</v>
      </c>
      <c r="AE299" s="229"/>
      <c r="AF299" s="20"/>
      <c r="AG299" s="229"/>
      <c r="AH299" s="20"/>
      <c r="AI299" s="229"/>
      <c r="AJ299" s="20"/>
      <c r="AK299" s="229"/>
      <c r="AL299" s="20"/>
      <c r="AM299" s="229"/>
      <c r="AN299" s="20"/>
      <c r="AO299" s="229"/>
      <c r="AP299" s="20"/>
      <c r="AQ299" s="229"/>
      <c r="AR299" s="20"/>
      <c r="AS299" s="229"/>
      <c r="AT299" s="20"/>
      <c r="AU299" s="229"/>
      <c r="AV299" s="20"/>
      <c r="AW299" s="229"/>
      <c r="AX299" s="20"/>
      <c r="AY299" s="229"/>
      <c r="AZ299" s="20"/>
      <c r="BA299" s="229"/>
      <c r="BB299" s="20"/>
      <c r="BC299" s="229">
        <f t="shared" si="96"/>
        <v>0</v>
      </c>
      <c r="BD299" s="48">
        <f t="shared" si="93"/>
        <v>0</v>
      </c>
      <c r="BE299" s="19">
        <v>0</v>
      </c>
      <c r="BF299" s="229">
        <f t="shared" si="97"/>
        <v>0</v>
      </c>
      <c r="BG299" s="210">
        <f t="shared" si="94"/>
        <v>0</v>
      </c>
      <c r="BH299" s="210">
        <f t="shared" si="85"/>
        <v>1</v>
      </c>
      <c r="BI299" s="213">
        <f t="shared" si="84"/>
        <v>0</v>
      </c>
      <c r="BJ299" s="141"/>
      <c r="BK299" s="201"/>
      <c r="BL299" s="198"/>
      <c r="BM299" s="198"/>
    </row>
    <row r="300" spans="1:65" s="17" customFormat="1" ht="15.95" customHeight="1">
      <c r="A300" s="123">
        <v>186</v>
      </c>
      <c r="B300" s="9" t="s">
        <v>214</v>
      </c>
      <c r="C300" s="11" t="s">
        <v>215</v>
      </c>
      <c r="D300" s="229"/>
      <c r="E300" s="13"/>
      <c r="F300" s="229"/>
      <c r="G300" s="13"/>
      <c r="H300" s="229"/>
      <c r="I300" s="13"/>
      <c r="J300" s="229"/>
      <c r="K300" s="13"/>
      <c r="L300" s="229"/>
      <c r="M300" s="13"/>
      <c r="N300" s="229"/>
      <c r="O300" s="13"/>
      <c r="P300" s="229"/>
      <c r="Q300" s="13"/>
      <c r="R300" s="229"/>
      <c r="S300" s="13"/>
      <c r="T300" s="229"/>
      <c r="U300" s="13"/>
      <c r="V300" s="229"/>
      <c r="W300" s="13"/>
      <c r="X300" s="229"/>
      <c r="Y300" s="13"/>
      <c r="Z300" s="229"/>
      <c r="AA300" s="13"/>
      <c r="AB300" s="229">
        <f t="shared" si="95"/>
        <v>0</v>
      </c>
      <c r="AC300" s="228">
        <f t="shared" si="92"/>
        <v>0</v>
      </c>
      <c r="AD300" s="21">
        <v>0</v>
      </c>
      <c r="AE300" s="229"/>
      <c r="AF300" s="20"/>
      <c r="AG300" s="229"/>
      <c r="AH300" s="20"/>
      <c r="AI300" s="229">
        <v>7</v>
      </c>
      <c r="AJ300" s="20">
        <v>7</v>
      </c>
      <c r="AK300" s="229"/>
      <c r="AL300" s="20"/>
      <c r="AM300" s="229"/>
      <c r="AN300" s="20"/>
      <c r="AO300" s="229">
        <v>3</v>
      </c>
      <c r="AP300" s="20">
        <v>3</v>
      </c>
      <c r="AQ300" s="229"/>
      <c r="AR300" s="20"/>
      <c r="AS300" s="229"/>
      <c r="AT300" s="20"/>
      <c r="AU300" s="229"/>
      <c r="AV300" s="20">
        <v>9</v>
      </c>
      <c r="AW300" s="229"/>
      <c r="AX300" s="20"/>
      <c r="AY300" s="229"/>
      <c r="AZ300" s="20"/>
      <c r="BA300" s="229"/>
      <c r="BB300" s="20">
        <v>10</v>
      </c>
      <c r="BC300" s="229">
        <f t="shared" si="96"/>
        <v>10</v>
      </c>
      <c r="BD300" s="48">
        <f t="shared" si="93"/>
        <v>29</v>
      </c>
      <c r="BE300" s="19">
        <v>35</v>
      </c>
      <c r="BF300" s="229">
        <f t="shared" si="97"/>
        <v>10</v>
      </c>
      <c r="BG300" s="210">
        <f t="shared" si="94"/>
        <v>29</v>
      </c>
      <c r="BH300" s="210">
        <f t="shared" si="85"/>
        <v>35</v>
      </c>
      <c r="BI300" s="213">
        <f t="shared" si="84"/>
        <v>82.857142857142861</v>
      </c>
      <c r="BJ300" s="141"/>
      <c r="BK300" s="201"/>
      <c r="BL300" s="198"/>
      <c r="BM300" s="198"/>
    </row>
    <row r="301" spans="1:65" s="17" customFormat="1" ht="15.95" customHeight="1">
      <c r="A301" s="123">
        <v>187</v>
      </c>
      <c r="B301" s="9" t="s">
        <v>2191</v>
      </c>
      <c r="C301" s="11" t="s">
        <v>2192</v>
      </c>
      <c r="D301" s="229"/>
      <c r="E301" s="13"/>
      <c r="F301" s="229"/>
      <c r="G301" s="13"/>
      <c r="H301" s="229"/>
      <c r="I301" s="13"/>
      <c r="J301" s="229"/>
      <c r="K301" s="13"/>
      <c r="L301" s="229"/>
      <c r="M301" s="13"/>
      <c r="N301" s="229"/>
      <c r="O301" s="13"/>
      <c r="P301" s="229"/>
      <c r="Q301" s="13"/>
      <c r="R301" s="229"/>
      <c r="S301" s="13"/>
      <c r="T301" s="229"/>
      <c r="U301" s="13"/>
      <c r="V301" s="229"/>
      <c r="W301" s="13"/>
      <c r="X301" s="229"/>
      <c r="Y301" s="13"/>
      <c r="Z301" s="229"/>
      <c r="AA301" s="13"/>
      <c r="AB301" s="229">
        <f t="shared" si="95"/>
        <v>0</v>
      </c>
      <c r="AC301" s="228">
        <f t="shared" si="92"/>
        <v>0</v>
      </c>
      <c r="AD301" s="21">
        <v>0</v>
      </c>
      <c r="AE301" s="229"/>
      <c r="AF301" s="20"/>
      <c r="AG301" s="229"/>
      <c r="AH301" s="20"/>
      <c r="AI301" s="229"/>
      <c r="AJ301" s="20"/>
      <c r="AK301" s="229"/>
      <c r="AL301" s="20"/>
      <c r="AM301" s="229"/>
      <c r="AN301" s="20"/>
      <c r="AO301" s="229"/>
      <c r="AP301" s="20"/>
      <c r="AQ301" s="229"/>
      <c r="AR301" s="20"/>
      <c r="AS301" s="229"/>
      <c r="AT301" s="20"/>
      <c r="AU301" s="229"/>
      <c r="AV301" s="20">
        <v>2</v>
      </c>
      <c r="AW301" s="229"/>
      <c r="AX301" s="20"/>
      <c r="AY301" s="229"/>
      <c r="AZ301" s="20"/>
      <c r="BA301" s="229"/>
      <c r="BB301" s="20"/>
      <c r="BC301" s="229">
        <f t="shared" si="96"/>
        <v>0</v>
      </c>
      <c r="BD301" s="48">
        <f t="shared" si="93"/>
        <v>2</v>
      </c>
      <c r="BE301" s="19">
        <v>2</v>
      </c>
      <c r="BF301" s="229">
        <f t="shared" si="97"/>
        <v>0</v>
      </c>
      <c r="BG301" s="210">
        <f t="shared" si="94"/>
        <v>2</v>
      </c>
      <c r="BH301" s="210">
        <f t="shared" si="85"/>
        <v>2</v>
      </c>
      <c r="BI301" s="213">
        <f t="shared" si="84"/>
        <v>100</v>
      </c>
      <c r="BJ301" s="141"/>
      <c r="BK301" s="201"/>
      <c r="BL301" s="198"/>
      <c r="BM301" s="198"/>
    </row>
    <row r="302" spans="1:65" s="17" customFormat="1" ht="15.95" customHeight="1">
      <c r="A302" s="123">
        <v>188</v>
      </c>
      <c r="B302" s="9" t="s">
        <v>216</v>
      </c>
      <c r="C302" s="11" t="s">
        <v>217</v>
      </c>
      <c r="D302" s="229"/>
      <c r="E302" s="13"/>
      <c r="F302" s="229"/>
      <c r="G302" s="13"/>
      <c r="H302" s="229"/>
      <c r="I302" s="13"/>
      <c r="J302" s="229"/>
      <c r="K302" s="13"/>
      <c r="L302" s="229"/>
      <c r="M302" s="13"/>
      <c r="N302" s="229"/>
      <c r="O302" s="13"/>
      <c r="P302" s="229"/>
      <c r="Q302" s="13"/>
      <c r="R302" s="229"/>
      <c r="S302" s="13"/>
      <c r="T302" s="229"/>
      <c r="U302" s="13"/>
      <c r="V302" s="229"/>
      <c r="W302" s="13"/>
      <c r="X302" s="229"/>
      <c r="Y302" s="13"/>
      <c r="Z302" s="229"/>
      <c r="AA302" s="13">
        <v>2</v>
      </c>
      <c r="AB302" s="229">
        <f t="shared" si="95"/>
        <v>0</v>
      </c>
      <c r="AC302" s="228">
        <f t="shared" si="92"/>
        <v>2</v>
      </c>
      <c r="AD302" s="21">
        <v>0</v>
      </c>
      <c r="AE302" s="229"/>
      <c r="AF302" s="20"/>
      <c r="AG302" s="229"/>
      <c r="AH302" s="20"/>
      <c r="AI302" s="229"/>
      <c r="AJ302" s="20"/>
      <c r="AK302" s="229"/>
      <c r="AL302" s="20"/>
      <c r="AM302" s="229"/>
      <c r="AN302" s="20"/>
      <c r="AO302" s="229">
        <v>1</v>
      </c>
      <c r="AP302" s="20">
        <v>1</v>
      </c>
      <c r="AQ302" s="229"/>
      <c r="AR302" s="20"/>
      <c r="AS302" s="229"/>
      <c r="AT302" s="20"/>
      <c r="AU302" s="229"/>
      <c r="AV302" s="20">
        <v>2</v>
      </c>
      <c r="AW302" s="229"/>
      <c r="AX302" s="20"/>
      <c r="AY302" s="229"/>
      <c r="AZ302" s="20"/>
      <c r="BA302" s="229"/>
      <c r="BB302" s="20">
        <v>1</v>
      </c>
      <c r="BC302" s="229">
        <f t="shared" si="96"/>
        <v>1</v>
      </c>
      <c r="BD302" s="48">
        <f t="shared" si="93"/>
        <v>4</v>
      </c>
      <c r="BE302" s="19">
        <v>14</v>
      </c>
      <c r="BF302" s="229">
        <f t="shared" si="97"/>
        <v>1</v>
      </c>
      <c r="BG302" s="210">
        <f t="shared" si="94"/>
        <v>6</v>
      </c>
      <c r="BH302" s="210">
        <f t="shared" si="85"/>
        <v>14</v>
      </c>
      <c r="BI302" s="213">
        <f t="shared" si="84"/>
        <v>42.857142857142854</v>
      </c>
      <c r="BJ302" s="141"/>
      <c r="BK302" s="201"/>
      <c r="BL302" s="198"/>
      <c r="BM302" s="198"/>
    </row>
    <row r="303" spans="1:65" s="17" customFormat="1" ht="15.95" customHeight="1">
      <c r="A303" s="123">
        <v>189</v>
      </c>
      <c r="B303" s="9" t="s">
        <v>1736</v>
      </c>
      <c r="C303" s="11" t="s">
        <v>1495</v>
      </c>
      <c r="D303" s="229"/>
      <c r="E303" s="13"/>
      <c r="F303" s="229"/>
      <c r="G303" s="13"/>
      <c r="H303" s="229"/>
      <c r="I303" s="13"/>
      <c r="J303" s="229"/>
      <c r="K303" s="13"/>
      <c r="L303" s="229"/>
      <c r="M303" s="13"/>
      <c r="N303" s="229"/>
      <c r="O303" s="13"/>
      <c r="P303" s="229"/>
      <c r="Q303" s="13"/>
      <c r="R303" s="229"/>
      <c r="S303" s="13"/>
      <c r="T303" s="229"/>
      <c r="U303" s="13"/>
      <c r="V303" s="229"/>
      <c r="W303" s="13"/>
      <c r="X303" s="229"/>
      <c r="Y303" s="13"/>
      <c r="Z303" s="229"/>
      <c r="AA303" s="13"/>
      <c r="AB303" s="229">
        <f t="shared" si="95"/>
        <v>0</v>
      </c>
      <c r="AC303" s="228">
        <f t="shared" si="92"/>
        <v>0</v>
      </c>
      <c r="AD303" s="19">
        <v>0</v>
      </c>
      <c r="AE303" s="229"/>
      <c r="AF303" s="20"/>
      <c r="AG303" s="229"/>
      <c r="AH303" s="20"/>
      <c r="AI303" s="229"/>
      <c r="AJ303" s="20"/>
      <c r="AK303" s="229"/>
      <c r="AL303" s="20"/>
      <c r="AM303" s="229"/>
      <c r="AN303" s="20"/>
      <c r="AO303" s="229">
        <v>1</v>
      </c>
      <c r="AP303" s="20">
        <v>1</v>
      </c>
      <c r="AQ303" s="229"/>
      <c r="AR303" s="20"/>
      <c r="AS303" s="229"/>
      <c r="AT303" s="20"/>
      <c r="AU303" s="229"/>
      <c r="AV303" s="20"/>
      <c r="AW303" s="229"/>
      <c r="AX303" s="20"/>
      <c r="AY303" s="229"/>
      <c r="AZ303" s="20"/>
      <c r="BA303" s="229"/>
      <c r="BB303" s="20"/>
      <c r="BC303" s="229">
        <f t="shared" si="96"/>
        <v>1</v>
      </c>
      <c r="BD303" s="48">
        <f t="shared" si="93"/>
        <v>1</v>
      </c>
      <c r="BE303" s="19">
        <v>1</v>
      </c>
      <c r="BF303" s="229">
        <f t="shared" si="97"/>
        <v>1</v>
      </c>
      <c r="BG303" s="210">
        <f t="shared" si="94"/>
        <v>1</v>
      </c>
      <c r="BH303" s="210">
        <f t="shared" si="85"/>
        <v>1</v>
      </c>
      <c r="BI303" s="213">
        <f t="shared" si="84"/>
        <v>100</v>
      </c>
      <c r="BJ303" s="141"/>
      <c r="BK303" s="201"/>
      <c r="BL303" s="198"/>
      <c r="BM303" s="198"/>
    </row>
    <row r="304" spans="1:65" s="17" customFormat="1" ht="21.95" customHeight="1">
      <c r="A304" s="123">
        <v>190</v>
      </c>
      <c r="B304" s="9" t="s">
        <v>218</v>
      </c>
      <c r="C304" s="10" t="s">
        <v>2539</v>
      </c>
      <c r="D304" s="229"/>
      <c r="E304" s="13"/>
      <c r="F304" s="229"/>
      <c r="G304" s="13"/>
      <c r="H304" s="229"/>
      <c r="I304" s="13"/>
      <c r="J304" s="229"/>
      <c r="K304" s="13"/>
      <c r="L304" s="229"/>
      <c r="M304" s="13"/>
      <c r="N304" s="229"/>
      <c r="O304" s="13"/>
      <c r="P304" s="229"/>
      <c r="Q304" s="13"/>
      <c r="R304" s="229"/>
      <c r="S304" s="13"/>
      <c r="T304" s="229"/>
      <c r="U304" s="13"/>
      <c r="V304" s="229"/>
      <c r="W304" s="13"/>
      <c r="X304" s="229"/>
      <c r="Y304" s="13"/>
      <c r="Z304" s="229"/>
      <c r="AA304" s="13"/>
      <c r="AB304" s="229">
        <f t="shared" si="95"/>
        <v>0</v>
      </c>
      <c r="AC304" s="228">
        <f t="shared" si="92"/>
        <v>0</v>
      </c>
      <c r="AD304" s="21">
        <v>0</v>
      </c>
      <c r="AE304" s="229"/>
      <c r="AF304" s="20"/>
      <c r="AG304" s="229"/>
      <c r="AH304" s="20"/>
      <c r="AI304" s="229">
        <v>9</v>
      </c>
      <c r="AJ304" s="20">
        <v>9</v>
      </c>
      <c r="AK304" s="229"/>
      <c r="AL304" s="20"/>
      <c r="AM304" s="229"/>
      <c r="AN304" s="20"/>
      <c r="AO304" s="229">
        <v>4</v>
      </c>
      <c r="AP304" s="20">
        <v>4</v>
      </c>
      <c r="AQ304" s="229"/>
      <c r="AR304" s="20"/>
      <c r="AS304" s="229"/>
      <c r="AT304" s="20"/>
      <c r="AU304" s="229"/>
      <c r="AV304" s="20">
        <v>5</v>
      </c>
      <c r="AW304" s="229"/>
      <c r="AX304" s="20"/>
      <c r="AY304" s="229"/>
      <c r="AZ304" s="20"/>
      <c r="BA304" s="229"/>
      <c r="BB304" s="20">
        <v>3</v>
      </c>
      <c r="BC304" s="229">
        <f t="shared" si="96"/>
        <v>13</v>
      </c>
      <c r="BD304" s="48">
        <f t="shared" si="93"/>
        <v>21</v>
      </c>
      <c r="BE304" s="19">
        <v>7</v>
      </c>
      <c r="BF304" s="229">
        <f t="shared" si="97"/>
        <v>13</v>
      </c>
      <c r="BG304" s="210">
        <f t="shared" si="94"/>
        <v>21</v>
      </c>
      <c r="BH304" s="210">
        <f t="shared" si="85"/>
        <v>7</v>
      </c>
      <c r="BI304" s="213">
        <f t="shared" si="84"/>
        <v>300</v>
      </c>
      <c r="BJ304" s="141"/>
      <c r="BK304" s="201"/>
      <c r="BL304" s="198"/>
      <c r="BM304" s="198"/>
    </row>
    <row r="305" spans="1:65" s="17" customFormat="1" ht="21.95" customHeight="1">
      <c r="A305" s="123">
        <v>191</v>
      </c>
      <c r="B305" s="9" t="s">
        <v>2974</v>
      </c>
      <c r="C305" s="10" t="s">
        <v>2975</v>
      </c>
      <c r="D305" s="229"/>
      <c r="E305" s="13"/>
      <c r="F305" s="229"/>
      <c r="G305" s="13"/>
      <c r="H305" s="229"/>
      <c r="I305" s="13"/>
      <c r="J305" s="229"/>
      <c r="K305" s="13"/>
      <c r="L305" s="229"/>
      <c r="M305" s="13"/>
      <c r="N305" s="229"/>
      <c r="O305" s="13"/>
      <c r="P305" s="229"/>
      <c r="Q305" s="13"/>
      <c r="R305" s="229"/>
      <c r="S305" s="13"/>
      <c r="T305" s="229"/>
      <c r="U305" s="13"/>
      <c r="V305" s="229"/>
      <c r="W305" s="13"/>
      <c r="X305" s="229"/>
      <c r="Y305" s="13"/>
      <c r="Z305" s="229"/>
      <c r="AA305" s="13"/>
      <c r="AB305" s="229">
        <f t="shared" si="95"/>
        <v>0</v>
      </c>
      <c r="AC305" s="228">
        <f t="shared" si="92"/>
        <v>0</v>
      </c>
      <c r="AD305" s="21">
        <v>0</v>
      </c>
      <c r="AE305" s="229"/>
      <c r="AF305" s="20"/>
      <c r="AG305" s="229"/>
      <c r="AH305" s="20"/>
      <c r="AI305" s="229">
        <v>1</v>
      </c>
      <c r="AJ305" s="20">
        <v>1</v>
      </c>
      <c r="AK305" s="229"/>
      <c r="AL305" s="20"/>
      <c r="AM305" s="229"/>
      <c r="AN305" s="20"/>
      <c r="AO305" s="229"/>
      <c r="AP305" s="20"/>
      <c r="AQ305" s="229"/>
      <c r="AR305" s="20"/>
      <c r="AS305" s="229"/>
      <c r="AT305" s="20"/>
      <c r="AU305" s="229"/>
      <c r="AV305" s="20"/>
      <c r="AW305" s="229"/>
      <c r="AX305" s="20"/>
      <c r="AY305" s="229"/>
      <c r="AZ305" s="20"/>
      <c r="BA305" s="229"/>
      <c r="BB305" s="20"/>
      <c r="BC305" s="229">
        <f t="shared" si="96"/>
        <v>1</v>
      </c>
      <c r="BD305" s="48">
        <f t="shared" si="93"/>
        <v>1</v>
      </c>
      <c r="BE305" s="19">
        <v>0</v>
      </c>
      <c r="BF305" s="229">
        <f t="shared" si="97"/>
        <v>1</v>
      </c>
      <c r="BG305" s="210">
        <f t="shared" si="94"/>
        <v>1</v>
      </c>
      <c r="BH305" s="210">
        <f t="shared" si="85"/>
        <v>0</v>
      </c>
      <c r="BI305" s="213" t="e">
        <f t="shared" si="84"/>
        <v>#DIV/0!</v>
      </c>
      <c r="BJ305" s="141"/>
      <c r="BK305" s="201"/>
      <c r="BL305" s="198"/>
      <c r="BM305" s="198"/>
    </row>
    <row r="306" spans="1:65" s="17" customFormat="1" ht="21.95" customHeight="1">
      <c r="A306" s="123">
        <v>192</v>
      </c>
      <c r="B306" s="9" t="s">
        <v>1513</v>
      </c>
      <c r="C306" s="10" t="s">
        <v>2538</v>
      </c>
      <c r="D306" s="229"/>
      <c r="E306" s="13"/>
      <c r="F306" s="229"/>
      <c r="G306" s="13"/>
      <c r="H306" s="229"/>
      <c r="I306" s="13"/>
      <c r="J306" s="229"/>
      <c r="K306" s="13"/>
      <c r="L306" s="229"/>
      <c r="M306" s="13"/>
      <c r="N306" s="229"/>
      <c r="O306" s="13"/>
      <c r="P306" s="229"/>
      <c r="Q306" s="13"/>
      <c r="R306" s="229"/>
      <c r="S306" s="13"/>
      <c r="T306" s="229"/>
      <c r="U306" s="13"/>
      <c r="V306" s="229"/>
      <c r="W306" s="13"/>
      <c r="X306" s="229"/>
      <c r="Y306" s="13"/>
      <c r="Z306" s="229"/>
      <c r="AA306" s="13"/>
      <c r="AB306" s="229">
        <f t="shared" si="95"/>
        <v>0</v>
      </c>
      <c r="AC306" s="228">
        <f t="shared" si="92"/>
        <v>0</v>
      </c>
      <c r="AD306" s="21">
        <v>0</v>
      </c>
      <c r="AE306" s="229"/>
      <c r="AF306" s="20"/>
      <c r="AG306" s="229"/>
      <c r="AH306" s="20"/>
      <c r="AI306" s="229"/>
      <c r="AJ306" s="20"/>
      <c r="AK306" s="229"/>
      <c r="AL306" s="20"/>
      <c r="AM306" s="229"/>
      <c r="AN306" s="20"/>
      <c r="AO306" s="229"/>
      <c r="AP306" s="20"/>
      <c r="AQ306" s="229"/>
      <c r="AR306" s="20"/>
      <c r="AS306" s="229"/>
      <c r="AT306" s="20"/>
      <c r="AU306" s="229"/>
      <c r="AV306" s="20"/>
      <c r="AW306" s="229"/>
      <c r="AX306" s="20"/>
      <c r="AY306" s="229"/>
      <c r="AZ306" s="20"/>
      <c r="BA306" s="229"/>
      <c r="BB306" s="20"/>
      <c r="BC306" s="229">
        <f t="shared" si="96"/>
        <v>0</v>
      </c>
      <c r="BD306" s="48">
        <f t="shared" si="93"/>
        <v>0</v>
      </c>
      <c r="BE306" s="19">
        <v>1</v>
      </c>
      <c r="BF306" s="229">
        <f t="shared" si="97"/>
        <v>0</v>
      </c>
      <c r="BG306" s="210">
        <f t="shared" si="94"/>
        <v>0</v>
      </c>
      <c r="BH306" s="210">
        <f t="shared" si="85"/>
        <v>1</v>
      </c>
      <c r="BI306" s="213">
        <f t="shared" ref="BI306:BI369" si="98">BG306/BH306*100</f>
        <v>0</v>
      </c>
      <c r="BJ306" s="141"/>
      <c r="BK306" s="201"/>
      <c r="BL306" s="198"/>
      <c r="BM306" s="198"/>
    </row>
    <row r="307" spans="1:65" s="17" customFormat="1" ht="15.95" customHeight="1">
      <c r="A307" s="123">
        <v>193</v>
      </c>
      <c r="B307" s="9" t="s">
        <v>2376</v>
      </c>
      <c r="C307" s="11" t="s">
        <v>2377</v>
      </c>
      <c r="D307" s="229"/>
      <c r="E307" s="13"/>
      <c r="F307" s="229"/>
      <c r="G307" s="13"/>
      <c r="H307" s="229"/>
      <c r="I307" s="13"/>
      <c r="J307" s="229"/>
      <c r="K307" s="13"/>
      <c r="L307" s="229"/>
      <c r="M307" s="13"/>
      <c r="N307" s="229"/>
      <c r="O307" s="13"/>
      <c r="P307" s="229"/>
      <c r="Q307" s="13"/>
      <c r="R307" s="229"/>
      <c r="S307" s="13"/>
      <c r="T307" s="229"/>
      <c r="U307" s="13"/>
      <c r="V307" s="229"/>
      <c r="W307" s="13"/>
      <c r="X307" s="229"/>
      <c r="Y307" s="13"/>
      <c r="Z307" s="229"/>
      <c r="AA307" s="13"/>
      <c r="AB307" s="229">
        <f t="shared" si="95"/>
        <v>0</v>
      </c>
      <c r="AC307" s="228">
        <f t="shared" si="92"/>
        <v>0</v>
      </c>
      <c r="AD307" s="21">
        <v>0</v>
      </c>
      <c r="AE307" s="229"/>
      <c r="AF307" s="20"/>
      <c r="AG307" s="229"/>
      <c r="AH307" s="20"/>
      <c r="AI307" s="229"/>
      <c r="AJ307" s="20"/>
      <c r="AK307" s="229"/>
      <c r="AL307" s="20"/>
      <c r="AM307" s="229"/>
      <c r="AN307" s="20"/>
      <c r="AO307" s="229"/>
      <c r="AP307" s="20"/>
      <c r="AQ307" s="229"/>
      <c r="AR307" s="20"/>
      <c r="AS307" s="229"/>
      <c r="AT307" s="20"/>
      <c r="AU307" s="229"/>
      <c r="AV307" s="20"/>
      <c r="AW307" s="229"/>
      <c r="AX307" s="20"/>
      <c r="AY307" s="229"/>
      <c r="AZ307" s="20"/>
      <c r="BA307" s="229"/>
      <c r="BB307" s="20"/>
      <c r="BC307" s="229">
        <f t="shared" si="96"/>
        <v>0</v>
      </c>
      <c r="BD307" s="48">
        <f t="shared" si="93"/>
        <v>0</v>
      </c>
      <c r="BE307" s="19">
        <v>3</v>
      </c>
      <c r="BF307" s="229">
        <f t="shared" si="97"/>
        <v>0</v>
      </c>
      <c r="BG307" s="210">
        <f t="shared" si="94"/>
        <v>0</v>
      </c>
      <c r="BH307" s="210">
        <f t="shared" si="85"/>
        <v>3</v>
      </c>
      <c r="BI307" s="213">
        <f t="shared" si="98"/>
        <v>0</v>
      </c>
      <c r="BJ307" s="141"/>
      <c r="BK307" s="201"/>
      <c r="BL307" s="198"/>
      <c r="BM307" s="198"/>
    </row>
    <row r="308" spans="1:65" s="17" customFormat="1" ht="15.95" customHeight="1">
      <c r="A308" s="123">
        <v>194</v>
      </c>
      <c r="B308" s="9" t="s">
        <v>969</v>
      </c>
      <c r="C308" s="11" t="s">
        <v>1338</v>
      </c>
      <c r="D308" s="229"/>
      <c r="E308" s="13"/>
      <c r="F308" s="229"/>
      <c r="G308" s="13"/>
      <c r="H308" s="229"/>
      <c r="I308" s="13"/>
      <c r="J308" s="229"/>
      <c r="K308" s="13"/>
      <c r="L308" s="229"/>
      <c r="M308" s="13"/>
      <c r="N308" s="229"/>
      <c r="O308" s="13"/>
      <c r="P308" s="229"/>
      <c r="Q308" s="13"/>
      <c r="R308" s="229"/>
      <c r="S308" s="13"/>
      <c r="T308" s="229"/>
      <c r="U308" s="13"/>
      <c r="V308" s="229"/>
      <c r="W308" s="13"/>
      <c r="X308" s="229"/>
      <c r="Y308" s="13"/>
      <c r="Z308" s="229"/>
      <c r="AA308" s="13"/>
      <c r="AB308" s="229">
        <f t="shared" si="95"/>
        <v>0</v>
      </c>
      <c r="AC308" s="228">
        <f t="shared" si="92"/>
        <v>0</v>
      </c>
      <c r="AD308" s="21">
        <v>5</v>
      </c>
      <c r="AE308" s="229"/>
      <c r="AF308" s="20"/>
      <c r="AG308" s="229"/>
      <c r="AH308" s="20"/>
      <c r="AI308" s="229"/>
      <c r="AJ308" s="20"/>
      <c r="AK308" s="229"/>
      <c r="AL308" s="20"/>
      <c r="AM308" s="229"/>
      <c r="AN308" s="20"/>
      <c r="AO308" s="229">
        <v>1</v>
      </c>
      <c r="AP308" s="20">
        <v>1</v>
      </c>
      <c r="AQ308" s="229"/>
      <c r="AR308" s="20"/>
      <c r="AS308" s="229"/>
      <c r="AT308" s="20"/>
      <c r="AU308" s="229"/>
      <c r="AV308" s="20"/>
      <c r="AW308" s="229"/>
      <c r="AX308" s="20"/>
      <c r="AY308" s="229"/>
      <c r="AZ308" s="20"/>
      <c r="BA308" s="229"/>
      <c r="BB308" s="20">
        <v>1</v>
      </c>
      <c r="BC308" s="229">
        <f t="shared" si="96"/>
        <v>1</v>
      </c>
      <c r="BD308" s="48">
        <f t="shared" si="93"/>
        <v>2</v>
      </c>
      <c r="BE308" s="19">
        <v>9</v>
      </c>
      <c r="BF308" s="229">
        <f t="shared" si="97"/>
        <v>1</v>
      </c>
      <c r="BG308" s="210">
        <f t="shared" si="94"/>
        <v>2</v>
      </c>
      <c r="BH308" s="210">
        <f t="shared" si="85"/>
        <v>14</v>
      </c>
      <c r="BI308" s="213">
        <f t="shared" si="98"/>
        <v>14.285714285714285</v>
      </c>
      <c r="BJ308" s="141"/>
      <c r="BK308" s="201"/>
      <c r="BL308" s="198"/>
      <c r="BM308" s="198"/>
    </row>
    <row r="309" spans="1:65" s="17" customFormat="1" ht="15.95" customHeight="1">
      <c r="A309" s="123">
        <v>195</v>
      </c>
      <c r="B309" s="9" t="s">
        <v>219</v>
      </c>
      <c r="C309" s="11" t="s">
        <v>220</v>
      </c>
      <c r="D309" s="229"/>
      <c r="E309" s="13"/>
      <c r="F309" s="229"/>
      <c r="G309" s="13"/>
      <c r="H309" s="229"/>
      <c r="I309" s="13"/>
      <c r="J309" s="229"/>
      <c r="K309" s="13"/>
      <c r="L309" s="229"/>
      <c r="M309" s="13"/>
      <c r="N309" s="229"/>
      <c r="O309" s="13"/>
      <c r="P309" s="229"/>
      <c r="Q309" s="13"/>
      <c r="R309" s="229"/>
      <c r="S309" s="13"/>
      <c r="T309" s="229"/>
      <c r="U309" s="13"/>
      <c r="V309" s="229"/>
      <c r="W309" s="13"/>
      <c r="X309" s="229"/>
      <c r="Y309" s="13"/>
      <c r="Z309" s="229"/>
      <c r="AA309" s="13"/>
      <c r="AB309" s="229">
        <f t="shared" si="95"/>
        <v>0</v>
      </c>
      <c r="AC309" s="228">
        <f t="shared" si="92"/>
        <v>0</v>
      </c>
      <c r="AD309" s="21">
        <v>0</v>
      </c>
      <c r="AE309" s="229"/>
      <c r="AF309" s="20"/>
      <c r="AG309" s="229"/>
      <c r="AH309" s="20"/>
      <c r="AI309" s="229">
        <v>1</v>
      </c>
      <c r="AJ309" s="20">
        <v>1</v>
      </c>
      <c r="AK309" s="229"/>
      <c r="AL309" s="20"/>
      <c r="AM309" s="229"/>
      <c r="AN309" s="20"/>
      <c r="AO309" s="229"/>
      <c r="AP309" s="20"/>
      <c r="AQ309" s="229"/>
      <c r="AR309" s="20"/>
      <c r="AS309" s="229"/>
      <c r="AT309" s="20"/>
      <c r="AU309" s="229"/>
      <c r="AV309" s="20"/>
      <c r="AW309" s="229"/>
      <c r="AX309" s="20"/>
      <c r="AY309" s="229"/>
      <c r="AZ309" s="20"/>
      <c r="BA309" s="229"/>
      <c r="BB309" s="20">
        <f>1+3</f>
        <v>4</v>
      </c>
      <c r="BC309" s="229">
        <f t="shared" si="96"/>
        <v>1</v>
      </c>
      <c r="BD309" s="48">
        <f t="shared" si="93"/>
        <v>5</v>
      </c>
      <c r="BE309" s="19">
        <v>1</v>
      </c>
      <c r="BF309" s="229">
        <f t="shared" si="97"/>
        <v>1</v>
      </c>
      <c r="BG309" s="210">
        <f t="shared" si="94"/>
        <v>5</v>
      </c>
      <c r="BH309" s="210">
        <f t="shared" si="85"/>
        <v>1</v>
      </c>
      <c r="BI309" s="213">
        <f t="shared" si="98"/>
        <v>500</v>
      </c>
      <c r="BJ309" s="141"/>
      <c r="BK309" s="201"/>
      <c r="BL309" s="198"/>
      <c r="BM309" s="198"/>
    </row>
    <row r="310" spans="1:65" s="17" customFormat="1" ht="15.95" customHeight="1">
      <c r="A310" s="123">
        <v>196</v>
      </c>
      <c r="B310" s="9" t="s">
        <v>221</v>
      </c>
      <c r="C310" s="11" t="s">
        <v>222</v>
      </c>
      <c r="D310" s="229"/>
      <c r="E310" s="13"/>
      <c r="F310" s="229"/>
      <c r="G310" s="13"/>
      <c r="H310" s="229"/>
      <c r="I310" s="13"/>
      <c r="J310" s="229"/>
      <c r="K310" s="13"/>
      <c r="L310" s="229"/>
      <c r="M310" s="13"/>
      <c r="N310" s="229"/>
      <c r="O310" s="13"/>
      <c r="P310" s="229"/>
      <c r="Q310" s="13"/>
      <c r="R310" s="229"/>
      <c r="S310" s="13"/>
      <c r="T310" s="229"/>
      <c r="U310" s="13"/>
      <c r="V310" s="229"/>
      <c r="W310" s="13"/>
      <c r="X310" s="229"/>
      <c r="Y310" s="13"/>
      <c r="Z310" s="229"/>
      <c r="AA310" s="13"/>
      <c r="AB310" s="229">
        <f t="shared" si="95"/>
        <v>0</v>
      </c>
      <c r="AC310" s="228">
        <f t="shared" si="92"/>
        <v>0</v>
      </c>
      <c r="AD310" s="21">
        <v>0</v>
      </c>
      <c r="AE310" s="229"/>
      <c r="AF310" s="20"/>
      <c r="AG310" s="229"/>
      <c r="AH310" s="20"/>
      <c r="AI310" s="229">
        <v>5</v>
      </c>
      <c r="AJ310" s="20">
        <v>5</v>
      </c>
      <c r="AK310" s="229"/>
      <c r="AL310" s="20"/>
      <c r="AM310" s="229"/>
      <c r="AN310" s="20"/>
      <c r="AO310" s="229">
        <v>3</v>
      </c>
      <c r="AP310" s="20">
        <v>3</v>
      </c>
      <c r="AQ310" s="229"/>
      <c r="AR310" s="20"/>
      <c r="AS310" s="229"/>
      <c r="AT310" s="20"/>
      <c r="AU310" s="229"/>
      <c r="AV310" s="20">
        <v>5</v>
      </c>
      <c r="AW310" s="229"/>
      <c r="AX310" s="20"/>
      <c r="AY310" s="229"/>
      <c r="AZ310" s="20"/>
      <c r="BA310" s="229"/>
      <c r="BB310" s="20">
        <v>3</v>
      </c>
      <c r="BC310" s="229">
        <f t="shared" si="96"/>
        <v>8</v>
      </c>
      <c r="BD310" s="48">
        <f t="shared" si="93"/>
        <v>16</v>
      </c>
      <c r="BE310" s="19">
        <v>10</v>
      </c>
      <c r="BF310" s="229">
        <f t="shared" si="97"/>
        <v>8</v>
      </c>
      <c r="BG310" s="210">
        <f t="shared" si="94"/>
        <v>16</v>
      </c>
      <c r="BH310" s="210">
        <f t="shared" si="85"/>
        <v>10</v>
      </c>
      <c r="BI310" s="213">
        <f t="shared" si="98"/>
        <v>160</v>
      </c>
      <c r="BJ310" s="141"/>
      <c r="BK310" s="201"/>
      <c r="BL310" s="198"/>
      <c r="BM310" s="198"/>
    </row>
    <row r="311" spans="1:65" s="17" customFormat="1" ht="15.95" customHeight="1">
      <c r="A311" s="123">
        <v>197</v>
      </c>
      <c r="B311" s="9" t="s">
        <v>2649</v>
      </c>
      <c r="C311" s="11" t="s">
        <v>2650</v>
      </c>
      <c r="D311" s="229"/>
      <c r="E311" s="13"/>
      <c r="F311" s="229"/>
      <c r="G311" s="13"/>
      <c r="H311" s="229"/>
      <c r="I311" s="13"/>
      <c r="J311" s="229"/>
      <c r="K311" s="13"/>
      <c r="L311" s="229"/>
      <c r="M311" s="13"/>
      <c r="N311" s="229"/>
      <c r="O311" s="13"/>
      <c r="P311" s="229"/>
      <c r="Q311" s="13"/>
      <c r="R311" s="229"/>
      <c r="S311" s="13"/>
      <c r="T311" s="229"/>
      <c r="U311" s="13"/>
      <c r="V311" s="229"/>
      <c r="W311" s="13"/>
      <c r="X311" s="229"/>
      <c r="Y311" s="13"/>
      <c r="Z311" s="229"/>
      <c r="AA311" s="13"/>
      <c r="AB311" s="229">
        <f t="shared" si="95"/>
        <v>0</v>
      </c>
      <c r="AC311" s="228">
        <f t="shared" si="92"/>
        <v>0</v>
      </c>
      <c r="AD311" s="21">
        <v>0</v>
      </c>
      <c r="AE311" s="229"/>
      <c r="AF311" s="20"/>
      <c r="AG311" s="229"/>
      <c r="AH311" s="20"/>
      <c r="AI311" s="229">
        <v>1</v>
      </c>
      <c r="AJ311" s="20">
        <v>1</v>
      </c>
      <c r="AK311" s="229"/>
      <c r="AL311" s="20"/>
      <c r="AM311" s="229"/>
      <c r="AN311" s="20"/>
      <c r="AO311" s="229"/>
      <c r="AP311" s="20"/>
      <c r="AQ311" s="229"/>
      <c r="AR311" s="20"/>
      <c r="AS311" s="229"/>
      <c r="AT311" s="20"/>
      <c r="AU311" s="229"/>
      <c r="AV311" s="20"/>
      <c r="AW311" s="229"/>
      <c r="AX311" s="20"/>
      <c r="AY311" s="229"/>
      <c r="AZ311" s="20"/>
      <c r="BA311" s="229"/>
      <c r="BB311" s="20"/>
      <c r="BC311" s="229">
        <f t="shared" si="96"/>
        <v>1</v>
      </c>
      <c r="BD311" s="48">
        <f t="shared" si="93"/>
        <v>1</v>
      </c>
      <c r="BE311" s="19">
        <v>3</v>
      </c>
      <c r="BF311" s="229">
        <f t="shared" si="97"/>
        <v>1</v>
      </c>
      <c r="BG311" s="210">
        <f t="shared" si="94"/>
        <v>1</v>
      </c>
      <c r="BH311" s="210">
        <f t="shared" si="85"/>
        <v>3</v>
      </c>
      <c r="BI311" s="213">
        <f t="shared" si="98"/>
        <v>33.333333333333329</v>
      </c>
      <c r="BJ311" s="141"/>
      <c r="BK311" s="201"/>
      <c r="BL311" s="198"/>
      <c r="BM311" s="198"/>
    </row>
    <row r="312" spans="1:65" s="17" customFormat="1" ht="15.95" customHeight="1">
      <c r="A312" s="123">
        <v>198</v>
      </c>
      <c r="B312" s="9" t="s">
        <v>223</v>
      </c>
      <c r="C312" s="11" t="s">
        <v>224</v>
      </c>
      <c r="D312" s="229"/>
      <c r="E312" s="13"/>
      <c r="F312" s="229"/>
      <c r="G312" s="13"/>
      <c r="H312" s="229"/>
      <c r="I312" s="13"/>
      <c r="J312" s="229"/>
      <c r="K312" s="13"/>
      <c r="L312" s="229"/>
      <c r="M312" s="13"/>
      <c r="N312" s="229"/>
      <c r="O312" s="13"/>
      <c r="P312" s="229"/>
      <c r="Q312" s="13"/>
      <c r="R312" s="229"/>
      <c r="S312" s="13"/>
      <c r="T312" s="229"/>
      <c r="U312" s="13"/>
      <c r="V312" s="229"/>
      <c r="W312" s="13"/>
      <c r="X312" s="229"/>
      <c r="Y312" s="13"/>
      <c r="Z312" s="229"/>
      <c r="AA312" s="13"/>
      <c r="AB312" s="229">
        <f t="shared" si="95"/>
        <v>0</v>
      </c>
      <c r="AC312" s="228">
        <f t="shared" si="92"/>
        <v>0</v>
      </c>
      <c r="AD312" s="21">
        <v>0</v>
      </c>
      <c r="AE312" s="229"/>
      <c r="AF312" s="20"/>
      <c r="AG312" s="229"/>
      <c r="AH312" s="20"/>
      <c r="AI312" s="229">
        <v>17</v>
      </c>
      <c r="AJ312" s="20">
        <v>17</v>
      </c>
      <c r="AK312" s="229"/>
      <c r="AL312" s="20"/>
      <c r="AM312" s="229"/>
      <c r="AN312" s="20"/>
      <c r="AO312" s="229">
        <v>10</v>
      </c>
      <c r="AP312" s="20">
        <v>10</v>
      </c>
      <c r="AQ312" s="229"/>
      <c r="AR312" s="20"/>
      <c r="AS312" s="229"/>
      <c r="AT312" s="20"/>
      <c r="AU312" s="229"/>
      <c r="AV312" s="20">
        <v>9</v>
      </c>
      <c r="AW312" s="229"/>
      <c r="AX312" s="20"/>
      <c r="AY312" s="229"/>
      <c r="AZ312" s="20"/>
      <c r="BA312" s="229"/>
      <c r="BB312" s="20">
        <v>14</v>
      </c>
      <c r="BC312" s="229">
        <f t="shared" si="96"/>
        <v>27</v>
      </c>
      <c r="BD312" s="48">
        <f t="shared" si="93"/>
        <v>50</v>
      </c>
      <c r="BE312" s="19">
        <v>28</v>
      </c>
      <c r="BF312" s="229">
        <f t="shared" si="97"/>
        <v>27</v>
      </c>
      <c r="BG312" s="210">
        <f t="shared" si="94"/>
        <v>50</v>
      </c>
      <c r="BH312" s="210">
        <f t="shared" si="85"/>
        <v>28</v>
      </c>
      <c r="BI312" s="213">
        <f t="shared" si="98"/>
        <v>178.57142857142858</v>
      </c>
      <c r="BJ312" s="141"/>
      <c r="BK312" s="201"/>
      <c r="BL312" s="198"/>
      <c r="BM312" s="198"/>
    </row>
    <row r="313" spans="1:65" s="17" customFormat="1" ht="15.95" customHeight="1">
      <c r="A313" s="123">
        <v>199</v>
      </c>
      <c r="B313" s="9" t="s">
        <v>2976</v>
      </c>
      <c r="C313" s="11" t="s">
        <v>2977</v>
      </c>
      <c r="D313" s="229"/>
      <c r="E313" s="13"/>
      <c r="F313" s="229"/>
      <c r="G313" s="13"/>
      <c r="H313" s="229"/>
      <c r="I313" s="13"/>
      <c r="J313" s="229"/>
      <c r="K313" s="13"/>
      <c r="L313" s="229"/>
      <c r="M313" s="13"/>
      <c r="N313" s="229"/>
      <c r="O313" s="13"/>
      <c r="P313" s="229"/>
      <c r="Q313" s="13"/>
      <c r="R313" s="229"/>
      <c r="S313" s="13"/>
      <c r="T313" s="229"/>
      <c r="U313" s="13"/>
      <c r="V313" s="229"/>
      <c r="W313" s="13"/>
      <c r="X313" s="229"/>
      <c r="Y313" s="13"/>
      <c r="Z313" s="229"/>
      <c r="AA313" s="13"/>
      <c r="AB313" s="229">
        <f t="shared" si="95"/>
        <v>0</v>
      </c>
      <c r="AC313" s="228">
        <f t="shared" si="92"/>
        <v>0</v>
      </c>
      <c r="AD313" s="21">
        <v>0</v>
      </c>
      <c r="AE313" s="229"/>
      <c r="AF313" s="20"/>
      <c r="AG313" s="229"/>
      <c r="AH313" s="20"/>
      <c r="AI313" s="229">
        <v>1</v>
      </c>
      <c r="AJ313" s="20">
        <v>1</v>
      </c>
      <c r="AK313" s="229"/>
      <c r="AL313" s="20"/>
      <c r="AM313" s="229"/>
      <c r="AN313" s="20"/>
      <c r="AO313" s="229"/>
      <c r="AP313" s="20"/>
      <c r="AQ313" s="229"/>
      <c r="AR313" s="20"/>
      <c r="AS313" s="229"/>
      <c r="AT313" s="20"/>
      <c r="AU313" s="229"/>
      <c r="AV313" s="20"/>
      <c r="AW313" s="229"/>
      <c r="AX313" s="20"/>
      <c r="AY313" s="229"/>
      <c r="AZ313" s="20"/>
      <c r="BA313" s="229"/>
      <c r="BB313" s="20">
        <v>1</v>
      </c>
      <c r="BC313" s="229">
        <f t="shared" si="96"/>
        <v>1</v>
      </c>
      <c r="BD313" s="48">
        <f t="shared" si="93"/>
        <v>2</v>
      </c>
      <c r="BE313" s="19">
        <v>0</v>
      </c>
      <c r="BF313" s="229">
        <f t="shared" si="97"/>
        <v>1</v>
      </c>
      <c r="BG313" s="210">
        <f t="shared" si="94"/>
        <v>2</v>
      </c>
      <c r="BH313" s="210">
        <f t="shared" si="85"/>
        <v>0</v>
      </c>
      <c r="BI313" s="213" t="e">
        <f t="shared" si="98"/>
        <v>#DIV/0!</v>
      </c>
      <c r="BJ313" s="141"/>
      <c r="BK313" s="201"/>
      <c r="BL313" s="198"/>
      <c r="BM313" s="198"/>
    </row>
    <row r="314" spans="1:65" s="17" customFormat="1" ht="15.95" customHeight="1">
      <c r="A314" s="123">
        <v>200</v>
      </c>
      <c r="B314" s="9" t="s">
        <v>3039</v>
      </c>
      <c r="C314" s="11" t="s">
        <v>3040</v>
      </c>
      <c r="D314" s="229"/>
      <c r="E314" s="13"/>
      <c r="F314" s="229"/>
      <c r="G314" s="13"/>
      <c r="H314" s="229"/>
      <c r="I314" s="13"/>
      <c r="J314" s="229"/>
      <c r="K314" s="13"/>
      <c r="L314" s="229"/>
      <c r="M314" s="13"/>
      <c r="N314" s="229"/>
      <c r="O314" s="13"/>
      <c r="P314" s="229"/>
      <c r="Q314" s="13"/>
      <c r="R314" s="229"/>
      <c r="S314" s="13"/>
      <c r="T314" s="229"/>
      <c r="U314" s="13"/>
      <c r="V314" s="229"/>
      <c r="W314" s="13"/>
      <c r="X314" s="229"/>
      <c r="Y314" s="13"/>
      <c r="Z314" s="229"/>
      <c r="AA314" s="13"/>
      <c r="AB314" s="229">
        <f t="shared" si="95"/>
        <v>0</v>
      </c>
      <c r="AC314" s="228">
        <f t="shared" si="92"/>
        <v>0</v>
      </c>
      <c r="AD314" s="21">
        <v>0</v>
      </c>
      <c r="AE314" s="229"/>
      <c r="AF314" s="20"/>
      <c r="AG314" s="229"/>
      <c r="AH314" s="20"/>
      <c r="AI314" s="229"/>
      <c r="AJ314" s="20"/>
      <c r="AK314" s="229"/>
      <c r="AL314" s="20"/>
      <c r="AM314" s="229"/>
      <c r="AN314" s="20"/>
      <c r="AO314" s="229">
        <v>1</v>
      </c>
      <c r="AP314" s="20">
        <v>1</v>
      </c>
      <c r="AQ314" s="229"/>
      <c r="AR314" s="20"/>
      <c r="AS314" s="229"/>
      <c r="AT314" s="20"/>
      <c r="AU314" s="229"/>
      <c r="AV314" s="20">
        <v>2</v>
      </c>
      <c r="AW314" s="229"/>
      <c r="AX314" s="20"/>
      <c r="AY314" s="229"/>
      <c r="AZ314" s="20"/>
      <c r="BA314" s="229"/>
      <c r="BB314" s="20">
        <v>1</v>
      </c>
      <c r="BC314" s="229">
        <f t="shared" si="96"/>
        <v>1</v>
      </c>
      <c r="BD314" s="48">
        <f t="shared" si="93"/>
        <v>4</v>
      </c>
      <c r="BE314" s="19">
        <v>0</v>
      </c>
      <c r="BF314" s="229"/>
      <c r="BG314" s="210">
        <f t="shared" si="94"/>
        <v>4</v>
      </c>
      <c r="BH314" s="210">
        <f t="shared" si="85"/>
        <v>0</v>
      </c>
      <c r="BI314" s="213" t="e">
        <f t="shared" si="98"/>
        <v>#DIV/0!</v>
      </c>
      <c r="BJ314" s="141"/>
      <c r="BK314" s="201"/>
      <c r="BL314" s="198"/>
      <c r="BM314" s="198"/>
    </row>
    <row r="315" spans="1:65" s="17" customFormat="1" ht="15.95" customHeight="1">
      <c r="A315" s="123">
        <v>201</v>
      </c>
      <c r="B315" s="9" t="s">
        <v>2978</v>
      </c>
      <c r="C315" s="11" t="s">
        <v>2979</v>
      </c>
      <c r="D315" s="229"/>
      <c r="E315" s="13"/>
      <c r="F315" s="229"/>
      <c r="G315" s="13"/>
      <c r="H315" s="229"/>
      <c r="I315" s="13"/>
      <c r="J315" s="229"/>
      <c r="K315" s="13"/>
      <c r="L315" s="229"/>
      <c r="M315" s="13"/>
      <c r="N315" s="229"/>
      <c r="O315" s="13"/>
      <c r="P315" s="229"/>
      <c r="Q315" s="13"/>
      <c r="R315" s="229"/>
      <c r="S315" s="13"/>
      <c r="T315" s="229"/>
      <c r="U315" s="13"/>
      <c r="V315" s="229"/>
      <c r="W315" s="13"/>
      <c r="X315" s="229"/>
      <c r="Y315" s="13"/>
      <c r="Z315" s="229"/>
      <c r="AA315" s="13"/>
      <c r="AB315" s="229">
        <f t="shared" si="95"/>
        <v>0</v>
      </c>
      <c r="AC315" s="228">
        <f t="shared" si="92"/>
        <v>0</v>
      </c>
      <c r="AD315" s="21">
        <v>0</v>
      </c>
      <c r="AE315" s="229"/>
      <c r="AF315" s="20"/>
      <c r="AG315" s="229"/>
      <c r="AH315" s="20"/>
      <c r="AI315" s="229">
        <v>1</v>
      </c>
      <c r="AJ315" s="20">
        <v>1</v>
      </c>
      <c r="AK315" s="229"/>
      <c r="AL315" s="20"/>
      <c r="AM315" s="229"/>
      <c r="AN315" s="20"/>
      <c r="AO315" s="229">
        <v>1</v>
      </c>
      <c r="AP315" s="20">
        <v>1</v>
      </c>
      <c r="AQ315" s="229"/>
      <c r="AR315" s="20"/>
      <c r="AS315" s="229"/>
      <c r="AT315" s="20"/>
      <c r="AU315" s="229"/>
      <c r="AV315" s="20">
        <v>1</v>
      </c>
      <c r="AW315" s="229"/>
      <c r="AX315" s="20"/>
      <c r="AY315" s="229"/>
      <c r="AZ315" s="20"/>
      <c r="BA315" s="229"/>
      <c r="BB315" s="20">
        <v>1</v>
      </c>
      <c r="BC315" s="229">
        <f t="shared" si="96"/>
        <v>2</v>
      </c>
      <c r="BD315" s="48">
        <f t="shared" si="93"/>
        <v>4</v>
      </c>
      <c r="BE315" s="19">
        <v>0</v>
      </c>
      <c r="BF315" s="229">
        <f>AB315+BC315</f>
        <v>2</v>
      </c>
      <c r="BG315" s="210">
        <f t="shared" si="94"/>
        <v>4</v>
      </c>
      <c r="BH315" s="210">
        <f t="shared" si="85"/>
        <v>0</v>
      </c>
      <c r="BI315" s="213" t="e">
        <f t="shared" si="98"/>
        <v>#DIV/0!</v>
      </c>
      <c r="BJ315" s="141"/>
      <c r="BK315" s="201"/>
      <c r="BL315" s="198"/>
      <c r="BM315" s="198"/>
    </row>
    <row r="316" spans="1:65" s="17" customFormat="1" ht="15.95" customHeight="1">
      <c r="A316" s="123">
        <v>202</v>
      </c>
      <c r="B316" s="9" t="s">
        <v>2651</v>
      </c>
      <c r="C316" s="11" t="s">
        <v>2652</v>
      </c>
      <c r="D316" s="229"/>
      <c r="E316" s="13"/>
      <c r="F316" s="229"/>
      <c r="G316" s="13"/>
      <c r="H316" s="229"/>
      <c r="I316" s="13"/>
      <c r="J316" s="229"/>
      <c r="K316" s="13"/>
      <c r="L316" s="229"/>
      <c r="M316" s="13"/>
      <c r="N316" s="229"/>
      <c r="O316" s="13"/>
      <c r="P316" s="229"/>
      <c r="Q316" s="13"/>
      <c r="R316" s="229"/>
      <c r="S316" s="13"/>
      <c r="T316" s="229"/>
      <c r="U316" s="13"/>
      <c r="V316" s="229"/>
      <c r="W316" s="13"/>
      <c r="X316" s="229"/>
      <c r="Y316" s="13"/>
      <c r="Z316" s="229"/>
      <c r="AA316" s="13"/>
      <c r="AB316" s="229">
        <f t="shared" si="95"/>
        <v>0</v>
      </c>
      <c r="AC316" s="228">
        <f t="shared" si="92"/>
        <v>0</v>
      </c>
      <c r="AD316" s="21">
        <v>0</v>
      </c>
      <c r="AE316" s="229"/>
      <c r="AF316" s="20"/>
      <c r="AG316" s="229"/>
      <c r="AH316" s="20"/>
      <c r="AI316" s="229"/>
      <c r="AJ316" s="20"/>
      <c r="AK316" s="229"/>
      <c r="AL316" s="20"/>
      <c r="AM316" s="229"/>
      <c r="AN316" s="20"/>
      <c r="AO316" s="229"/>
      <c r="AP316" s="20"/>
      <c r="AQ316" s="229"/>
      <c r="AR316" s="20"/>
      <c r="AS316" s="229"/>
      <c r="AT316" s="20"/>
      <c r="AU316" s="229"/>
      <c r="AV316" s="20"/>
      <c r="AW316" s="229"/>
      <c r="AX316" s="20"/>
      <c r="AY316" s="229"/>
      <c r="AZ316" s="20"/>
      <c r="BA316" s="229"/>
      <c r="BB316" s="20"/>
      <c r="BC316" s="229">
        <f t="shared" si="96"/>
        <v>0</v>
      </c>
      <c r="BD316" s="48">
        <f t="shared" si="93"/>
        <v>0</v>
      </c>
      <c r="BE316" s="19">
        <v>4</v>
      </c>
      <c r="BF316" s="229">
        <f>AB316+BC316</f>
        <v>0</v>
      </c>
      <c r="BG316" s="210">
        <f t="shared" si="94"/>
        <v>0</v>
      </c>
      <c r="BH316" s="210">
        <f t="shared" si="85"/>
        <v>4</v>
      </c>
      <c r="BI316" s="213">
        <f t="shared" si="98"/>
        <v>0</v>
      </c>
      <c r="BJ316" s="141"/>
      <c r="BK316" s="201"/>
      <c r="BL316" s="198"/>
      <c r="BM316" s="198"/>
    </row>
    <row r="317" spans="1:65" s="17" customFormat="1" ht="15.95" customHeight="1">
      <c r="A317" s="123">
        <v>203</v>
      </c>
      <c r="B317" s="9" t="s">
        <v>225</v>
      </c>
      <c r="C317" s="11" t="s">
        <v>2417</v>
      </c>
      <c r="D317" s="229"/>
      <c r="E317" s="13"/>
      <c r="F317" s="229"/>
      <c r="G317" s="13"/>
      <c r="H317" s="229"/>
      <c r="I317" s="13"/>
      <c r="J317" s="229"/>
      <c r="K317" s="13"/>
      <c r="L317" s="229"/>
      <c r="M317" s="13"/>
      <c r="N317" s="229"/>
      <c r="O317" s="13"/>
      <c r="P317" s="229"/>
      <c r="Q317" s="13"/>
      <c r="R317" s="229"/>
      <c r="S317" s="13"/>
      <c r="T317" s="229"/>
      <c r="U317" s="13"/>
      <c r="V317" s="229"/>
      <c r="W317" s="13"/>
      <c r="X317" s="229"/>
      <c r="Y317" s="13"/>
      <c r="Z317" s="229"/>
      <c r="AA317" s="13"/>
      <c r="AB317" s="229">
        <f t="shared" si="95"/>
        <v>0</v>
      </c>
      <c r="AC317" s="228">
        <f t="shared" si="92"/>
        <v>0</v>
      </c>
      <c r="AD317" s="21">
        <v>0</v>
      </c>
      <c r="AE317" s="229"/>
      <c r="AF317" s="20"/>
      <c r="AG317" s="229"/>
      <c r="AH317" s="20"/>
      <c r="AI317" s="229"/>
      <c r="AJ317" s="20"/>
      <c r="AK317" s="229"/>
      <c r="AL317" s="20"/>
      <c r="AM317" s="229"/>
      <c r="AN317" s="20"/>
      <c r="AO317" s="229">
        <v>2</v>
      </c>
      <c r="AP317" s="20">
        <v>2</v>
      </c>
      <c r="AQ317" s="229"/>
      <c r="AR317" s="20"/>
      <c r="AS317" s="229"/>
      <c r="AT317" s="20"/>
      <c r="AU317" s="229"/>
      <c r="AV317" s="20">
        <v>2</v>
      </c>
      <c r="AW317" s="229"/>
      <c r="AX317" s="20"/>
      <c r="AY317" s="229"/>
      <c r="AZ317" s="20"/>
      <c r="BA317" s="229"/>
      <c r="BB317" s="20">
        <v>2</v>
      </c>
      <c r="BC317" s="229">
        <f t="shared" si="96"/>
        <v>2</v>
      </c>
      <c r="BD317" s="48">
        <f t="shared" si="93"/>
        <v>6</v>
      </c>
      <c r="BE317" s="19">
        <v>4</v>
      </c>
      <c r="BF317" s="229">
        <f>AB317+BC317</f>
        <v>2</v>
      </c>
      <c r="BG317" s="210">
        <f t="shared" si="94"/>
        <v>6</v>
      </c>
      <c r="BH317" s="210">
        <f t="shared" si="85"/>
        <v>4</v>
      </c>
      <c r="BI317" s="213">
        <f t="shared" si="98"/>
        <v>150</v>
      </c>
      <c r="BJ317" s="141"/>
      <c r="BK317" s="201"/>
      <c r="BL317" s="198"/>
      <c r="BM317" s="198"/>
    </row>
    <row r="318" spans="1:65" s="17" customFormat="1" ht="15.95" customHeight="1">
      <c r="A318" s="123">
        <v>204</v>
      </c>
      <c r="B318" s="9" t="s">
        <v>1429</v>
      </c>
      <c r="C318" s="11" t="s">
        <v>2535</v>
      </c>
      <c r="D318" s="229"/>
      <c r="E318" s="13"/>
      <c r="F318" s="229"/>
      <c r="G318" s="13"/>
      <c r="H318" s="229"/>
      <c r="I318" s="13"/>
      <c r="J318" s="229"/>
      <c r="K318" s="13"/>
      <c r="L318" s="229"/>
      <c r="M318" s="13"/>
      <c r="N318" s="229"/>
      <c r="O318" s="13"/>
      <c r="P318" s="229"/>
      <c r="Q318" s="13"/>
      <c r="R318" s="229"/>
      <c r="S318" s="13"/>
      <c r="T318" s="229"/>
      <c r="U318" s="13"/>
      <c r="V318" s="229"/>
      <c r="W318" s="13"/>
      <c r="X318" s="229"/>
      <c r="Y318" s="13"/>
      <c r="Z318" s="229"/>
      <c r="AA318" s="13"/>
      <c r="AB318" s="229">
        <f t="shared" si="95"/>
        <v>0</v>
      </c>
      <c r="AC318" s="228">
        <f t="shared" si="92"/>
        <v>0</v>
      </c>
      <c r="AD318" s="21">
        <v>0</v>
      </c>
      <c r="AE318" s="229"/>
      <c r="AF318" s="20"/>
      <c r="AG318" s="229"/>
      <c r="AH318" s="20"/>
      <c r="AI318" s="229">
        <v>1</v>
      </c>
      <c r="AJ318" s="20">
        <v>1</v>
      </c>
      <c r="AK318" s="229"/>
      <c r="AL318" s="20"/>
      <c r="AM318" s="229"/>
      <c r="AN318" s="20"/>
      <c r="AO318" s="229"/>
      <c r="AP318" s="20"/>
      <c r="AQ318" s="229"/>
      <c r="AR318" s="20"/>
      <c r="AS318" s="229"/>
      <c r="AT318" s="20"/>
      <c r="AU318" s="229"/>
      <c r="AV318" s="20"/>
      <c r="AW318" s="229"/>
      <c r="AX318" s="20"/>
      <c r="AY318" s="229"/>
      <c r="AZ318" s="20"/>
      <c r="BA318" s="229"/>
      <c r="BB318" s="20"/>
      <c r="BC318" s="229">
        <f t="shared" si="96"/>
        <v>1</v>
      </c>
      <c r="BD318" s="48">
        <f t="shared" si="93"/>
        <v>1</v>
      </c>
      <c r="BE318" s="19">
        <v>2</v>
      </c>
      <c r="BF318" s="229">
        <f>AB318+BC318</f>
        <v>1</v>
      </c>
      <c r="BG318" s="210">
        <f t="shared" si="94"/>
        <v>1</v>
      </c>
      <c r="BH318" s="210">
        <f t="shared" ref="BH318:BH381" si="99">AD318+BE318</f>
        <v>2</v>
      </c>
      <c r="BI318" s="213">
        <f t="shared" si="98"/>
        <v>50</v>
      </c>
      <c r="BJ318" s="141"/>
      <c r="BK318" s="201"/>
      <c r="BL318" s="198"/>
      <c r="BM318" s="198"/>
    </row>
    <row r="319" spans="1:65" s="17" customFormat="1" ht="15.95" customHeight="1">
      <c r="A319" s="123">
        <v>205</v>
      </c>
      <c r="B319" s="9" t="s">
        <v>3077</v>
      </c>
      <c r="C319" s="11" t="s">
        <v>3078</v>
      </c>
      <c r="D319" s="229"/>
      <c r="E319" s="13"/>
      <c r="F319" s="229"/>
      <c r="G319" s="13"/>
      <c r="H319" s="229"/>
      <c r="I319" s="13"/>
      <c r="J319" s="229"/>
      <c r="K319" s="13"/>
      <c r="L319" s="229"/>
      <c r="M319" s="13"/>
      <c r="N319" s="229"/>
      <c r="O319" s="13"/>
      <c r="P319" s="229"/>
      <c r="Q319" s="13"/>
      <c r="R319" s="229"/>
      <c r="S319" s="13"/>
      <c r="T319" s="229"/>
      <c r="U319" s="13"/>
      <c r="V319" s="229"/>
      <c r="W319" s="13"/>
      <c r="X319" s="229"/>
      <c r="Y319" s="13"/>
      <c r="Z319" s="229"/>
      <c r="AA319" s="13"/>
      <c r="AB319" s="229"/>
      <c r="AC319" s="228">
        <f t="shared" si="92"/>
        <v>0</v>
      </c>
      <c r="AD319" s="21">
        <v>0</v>
      </c>
      <c r="AE319" s="229"/>
      <c r="AF319" s="20"/>
      <c r="AG319" s="229"/>
      <c r="AH319" s="20"/>
      <c r="AI319" s="229"/>
      <c r="AJ319" s="20"/>
      <c r="AK319" s="229"/>
      <c r="AL319" s="20"/>
      <c r="AM319" s="229"/>
      <c r="AN319" s="20"/>
      <c r="AO319" s="229"/>
      <c r="AP319" s="20">
        <v>1</v>
      </c>
      <c r="AQ319" s="229"/>
      <c r="AR319" s="20"/>
      <c r="AS319" s="229"/>
      <c r="AT319" s="20"/>
      <c r="AU319" s="229"/>
      <c r="AV319" s="20"/>
      <c r="AW319" s="229"/>
      <c r="AX319" s="20"/>
      <c r="AY319" s="229"/>
      <c r="AZ319" s="20"/>
      <c r="BA319" s="229"/>
      <c r="BB319" s="20"/>
      <c r="BC319" s="229"/>
      <c r="BD319" s="48">
        <f t="shared" si="93"/>
        <v>1</v>
      </c>
      <c r="BE319" s="19">
        <v>0</v>
      </c>
      <c r="BF319" s="229"/>
      <c r="BG319" s="210">
        <f t="shared" si="94"/>
        <v>1</v>
      </c>
      <c r="BH319" s="210">
        <f t="shared" si="99"/>
        <v>0</v>
      </c>
      <c r="BI319" s="213" t="e">
        <f t="shared" si="98"/>
        <v>#DIV/0!</v>
      </c>
      <c r="BJ319" s="141"/>
      <c r="BK319" s="201"/>
      <c r="BL319" s="198"/>
      <c r="BM319" s="198"/>
    </row>
    <row r="320" spans="1:65" s="17" customFormat="1" ht="15.95" customHeight="1">
      <c r="A320" s="123">
        <v>206</v>
      </c>
      <c r="B320" s="9" t="s">
        <v>2378</v>
      </c>
      <c r="C320" s="189" t="s">
        <v>2536</v>
      </c>
      <c r="D320" s="229"/>
      <c r="E320" s="13"/>
      <c r="F320" s="229"/>
      <c r="G320" s="13"/>
      <c r="H320" s="229"/>
      <c r="I320" s="13"/>
      <c r="J320" s="229"/>
      <c r="K320" s="13"/>
      <c r="L320" s="229"/>
      <c r="M320" s="13"/>
      <c r="N320" s="229"/>
      <c r="O320" s="13"/>
      <c r="P320" s="229"/>
      <c r="Q320" s="13"/>
      <c r="R320" s="229"/>
      <c r="S320" s="13"/>
      <c r="T320" s="229"/>
      <c r="U320" s="13"/>
      <c r="V320" s="229"/>
      <c r="W320" s="13"/>
      <c r="X320" s="229"/>
      <c r="Y320" s="13"/>
      <c r="Z320" s="229"/>
      <c r="AA320" s="13"/>
      <c r="AB320" s="229">
        <f t="shared" ref="AB320:AB328" si="100">D320+F320+H320+J320+L320+N320+P320+R320+T320+V320+X320+Z320</f>
        <v>0</v>
      </c>
      <c r="AC320" s="228">
        <f t="shared" si="92"/>
        <v>0</v>
      </c>
      <c r="AD320" s="21">
        <v>0</v>
      </c>
      <c r="AE320" s="229"/>
      <c r="AF320" s="20"/>
      <c r="AG320" s="229"/>
      <c r="AH320" s="20"/>
      <c r="AI320" s="229">
        <v>1</v>
      </c>
      <c r="AJ320" s="20">
        <v>1</v>
      </c>
      <c r="AK320" s="229"/>
      <c r="AL320" s="20"/>
      <c r="AM320" s="229"/>
      <c r="AN320" s="20"/>
      <c r="AO320" s="229">
        <v>1</v>
      </c>
      <c r="AP320" s="20">
        <v>1</v>
      </c>
      <c r="AQ320" s="229"/>
      <c r="AR320" s="20"/>
      <c r="AS320" s="229"/>
      <c r="AT320" s="20"/>
      <c r="AU320" s="229"/>
      <c r="AV320" s="20"/>
      <c r="AW320" s="229"/>
      <c r="AX320" s="20"/>
      <c r="AY320" s="229"/>
      <c r="AZ320" s="20"/>
      <c r="BA320" s="229"/>
      <c r="BB320" s="20">
        <v>1</v>
      </c>
      <c r="BC320" s="229">
        <f t="shared" ref="BC320:BC328" si="101">AE320+AG320+AI320+AK320+AM320+AO320+AQ320+AS320+AU320+AW320+AY320+BA320</f>
        <v>2</v>
      </c>
      <c r="BD320" s="48">
        <f t="shared" si="93"/>
        <v>3</v>
      </c>
      <c r="BE320" s="19">
        <v>5</v>
      </c>
      <c r="BF320" s="229">
        <f t="shared" ref="BF320:BF328" si="102">AB320+BC320</f>
        <v>2</v>
      </c>
      <c r="BG320" s="210">
        <f t="shared" si="94"/>
        <v>3</v>
      </c>
      <c r="BH320" s="210">
        <f t="shared" si="99"/>
        <v>5</v>
      </c>
      <c r="BI320" s="213">
        <f t="shared" si="98"/>
        <v>60</v>
      </c>
      <c r="BJ320" s="141"/>
      <c r="BK320" s="201"/>
      <c r="BL320" s="198"/>
      <c r="BM320" s="198"/>
    </row>
    <row r="321" spans="1:65" s="17" customFormat="1" ht="21.95" customHeight="1">
      <c r="A321" s="123">
        <v>207</v>
      </c>
      <c r="B321" s="9" t="s">
        <v>226</v>
      </c>
      <c r="C321" s="10" t="s">
        <v>2534</v>
      </c>
      <c r="D321" s="229"/>
      <c r="E321" s="13"/>
      <c r="F321" s="229"/>
      <c r="G321" s="13"/>
      <c r="H321" s="229"/>
      <c r="I321" s="13"/>
      <c r="J321" s="229"/>
      <c r="K321" s="13"/>
      <c r="L321" s="229"/>
      <c r="M321" s="13"/>
      <c r="N321" s="229"/>
      <c r="O321" s="13"/>
      <c r="P321" s="229"/>
      <c r="Q321" s="13"/>
      <c r="R321" s="229"/>
      <c r="S321" s="13"/>
      <c r="T321" s="229"/>
      <c r="U321" s="13"/>
      <c r="V321" s="229"/>
      <c r="W321" s="13"/>
      <c r="X321" s="229"/>
      <c r="Y321" s="13"/>
      <c r="Z321" s="229"/>
      <c r="AA321" s="13"/>
      <c r="AB321" s="229">
        <f t="shared" si="100"/>
        <v>0</v>
      </c>
      <c r="AC321" s="228">
        <f t="shared" si="92"/>
        <v>0</v>
      </c>
      <c r="AD321" s="21">
        <v>0</v>
      </c>
      <c r="AE321" s="229"/>
      <c r="AF321" s="20"/>
      <c r="AG321" s="229"/>
      <c r="AH321" s="20"/>
      <c r="AI321" s="229">
        <v>1</v>
      </c>
      <c r="AJ321" s="20">
        <v>1</v>
      </c>
      <c r="AK321" s="229"/>
      <c r="AL321" s="20"/>
      <c r="AM321" s="229"/>
      <c r="AN321" s="20"/>
      <c r="AO321" s="229">
        <v>2</v>
      </c>
      <c r="AP321" s="20">
        <v>2</v>
      </c>
      <c r="AQ321" s="229"/>
      <c r="AR321" s="20"/>
      <c r="AS321" s="229"/>
      <c r="AT321" s="20"/>
      <c r="AU321" s="229"/>
      <c r="AV321" s="20">
        <v>1</v>
      </c>
      <c r="AW321" s="229"/>
      <c r="AX321" s="20"/>
      <c r="AY321" s="229"/>
      <c r="AZ321" s="20"/>
      <c r="BA321" s="229"/>
      <c r="BB321" s="20">
        <v>2</v>
      </c>
      <c r="BC321" s="229">
        <f t="shared" si="101"/>
        <v>3</v>
      </c>
      <c r="BD321" s="48">
        <f t="shared" si="93"/>
        <v>6</v>
      </c>
      <c r="BE321" s="19">
        <v>7</v>
      </c>
      <c r="BF321" s="229">
        <f t="shared" si="102"/>
        <v>3</v>
      </c>
      <c r="BG321" s="210">
        <f t="shared" si="94"/>
        <v>6</v>
      </c>
      <c r="BH321" s="210">
        <f t="shared" si="99"/>
        <v>7</v>
      </c>
      <c r="BI321" s="213">
        <f t="shared" si="98"/>
        <v>85.714285714285708</v>
      </c>
      <c r="BJ321" s="141"/>
      <c r="BK321" s="201"/>
      <c r="BL321" s="198"/>
      <c r="BM321" s="198"/>
    </row>
    <row r="322" spans="1:65" s="17" customFormat="1" ht="21.95" customHeight="1">
      <c r="A322" s="123">
        <v>208</v>
      </c>
      <c r="B322" s="9" t="s">
        <v>2379</v>
      </c>
      <c r="C322" s="10" t="s">
        <v>2532</v>
      </c>
      <c r="D322" s="229"/>
      <c r="E322" s="13"/>
      <c r="F322" s="229"/>
      <c r="G322" s="13"/>
      <c r="H322" s="229"/>
      <c r="I322" s="13"/>
      <c r="J322" s="229"/>
      <c r="K322" s="13"/>
      <c r="L322" s="229"/>
      <c r="M322" s="13"/>
      <c r="N322" s="229"/>
      <c r="O322" s="13"/>
      <c r="P322" s="229"/>
      <c r="Q322" s="13"/>
      <c r="R322" s="229"/>
      <c r="S322" s="13"/>
      <c r="T322" s="229"/>
      <c r="U322" s="13"/>
      <c r="V322" s="229"/>
      <c r="W322" s="13"/>
      <c r="X322" s="229"/>
      <c r="Y322" s="13"/>
      <c r="Z322" s="229"/>
      <c r="AA322" s="13"/>
      <c r="AB322" s="229">
        <f t="shared" si="100"/>
        <v>0</v>
      </c>
      <c r="AC322" s="228">
        <f t="shared" si="92"/>
        <v>0</v>
      </c>
      <c r="AD322" s="21">
        <v>0</v>
      </c>
      <c r="AE322" s="229"/>
      <c r="AF322" s="20"/>
      <c r="AG322" s="229"/>
      <c r="AH322" s="20"/>
      <c r="AI322" s="229">
        <v>1</v>
      </c>
      <c r="AJ322" s="20">
        <v>1</v>
      </c>
      <c r="AK322" s="229"/>
      <c r="AL322" s="20"/>
      <c r="AM322" s="229"/>
      <c r="AN322" s="20"/>
      <c r="AO322" s="229"/>
      <c r="AP322" s="20"/>
      <c r="AQ322" s="229"/>
      <c r="AR322" s="20"/>
      <c r="AS322" s="229"/>
      <c r="AT322" s="20"/>
      <c r="AU322" s="229"/>
      <c r="AV322" s="20"/>
      <c r="AW322" s="229"/>
      <c r="AX322" s="20"/>
      <c r="AY322" s="229"/>
      <c r="AZ322" s="20"/>
      <c r="BA322" s="229"/>
      <c r="BB322" s="20"/>
      <c r="BC322" s="229">
        <f t="shared" si="101"/>
        <v>1</v>
      </c>
      <c r="BD322" s="48">
        <f t="shared" si="93"/>
        <v>1</v>
      </c>
      <c r="BE322" s="19">
        <v>2</v>
      </c>
      <c r="BF322" s="229">
        <f t="shared" si="102"/>
        <v>1</v>
      </c>
      <c r="BG322" s="210">
        <f t="shared" si="94"/>
        <v>1</v>
      </c>
      <c r="BH322" s="210">
        <f t="shared" si="99"/>
        <v>2</v>
      </c>
      <c r="BI322" s="213">
        <f t="shared" si="98"/>
        <v>50</v>
      </c>
      <c r="BJ322" s="141"/>
      <c r="BK322" s="201"/>
      <c r="BL322" s="198"/>
      <c r="BM322" s="198"/>
    </row>
    <row r="323" spans="1:65" s="17" customFormat="1" ht="21.95" customHeight="1">
      <c r="A323" s="123">
        <v>209</v>
      </c>
      <c r="B323" s="9" t="s">
        <v>2980</v>
      </c>
      <c r="C323" s="10" t="s">
        <v>2981</v>
      </c>
      <c r="D323" s="229"/>
      <c r="E323" s="13"/>
      <c r="F323" s="229"/>
      <c r="G323" s="13"/>
      <c r="H323" s="229"/>
      <c r="I323" s="13"/>
      <c r="J323" s="229"/>
      <c r="K323" s="13"/>
      <c r="L323" s="229"/>
      <c r="M323" s="13"/>
      <c r="N323" s="229"/>
      <c r="O323" s="13"/>
      <c r="P323" s="229"/>
      <c r="Q323" s="13"/>
      <c r="R323" s="229"/>
      <c r="S323" s="13"/>
      <c r="T323" s="229"/>
      <c r="U323" s="13"/>
      <c r="V323" s="229"/>
      <c r="W323" s="13"/>
      <c r="X323" s="229"/>
      <c r="Y323" s="13"/>
      <c r="Z323" s="229"/>
      <c r="AA323" s="13"/>
      <c r="AB323" s="229">
        <f t="shared" si="100"/>
        <v>0</v>
      </c>
      <c r="AC323" s="228">
        <f t="shared" si="92"/>
        <v>0</v>
      </c>
      <c r="AD323" s="21">
        <v>0</v>
      </c>
      <c r="AE323" s="229"/>
      <c r="AF323" s="20"/>
      <c r="AG323" s="229"/>
      <c r="AH323" s="20"/>
      <c r="AI323" s="229">
        <v>3</v>
      </c>
      <c r="AJ323" s="20">
        <v>3</v>
      </c>
      <c r="AK323" s="229"/>
      <c r="AL323" s="20"/>
      <c r="AM323" s="229"/>
      <c r="AN323" s="20"/>
      <c r="AO323" s="229"/>
      <c r="AP323" s="20"/>
      <c r="AQ323" s="229"/>
      <c r="AR323" s="20"/>
      <c r="AS323" s="229"/>
      <c r="AT323" s="20"/>
      <c r="AU323" s="229"/>
      <c r="AV323" s="20">
        <v>1</v>
      </c>
      <c r="AW323" s="229"/>
      <c r="AX323" s="20"/>
      <c r="AY323" s="229"/>
      <c r="AZ323" s="20"/>
      <c r="BA323" s="229"/>
      <c r="BB323" s="20">
        <v>2</v>
      </c>
      <c r="BC323" s="229">
        <f t="shared" si="101"/>
        <v>3</v>
      </c>
      <c r="BD323" s="48">
        <f t="shared" si="93"/>
        <v>6</v>
      </c>
      <c r="BE323" s="19">
        <v>0</v>
      </c>
      <c r="BF323" s="229">
        <f t="shared" si="102"/>
        <v>3</v>
      </c>
      <c r="BG323" s="210">
        <f t="shared" si="94"/>
        <v>6</v>
      </c>
      <c r="BH323" s="210">
        <f t="shared" si="99"/>
        <v>0</v>
      </c>
      <c r="BI323" s="213" t="e">
        <f t="shared" si="98"/>
        <v>#DIV/0!</v>
      </c>
      <c r="BJ323" s="141"/>
      <c r="BK323" s="201"/>
      <c r="BL323" s="198"/>
      <c r="BM323" s="198"/>
    </row>
    <row r="324" spans="1:65" s="17" customFormat="1" ht="15.95" customHeight="1">
      <c r="A324" s="123">
        <v>210</v>
      </c>
      <c r="B324" s="9" t="s">
        <v>2653</v>
      </c>
      <c r="C324" s="11" t="s">
        <v>2654</v>
      </c>
      <c r="D324" s="229"/>
      <c r="E324" s="13"/>
      <c r="F324" s="229"/>
      <c r="G324" s="13"/>
      <c r="H324" s="229"/>
      <c r="I324" s="13"/>
      <c r="J324" s="229"/>
      <c r="K324" s="13"/>
      <c r="L324" s="229"/>
      <c r="M324" s="13"/>
      <c r="N324" s="229"/>
      <c r="O324" s="13"/>
      <c r="P324" s="229"/>
      <c r="Q324" s="13"/>
      <c r="R324" s="229"/>
      <c r="S324" s="13"/>
      <c r="T324" s="229"/>
      <c r="U324" s="13"/>
      <c r="V324" s="229"/>
      <c r="W324" s="13"/>
      <c r="X324" s="229"/>
      <c r="Y324" s="13"/>
      <c r="Z324" s="229"/>
      <c r="AA324" s="13"/>
      <c r="AB324" s="229">
        <f t="shared" si="100"/>
        <v>0</v>
      </c>
      <c r="AC324" s="228">
        <f t="shared" si="92"/>
        <v>0</v>
      </c>
      <c r="AD324" s="21">
        <v>0</v>
      </c>
      <c r="AE324" s="229"/>
      <c r="AF324" s="20"/>
      <c r="AG324" s="229"/>
      <c r="AH324" s="20"/>
      <c r="AI324" s="229"/>
      <c r="AJ324" s="20"/>
      <c r="AK324" s="229"/>
      <c r="AL324" s="20"/>
      <c r="AM324" s="229"/>
      <c r="AN324" s="20"/>
      <c r="AO324" s="229"/>
      <c r="AP324" s="20"/>
      <c r="AQ324" s="229"/>
      <c r="AR324" s="20"/>
      <c r="AS324" s="229"/>
      <c r="AT324" s="20"/>
      <c r="AU324" s="229"/>
      <c r="AV324" s="20"/>
      <c r="AW324" s="229"/>
      <c r="AX324" s="20"/>
      <c r="AY324" s="229"/>
      <c r="AZ324" s="20"/>
      <c r="BA324" s="229"/>
      <c r="BB324" s="20">
        <v>2</v>
      </c>
      <c r="BC324" s="229">
        <f t="shared" si="101"/>
        <v>0</v>
      </c>
      <c r="BD324" s="48">
        <f t="shared" si="93"/>
        <v>2</v>
      </c>
      <c r="BE324" s="19">
        <v>3</v>
      </c>
      <c r="BF324" s="229">
        <f t="shared" si="102"/>
        <v>0</v>
      </c>
      <c r="BG324" s="210">
        <f t="shared" si="94"/>
        <v>2</v>
      </c>
      <c r="BH324" s="210">
        <f t="shared" si="99"/>
        <v>3</v>
      </c>
      <c r="BI324" s="213">
        <f t="shared" si="98"/>
        <v>66.666666666666657</v>
      </c>
      <c r="BJ324" s="141"/>
      <c r="BK324" s="201"/>
      <c r="BL324" s="198"/>
      <c r="BM324" s="198"/>
    </row>
    <row r="325" spans="1:65" s="17" customFormat="1" ht="21.95" customHeight="1">
      <c r="A325" s="123">
        <v>211</v>
      </c>
      <c r="B325" s="9" t="s">
        <v>227</v>
      </c>
      <c r="C325" s="10" t="s">
        <v>2533</v>
      </c>
      <c r="D325" s="229"/>
      <c r="E325" s="13"/>
      <c r="F325" s="229"/>
      <c r="G325" s="13"/>
      <c r="H325" s="229"/>
      <c r="I325" s="13"/>
      <c r="J325" s="229"/>
      <c r="K325" s="13"/>
      <c r="L325" s="229"/>
      <c r="M325" s="13"/>
      <c r="N325" s="229"/>
      <c r="O325" s="13"/>
      <c r="P325" s="229"/>
      <c r="Q325" s="13"/>
      <c r="R325" s="229"/>
      <c r="S325" s="13"/>
      <c r="T325" s="229"/>
      <c r="U325" s="13"/>
      <c r="V325" s="229"/>
      <c r="W325" s="13"/>
      <c r="X325" s="229"/>
      <c r="Y325" s="13"/>
      <c r="Z325" s="229"/>
      <c r="AA325" s="13"/>
      <c r="AB325" s="229">
        <f t="shared" si="100"/>
        <v>0</v>
      </c>
      <c r="AC325" s="228">
        <f t="shared" si="92"/>
        <v>0</v>
      </c>
      <c r="AD325" s="21">
        <v>0</v>
      </c>
      <c r="AE325" s="229"/>
      <c r="AF325" s="20"/>
      <c r="AG325" s="229"/>
      <c r="AH325" s="20"/>
      <c r="AI325" s="229"/>
      <c r="AJ325" s="20"/>
      <c r="AK325" s="229"/>
      <c r="AL325" s="20"/>
      <c r="AM325" s="229"/>
      <c r="AN325" s="20"/>
      <c r="AO325" s="229"/>
      <c r="AP325" s="20"/>
      <c r="AQ325" s="229"/>
      <c r="AR325" s="20"/>
      <c r="AS325" s="229"/>
      <c r="AT325" s="20"/>
      <c r="AU325" s="229"/>
      <c r="AV325" s="20"/>
      <c r="AW325" s="229"/>
      <c r="AX325" s="20"/>
      <c r="AY325" s="229"/>
      <c r="AZ325" s="20"/>
      <c r="BA325" s="229"/>
      <c r="BB325" s="20"/>
      <c r="BC325" s="229">
        <f t="shared" si="101"/>
        <v>0</v>
      </c>
      <c r="BD325" s="48">
        <f t="shared" si="93"/>
        <v>0</v>
      </c>
      <c r="BE325" s="19">
        <v>2</v>
      </c>
      <c r="BF325" s="229">
        <f t="shared" si="102"/>
        <v>0</v>
      </c>
      <c r="BG325" s="210">
        <f t="shared" si="94"/>
        <v>0</v>
      </c>
      <c r="BH325" s="210">
        <f t="shared" si="99"/>
        <v>2</v>
      </c>
      <c r="BI325" s="213">
        <f t="shared" si="98"/>
        <v>0</v>
      </c>
      <c r="BJ325" s="141"/>
      <c r="BK325" s="201"/>
      <c r="BL325" s="198"/>
      <c r="BM325" s="198"/>
    </row>
    <row r="326" spans="1:65" s="17" customFormat="1" ht="21.95" customHeight="1">
      <c r="A326" s="123">
        <v>212</v>
      </c>
      <c r="B326" s="9" t="s">
        <v>2380</v>
      </c>
      <c r="C326" s="10" t="s">
        <v>2381</v>
      </c>
      <c r="D326" s="229"/>
      <c r="E326" s="13"/>
      <c r="F326" s="229"/>
      <c r="G326" s="13"/>
      <c r="H326" s="229"/>
      <c r="I326" s="13"/>
      <c r="J326" s="229"/>
      <c r="K326" s="13"/>
      <c r="L326" s="229"/>
      <c r="M326" s="13"/>
      <c r="N326" s="229"/>
      <c r="O326" s="13"/>
      <c r="P326" s="229"/>
      <c r="Q326" s="13"/>
      <c r="R326" s="229"/>
      <c r="S326" s="13"/>
      <c r="T326" s="229"/>
      <c r="U326" s="13"/>
      <c r="V326" s="229"/>
      <c r="W326" s="13"/>
      <c r="X326" s="229"/>
      <c r="Y326" s="13"/>
      <c r="Z326" s="229"/>
      <c r="AA326" s="13"/>
      <c r="AB326" s="229">
        <f t="shared" si="100"/>
        <v>0</v>
      </c>
      <c r="AC326" s="228">
        <f t="shared" si="92"/>
        <v>0</v>
      </c>
      <c r="AD326" s="21">
        <v>0</v>
      </c>
      <c r="AE326" s="229"/>
      <c r="AF326" s="20"/>
      <c r="AG326" s="229"/>
      <c r="AH326" s="20"/>
      <c r="AI326" s="229"/>
      <c r="AJ326" s="20"/>
      <c r="AK326" s="229"/>
      <c r="AL326" s="20"/>
      <c r="AM326" s="229"/>
      <c r="AN326" s="20"/>
      <c r="AO326" s="229"/>
      <c r="AP326" s="20"/>
      <c r="AQ326" s="229"/>
      <c r="AR326" s="20"/>
      <c r="AS326" s="229"/>
      <c r="AT326" s="20"/>
      <c r="AU326" s="229"/>
      <c r="AV326" s="20"/>
      <c r="AW326" s="229"/>
      <c r="AX326" s="20"/>
      <c r="AY326" s="229"/>
      <c r="AZ326" s="20"/>
      <c r="BA326" s="229"/>
      <c r="BB326" s="20"/>
      <c r="BC326" s="229">
        <f t="shared" si="101"/>
        <v>0</v>
      </c>
      <c r="BD326" s="48">
        <f t="shared" si="93"/>
        <v>0</v>
      </c>
      <c r="BE326" s="19">
        <v>2</v>
      </c>
      <c r="BF326" s="229">
        <f t="shared" si="102"/>
        <v>0</v>
      </c>
      <c r="BG326" s="210">
        <f t="shared" si="94"/>
        <v>0</v>
      </c>
      <c r="BH326" s="210">
        <f t="shared" si="99"/>
        <v>2</v>
      </c>
      <c r="BI326" s="213">
        <f t="shared" si="98"/>
        <v>0</v>
      </c>
      <c r="BJ326" s="141"/>
      <c r="BK326" s="201"/>
      <c r="BL326" s="198"/>
      <c r="BM326" s="198"/>
    </row>
    <row r="327" spans="1:65" s="17" customFormat="1" ht="15.95" customHeight="1">
      <c r="A327" s="123">
        <v>213</v>
      </c>
      <c r="B327" s="9" t="s">
        <v>2193</v>
      </c>
      <c r="C327" s="11" t="s">
        <v>2194</v>
      </c>
      <c r="D327" s="229"/>
      <c r="E327" s="13"/>
      <c r="F327" s="229"/>
      <c r="G327" s="13"/>
      <c r="H327" s="229"/>
      <c r="I327" s="13"/>
      <c r="J327" s="229"/>
      <c r="K327" s="13"/>
      <c r="L327" s="229"/>
      <c r="M327" s="13"/>
      <c r="N327" s="229"/>
      <c r="O327" s="13"/>
      <c r="P327" s="229"/>
      <c r="Q327" s="13"/>
      <c r="R327" s="229"/>
      <c r="S327" s="13"/>
      <c r="T327" s="229"/>
      <c r="U327" s="13"/>
      <c r="V327" s="229"/>
      <c r="W327" s="13"/>
      <c r="X327" s="229"/>
      <c r="Y327" s="13"/>
      <c r="Z327" s="229"/>
      <c r="AA327" s="13"/>
      <c r="AB327" s="229">
        <f t="shared" si="100"/>
        <v>0</v>
      </c>
      <c r="AC327" s="228">
        <f t="shared" si="92"/>
        <v>0</v>
      </c>
      <c r="AD327" s="21">
        <v>0</v>
      </c>
      <c r="AE327" s="229"/>
      <c r="AF327" s="20"/>
      <c r="AG327" s="229"/>
      <c r="AH327" s="20"/>
      <c r="AI327" s="229"/>
      <c r="AJ327" s="20"/>
      <c r="AK327" s="229"/>
      <c r="AL327" s="20"/>
      <c r="AM327" s="229"/>
      <c r="AN327" s="20"/>
      <c r="AO327" s="229"/>
      <c r="AP327" s="20"/>
      <c r="AQ327" s="229"/>
      <c r="AR327" s="20"/>
      <c r="AS327" s="229"/>
      <c r="AT327" s="20"/>
      <c r="AU327" s="229"/>
      <c r="AV327" s="20"/>
      <c r="AW327" s="229"/>
      <c r="AX327" s="20"/>
      <c r="AY327" s="229"/>
      <c r="AZ327" s="20"/>
      <c r="BA327" s="229"/>
      <c r="BB327" s="20"/>
      <c r="BC327" s="229">
        <f t="shared" si="101"/>
        <v>0</v>
      </c>
      <c r="BD327" s="48">
        <f t="shared" si="93"/>
        <v>0</v>
      </c>
      <c r="BE327" s="19">
        <v>2</v>
      </c>
      <c r="BF327" s="229">
        <f t="shared" si="102"/>
        <v>0</v>
      </c>
      <c r="BG327" s="210">
        <f t="shared" si="94"/>
        <v>0</v>
      </c>
      <c r="BH327" s="210">
        <f t="shared" si="99"/>
        <v>2</v>
      </c>
      <c r="BI327" s="213">
        <f t="shared" si="98"/>
        <v>0</v>
      </c>
      <c r="BJ327" s="141"/>
      <c r="BK327" s="201"/>
      <c r="BL327" s="198"/>
      <c r="BM327" s="198"/>
    </row>
    <row r="328" spans="1:65" s="17" customFormat="1" ht="15.95" customHeight="1">
      <c r="A328" s="123">
        <v>214</v>
      </c>
      <c r="B328" s="9" t="s">
        <v>228</v>
      </c>
      <c r="C328" s="11" t="s">
        <v>229</v>
      </c>
      <c r="D328" s="229"/>
      <c r="E328" s="13"/>
      <c r="F328" s="229"/>
      <c r="G328" s="13"/>
      <c r="H328" s="229"/>
      <c r="I328" s="13"/>
      <c r="J328" s="229"/>
      <c r="K328" s="13"/>
      <c r="L328" s="229"/>
      <c r="M328" s="13"/>
      <c r="N328" s="229"/>
      <c r="O328" s="13"/>
      <c r="P328" s="229"/>
      <c r="Q328" s="13"/>
      <c r="R328" s="229"/>
      <c r="S328" s="13"/>
      <c r="T328" s="229"/>
      <c r="U328" s="13"/>
      <c r="V328" s="229"/>
      <c r="W328" s="13"/>
      <c r="X328" s="229"/>
      <c r="Y328" s="13"/>
      <c r="Z328" s="229"/>
      <c r="AA328" s="13"/>
      <c r="AB328" s="229">
        <f t="shared" si="100"/>
        <v>0</v>
      </c>
      <c r="AC328" s="228">
        <f t="shared" si="92"/>
        <v>0</v>
      </c>
      <c r="AD328" s="21">
        <v>0</v>
      </c>
      <c r="AE328" s="229"/>
      <c r="AF328" s="20"/>
      <c r="AG328" s="229"/>
      <c r="AH328" s="20"/>
      <c r="AI328" s="229">
        <v>2</v>
      </c>
      <c r="AJ328" s="20">
        <v>2</v>
      </c>
      <c r="AK328" s="229"/>
      <c r="AL328" s="20"/>
      <c r="AM328" s="229"/>
      <c r="AN328" s="20"/>
      <c r="AO328" s="229">
        <v>1</v>
      </c>
      <c r="AP328" s="20">
        <v>1</v>
      </c>
      <c r="AQ328" s="229"/>
      <c r="AR328" s="20"/>
      <c r="AS328" s="229"/>
      <c r="AT328" s="20"/>
      <c r="AU328" s="229"/>
      <c r="AV328" s="20">
        <v>4</v>
      </c>
      <c r="AW328" s="229"/>
      <c r="AX328" s="20"/>
      <c r="AY328" s="229"/>
      <c r="AZ328" s="20"/>
      <c r="BA328" s="229"/>
      <c r="BB328" s="20">
        <v>2</v>
      </c>
      <c r="BC328" s="229">
        <f t="shared" si="101"/>
        <v>3</v>
      </c>
      <c r="BD328" s="48">
        <f t="shared" si="93"/>
        <v>9</v>
      </c>
      <c r="BE328" s="19">
        <v>14</v>
      </c>
      <c r="BF328" s="229">
        <f t="shared" si="102"/>
        <v>3</v>
      </c>
      <c r="BG328" s="210">
        <f t="shared" si="94"/>
        <v>9</v>
      </c>
      <c r="BH328" s="210">
        <f t="shared" si="99"/>
        <v>14</v>
      </c>
      <c r="BI328" s="213">
        <f t="shared" si="98"/>
        <v>64.285714285714292</v>
      </c>
      <c r="BJ328" s="141"/>
      <c r="BK328" s="201"/>
      <c r="BL328" s="198"/>
      <c r="BM328" s="198"/>
    </row>
    <row r="329" spans="1:65" s="17" customFormat="1" ht="15.95" customHeight="1">
      <c r="A329" s="123">
        <v>215</v>
      </c>
      <c r="B329" s="9" t="s">
        <v>3079</v>
      </c>
      <c r="C329" s="11" t="s">
        <v>3080</v>
      </c>
      <c r="D329" s="229"/>
      <c r="E329" s="13"/>
      <c r="F329" s="229"/>
      <c r="G329" s="13"/>
      <c r="H329" s="229"/>
      <c r="I329" s="13"/>
      <c r="J329" s="229"/>
      <c r="K329" s="13"/>
      <c r="L329" s="229"/>
      <c r="M329" s="13"/>
      <c r="N329" s="229"/>
      <c r="O329" s="13"/>
      <c r="P329" s="229"/>
      <c r="Q329" s="13"/>
      <c r="R329" s="229"/>
      <c r="S329" s="13"/>
      <c r="T329" s="229"/>
      <c r="U329" s="13"/>
      <c r="V329" s="229"/>
      <c r="W329" s="13"/>
      <c r="X329" s="229"/>
      <c r="Y329" s="13"/>
      <c r="Z329" s="229"/>
      <c r="AA329" s="13"/>
      <c r="AB329" s="229"/>
      <c r="AC329" s="228">
        <f t="shared" si="92"/>
        <v>0</v>
      </c>
      <c r="AD329" s="21">
        <v>0</v>
      </c>
      <c r="AE329" s="229"/>
      <c r="AF329" s="20"/>
      <c r="AG329" s="229"/>
      <c r="AH329" s="20"/>
      <c r="AI329" s="229"/>
      <c r="AJ329" s="20"/>
      <c r="AK329" s="229"/>
      <c r="AL329" s="20"/>
      <c r="AM329" s="229"/>
      <c r="AN329" s="20"/>
      <c r="AO329" s="229"/>
      <c r="AP329" s="20">
        <v>1</v>
      </c>
      <c r="AQ329" s="229"/>
      <c r="AR329" s="20"/>
      <c r="AS329" s="229"/>
      <c r="AT329" s="20"/>
      <c r="AU329" s="229"/>
      <c r="AV329" s="20"/>
      <c r="AW329" s="229"/>
      <c r="AX329" s="20"/>
      <c r="AY329" s="229"/>
      <c r="AZ329" s="20"/>
      <c r="BA329" s="229"/>
      <c r="BB329" s="20"/>
      <c r="BC329" s="229"/>
      <c r="BD329" s="48">
        <f t="shared" si="93"/>
        <v>1</v>
      </c>
      <c r="BE329" s="19">
        <v>0</v>
      </c>
      <c r="BF329" s="229"/>
      <c r="BG329" s="210">
        <f t="shared" si="94"/>
        <v>1</v>
      </c>
      <c r="BH329" s="210">
        <f t="shared" si="99"/>
        <v>0</v>
      </c>
      <c r="BI329" s="213" t="e">
        <f t="shared" si="98"/>
        <v>#DIV/0!</v>
      </c>
      <c r="BJ329" s="141"/>
      <c r="BK329" s="201"/>
      <c r="BL329" s="198"/>
      <c r="BM329" s="198"/>
    </row>
    <row r="330" spans="1:65" s="17" customFormat="1" ht="15.95" customHeight="1">
      <c r="A330" s="123">
        <v>216</v>
      </c>
      <c r="B330" s="9" t="s">
        <v>1944</v>
      </c>
      <c r="C330" s="11" t="s">
        <v>1945</v>
      </c>
      <c r="D330" s="229"/>
      <c r="E330" s="13"/>
      <c r="F330" s="229"/>
      <c r="G330" s="13"/>
      <c r="H330" s="229"/>
      <c r="I330" s="13"/>
      <c r="J330" s="229"/>
      <c r="K330" s="13"/>
      <c r="L330" s="229"/>
      <c r="M330" s="13"/>
      <c r="N330" s="229"/>
      <c r="O330" s="13"/>
      <c r="P330" s="229"/>
      <c r="Q330" s="13"/>
      <c r="R330" s="229"/>
      <c r="S330" s="13"/>
      <c r="T330" s="229"/>
      <c r="U330" s="13"/>
      <c r="V330" s="229"/>
      <c r="W330" s="13"/>
      <c r="X330" s="229"/>
      <c r="Y330" s="13"/>
      <c r="Z330" s="229"/>
      <c r="AA330" s="13"/>
      <c r="AB330" s="229">
        <f t="shared" ref="AB330:AB346" si="103">D330+F330+H330+J330+L330+N330+P330+R330+T330+V330+X330+Z330</f>
        <v>0</v>
      </c>
      <c r="AC330" s="228">
        <f t="shared" si="92"/>
        <v>0</v>
      </c>
      <c r="AD330" s="21">
        <v>0</v>
      </c>
      <c r="AE330" s="229"/>
      <c r="AF330" s="20"/>
      <c r="AG330" s="229"/>
      <c r="AH330" s="20"/>
      <c r="AI330" s="229"/>
      <c r="AJ330" s="20"/>
      <c r="AK330" s="229"/>
      <c r="AL330" s="20"/>
      <c r="AM330" s="229"/>
      <c r="AN330" s="20"/>
      <c r="AO330" s="229"/>
      <c r="AP330" s="20"/>
      <c r="AQ330" s="229"/>
      <c r="AR330" s="20"/>
      <c r="AS330" s="229"/>
      <c r="AT330" s="20"/>
      <c r="AU330" s="229"/>
      <c r="AV330" s="20"/>
      <c r="AW330" s="229"/>
      <c r="AX330" s="20"/>
      <c r="AY330" s="229"/>
      <c r="AZ330" s="20"/>
      <c r="BA330" s="229"/>
      <c r="BB330" s="20"/>
      <c r="BC330" s="229">
        <f t="shared" ref="BC330:BC346" si="104">AE330+AG330+AI330+AK330+AM330+AO330+AQ330+AS330+AU330+AW330+AY330+BA330</f>
        <v>0</v>
      </c>
      <c r="BD330" s="48">
        <f t="shared" si="93"/>
        <v>0</v>
      </c>
      <c r="BE330" s="19">
        <v>4</v>
      </c>
      <c r="BF330" s="229">
        <f t="shared" ref="BF330:BF346" si="105">AB330+BC330</f>
        <v>0</v>
      </c>
      <c r="BG330" s="210">
        <f t="shared" si="94"/>
        <v>0</v>
      </c>
      <c r="BH330" s="210">
        <f t="shared" si="99"/>
        <v>4</v>
      </c>
      <c r="BI330" s="213">
        <f t="shared" si="98"/>
        <v>0</v>
      </c>
      <c r="BJ330" s="141"/>
      <c r="BK330" s="201"/>
      <c r="BL330" s="198"/>
      <c r="BM330" s="198"/>
    </row>
    <row r="331" spans="1:65" s="17" customFormat="1" ht="15.95" customHeight="1">
      <c r="A331" s="123">
        <v>217</v>
      </c>
      <c r="B331" s="9" t="s">
        <v>1625</v>
      </c>
      <c r="C331" s="11" t="s">
        <v>1650</v>
      </c>
      <c r="D331" s="229"/>
      <c r="E331" s="13"/>
      <c r="F331" s="229"/>
      <c r="G331" s="13"/>
      <c r="H331" s="229"/>
      <c r="I331" s="13"/>
      <c r="J331" s="229"/>
      <c r="K331" s="13"/>
      <c r="L331" s="229"/>
      <c r="M331" s="13"/>
      <c r="N331" s="229"/>
      <c r="O331" s="13"/>
      <c r="P331" s="229"/>
      <c r="Q331" s="13"/>
      <c r="R331" s="229"/>
      <c r="S331" s="13"/>
      <c r="T331" s="229"/>
      <c r="U331" s="13"/>
      <c r="V331" s="229"/>
      <c r="W331" s="13"/>
      <c r="X331" s="229"/>
      <c r="Y331" s="13"/>
      <c r="Z331" s="229"/>
      <c r="AA331" s="13"/>
      <c r="AB331" s="229">
        <f t="shared" si="103"/>
        <v>0</v>
      </c>
      <c r="AC331" s="228">
        <f t="shared" si="92"/>
        <v>0</v>
      </c>
      <c r="AD331" s="21">
        <v>0</v>
      </c>
      <c r="AE331" s="229"/>
      <c r="AF331" s="20"/>
      <c r="AG331" s="229"/>
      <c r="AH331" s="20"/>
      <c r="AI331" s="229"/>
      <c r="AJ331" s="20"/>
      <c r="AK331" s="229"/>
      <c r="AL331" s="20"/>
      <c r="AM331" s="229"/>
      <c r="AN331" s="20"/>
      <c r="AO331" s="229"/>
      <c r="AP331" s="20"/>
      <c r="AQ331" s="229"/>
      <c r="AR331" s="20"/>
      <c r="AS331" s="229"/>
      <c r="AT331" s="20"/>
      <c r="AU331" s="229"/>
      <c r="AV331" s="20"/>
      <c r="AW331" s="229"/>
      <c r="AX331" s="20"/>
      <c r="AY331" s="229"/>
      <c r="AZ331" s="20"/>
      <c r="BA331" s="229"/>
      <c r="BB331" s="20">
        <v>1</v>
      </c>
      <c r="BC331" s="229">
        <f t="shared" si="104"/>
        <v>0</v>
      </c>
      <c r="BD331" s="48">
        <f t="shared" si="93"/>
        <v>1</v>
      </c>
      <c r="BE331" s="19">
        <v>5</v>
      </c>
      <c r="BF331" s="229">
        <f t="shared" si="105"/>
        <v>0</v>
      </c>
      <c r="BG331" s="210">
        <f t="shared" si="94"/>
        <v>1</v>
      </c>
      <c r="BH331" s="210">
        <f t="shared" si="99"/>
        <v>5</v>
      </c>
      <c r="BI331" s="213">
        <f t="shared" si="98"/>
        <v>20</v>
      </c>
      <c r="BJ331" s="141"/>
      <c r="BK331" s="201"/>
      <c r="BL331" s="198"/>
      <c r="BM331" s="198"/>
    </row>
    <row r="332" spans="1:65" s="17" customFormat="1" ht="15.95" customHeight="1">
      <c r="A332" s="123">
        <v>218</v>
      </c>
      <c r="B332" s="9" t="s">
        <v>1639</v>
      </c>
      <c r="C332" s="11" t="s">
        <v>1640</v>
      </c>
      <c r="D332" s="229"/>
      <c r="E332" s="13"/>
      <c r="F332" s="229"/>
      <c r="G332" s="13"/>
      <c r="H332" s="229"/>
      <c r="I332" s="13"/>
      <c r="J332" s="229"/>
      <c r="K332" s="13"/>
      <c r="L332" s="229"/>
      <c r="M332" s="13"/>
      <c r="N332" s="229"/>
      <c r="O332" s="13"/>
      <c r="P332" s="229"/>
      <c r="Q332" s="13"/>
      <c r="R332" s="229"/>
      <c r="S332" s="13"/>
      <c r="T332" s="229"/>
      <c r="U332" s="13"/>
      <c r="V332" s="229"/>
      <c r="W332" s="13"/>
      <c r="X332" s="229"/>
      <c r="Y332" s="13"/>
      <c r="Z332" s="229"/>
      <c r="AA332" s="13"/>
      <c r="AB332" s="229">
        <f t="shared" si="103"/>
        <v>0</v>
      </c>
      <c r="AC332" s="228">
        <f t="shared" si="92"/>
        <v>0</v>
      </c>
      <c r="AD332" s="21">
        <v>0</v>
      </c>
      <c r="AE332" s="229"/>
      <c r="AF332" s="20"/>
      <c r="AG332" s="229"/>
      <c r="AH332" s="20"/>
      <c r="AI332" s="229"/>
      <c r="AJ332" s="20"/>
      <c r="AK332" s="229"/>
      <c r="AL332" s="20"/>
      <c r="AM332" s="229"/>
      <c r="AN332" s="20"/>
      <c r="AO332" s="229"/>
      <c r="AP332" s="20"/>
      <c r="AQ332" s="229"/>
      <c r="AR332" s="20"/>
      <c r="AS332" s="229"/>
      <c r="AT332" s="20"/>
      <c r="AU332" s="229"/>
      <c r="AV332" s="20"/>
      <c r="AW332" s="229"/>
      <c r="AX332" s="20"/>
      <c r="AY332" s="229"/>
      <c r="AZ332" s="20"/>
      <c r="BA332" s="229"/>
      <c r="BB332" s="20"/>
      <c r="BC332" s="229">
        <f t="shared" si="104"/>
        <v>0</v>
      </c>
      <c r="BD332" s="48">
        <f t="shared" si="93"/>
        <v>0</v>
      </c>
      <c r="BE332" s="19">
        <v>2</v>
      </c>
      <c r="BF332" s="229">
        <f t="shared" si="105"/>
        <v>0</v>
      </c>
      <c r="BG332" s="210">
        <f t="shared" si="94"/>
        <v>0</v>
      </c>
      <c r="BH332" s="210">
        <f t="shared" si="99"/>
        <v>2</v>
      </c>
      <c r="BI332" s="213">
        <f t="shared" si="98"/>
        <v>0</v>
      </c>
      <c r="BJ332" s="141"/>
      <c r="BK332" s="201"/>
      <c r="BL332" s="198"/>
      <c r="BM332" s="198"/>
    </row>
    <row r="333" spans="1:65" s="17" customFormat="1" ht="15.95" customHeight="1">
      <c r="A333" s="123">
        <v>219</v>
      </c>
      <c r="B333" s="9" t="s">
        <v>2382</v>
      </c>
      <c r="C333" s="11" t="s">
        <v>2531</v>
      </c>
      <c r="D333" s="229"/>
      <c r="E333" s="13"/>
      <c r="F333" s="229"/>
      <c r="G333" s="13"/>
      <c r="H333" s="229"/>
      <c r="I333" s="13"/>
      <c r="J333" s="229"/>
      <c r="K333" s="13"/>
      <c r="L333" s="229"/>
      <c r="M333" s="13"/>
      <c r="N333" s="229"/>
      <c r="O333" s="13"/>
      <c r="P333" s="229"/>
      <c r="Q333" s="13"/>
      <c r="R333" s="229"/>
      <c r="S333" s="13"/>
      <c r="T333" s="229"/>
      <c r="U333" s="13"/>
      <c r="V333" s="229"/>
      <c r="W333" s="13"/>
      <c r="X333" s="229"/>
      <c r="Y333" s="13"/>
      <c r="Z333" s="229"/>
      <c r="AA333" s="13"/>
      <c r="AB333" s="229">
        <f t="shared" si="103"/>
        <v>0</v>
      </c>
      <c r="AC333" s="228">
        <f t="shared" si="92"/>
        <v>0</v>
      </c>
      <c r="AD333" s="21">
        <v>0</v>
      </c>
      <c r="AE333" s="229"/>
      <c r="AF333" s="20"/>
      <c r="AG333" s="229"/>
      <c r="AH333" s="20"/>
      <c r="AI333" s="229"/>
      <c r="AJ333" s="20"/>
      <c r="AK333" s="229"/>
      <c r="AL333" s="20"/>
      <c r="AM333" s="229"/>
      <c r="AN333" s="20"/>
      <c r="AO333" s="229"/>
      <c r="AP333" s="20"/>
      <c r="AQ333" s="229"/>
      <c r="AR333" s="20"/>
      <c r="AS333" s="229"/>
      <c r="AT333" s="20"/>
      <c r="AU333" s="229"/>
      <c r="AV333" s="20"/>
      <c r="AW333" s="229"/>
      <c r="AX333" s="20"/>
      <c r="AY333" s="229"/>
      <c r="AZ333" s="20"/>
      <c r="BA333" s="229"/>
      <c r="BB333" s="20"/>
      <c r="BC333" s="229">
        <f t="shared" si="104"/>
        <v>0</v>
      </c>
      <c r="BD333" s="48">
        <f t="shared" si="93"/>
        <v>0</v>
      </c>
      <c r="BE333" s="19">
        <v>2</v>
      </c>
      <c r="BF333" s="229">
        <f t="shared" si="105"/>
        <v>0</v>
      </c>
      <c r="BG333" s="210">
        <f t="shared" si="94"/>
        <v>0</v>
      </c>
      <c r="BH333" s="210">
        <f t="shared" si="99"/>
        <v>2</v>
      </c>
      <c r="BI333" s="213">
        <f t="shared" si="98"/>
        <v>0</v>
      </c>
      <c r="BJ333" s="141"/>
      <c r="BK333" s="201"/>
      <c r="BL333" s="198"/>
      <c r="BM333" s="198"/>
    </row>
    <row r="334" spans="1:65" s="17" customFormat="1" ht="15.95" customHeight="1">
      <c r="A334" s="123">
        <v>220</v>
      </c>
      <c r="B334" s="9" t="s">
        <v>230</v>
      </c>
      <c r="C334" s="11" t="s">
        <v>2530</v>
      </c>
      <c r="D334" s="229"/>
      <c r="E334" s="13"/>
      <c r="F334" s="229"/>
      <c r="G334" s="13"/>
      <c r="H334" s="229"/>
      <c r="I334" s="13"/>
      <c r="J334" s="229"/>
      <c r="K334" s="13"/>
      <c r="L334" s="229"/>
      <c r="M334" s="13"/>
      <c r="N334" s="229"/>
      <c r="O334" s="13"/>
      <c r="P334" s="229"/>
      <c r="Q334" s="13"/>
      <c r="R334" s="229"/>
      <c r="S334" s="13"/>
      <c r="T334" s="229"/>
      <c r="U334" s="13"/>
      <c r="V334" s="229"/>
      <c r="W334" s="13"/>
      <c r="X334" s="229"/>
      <c r="Y334" s="13"/>
      <c r="Z334" s="229"/>
      <c r="AA334" s="13"/>
      <c r="AB334" s="229">
        <f t="shared" si="103"/>
        <v>0</v>
      </c>
      <c r="AC334" s="228">
        <f t="shared" si="92"/>
        <v>0</v>
      </c>
      <c r="AD334" s="21">
        <v>0</v>
      </c>
      <c r="AE334" s="229"/>
      <c r="AF334" s="20"/>
      <c r="AG334" s="229"/>
      <c r="AH334" s="20"/>
      <c r="AI334" s="229"/>
      <c r="AJ334" s="20"/>
      <c r="AK334" s="229"/>
      <c r="AL334" s="20"/>
      <c r="AM334" s="229"/>
      <c r="AN334" s="20"/>
      <c r="AO334" s="229"/>
      <c r="AP334" s="20"/>
      <c r="AQ334" s="229"/>
      <c r="AR334" s="20"/>
      <c r="AS334" s="229"/>
      <c r="AT334" s="20"/>
      <c r="AU334" s="229"/>
      <c r="AV334" s="20"/>
      <c r="AW334" s="229"/>
      <c r="AX334" s="20"/>
      <c r="AY334" s="229"/>
      <c r="AZ334" s="20"/>
      <c r="BA334" s="229"/>
      <c r="BB334" s="20"/>
      <c r="BC334" s="229">
        <f t="shared" si="104"/>
        <v>0</v>
      </c>
      <c r="BD334" s="48">
        <f t="shared" si="93"/>
        <v>0</v>
      </c>
      <c r="BE334" s="19">
        <v>2</v>
      </c>
      <c r="BF334" s="229">
        <f t="shared" si="105"/>
        <v>0</v>
      </c>
      <c r="BG334" s="210">
        <f t="shared" si="94"/>
        <v>0</v>
      </c>
      <c r="BH334" s="210">
        <f t="shared" si="99"/>
        <v>2</v>
      </c>
      <c r="BI334" s="213">
        <f t="shared" si="98"/>
        <v>0</v>
      </c>
      <c r="BJ334" s="141"/>
      <c r="BK334" s="201"/>
      <c r="BL334" s="198"/>
      <c r="BM334" s="198"/>
    </row>
    <row r="335" spans="1:65" s="17" customFormat="1" ht="15.95" customHeight="1">
      <c r="A335" s="123">
        <v>221</v>
      </c>
      <c r="B335" s="9" t="s">
        <v>2195</v>
      </c>
      <c r="C335" s="11" t="s">
        <v>2196</v>
      </c>
      <c r="D335" s="229"/>
      <c r="E335" s="13"/>
      <c r="F335" s="229"/>
      <c r="G335" s="13"/>
      <c r="H335" s="229"/>
      <c r="I335" s="13"/>
      <c r="J335" s="229"/>
      <c r="K335" s="13"/>
      <c r="L335" s="229"/>
      <c r="M335" s="13"/>
      <c r="N335" s="229"/>
      <c r="O335" s="13"/>
      <c r="P335" s="229"/>
      <c r="Q335" s="13"/>
      <c r="R335" s="229"/>
      <c r="S335" s="13"/>
      <c r="T335" s="229"/>
      <c r="U335" s="13"/>
      <c r="V335" s="229"/>
      <c r="W335" s="13"/>
      <c r="X335" s="229"/>
      <c r="Y335" s="13"/>
      <c r="Z335" s="229"/>
      <c r="AA335" s="13"/>
      <c r="AB335" s="229">
        <f t="shared" si="103"/>
        <v>0</v>
      </c>
      <c r="AC335" s="228">
        <f t="shared" si="92"/>
        <v>0</v>
      </c>
      <c r="AD335" s="21">
        <v>0</v>
      </c>
      <c r="AE335" s="229"/>
      <c r="AF335" s="20"/>
      <c r="AG335" s="229"/>
      <c r="AH335" s="20"/>
      <c r="AI335" s="229"/>
      <c r="AJ335" s="20"/>
      <c r="AK335" s="229"/>
      <c r="AL335" s="20"/>
      <c r="AM335" s="229"/>
      <c r="AN335" s="20"/>
      <c r="AO335" s="229"/>
      <c r="AP335" s="20"/>
      <c r="AQ335" s="229"/>
      <c r="AR335" s="20"/>
      <c r="AS335" s="229"/>
      <c r="AT335" s="20"/>
      <c r="AU335" s="229"/>
      <c r="AV335" s="20"/>
      <c r="AW335" s="229"/>
      <c r="AX335" s="20"/>
      <c r="AY335" s="229"/>
      <c r="AZ335" s="20"/>
      <c r="BA335" s="229"/>
      <c r="BB335" s="20"/>
      <c r="BC335" s="229">
        <f t="shared" si="104"/>
        <v>0</v>
      </c>
      <c r="BD335" s="48">
        <f t="shared" si="93"/>
        <v>0</v>
      </c>
      <c r="BE335" s="19">
        <v>2</v>
      </c>
      <c r="BF335" s="229">
        <f t="shared" si="105"/>
        <v>0</v>
      </c>
      <c r="BG335" s="210">
        <f t="shared" si="94"/>
        <v>0</v>
      </c>
      <c r="BH335" s="210">
        <f t="shared" si="99"/>
        <v>2</v>
      </c>
      <c r="BI335" s="213">
        <f t="shared" si="98"/>
        <v>0</v>
      </c>
      <c r="BJ335" s="141"/>
      <c r="BK335" s="201"/>
      <c r="BL335" s="198"/>
      <c r="BM335" s="198"/>
    </row>
    <row r="336" spans="1:65" s="17" customFormat="1" ht="15.95" customHeight="1">
      <c r="A336" s="123">
        <v>222</v>
      </c>
      <c r="B336" s="9" t="s">
        <v>2655</v>
      </c>
      <c r="C336" s="11" t="s">
        <v>2656</v>
      </c>
      <c r="D336" s="229"/>
      <c r="E336" s="13"/>
      <c r="F336" s="229"/>
      <c r="G336" s="13"/>
      <c r="H336" s="229"/>
      <c r="I336" s="13"/>
      <c r="J336" s="229"/>
      <c r="K336" s="13"/>
      <c r="L336" s="229"/>
      <c r="M336" s="13"/>
      <c r="N336" s="229"/>
      <c r="O336" s="13"/>
      <c r="P336" s="229"/>
      <c r="Q336" s="13"/>
      <c r="R336" s="229"/>
      <c r="S336" s="13"/>
      <c r="T336" s="229"/>
      <c r="U336" s="13"/>
      <c r="V336" s="229"/>
      <c r="W336" s="13"/>
      <c r="X336" s="229"/>
      <c r="Y336" s="13"/>
      <c r="Z336" s="229"/>
      <c r="AA336" s="13"/>
      <c r="AB336" s="229">
        <f t="shared" si="103"/>
        <v>0</v>
      </c>
      <c r="AC336" s="228">
        <f t="shared" si="92"/>
        <v>0</v>
      </c>
      <c r="AD336" s="21">
        <v>0</v>
      </c>
      <c r="AE336" s="229"/>
      <c r="AF336" s="20"/>
      <c r="AG336" s="229"/>
      <c r="AH336" s="20"/>
      <c r="AI336" s="229"/>
      <c r="AJ336" s="20"/>
      <c r="AK336" s="229"/>
      <c r="AL336" s="20"/>
      <c r="AM336" s="229"/>
      <c r="AN336" s="20"/>
      <c r="AO336" s="229"/>
      <c r="AP336" s="20"/>
      <c r="AQ336" s="229"/>
      <c r="AR336" s="20"/>
      <c r="AS336" s="229"/>
      <c r="AT336" s="20"/>
      <c r="AU336" s="229"/>
      <c r="AV336" s="20"/>
      <c r="AW336" s="229"/>
      <c r="AX336" s="20"/>
      <c r="AY336" s="229"/>
      <c r="AZ336" s="20"/>
      <c r="BA336" s="229"/>
      <c r="BB336" s="20"/>
      <c r="BC336" s="229">
        <f t="shared" si="104"/>
        <v>0</v>
      </c>
      <c r="BD336" s="48">
        <f t="shared" si="93"/>
        <v>0</v>
      </c>
      <c r="BE336" s="19">
        <v>4</v>
      </c>
      <c r="BF336" s="229">
        <f t="shared" si="105"/>
        <v>0</v>
      </c>
      <c r="BG336" s="210">
        <f t="shared" si="94"/>
        <v>0</v>
      </c>
      <c r="BH336" s="210">
        <f t="shared" si="99"/>
        <v>4</v>
      </c>
      <c r="BI336" s="213">
        <f t="shared" si="98"/>
        <v>0</v>
      </c>
      <c r="BJ336" s="141"/>
      <c r="BK336" s="201"/>
      <c r="BL336" s="198"/>
      <c r="BM336" s="198"/>
    </row>
    <row r="337" spans="1:65" s="17" customFormat="1" ht="15.95" customHeight="1">
      <c r="A337" s="123">
        <v>223</v>
      </c>
      <c r="B337" s="9" t="s">
        <v>1438</v>
      </c>
      <c r="C337" s="15" t="s">
        <v>2383</v>
      </c>
      <c r="D337" s="229"/>
      <c r="E337" s="13"/>
      <c r="F337" s="229"/>
      <c r="G337" s="13"/>
      <c r="H337" s="229"/>
      <c r="I337" s="13"/>
      <c r="J337" s="229"/>
      <c r="K337" s="13"/>
      <c r="L337" s="229"/>
      <c r="M337" s="13"/>
      <c r="N337" s="229"/>
      <c r="O337" s="13"/>
      <c r="P337" s="229"/>
      <c r="Q337" s="13"/>
      <c r="R337" s="229"/>
      <c r="S337" s="13"/>
      <c r="T337" s="229"/>
      <c r="U337" s="13"/>
      <c r="V337" s="229"/>
      <c r="W337" s="13"/>
      <c r="X337" s="229"/>
      <c r="Y337" s="13"/>
      <c r="Z337" s="229"/>
      <c r="AA337" s="13"/>
      <c r="AB337" s="229">
        <f t="shared" si="103"/>
        <v>0</v>
      </c>
      <c r="AC337" s="228">
        <f t="shared" si="92"/>
        <v>0</v>
      </c>
      <c r="AD337" s="21">
        <v>0</v>
      </c>
      <c r="AE337" s="229"/>
      <c r="AF337" s="20"/>
      <c r="AG337" s="229"/>
      <c r="AH337" s="20"/>
      <c r="AI337" s="229"/>
      <c r="AJ337" s="20"/>
      <c r="AK337" s="229"/>
      <c r="AL337" s="20"/>
      <c r="AM337" s="229"/>
      <c r="AN337" s="20"/>
      <c r="AO337" s="229"/>
      <c r="AP337" s="20"/>
      <c r="AQ337" s="229"/>
      <c r="AR337" s="20"/>
      <c r="AS337" s="229"/>
      <c r="AT337" s="20"/>
      <c r="AU337" s="229"/>
      <c r="AV337" s="20"/>
      <c r="AW337" s="229"/>
      <c r="AX337" s="20"/>
      <c r="AY337" s="229"/>
      <c r="AZ337" s="20"/>
      <c r="BA337" s="229"/>
      <c r="BB337" s="20"/>
      <c r="BC337" s="229">
        <f t="shared" si="104"/>
        <v>0</v>
      </c>
      <c r="BD337" s="48">
        <f t="shared" si="93"/>
        <v>0</v>
      </c>
      <c r="BE337" s="19">
        <v>2</v>
      </c>
      <c r="BF337" s="229">
        <f t="shared" si="105"/>
        <v>0</v>
      </c>
      <c r="BG337" s="210">
        <f t="shared" si="94"/>
        <v>0</v>
      </c>
      <c r="BH337" s="210">
        <f t="shared" si="99"/>
        <v>2</v>
      </c>
      <c r="BI337" s="213">
        <f t="shared" si="98"/>
        <v>0</v>
      </c>
      <c r="BJ337" s="141"/>
      <c r="BK337" s="201"/>
      <c r="BL337" s="198"/>
      <c r="BM337" s="198"/>
    </row>
    <row r="338" spans="1:65" s="17" customFormat="1" ht="15.95" customHeight="1">
      <c r="A338" s="123">
        <v>224</v>
      </c>
      <c r="B338" s="9" t="s">
        <v>2657</v>
      </c>
      <c r="C338" s="15" t="s">
        <v>2658</v>
      </c>
      <c r="D338" s="229"/>
      <c r="E338" s="13"/>
      <c r="F338" s="229"/>
      <c r="G338" s="13"/>
      <c r="H338" s="229"/>
      <c r="I338" s="13"/>
      <c r="J338" s="229"/>
      <c r="K338" s="13"/>
      <c r="L338" s="229"/>
      <c r="M338" s="13"/>
      <c r="N338" s="229"/>
      <c r="O338" s="13"/>
      <c r="P338" s="229"/>
      <c r="Q338" s="13"/>
      <c r="R338" s="229"/>
      <c r="S338" s="13"/>
      <c r="T338" s="229"/>
      <c r="U338" s="13"/>
      <c r="V338" s="229"/>
      <c r="W338" s="13"/>
      <c r="X338" s="229"/>
      <c r="Y338" s="13"/>
      <c r="Z338" s="229"/>
      <c r="AA338" s="13"/>
      <c r="AB338" s="229">
        <f t="shared" si="103"/>
        <v>0</v>
      </c>
      <c r="AC338" s="228">
        <f t="shared" si="92"/>
        <v>0</v>
      </c>
      <c r="AD338" s="21">
        <v>0</v>
      </c>
      <c r="AE338" s="229"/>
      <c r="AF338" s="20"/>
      <c r="AG338" s="229"/>
      <c r="AH338" s="20"/>
      <c r="AI338" s="229"/>
      <c r="AJ338" s="20"/>
      <c r="AK338" s="229"/>
      <c r="AL338" s="20"/>
      <c r="AM338" s="229"/>
      <c r="AN338" s="20"/>
      <c r="AO338" s="229"/>
      <c r="AP338" s="20"/>
      <c r="AQ338" s="229"/>
      <c r="AR338" s="20"/>
      <c r="AS338" s="229"/>
      <c r="AT338" s="20"/>
      <c r="AU338" s="229"/>
      <c r="AV338" s="20"/>
      <c r="AW338" s="229"/>
      <c r="AX338" s="20"/>
      <c r="AY338" s="229"/>
      <c r="AZ338" s="20"/>
      <c r="BA338" s="229"/>
      <c r="BB338" s="20"/>
      <c r="BC338" s="229">
        <f t="shared" si="104"/>
        <v>0</v>
      </c>
      <c r="BD338" s="48">
        <f t="shared" si="93"/>
        <v>0</v>
      </c>
      <c r="BE338" s="19">
        <v>6</v>
      </c>
      <c r="BF338" s="229">
        <f t="shared" si="105"/>
        <v>0</v>
      </c>
      <c r="BG338" s="210">
        <f t="shared" si="94"/>
        <v>0</v>
      </c>
      <c r="BH338" s="210">
        <f t="shared" si="99"/>
        <v>6</v>
      </c>
      <c r="BI338" s="213">
        <f t="shared" si="98"/>
        <v>0</v>
      </c>
      <c r="BJ338" s="141"/>
      <c r="BK338" s="201"/>
      <c r="BL338" s="198"/>
      <c r="BM338" s="198"/>
    </row>
    <row r="339" spans="1:65" s="17" customFormat="1" ht="15.95" customHeight="1">
      <c r="A339" s="123">
        <v>225</v>
      </c>
      <c r="B339" s="9" t="s">
        <v>2659</v>
      </c>
      <c r="C339" s="15" t="s">
        <v>2660</v>
      </c>
      <c r="D339" s="229"/>
      <c r="E339" s="13"/>
      <c r="F339" s="229"/>
      <c r="G339" s="13"/>
      <c r="H339" s="229"/>
      <c r="I339" s="13"/>
      <c r="J339" s="229"/>
      <c r="K339" s="13"/>
      <c r="L339" s="229"/>
      <c r="M339" s="13"/>
      <c r="N339" s="229"/>
      <c r="O339" s="13"/>
      <c r="P339" s="229"/>
      <c r="Q339" s="13"/>
      <c r="R339" s="229"/>
      <c r="S339" s="13"/>
      <c r="T339" s="229"/>
      <c r="U339" s="13"/>
      <c r="V339" s="229"/>
      <c r="W339" s="13"/>
      <c r="X339" s="229"/>
      <c r="Y339" s="13"/>
      <c r="Z339" s="229"/>
      <c r="AA339" s="13"/>
      <c r="AB339" s="229">
        <f t="shared" si="103"/>
        <v>0</v>
      </c>
      <c r="AC339" s="228">
        <f t="shared" si="92"/>
        <v>0</v>
      </c>
      <c r="AD339" s="21">
        <v>0</v>
      </c>
      <c r="AE339" s="229"/>
      <c r="AF339" s="20"/>
      <c r="AG339" s="229"/>
      <c r="AH339" s="20"/>
      <c r="AI339" s="229">
        <v>2</v>
      </c>
      <c r="AJ339" s="20">
        <v>2</v>
      </c>
      <c r="AK339" s="229"/>
      <c r="AL339" s="20"/>
      <c r="AM339" s="229"/>
      <c r="AN339" s="20"/>
      <c r="AO339" s="229"/>
      <c r="AP339" s="20"/>
      <c r="AQ339" s="229"/>
      <c r="AR339" s="20"/>
      <c r="AS339" s="229"/>
      <c r="AT339" s="20"/>
      <c r="AU339" s="229"/>
      <c r="AV339" s="20"/>
      <c r="AW339" s="229"/>
      <c r="AX339" s="20"/>
      <c r="AY339" s="229"/>
      <c r="AZ339" s="20"/>
      <c r="BA339" s="229"/>
      <c r="BB339" s="20"/>
      <c r="BC339" s="229">
        <f t="shared" si="104"/>
        <v>2</v>
      </c>
      <c r="BD339" s="48">
        <f t="shared" si="93"/>
        <v>2</v>
      </c>
      <c r="BE339" s="19">
        <v>4</v>
      </c>
      <c r="BF339" s="229">
        <f t="shared" si="105"/>
        <v>2</v>
      </c>
      <c r="BG339" s="210">
        <f t="shared" si="94"/>
        <v>2</v>
      </c>
      <c r="BH339" s="210">
        <f t="shared" si="99"/>
        <v>4</v>
      </c>
      <c r="BI339" s="213">
        <f t="shared" si="98"/>
        <v>50</v>
      </c>
      <c r="BJ339" s="141"/>
      <c r="BK339" s="201"/>
      <c r="BL339" s="198"/>
      <c r="BM339" s="198"/>
    </row>
    <row r="340" spans="1:65" s="17" customFormat="1" ht="15.95" customHeight="1">
      <c r="A340" s="123">
        <v>226</v>
      </c>
      <c r="B340" s="9" t="s">
        <v>2982</v>
      </c>
      <c r="C340" s="15" t="s">
        <v>2983</v>
      </c>
      <c r="D340" s="229"/>
      <c r="E340" s="13"/>
      <c r="F340" s="229"/>
      <c r="G340" s="13"/>
      <c r="H340" s="229"/>
      <c r="I340" s="13"/>
      <c r="J340" s="229"/>
      <c r="K340" s="13"/>
      <c r="L340" s="229"/>
      <c r="M340" s="13"/>
      <c r="N340" s="229"/>
      <c r="O340" s="13"/>
      <c r="P340" s="229"/>
      <c r="Q340" s="13"/>
      <c r="R340" s="229"/>
      <c r="S340" s="13"/>
      <c r="T340" s="229"/>
      <c r="U340" s="13"/>
      <c r="V340" s="229"/>
      <c r="W340" s="13"/>
      <c r="X340" s="229"/>
      <c r="Y340" s="13"/>
      <c r="Z340" s="229"/>
      <c r="AA340" s="13"/>
      <c r="AB340" s="229">
        <f t="shared" si="103"/>
        <v>0</v>
      </c>
      <c r="AC340" s="228">
        <f t="shared" ref="AC340:AC402" si="106">E340+G340+I340+K340+M340+O340+Q340+S340+U340+W340+Y340+AA340</f>
        <v>0</v>
      </c>
      <c r="AD340" s="21">
        <v>0</v>
      </c>
      <c r="AE340" s="229"/>
      <c r="AF340" s="20"/>
      <c r="AG340" s="229"/>
      <c r="AH340" s="20"/>
      <c r="AI340" s="229">
        <v>1</v>
      </c>
      <c r="AJ340" s="20">
        <v>1</v>
      </c>
      <c r="AK340" s="229"/>
      <c r="AL340" s="20"/>
      <c r="AM340" s="229"/>
      <c r="AN340" s="20"/>
      <c r="AO340" s="229"/>
      <c r="AP340" s="20"/>
      <c r="AQ340" s="229"/>
      <c r="AR340" s="20"/>
      <c r="AS340" s="229"/>
      <c r="AT340" s="20"/>
      <c r="AU340" s="229"/>
      <c r="AV340" s="20">
        <v>1</v>
      </c>
      <c r="AW340" s="229"/>
      <c r="AX340" s="20"/>
      <c r="AY340" s="229"/>
      <c r="AZ340" s="20"/>
      <c r="BA340" s="229"/>
      <c r="BB340" s="20"/>
      <c r="BC340" s="229">
        <f t="shared" si="104"/>
        <v>1</v>
      </c>
      <c r="BD340" s="48">
        <f t="shared" ref="BD340:BD402" si="107">AF340+AH340+AJ340+AL340+AN340+AP340+AR340+AT340+AV340+AX340+AZ340+BB340</f>
        <v>2</v>
      </c>
      <c r="BE340" s="19">
        <v>0</v>
      </c>
      <c r="BF340" s="229">
        <f t="shared" si="105"/>
        <v>1</v>
      </c>
      <c r="BG340" s="210">
        <f t="shared" ref="BG340:BG402" si="108">AC340+BD340</f>
        <v>2</v>
      </c>
      <c r="BH340" s="210">
        <f t="shared" si="99"/>
        <v>0</v>
      </c>
      <c r="BI340" s="213" t="e">
        <f t="shared" si="98"/>
        <v>#DIV/0!</v>
      </c>
      <c r="BJ340" s="141"/>
      <c r="BK340" s="201"/>
      <c r="BL340" s="198"/>
      <c r="BM340" s="198"/>
    </row>
    <row r="341" spans="1:65" s="17" customFormat="1" ht="15.95" customHeight="1">
      <c r="A341" s="123">
        <v>227</v>
      </c>
      <c r="B341" s="9" t="s">
        <v>2985</v>
      </c>
      <c r="C341" s="15" t="s">
        <v>2984</v>
      </c>
      <c r="D341" s="229"/>
      <c r="E341" s="13"/>
      <c r="F341" s="229"/>
      <c r="G341" s="13"/>
      <c r="H341" s="229"/>
      <c r="I341" s="13"/>
      <c r="J341" s="229"/>
      <c r="K341" s="13"/>
      <c r="L341" s="229"/>
      <c r="M341" s="13"/>
      <c r="N341" s="229"/>
      <c r="O341" s="13"/>
      <c r="P341" s="229"/>
      <c r="Q341" s="13"/>
      <c r="R341" s="229"/>
      <c r="S341" s="13"/>
      <c r="T341" s="229"/>
      <c r="U341" s="13"/>
      <c r="V341" s="229"/>
      <c r="W341" s="13"/>
      <c r="X341" s="229"/>
      <c r="Y341" s="13"/>
      <c r="Z341" s="229"/>
      <c r="AA341" s="13"/>
      <c r="AB341" s="229">
        <f t="shared" si="103"/>
        <v>0</v>
      </c>
      <c r="AC341" s="228">
        <f t="shared" si="106"/>
        <v>0</v>
      </c>
      <c r="AD341" s="21">
        <v>0</v>
      </c>
      <c r="AE341" s="229"/>
      <c r="AF341" s="20"/>
      <c r="AG341" s="229"/>
      <c r="AH341" s="20"/>
      <c r="AI341" s="229">
        <v>1</v>
      </c>
      <c r="AJ341" s="20">
        <v>1</v>
      </c>
      <c r="AK341" s="229"/>
      <c r="AL341" s="20"/>
      <c r="AM341" s="229"/>
      <c r="AN341" s="20"/>
      <c r="AO341" s="229"/>
      <c r="AP341" s="20"/>
      <c r="AQ341" s="229"/>
      <c r="AR341" s="20"/>
      <c r="AS341" s="229"/>
      <c r="AT341" s="20"/>
      <c r="AU341" s="229"/>
      <c r="AV341" s="20"/>
      <c r="AW341" s="229"/>
      <c r="AX341" s="20"/>
      <c r="AY341" s="229"/>
      <c r="AZ341" s="20"/>
      <c r="BA341" s="229"/>
      <c r="BB341" s="20"/>
      <c r="BC341" s="229">
        <f t="shared" si="104"/>
        <v>1</v>
      </c>
      <c r="BD341" s="48">
        <f t="shared" si="107"/>
        <v>1</v>
      </c>
      <c r="BE341" s="19">
        <v>0</v>
      </c>
      <c r="BF341" s="229">
        <f t="shared" si="105"/>
        <v>1</v>
      </c>
      <c r="BG341" s="210">
        <f t="shared" si="108"/>
        <v>1</v>
      </c>
      <c r="BH341" s="210">
        <f t="shared" si="99"/>
        <v>0</v>
      </c>
      <c r="BI341" s="213" t="e">
        <f t="shared" si="98"/>
        <v>#DIV/0!</v>
      </c>
      <c r="BJ341" s="141"/>
      <c r="BK341" s="201"/>
      <c r="BL341" s="198"/>
      <c r="BM341" s="198"/>
    </row>
    <row r="342" spans="1:65" s="17" customFormat="1" ht="15.95" customHeight="1">
      <c r="A342" s="123">
        <v>228</v>
      </c>
      <c r="B342" s="9" t="s">
        <v>970</v>
      </c>
      <c r="C342" s="11" t="s">
        <v>971</v>
      </c>
      <c r="D342" s="229"/>
      <c r="E342" s="13"/>
      <c r="F342" s="229"/>
      <c r="G342" s="13"/>
      <c r="H342" s="229"/>
      <c r="I342" s="13"/>
      <c r="J342" s="229"/>
      <c r="K342" s="13"/>
      <c r="L342" s="229"/>
      <c r="M342" s="13"/>
      <c r="N342" s="229"/>
      <c r="O342" s="13"/>
      <c r="P342" s="229"/>
      <c r="Q342" s="13"/>
      <c r="R342" s="229"/>
      <c r="S342" s="13"/>
      <c r="T342" s="229"/>
      <c r="U342" s="13"/>
      <c r="V342" s="229"/>
      <c r="W342" s="13"/>
      <c r="X342" s="229"/>
      <c r="Y342" s="13"/>
      <c r="Z342" s="229"/>
      <c r="AA342" s="13">
        <v>1</v>
      </c>
      <c r="AB342" s="229">
        <f t="shared" si="103"/>
        <v>0</v>
      </c>
      <c r="AC342" s="228">
        <f t="shared" si="106"/>
        <v>1</v>
      </c>
      <c r="AD342" s="21">
        <v>0</v>
      </c>
      <c r="AE342" s="229"/>
      <c r="AF342" s="20"/>
      <c r="AG342" s="229"/>
      <c r="AH342" s="20"/>
      <c r="AI342" s="229"/>
      <c r="AJ342" s="20"/>
      <c r="AK342" s="229"/>
      <c r="AL342" s="20"/>
      <c r="AM342" s="229"/>
      <c r="AN342" s="20"/>
      <c r="AO342" s="229"/>
      <c r="AP342" s="20"/>
      <c r="AQ342" s="229"/>
      <c r="AR342" s="20"/>
      <c r="AS342" s="229"/>
      <c r="AT342" s="20"/>
      <c r="AU342" s="229"/>
      <c r="AV342" s="20"/>
      <c r="AW342" s="229"/>
      <c r="AX342" s="20"/>
      <c r="AY342" s="229"/>
      <c r="AZ342" s="20"/>
      <c r="BA342" s="229"/>
      <c r="BB342" s="20"/>
      <c r="BC342" s="229">
        <f t="shared" si="104"/>
        <v>0</v>
      </c>
      <c r="BD342" s="48">
        <f t="shared" si="107"/>
        <v>0</v>
      </c>
      <c r="BE342" s="19">
        <v>4</v>
      </c>
      <c r="BF342" s="229">
        <f t="shared" si="105"/>
        <v>0</v>
      </c>
      <c r="BG342" s="210">
        <f t="shared" si="108"/>
        <v>1</v>
      </c>
      <c r="BH342" s="210">
        <f t="shared" si="99"/>
        <v>4</v>
      </c>
      <c r="BI342" s="213">
        <f t="shared" si="98"/>
        <v>25</v>
      </c>
      <c r="BJ342" s="141"/>
      <c r="BK342" s="201"/>
      <c r="BL342" s="198"/>
      <c r="BM342" s="198"/>
    </row>
    <row r="343" spans="1:65" s="17" customFormat="1" ht="15.95" customHeight="1">
      <c r="A343" s="123">
        <v>229</v>
      </c>
      <c r="B343" s="9" t="s">
        <v>1496</v>
      </c>
      <c r="C343" s="15" t="s">
        <v>1497</v>
      </c>
      <c r="D343" s="229"/>
      <c r="E343" s="13"/>
      <c r="F343" s="229"/>
      <c r="G343" s="13"/>
      <c r="H343" s="229"/>
      <c r="I343" s="13"/>
      <c r="J343" s="229"/>
      <c r="K343" s="13"/>
      <c r="L343" s="229"/>
      <c r="M343" s="13"/>
      <c r="N343" s="229"/>
      <c r="O343" s="13"/>
      <c r="P343" s="229"/>
      <c r="Q343" s="13"/>
      <c r="R343" s="229"/>
      <c r="S343" s="13"/>
      <c r="T343" s="229"/>
      <c r="U343" s="13"/>
      <c r="V343" s="229"/>
      <c r="W343" s="13"/>
      <c r="X343" s="229"/>
      <c r="Y343" s="13"/>
      <c r="Z343" s="229"/>
      <c r="AA343" s="13"/>
      <c r="AB343" s="229">
        <f t="shared" si="103"/>
        <v>0</v>
      </c>
      <c r="AC343" s="228">
        <f t="shared" si="106"/>
        <v>0</v>
      </c>
      <c r="AD343" s="21">
        <v>0</v>
      </c>
      <c r="AE343" s="229"/>
      <c r="AF343" s="20"/>
      <c r="AG343" s="229"/>
      <c r="AH343" s="20"/>
      <c r="AI343" s="229"/>
      <c r="AJ343" s="20"/>
      <c r="AK343" s="229"/>
      <c r="AL343" s="20"/>
      <c r="AM343" s="229"/>
      <c r="AN343" s="20"/>
      <c r="AO343" s="229"/>
      <c r="AP343" s="20"/>
      <c r="AQ343" s="229"/>
      <c r="AR343" s="20"/>
      <c r="AS343" s="229"/>
      <c r="AT343" s="20"/>
      <c r="AU343" s="229"/>
      <c r="AV343" s="20"/>
      <c r="AW343" s="229"/>
      <c r="AX343" s="20"/>
      <c r="AY343" s="229"/>
      <c r="AZ343" s="20"/>
      <c r="BA343" s="229"/>
      <c r="BB343" s="20"/>
      <c r="BC343" s="229">
        <f t="shared" si="104"/>
        <v>0</v>
      </c>
      <c r="BD343" s="48">
        <f t="shared" si="107"/>
        <v>0</v>
      </c>
      <c r="BE343" s="19">
        <v>2</v>
      </c>
      <c r="BF343" s="229">
        <f t="shared" si="105"/>
        <v>0</v>
      </c>
      <c r="BG343" s="210">
        <f t="shared" si="108"/>
        <v>0</v>
      </c>
      <c r="BH343" s="210">
        <f t="shared" si="99"/>
        <v>2</v>
      </c>
      <c r="BI343" s="213">
        <f t="shared" si="98"/>
        <v>0</v>
      </c>
      <c r="BJ343" s="141"/>
      <c r="BK343" s="201"/>
      <c r="BL343" s="198"/>
      <c r="BM343" s="198"/>
    </row>
    <row r="344" spans="1:65" s="17" customFormat="1" ht="15.95" customHeight="1">
      <c r="A344" s="123">
        <v>230</v>
      </c>
      <c r="B344" s="9" t="s">
        <v>1687</v>
      </c>
      <c r="C344" s="15" t="s">
        <v>1688</v>
      </c>
      <c r="D344" s="229"/>
      <c r="E344" s="13"/>
      <c r="F344" s="229"/>
      <c r="G344" s="13"/>
      <c r="H344" s="229"/>
      <c r="I344" s="13"/>
      <c r="J344" s="229"/>
      <c r="K344" s="13"/>
      <c r="L344" s="229"/>
      <c r="M344" s="13"/>
      <c r="N344" s="229"/>
      <c r="O344" s="13"/>
      <c r="P344" s="229"/>
      <c r="Q344" s="13"/>
      <c r="R344" s="229"/>
      <c r="S344" s="13"/>
      <c r="T344" s="229"/>
      <c r="U344" s="13"/>
      <c r="V344" s="229"/>
      <c r="W344" s="13"/>
      <c r="X344" s="229"/>
      <c r="Y344" s="13"/>
      <c r="Z344" s="229"/>
      <c r="AA344" s="13"/>
      <c r="AB344" s="229">
        <f t="shared" si="103"/>
        <v>0</v>
      </c>
      <c r="AC344" s="228">
        <f t="shared" si="106"/>
        <v>0</v>
      </c>
      <c r="AD344" s="21">
        <v>0</v>
      </c>
      <c r="AE344" s="229"/>
      <c r="AF344" s="20"/>
      <c r="AG344" s="229"/>
      <c r="AH344" s="20"/>
      <c r="AI344" s="229"/>
      <c r="AJ344" s="20"/>
      <c r="AK344" s="229"/>
      <c r="AL344" s="20"/>
      <c r="AM344" s="229"/>
      <c r="AN344" s="20"/>
      <c r="AO344" s="229"/>
      <c r="AP344" s="20"/>
      <c r="AQ344" s="229"/>
      <c r="AR344" s="20"/>
      <c r="AS344" s="229"/>
      <c r="AT344" s="20"/>
      <c r="AU344" s="229"/>
      <c r="AV344" s="20">
        <v>1</v>
      </c>
      <c r="AW344" s="229"/>
      <c r="AX344" s="20"/>
      <c r="AY344" s="229"/>
      <c r="AZ344" s="20"/>
      <c r="BA344" s="229"/>
      <c r="BB344" s="20">
        <v>1</v>
      </c>
      <c r="BC344" s="229">
        <f t="shared" si="104"/>
        <v>0</v>
      </c>
      <c r="BD344" s="48">
        <f t="shared" si="107"/>
        <v>2</v>
      </c>
      <c r="BE344" s="19">
        <v>1</v>
      </c>
      <c r="BF344" s="229">
        <f t="shared" si="105"/>
        <v>0</v>
      </c>
      <c r="BG344" s="210">
        <f t="shared" si="108"/>
        <v>2</v>
      </c>
      <c r="BH344" s="210">
        <f t="shared" si="99"/>
        <v>1</v>
      </c>
      <c r="BI344" s="213">
        <f t="shared" si="98"/>
        <v>200</v>
      </c>
      <c r="BJ344" s="141"/>
      <c r="BK344" s="201"/>
      <c r="BL344" s="198"/>
      <c r="BM344" s="198"/>
    </row>
    <row r="345" spans="1:65" s="17" customFormat="1" ht="15.95" customHeight="1">
      <c r="A345" s="123">
        <v>231</v>
      </c>
      <c r="B345" s="9" t="s">
        <v>15</v>
      </c>
      <c r="C345" s="11" t="s">
        <v>231</v>
      </c>
      <c r="D345" s="229"/>
      <c r="E345" s="13"/>
      <c r="F345" s="229"/>
      <c r="G345" s="13"/>
      <c r="H345" s="229"/>
      <c r="I345" s="13"/>
      <c r="J345" s="229"/>
      <c r="K345" s="13"/>
      <c r="L345" s="229"/>
      <c r="M345" s="13"/>
      <c r="N345" s="229"/>
      <c r="O345" s="13"/>
      <c r="P345" s="229"/>
      <c r="Q345" s="13"/>
      <c r="R345" s="229"/>
      <c r="S345" s="13"/>
      <c r="T345" s="229"/>
      <c r="U345" s="13">
        <v>1</v>
      </c>
      <c r="V345" s="229"/>
      <c r="W345" s="13"/>
      <c r="X345" s="229"/>
      <c r="Y345" s="13"/>
      <c r="Z345" s="229"/>
      <c r="AA345" s="13">
        <v>4</v>
      </c>
      <c r="AB345" s="229">
        <f t="shared" si="103"/>
        <v>0</v>
      </c>
      <c r="AC345" s="228">
        <f t="shared" si="106"/>
        <v>5</v>
      </c>
      <c r="AD345" s="21">
        <v>3</v>
      </c>
      <c r="AE345" s="229"/>
      <c r="AF345" s="20"/>
      <c r="AG345" s="229"/>
      <c r="AH345" s="20"/>
      <c r="AI345" s="229">
        <v>7</v>
      </c>
      <c r="AJ345" s="20">
        <v>8</v>
      </c>
      <c r="AK345" s="229"/>
      <c r="AL345" s="20"/>
      <c r="AM345" s="229"/>
      <c r="AN345" s="20"/>
      <c r="AO345" s="229">
        <v>19</v>
      </c>
      <c r="AP345" s="20">
        <v>20</v>
      </c>
      <c r="AQ345" s="229"/>
      <c r="AR345" s="20"/>
      <c r="AS345" s="229"/>
      <c r="AT345" s="20"/>
      <c r="AU345" s="229"/>
      <c r="AV345" s="20">
        <v>16</v>
      </c>
      <c r="AW345" s="229"/>
      <c r="AX345" s="20"/>
      <c r="AY345" s="229"/>
      <c r="AZ345" s="20"/>
      <c r="BA345" s="229"/>
      <c r="BB345" s="20">
        <v>14</v>
      </c>
      <c r="BC345" s="229">
        <f t="shared" si="104"/>
        <v>26</v>
      </c>
      <c r="BD345" s="48">
        <f t="shared" si="107"/>
        <v>58</v>
      </c>
      <c r="BE345" s="19">
        <v>85</v>
      </c>
      <c r="BF345" s="229">
        <f t="shared" si="105"/>
        <v>26</v>
      </c>
      <c r="BG345" s="210">
        <f t="shared" si="108"/>
        <v>63</v>
      </c>
      <c r="BH345" s="210">
        <f t="shared" si="99"/>
        <v>88</v>
      </c>
      <c r="BI345" s="213">
        <f t="shared" si="98"/>
        <v>71.590909090909093</v>
      </c>
      <c r="BJ345" s="141"/>
      <c r="BK345" s="201"/>
      <c r="BL345" s="198"/>
      <c r="BM345" s="198"/>
    </row>
    <row r="346" spans="1:65" s="17" customFormat="1" ht="15.95" customHeight="1">
      <c r="A346" s="123">
        <v>232</v>
      </c>
      <c r="B346" s="9" t="s">
        <v>1938</v>
      </c>
      <c r="C346" s="11" t="s">
        <v>2661</v>
      </c>
      <c r="D346" s="229"/>
      <c r="E346" s="13"/>
      <c r="F346" s="229"/>
      <c r="G346" s="13"/>
      <c r="H346" s="229"/>
      <c r="I346" s="13"/>
      <c r="J346" s="229"/>
      <c r="K346" s="13"/>
      <c r="L346" s="229"/>
      <c r="M346" s="13"/>
      <c r="N346" s="229"/>
      <c r="O346" s="13"/>
      <c r="P346" s="229"/>
      <c r="Q346" s="13"/>
      <c r="R346" s="229"/>
      <c r="S346" s="13"/>
      <c r="T346" s="229"/>
      <c r="U346" s="13"/>
      <c r="V346" s="229"/>
      <c r="W346" s="13"/>
      <c r="X346" s="229"/>
      <c r="Y346" s="13"/>
      <c r="Z346" s="229"/>
      <c r="AA346" s="13"/>
      <c r="AB346" s="229">
        <f t="shared" si="103"/>
        <v>0</v>
      </c>
      <c r="AC346" s="228">
        <f t="shared" si="106"/>
        <v>0</v>
      </c>
      <c r="AD346" s="21">
        <v>0</v>
      </c>
      <c r="AE346" s="229"/>
      <c r="AF346" s="20"/>
      <c r="AG346" s="229"/>
      <c r="AH346" s="20"/>
      <c r="AI346" s="229"/>
      <c r="AJ346" s="20"/>
      <c r="AK346" s="229"/>
      <c r="AL346" s="20"/>
      <c r="AM346" s="229"/>
      <c r="AN346" s="20"/>
      <c r="AO346" s="229">
        <v>1</v>
      </c>
      <c r="AP346" s="20">
        <v>1</v>
      </c>
      <c r="AQ346" s="229"/>
      <c r="AR346" s="20"/>
      <c r="AS346" s="229"/>
      <c r="AT346" s="20"/>
      <c r="AU346" s="229"/>
      <c r="AV346" s="20">
        <v>1</v>
      </c>
      <c r="AW346" s="229"/>
      <c r="AX346" s="20"/>
      <c r="AY346" s="229"/>
      <c r="AZ346" s="20"/>
      <c r="BA346" s="229"/>
      <c r="BB346" s="20"/>
      <c r="BC346" s="229">
        <f t="shared" si="104"/>
        <v>1</v>
      </c>
      <c r="BD346" s="48">
        <f t="shared" si="107"/>
        <v>2</v>
      </c>
      <c r="BE346" s="19">
        <v>4</v>
      </c>
      <c r="BF346" s="229">
        <f t="shared" si="105"/>
        <v>1</v>
      </c>
      <c r="BG346" s="210">
        <f t="shared" si="108"/>
        <v>2</v>
      </c>
      <c r="BH346" s="210">
        <f t="shared" si="99"/>
        <v>4</v>
      </c>
      <c r="BI346" s="213">
        <f t="shared" si="98"/>
        <v>50</v>
      </c>
      <c r="BJ346" s="141"/>
      <c r="BK346" s="201"/>
      <c r="BL346" s="198"/>
      <c r="BM346" s="198"/>
    </row>
    <row r="347" spans="1:65" s="17" customFormat="1" ht="15.95" customHeight="1">
      <c r="A347" s="123">
        <v>233</v>
      </c>
      <c r="B347" s="9" t="s">
        <v>3081</v>
      </c>
      <c r="C347" s="11" t="s">
        <v>3082</v>
      </c>
      <c r="D347" s="229"/>
      <c r="E347" s="13"/>
      <c r="F347" s="229"/>
      <c r="G347" s="13"/>
      <c r="H347" s="229"/>
      <c r="I347" s="13"/>
      <c r="J347" s="229"/>
      <c r="K347" s="13"/>
      <c r="L347" s="229"/>
      <c r="M347" s="13"/>
      <c r="N347" s="229"/>
      <c r="O347" s="13"/>
      <c r="P347" s="229"/>
      <c r="Q347" s="13"/>
      <c r="R347" s="229"/>
      <c r="S347" s="13"/>
      <c r="T347" s="229"/>
      <c r="U347" s="13"/>
      <c r="V347" s="229"/>
      <c r="W347" s="13"/>
      <c r="X347" s="229"/>
      <c r="Y347" s="13"/>
      <c r="Z347" s="229"/>
      <c r="AA347" s="13"/>
      <c r="AB347" s="229"/>
      <c r="AC347" s="228">
        <f t="shared" si="106"/>
        <v>0</v>
      </c>
      <c r="AD347" s="21">
        <v>0</v>
      </c>
      <c r="AE347" s="229"/>
      <c r="AF347" s="20"/>
      <c r="AG347" s="229"/>
      <c r="AH347" s="20"/>
      <c r="AI347" s="229"/>
      <c r="AJ347" s="20"/>
      <c r="AK347" s="229"/>
      <c r="AL347" s="20"/>
      <c r="AM347" s="229"/>
      <c r="AN347" s="20"/>
      <c r="AO347" s="229"/>
      <c r="AP347" s="20">
        <v>2</v>
      </c>
      <c r="AQ347" s="229"/>
      <c r="AR347" s="20"/>
      <c r="AS347" s="229"/>
      <c r="AT347" s="20"/>
      <c r="AU347" s="229"/>
      <c r="AV347" s="20"/>
      <c r="AW347" s="229"/>
      <c r="AX347" s="20"/>
      <c r="AY347" s="229"/>
      <c r="AZ347" s="20"/>
      <c r="BA347" s="229"/>
      <c r="BB347" s="20"/>
      <c r="BC347" s="229"/>
      <c r="BD347" s="48">
        <f t="shared" si="107"/>
        <v>2</v>
      </c>
      <c r="BE347" s="19">
        <v>0</v>
      </c>
      <c r="BF347" s="229"/>
      <c r="BG347" s="210">
        <f t="shared" si="108"/>
        <v>2</v>
      </c>
      <c r="BH347" s="210">
        <f t="shared" si="99"/>
        <v>0</v>
      </c>
      <c r="BI347" s="213" t="e">
        <f t="shared" si="98"/>
        <v>#DIV/0!</v>
      </c>
      <c r="BJ347" s="141"/>
      <c r="BK347" s="201"/>
      <c r="BL347" s="198"/>
      <c r="BM347" s="198"/>
    </row>
    <row r="348" spans="1:65" s="17" customFormat="1" ht="15.95" customHeight="1">
      <c r="A348" s="123">
        <v>234</v>
      </c>
      <c r="B348" s="9" t="s">
        <v>232</v>
      </c>
      <c r="C348" s="11" t="s">
        <v>233</v>
      </c>
      <c r="D348" s="229"/>
      <c r="E348" s="13"/>
      <c r="F348" s="229"/>
      <c r="G348" s="13"/>
      <c r="H348" s="229"/>
      <c r="I348" s="13"/>
      <c r="J348" s="229"/>
      <c r="K348" s="13"/>
      <c r="L348" s="229"/>
      <c r="M348" s="13"/>
      <c r="N348" s="229"/>
      <c r="O348" s="13"/>
      <c r="P348" s="229"/>
      <c r="Q348" s="13"/>
      <c r="R348" s="229"/>
      <c r="S348" s="13"/>
      <c r="T348" s="229"/>
      <c r="U348" s="13"/>
      <c r="V348" s="229"/>
      <c r="W348" s="13"/>
      <c r="X348" s="229"/>
      <c r="Y348" s="13"/>
      <c r="Z348" s="229"/>
      <c r="AA348" s="13"/>
      <c r="AB348" s="229">
        <f t="shared" ref="AB348:AB361" si="109">D348+F348+H348+J348+L348+N348+P348+R348+T348+V348+X348+Z348</f>
        <v>0</v>
      </c>
      <c r="AC348" s="228">
        <f t="shared" si="106"/>
        <v>0</v>
      </c>
      <c r="AD348" s="21">
        <v>0</v>
      </c>
      <c r="AE348" s="229"/>
      <c r="AF348" s="20"/>
      <c r="AG348" s="229"/>
      <c r="AH348" s="20"/>
      <c r="AI348" s="229">
        <v>1</v>
      </c>
      <c r="AJ348" s="20">
        <v>1</v>
      </c>
      <c r="AK348" s="229"/>
      <c r="AL348" s="20"/>
      <c r="AM348" s="229"/>
      <c r="AN348" s="20"/>
      <c r="AO348" s="229">
        <v>2</v>
      </c>
      <c r="AP348" s="20">
        <v>2</v>
      </c>
      <c r="AQ348" s="229"/>
      <c r="AR348" s="20"/>
      <c r="AS348" s="229"/>
      <c r="AT348" s="20"/>
      <c r="AU348" s="229"/>
      <c r="AV348" s="20">
        <v>2</v>
      </c>
      <c r="AW348" s="229"/>
      <c r="AX348" s="20"/>
      <c r="AY348" s="229"/>
      <c r="AZ348" s="20"/>
      <c r="BA348" s="229"/>
      <c r="BB348" s="20"/>
      <c r="BC348" s="229">
        <f t="shared" ref="BC348:BC361" si="110">AE348+AG348+AI348+AK348+AM348+AO348+AQ348+AS348+AU348+AW348+AY348+BA348</f>
        <v>3</v>
      </c>
      <c r="BD348" s="48">
        <f t="shared" si="107"/>
        <v>5</v>
      </c>
      <c r="BE348" s="19">
        <v>1</v>
      </c>
      <c r="BF348" s="229">
        <f t="shared" ref="BF348:BF361" si="111">AB348+BC348</f>
        <v>3</v>
      </c>
      <c r="BG348" s="210">
        <f t="shared" si="108"/>
        <v>5</v>
      </c>
      <c r="BH348" s="210">
        <f t="shared" si="99"/>
        <v>1</v>
      </c>
      <c r="BI348" s="213">
        <f t="shared" si="98"/>
        <v>500</v>
      </c>
      <c r="BJ348" s="141"/>
      <c r="BK348" s="201"/>
      <c r="BL348" s="198"/>
      <c r="BM348" s="198"/>
    </row>
    <row r="349" spans="1:65" s="17" customFormat="1" ht="15.95" customHeight="1">
      <c r="A349" s="123">
        <v>235</v>
      </c>
      <c r="B349" s="9" t="s">
        <v>3004</v>
      </c>
      <c r="C349" s="11" t="s">
        <v>3005</v>
      </c>
      <c r="D349" s="229"/>
      <c r="E349" s="13"/>
      <c r="F349" s="229"/>
      <c r="G349" s="13"/>
      <c r="H349" s="229"/>
      <c r="I349" s="13"/>
      <c r="J349" s="229"/>
      <c r="K349" s="13"/>
      <c r="L349" s="229"/>
      <c r="M349" s="13"/>
      <c r="N349" s="229"/>
      <c r="O349" s="13"/>
      <c r="P349" s="229"/>
      <c r="Q349" s="13"/>
      <c r="R349" s="229"/>
      <c r="S349" s="13"/>
      <c r="T349" s="229"/>
      <c r="U349" s="13"/>
      <c r="V349" s="229"/>
      <c r="W349" s="13"/>
      <c r="X349" s="229"/>
      <c r="Y349" s="13"/>
      <c r="Z349" s="229"/>
      <c r="AA349" s="13"/>
      <c r="AB349" s="229">
        <f t="shared" si="109"/>
        <v>0</v>
      </c>
      <c r="AC349" s="228">
        <f t="shared" si="106"/>
        <v>0</v>
      </c>
      <c r="AD349" s="21">
        <v>0</v>
      </c>
      <c r="AE349" s="229"/>
      <c r="AF349" s="20"/>
      <c r="AG349" s="229"/>
      <c r="AH349" s="20"/>
      <c r="AI349" s="229">
        <v>1</v>
      </c>
      <c r="AJ349" s="20">
        <v>1</v>
      </c>
      <c r="AK349" s="229"/>
      <c r="AL349" s="20"/>
      <c r="AM349" s="229"/>
      <c r="AN349" s="20"/>
      <c r="AO349" s="229"/>
      <c r="AP349" s="20"/>
      <c r="AQ349" s="229"/>
      <c r="AR349" s="20"/>
      <c r="AS349" s="229"/>
      <c r="AT349" s="20"/>
      <c r="AU349" s="229"/>
      <c r="AV349" s="20"/>
      <c r="AW349" s="229"/>
      <c r="AX349" s="20"/>
      <c r="AY349" s="229"/>
      <c r="AZ349" s="20"/>
      <c r="BA349" s="229"/>
      <c r="BB349" s="20"/>
      <c r="BC349" s="229">
        <f t="shared" si="110"/>
        <v>1</v>
      </c>
      <c r="BD349" s="48">
        <f t="shared" si="107"/>
        <v>1</v>
      </c>
      <c r="BE349" s="19">
        <v>0</v>
      </c>
      <c r="BF349" s="229">
        <f t="shared" si="111"/>
        <v>1</v>
      </c>
      <c r="BG349" s="210">
        <f t="shared" si="108"/>
        <v>1</v>
      </c>
      <c r="BH349" s="210">
        <f t="shared" si="99"/>
        <v>0</v>
      </c>
      <c r="BI349" s="213" t="e">
        <f t="shared" si="98"/>
        <v>#DIV/0!</v>
      </c>
      <c r="BJ349" s="141"/>
      <c r="BK349" s="201"/>
      <c r="BL349" s="198"/>
      <c r="BM349" s="198"/>
    </row>
    <row r="350" spans="1:65" s="17" customFormat="1" ht="21.75" customHeight="1">
      <c r="A350" s="123">
        <v>236</v>
      </c>
      <c r="B350" s="9" t="s">
        <v>3006</v>
      </c>
      <c r="C350" s="10" t="s">
        <v>3007</v>
      </c>
      <c r="D350" s="229"/>
      <c r="E350" s="13"/>
      <c r="F350" s="229"/>
      <c r="G350" s="13"/>
      <c r="H350" s="229"/>
      <c r="I350" s="13"/>
      <c r="J350" s="229"/>
      <c r="K350" s="13"/>
      <c r="L350" s="229"/>
      <c r="M350" s="13"/>
      <c r="N350" s="229"/>
      <c r="O350" s="13"/>
      <c r="P350" s="229"/>
      <c r="Q350" s="13"/>
      <c r="R350" s="229"/>
      <c r="S350" s="13"/>
      <c r="T350" s="229"/>
      <c r="U350" s="13"/>
      <c r="V350" s="229"/>
      <c r="W350" s="13"/>
      <c r="X350" s="229"/>
      <c r="Y350" s="13"/>
      <c r="Z350" s="229"/>
      <c r="AA350" s="13"/>
      <c r="AB350" s="229">
        <f t="shared" si="109"/>
        <v>0</v>
      </c>
      <c r="AC350" s="228">
        <f t="shared" si="106"/>
        <v>0</v>
      </c>
      <c r="AD350" s="21">
        <v>0</v>
      </c>
      <c r="AE350" s="229"/>
      <c r="AF350" s="20"/>
      <c r="AG350" s="229"/>
      <c r="AH350" s="20"/>
      <c r="AI350" s="229">
        <v>3</v>
      </c>
      <c r="AJ350" s="20">
        <v>3</v>
      </c>
      <c r="AK350" s="229"/>
      <c r="AL350" s="20"/>
      <c r="AM350" s="229"/>
      <c r="AN350" s="20"/>
      <c r="AO350" s="229">
        <v>4</v>
      </c>
      <c r="AP350" s="20">
        <v>4</v>
      </c>
      <c r="AQ350" s="229"/>
      <c r="AR350" s="20"/>
      <c r="AS350" s="229"/>
      <c r="AT350" s="20"/>
      <c r="AU350" s="229"/>
      <c r="AV350" s="20">
        <v>2</v>
      </c>
      <c r="AW350" s="229"/>
      <c r="AX350" s="20"/>
      <c r="AY350" s="229"/>
      <c r="AZ350" s="20"/>
      <c r="BA350" s="229"/>
      <c r="BB350" s="20">
        <v>5</v>
      </c>
      <c r="BC350" s="229">
        <f t="shared" si="110"/>
        <v>7</v>
      </c>
      <c r="BD350" s="48">
        <f t="shared" si="107"/>
        <v>14</v>
      </c>
      <c r="BE350" s="19">
        <v>0</v>
      </c>
      <c r="BF350" s="229">
        <f t="shared" si="111"/>
        <v>7</v>
      </c>
      <c r="BG350" s="210">
        <f t="shared" si="108"/>
        <v>14</v>
      </c>
      <c r="BH350" s="210">
        <f t="shared" si="99"/>
        <v>0</v>
      </c>
      <c r="BI350" s="213" t="e">
        <f t="shared" si="98"/>
        <v>#DIV/0!</v>
      </c>
      <c r="BJ350" s="141"/>
      <c r="BK350" s="201"/>
      <c r="BL350" s="198"/>
      <c r="BM350" s="198"/>
    </row>
    <row r="351" spans="1:65" s="17" customFormat="1" ht="21.95" customHeight="1">
      <c r="A351" s="123">
        <v>237</v>
      </c>
      <c r="B351" s="9" t="s">
        <v>2218</v>
      </c>
      <c r="C351" s="10" t="s">
        <v>2219</v>
      </c>
      <c r="D351" s="229"/>
      <c r="E351" s="13"/>
      <c r="F351" s="229"/>
      <c r="G351" s="13"/>
      <c r="H351" s="229"/>
      <c r="I351" s="13"/>
      <c r="J351" s="229"/>
      <c r="K351" s="13"/>
      <c r="L351" s="229"/>
      <c r="M351" s="13"/>
      <c r="N351" s="229"/>
      <c r="O351" s="13"/>
      <c r="P351" s="229"/>
      <c r="Q351" s="13"/>
      <c r="R351" s="229"/>
      <c r="S351" s="13"/>
      <c r="T351" s="229"/>
      <c r="U351" s="13"/>
      <c r="V351" s="229"/>
      <c r="W351" s="13"/>
      <c r="X351" s="229"/>
      <c r="Y351" s="13"/>
      <c r="Z351" s="229"/>
      <c r="AA351" s="13"/>
      <c r="AB351" s="229">
        <f t="shared" si="109"/>
        <v>0</v>
      </c>
      <c r="AC351" s="228">
        <f t="shared" si="106"/>
        <v>0</v>
      </c>
      <c r="AD351" s="21">
        <v>0</v>
      </c>
      <c r="AE351" s="229"/>
      <c r="AF351" s="20"/>
      <c r="AG351" s="229"/>
      <c r="AH351" s="20"/>
      <c r="AI351" s="229"/>
      <c r="AJ351" s="20"/>
      <c r="AK351" s="229"/>
      <c r="AL351" s="20"/>
      <c r="AM351" s="229"/>
      <c r="AN351" s="20"/>
      <c r="AO351" s="229">
        <v>7</v>
      </c>
      <c r="AP351" s="20">
        <v>7</v>
      </c>
      <c r="AQ351" s="229"/>
      <c r="AR351" s="20"/>
      <c r="AS351" s="229"/>
      <c r="AT351" s="20"/>
      <c r="AU351" s="229"/>
      <c r="AV351" s="20">
        <v>3</v>
      </c>
      <c r="AW351" s="229"/>
      <c r="AX351" s="20"/>
      <c r="AY351" s="229"/>
      <c r="AZ351" s="20"/>
      <c r="BA351" s="229"/>
      <c r="BB351" s="20"/>
      <c r="BC351" s="229">
        <f t="shared" si="110"/>
        <v>7</v>
      </c>
      <c r="BD351" s="48">
        <f t="shared" si="107"/>
        <v>10</v>
      </c>
      <c r="BE351" s="19">
        <v>3</v>
      </c>
      <c r="BF351" s="229">
        <f t="shared" si="111"/>
        <v>7</v>
      </c>
      <c r="BG351" s="210">
        <f t="shared" si="108"/>
        <v>10</v>
      </c>
      <c r="BH351" s="210">
        <f t="shared" si="99"/>
        <v>3</v>
      </c>
      <c r="BI351" s="213">
        <f t="shared" si="98"/>
        <v>333.33333333333337</v>
      </c>
      <c r="BJ351" s="141"/>
      <c r="BK351" s="201"/>
      <c r="BL351" s="198"/>
      <c r="BM351" s="198"/>
    </row>
    <row r="352" spans="1:65" s="17" customFormat="1" ht="15.95" customHeight="1">
      <c r="A352" s="123">
        <v>238</v>
      </c>
      <c r="B352" s="9" t="s">
        <v>2173</v>
      </c>
      <c r="C352" s="11" t="s">
        <v>2384</v>
      </c>
      <c r="D352" s="229"/>
      <c r="E352" s="13"/>
      <c r="F352" s="229"/>
      <c r="G352" s="13"/>
      <c r="H352" s="229"/>
      <c r="I352" s="13"/>
      <c r="J352" s="229"/>
      <c r="K352" s="13"/>
      <c r="L352" s="229"/>
      <c r="M352" s="13"/>
      <c r="N352" s="229"/>
      <c r="O352" s="13"/>
      <c r="P352" s="229"/>
      <c r="Q352" s="13"/>
      <c r="R352" s="229"/>
      <c r="S352" s="13"/>
      <c r="T352" s="229"/>
      <c r="U352" s="13"/>
      <c r="V352" s="229"/>
      <c r="W352" s="13"/>
      <c r="X352" s="229"/>
      <c r="Y352" s="13"/>
      <c r="Z352" s="229"/>
      <c r="AA352" s="13"/>
      <c r="AB352" s="229">
        <f t="shared" si="109"/>
        <v>0</v>
      </c>
      <c r="AC352" s="228">
        <f t="shared" si="106"/>
        <v>0</v>
      </c>
      <c r="AD352" s="21">
        <v>0</v>
      </c>
      <c r="AE352" s="229"/>
      <c r="AF352" s="20"/>
      <c r="AG352" s="229"/>
      <c r="AH352" s="20"/>
      <c r="AI352" s="229"/>
      <c r="AJ352" s="20"/>
      <c r="AK352" s="229"/>
      <c r="AL352" s="20"/>
      <c r="AM352" s="229"/>
      <c r="AN352" s="20"/>
      <c r="AO352" s="229"/>
      <c r="AP352" s="20"/>
      <c r="AQ352" s="229"/>
      <c r="AR352" s="20"/>
      <c r="AS352" s="229"/>
      <c r="AT352" s="20"/>
      <c r="AU352" s="229"/>
      <c r="AV352" s="20"/>
      <c r="AW352" s="229"/>
      <c r="AX352" s="20"/>
      <c r="AY352" s="229"/>
      <c r="AZ352" s="20"/>
      <c r="BA352" s="229"/>
      <c r="BB352" s="20"/>
      <c r="BC352" s="229">
        <f t="shared" si="110"/>
        <v>0</v>
      </c>
      <c r="BD352" s="48">
        <f t="shared" si="107"/>
        <v>0</v>
      </c>
      <c r="BE352" s="19">
        <v>3</v>
      </c>
      <c r="BF352" s="229">
        <f t="shared" si="111"/>
        <v>0</v>
      </c>
      <c r="BG352" s="210">
        <f t="shared" si="108"/>
        <v>0</v>
      </c>
      <c r="BH352" s="210">
        <f t="shared" si="99"/>
        <v>3</v>
      </c>
      <c r="BI352" s="213">
        <f t="shared" si="98"/>
        <v>0</v>
      </c>
      <c r="BJ352" s="141"/>
      <c r="BK352" s="201"/>
      <c r="BL352" s="198"/>
      <c r="BM352" s="198"/>
    </row>
    <row r="353" spans="1:65" s="17" customFormat="1" ht="15.95" customHeight="1">
      <c r="A353" s="123">
        <v>239</v>
      </c>
      <c r="B353" s="9" t="s">
        <v>1766</v>
      </c>
      <c r="C353" s="11" t="s">
        <v>2662</v>
      </c>
      <c r="D353" s="229"/>
      <c r="E353" s="13"/>
      <c r="F353" s="229"/>
      <c r="G353" s="13"/>
      <c r="H353" s="229"/>
      <c r="I353" s="13"/>
      <c r="J353" s="229"/>
      <c r="K353" s="13"/>
      <c r="L353" s="229"/>
      <c r="M353" s="13"/>
      <c r="N353" s="229"/>
      <c r="O353" s="13"/>
      <c r="P353" s="229"/>
      <c r="Q353" s="13"/>
      <c r="R353" s="229"/>
      <c r="S353" s="13"/>
      <c r="T353" s="229"/>
      <c r="U353" s="13"/>
      <c r="V353" s="229"/>
      <c r="W353" s="13"/>
      <c r="X353" s="229"/>
      <c r="Y353" s="13"/>
      <c r="Z353" s="229"/>
      <c r="AA353" s="13"/>
      <c r="AB353" s="229">
        <f t="shared" si="109"/>
        <v>0</v>
      </c>
      <c r="AC353" s="228">
        <f t="shared" si="106"/>
        <v>0</v>
      </c>
      <c r="AD353" s="21">
        <v>0</v>
      </c>
      <c r="AE353" s="229"/>
      <c r="AF353" s="20"/>
      <c r="AG353" s="229"/>
      <c r="AH353" s="20"/>
      <c r="AI353" s="229">
        <v>1</v>
      </c>
      <c r="AJ353" s="20">
        <v>1</v>
      </c>
      <c r="AK353" s="229"/>
      <c r="AL353" s="20"/>
      <c r="AM353" s="229"/>
      <c r="AN353" s="20"/>
      <c r="AO353" s="229"/>
      <c r="AP353" s="20"/>
      <c r="AQ353" s="229"/>
      <c r="AR353" s="20"/>
      <c r="AS353" s="229"/>
      <c r="AT353" s="20"/>
      <c r="AU353" s="229"/>
      <c r="AV353" s="20"/>
      <c r="AW353" s="229"/>
      <c r="AX353" s="20"/>
      <c r="AY353" s="229"/>
      <c r="AZ353" s="20"/>
      <c r="BA353" s="229"/>
      <c r="BB353" s="20"/>
      <c r="BC353" s="229">
        <f t="shared" si="110"/>
        <v>1</v>
      </c>
      <c r="BD353" s="48">
        <f t="shared" si="107"/>
        <v>1</v>
      </c>
      <c r="BE353" s="19">
        <v>5</v>
      </c>
      <c r="BF353" s="229">
        <f t="shared" si="111"/>
        <v>1</v>
      </c>
      <c r="BG353" s="210">
        <f t="shared" si="108"/>
        <v>1</v>
      </c>
      <c r="BH353" s="210">
        <f t="shared" si="99"/>
        <v>5</v>
      </c>
      <c r="BI353" s="213">
        <f t="shared" si="98"/>
        <v>20</v>
      </c>
      <c r="BJ353" s="141"/>
      <c r="BK353" s="201"/>
      <c r="BL353" s="198"/>
      <c r="BM353" s="198"/>
    </row>
    <row r="354" spans="1:65" s="17" customFormat="1" ht="15.95" customHeight="1">
      <c r="A354" s="123">
        <v>240</v>
      </c>
      <c r="B354" s="9" t="s">
        <v>1562</v>
      </c>
      <c r="C354" s="11" t="s">
        <v>1563</v>
      </c>
      <c r="D354" s="229"/>
      <c r="E354" s="13"/>
      <c r="F354" s="229"/>
      <c r="G354" s="13"/>
      <c r="H354" s="229"/>
      <c r="I354" s="13"/>
      <c r="J354" s="229"/>
      <c r="K354" s="13"/>
      <c r="L354" s="229"/>
      <c r="M354" s="13"/>
      <c r="N354" s="229"/>
      <c r="O354" s="13"/>
      <c r="P354" s="229"/>
      <c r="Q354" s="13"/>
      <c r="R354" s="229"/>
      <c r="S354" s="13"/>
      <c r="T354" s="229"/>
      <c r="U354" s="13"/>
      <c r="V354" s="229"/>
      <c r="W354" s="13"/>
      <c r="X354" s="229"/>
      <c r="Y354" s="13"/>
      <c r="Z354" s="229"/>
      <c r="AA354" s="13"/>
      <c r="AB354" s="229">
        <f t="shared" si="109"/>
        <v>0</v>
      </c>
      <c r="AC354" s="228">
        <f t="shared" si="106"/>
        <v>0</v>
      </c>
      <c r="AD354" s="21">
        <v>0</v>
      </c>
      <c r="AE354" s="229"/>
      <c r="AF354" s="20"/>
      <c r="AG354" s="229"/>
      <c r="AH354" s="20"/>
      <c r="AI354" s="229"/>
      <c r="AJ354" s="20"/>
      <c r="AK354" s="229"/>
      <c r="AL354" s="20"/>
      <c r="AM354" s="229"/>
      <c r="AN354" s="20"/>
      <c r="AO354" s="229"/>
      <c r="AP354" s="20"/>
      <c r="AQ354" s="229"/>
      <c r="AR354" s="20"/>
      <c r="AS354" s="229"/>
      <c r="AT354" s="20"/>
      <c r="AU354" s="229"/>
      <c r="AV354" s="20"/>
      <c r="AW354" s="229"/>
      <c r="AX354" s="20"/>
      <c r="AY354" s="229"/>
      <c r="AZ354" s="20"/>
      <c r="BA354" s="229"/>
      <c r="BB354" s="20"/>
      <c r="BC354" s="229">
        <f t="shared" si="110"/>
        <v>0</v>
      </c>
      <c r="BD354" s="48">
        <f t="shared" si="107"/>
        <v>0</v>
      </c>
      <c r="BE354" s="19">
        <v>5</v>
      </c>
      <c r="BF354" s="229">
        <f t="shared" si="111"/>
        <v>0</v>
      </c>
      <c r="BG354" s="210">
        <f t="shared" si="108"/>
        <v>0</v>
      </c>
      <c r="BH354" s="210">
        <f t="shared" si="99"/>
        <v>5</v>
      </c>
      <c r="BI354" s="213">
        <f t="shared" si="98"/>
        <v>0</v>
      </c>
      <c r="BJ354" s="141"/>
      <c r="BK354" s="201"/>
      <c r="BL354" s="198"/>
      <c r="BM354" s="198"/>
    </row>
    <row r="355" spans="1:65" s="17" customFormat="1" ht="15.95" customHeight="1">
      <c r="A355" s="123">
        <v>241</v>
      </c>
      <c r="B355" s="9" t="s">
        <v>63</v>
      </c>
      <c r="C355" s="11" t="s">
        <v>64</v>
      </c>
      <c r="D355" s="229"/>
      <c r="E355" s="13"/>
      <c r="F355" s="229"/>
      <c r="G355" s="13"/>
      <c r="H355" s="229"/>
      <c r="I355" s="13"/>
      <c r="J355" s="229"/>
      <c r="K355" s="13"/>
      <c r="L355" s="229"/>
      <c r="M355" s="13"/>
      <c r="N355" s="229"/>
      <c r="O355" s="13"/>
      <c r="P355" s="229"/>
      <c r="Q355" s="13"/>
      <c r="R355" s="229"/>
      <c r="S355" s="13"/>
      <c r="T355" s="229"/>
      <c r="U355" s="13"/>
      <c r="V355" s="229"/>
      <c r="W355" s="13"/>
      <c r="X355" s="229"/>
      <c r="Y355" s="13"/>
      <c r="Z355" s="229"/>
      <c r="AA355" s="13"/>
      <c r="AB355" s="229">
        <f t="shared" si="109"/>
        <v>0</v>
      </c>
      <c r="AC355" s="228">
        <f t="shared" si="106"/>
        <v>0</v>
      </c>
      <c r="AD355" s="21">
        <v>0</v>
      </c>
      <c r="AE355" s="229"/>
      <c r="AF355" s="20"/>
      <c r="AG355" s="229"/>
      <c r="AH355" s="20"/>
      <c r="AI355" s="229"/>
      <c r="AJ355" s="20"/>
      <c r="AK355" s="229"/>
      <c r="AL355" s="20"/>
      <c r="AM355" s="229"/>
      <c r="AN355" s="20"/>
      <c r="AO355" s="229">
        <v>1</v>
      </c>
      <c r="AP355" s="20">
        <v>1</v>
      </c>
      <c r="AQ355" s="229"/>
      <c r="AR355" s="20"/>
      <c r="AS355" s="229"/>
      <c r="AT355" s="20"/>
      <c r="AU355" s="229"/>
      <c r="AV355" s="20"/>
      <c r="AW355" s="229"/>
      <c r="AX355" s="20"/>
      <c r="AY355" s="229"/>
      <c r="AZ355" s="20"/>
      <c r="BA355" s="229"/>
      <c r="BB355" s="20"/>
      <c r="BC355" s="229">
        <f t="shared" si="110"/>
        <v>1</v>
      </c>
      <c r="BD355" s="48">
        <f t="shared" si="107"/>
        <v>1</v>
      </c>
      <c r="BE355" s="19">
        <v>1</v>
      </c>
      <c r="BF355" s="229">
        <f t="shared" si="111"/>
        <v>1</v>
      </c>
      <c r="BG355" s="210">
        <f t="shared" si="108"/>
        <v>1</v>
      </c>
      <c r="BH355" s="210">
        <f t="shared" si="99"/>
        <v>1</v>
      </c>
      <c r="BI355" s="213">
        <f t="shared" si="98"/>
        <v>100</v>
      </c>
      <c r="BJ355" s="141"/>
      <c r="BK355" s="201"/>
      <c r="BL355" s="198"/>
      <c r="BM355" s="198"/>
    </row>
    <row r="356" spans="1:65" s="17" customFormat="1" ht="15.95" customHeight="1">
      <c r="A356" s="123">
        <v>242</v>
      </c>
      <c r="B356" s="9" t="s">
        <v>65</v>
      </c>
      <c r="C356" s="11" t="s">
        <v>66</v>
      </c>
      <c r="D356" s="229"/>
      <c r="E356" s="13"/>
      <c r="F356" s="229"/>
      <c r="G356" s="13"/>
      <c r="H356" s="229"/>
      <c r="I356" s="13"/>
      <c r="J356" s="229"/>
      <c r="K356" s="13"/>
      <c r="L356" s="229"/>
      <c r="M356" s="13"/>
      <c r="N356" s="229"/>
      <c r="O356" s="13"/>
      <c r="P356" s="229"/>
      <c r="Q356" s="13"/>
      <c r="R356" s="229"/>
      <c r="S356" s="13"/>
      <c r="T356" s="229"/>
      <c r="U356" s="13"/>
      <c r="V356" s="229"/>
      <c r="W356" s="13"/>
      <c r="X356" s="229"/>
      <c r="Y356" s="13"/>
      <c r="Z356" s="229"/>
      <c r="AA356" s="13"/>
      <c r="AB356" s="229">
        <f t="shared" si="109"/>
        <v>0</v>
      </c>
      <c r="AC356" s="228">
        <f t="shared" si="106"/>
        <v>0</v>
      </c>
      <c r="AD356" s="21">
        <v>0</v>
      </c>
      <c r="AE356" s="229"/>
      <c r="AF356" s="20"/>
      <c r="AG356" s="229"/>
      <c r="AH356" s="20"/>
      <c r="AI356" s="229"/>
      <c r="AJ356" s="20"/>
      <c r="AK356" s="229"/>
      <c r="AL356" s="20"/>
      <c r="AM356" s="229"/>
      <c r="AN356" s="20"/>
      <c r="AO356" s="229">
        <v>1</v>
      </c>
      <c r="AP356" s="20">
        <v>1</v>
      </c>
      <c r="AQ356" s="229"/>
      <c r="AR356" s="20"/>
      <c r="AS356" s="229"/>
      <c r="AT356" s="20"/>
      <c r="AU356" s="229"/>
      <c r="AV356" s="20">
        <v>1</v>
      </c>
      <c r="AW356" s="229"/>
      <c r="AX356" s="20"/>
      <c r="AY356" s="229"/>
      <c r="AZ356" s="20"/>
      <c r="BA356" s="229"/>
      <c r="BB356" s="20"/>
      <c r="BC356" s="229">
        <f t="shared" si="110"/>
        <v>1</v>
      </c>
      <c r="BD356" s="48">
        <f t="shared" si="107"/>
        <v>2</v>
      </c>
      <c r="BE356" s="19">
        <v>4</v>
      </c>
      <c r="BF356" s="229">
        <f t="shared" si="111"/>
        <v>1</v>
      </c>
      <c r="BG356" s="210">
        <f t="shared" si="108"/>
        <v>2</v>
      </c>
      <c r="BH356" s="210">
        <f t="shared" si="99"/>
        <v>4</v>
      </c>
      <c r="BI356" s="213">
        <f t="shared" si="98"/>
        <v>50</v>
      </c>
      <c r="BJ356" s="141"/>
      <c r="BK356" s="201"/>
      <c r="BL356" s="198"/>
      <c r="BM356" s="198"/>
    </row>
    <row r="357" spans="1:65" s="17" customFormat="1" ht="15.95" customHeight="1">
      <c r="A357" s="123">
        <v>243</v>
      </c>
      <c r="B357" s="9" t="s">
        <v>67</v>
      </c>
      <c r="C357" s="11" t="s">
        <v>68</v>
      </c>
      <c r="D357" s="229"/>
      <c r="E357" s="13"/>
      <c r="F357" s="229"/>
      <c r="G357" s="13"/>
      <c r="H357" s="229"/>
      <c r="I357" s="13"/>
      <c r="J357" s="229"/>
      <c r="K357" s="13"/>
      <c r="L357" s="229"/>
      <c r="M357" s="13"/>
      <c r="N357" s="229"/>
      <c r="O357" s="13"/>
      <c r="P357" s="229"/>
      <c r="Q357" s="13"/>
      <c r="R357" s="229"/>
      <c r="S357" s="13"/>
      <c r="T357" s="229"/>
      <c r="U357" s="13"/>
      <c r="V357" s="229"/>
      <c r="W357" s="13"/>
      <c r="X357" s="229"/>
      <c r="Y357" s="13"/>
      <c r="Z357" s="229"/>
      <c r="AA357" s="13"/>
      <c r="AB357" s="229">
        <f t="shared" si="109"/>
        <v>0</v>
      </c>
      <c r="AC357" s="228">
        <f t="shared" si="106"/>
        <v>0</v>
      </c>
      <c r="AD357" s="21">
        <v>0</v>
      </c>
      <c r="AE357" s="229"/>
      <c r="AF357" s="20"/>
      <c r="AG357" s="229"/>
      <c r="AH357" s="20"/>
      <c r="AI357" s="229"/>
      <c r="AJ357" s="20"/>
      <c r="AK357" s="229"/>
      <c r="AL357" s="20"/>
      <c r="AM357" s="229"/>
      <c r="AN357" s="20"/>
      <c r="AO357" s="229">
        <v>1</v>
      </c>
      <c r="AP357" s="20">
        <v>1</v>
      </c>
      <c r="AQ357" s="229"/>
      <c r="AR357" s="20"/>
      <c r="AS357" s="229"/>
      <c r="AT357" s="20"/>
      <c r="AU357" s="229"/>
      <c r="AV357" s="20">
        <v>1</v>
      </c>
      <c r="AW357" s="229"/>
      <c r="AX357" s="20"/>
      <c r="AY357" s="229"/>
      <c r="AZ357" s="20"/>
      <c r="BA357" s="229"/>
      <c r="BB357" s="20">
        <v>3</v>
      </c>
      <c r="BC357" s="229">
        <f t="shared" si="110"/>
        <v>1</v>
      </c>
      <c r="BD357" s="48">
        <f t="shared" si="107"/>
        <v>5</v>
      </c>
      <c r="BE357" s="19">
        <v>5</v>
      </c>
      <c r="BF357" s="229">
        <f t="shared" si="111"/>
        <v>1</v>
      </c>
      <c r="BG357" s="210">
        <f t="shared" si="108"/>
        <v>5</v>
      </c>
      <c r="BH357" s="210">
        <f t="shared" si="99"/>
        <v>5</v>
      </c>
      <c r="BI357" s="213">
        <f t="shared" si="98"/>
        <v>100</v>
      </c>
      <c r="BJ357" s="141"/>
      <c r="BK357" s="201"/>
      <c r="BL357" s="198"/>
      <c r="BM357" s="198"/>
    </row>
    <row r="358" spans="1:65" s="17" customFormat="1" ht="15.95" customHeight="1">
      <c r="A358" s="123">
        <v>244</v>
      </c>
      <c r="B358" s="9" t="s">
        <v>71</v>
      </c>
      <c r="C358" s="11" t="s">
        <v>2663</v>
      </c>
      <c r="D358" s="229"/>
      <c r="E358" s="13"/>
      <c r="F358" s="229"/>
      <c r="G358" s="13"/>
      <c r="H358" s="229"/>
      <c r="I358" s="13"/>
      <c r="J358" s="229"/>
      <c r="K358" s="13"/>
      <c r="L358" s="229"/>
      <c r="M358" s="13"/>
      <c r="N358" s="229"/>
      <c r="O358" s="13"/>
      <c r="P358" s="229"/>
      <c r="Q358" s="13"/>
      <c r="R358" s="229"/>
      <c r="S358" s="13"/>
      <c r="T358" s="229"/>
      <c r="U358" s="13"/>
      <c r="V358" s="229"/>
      <c r="W358" s="13"/>
      <c r="X358" s="229"/>
      <c r="Y358" s="13"/>
      <c r="Z358" s="229"/>
      <c r="AA358" s="13"/>
      <c r="AB358" s="229">
        <f t="shared" si="109"/>
        <v>0</v>
      </c>
      <c r="AC358" s="228">
        <f t="shared" si="106"/>
        <v>0</v>
      </c>
      <c r="AD358" s="21">
        <v>0</v>
      </c>
      <c r="AE358" s="229"/>
      <c r="AF358" s="20"/>
      <c r="AG358" s="229"/>
      <c r="AH358" s="20"/>
      <c r="AI358" s="229"/>
      <c r="AJ358" s="20"/>
      <c r="AK358" s="229"/>
      <c r="AL358" s="20"/>
      <c r="AM358" s="229"/>
      <c r="AN358" s="20"/>
      <c r="AO358" s="229"/>
      <c r="AP358" s="20"/>
      <c r="AQ358" s="229"/>
      <c r="AR358" s="20"/>
      <c r="AS358" s="229"/>
      <c r="AT358" s="20"/>
      <c r="AU358" s="229"/>
      <c r="AV358" s="20"/>
      <c r="AW358" s="229"/>
      <c r="AX358" s="20"/>
      <c r="AY358" s="229"/>
      <c r="AZ358" s="20"/>
      <c r="BA358" s="229"/>
      <c r="BB358" s="20"/>
      <c r="BC358" s="229">
        <f t="shared" si="110"/>
        <v>0</v>
      </c>
      <c r="BD358" s="48">
        <f t="shared" si="107"/>
        <v>0</v>
      </c>
      <c r="BE358" s="19">
        <v>4</v>
      </c>
      <c r="BF358" s="229">
        <f t="shared" si="111"/>
        <v>0</v>
      </c>
      <c r="BG358" s="210">
        <f t="shared" si="108"/>
        <v>0</v>
      </c>
      <c r="BH358" s="210">
        <f t="shared" si="99"/>
        <v>4</v>
      </c>
      <c r="BI358" s="213">
        <f t="shared" si="98"/>
        <v>0</v>
      </c>
      <c r="BJ358" s="141"/>
      <c r="BK358" s="201"/>
      <c r="BL358" s="198"/>
      <c r="BM358" s="198"/>
    </row>
    <row r="359" spans="1:65" s="17" customFormat="1" ht="15.95" customHeight="1">
      <c r="A359" s="123">
        <v>245</v>
      </c>
      <c r="B359" s="9" t="s">
        <v>72</v>
      </c>
      <c r="C359" s="11" t="s">
        <v>73</v>
      </c>
      <c r="D359" s="229"/>
      <c r="E359" s="13"/>
      <c r="F359" s="229"/>
      <c r="G359" s="13"/>
      <c r="H359" s="229"/>
      <c r="I359" s="13"/>
      <c r="J359" s="229"/>
      <c r="K359" s="13"/>
      <c r="L359" s="229"/>
      <c r="M359" s="13"/>
      <c r="N359" s="229"/>
      <c r="O359" s="13"/>
      <c r="P359" s="229"/>
      <c r="Q359" s="13"/>
      <c r="R359" s="229"/>
      <c r="S359" s="13"/>
      <c r="T359" s="229"/>
      <c r="U359" s="13"/>
      <c r="V359" s="229"/>
      <c r="W359" s="13"/>
      <c r="X359" s="229"/>
      <c r="Y359" s="13"/>
      <c r="Z359" s="229"/>
      <c r="AA359" s="13"/>
      <c r="AB359" s="229">
        <f t="shared" si="109"/>
        <v>0</v>
      </c>
      <c r="AC359" s="228">
        <f t="shared" si="106"/>
        <v>0</v>
      </c>
      <c r="AD359" s="21">
        <v>0</v>
      </c>
      <c r="AE359" s="229"/>
      <c r="AF359" s="20"/>
      <c r="AG359" s="229"/>
      <c r="AH359" s="20"/>
      <c r="AI359" s="229"/>
      <c r="AJ359" s="20"/>
      <c r="AK359" s="229"/>
      <c r="AL359" s="20"/>
      <c r="AM359" s="229"/>
      <c r="AN359" s="20"/>
      <c r="AO359" s="229"/>
      <c r="AP359" s="20"/>
      <c r="AQ359" s="229"/>
      <c r="AR359" s="20"/>
      <c r="AS359" s="229"/>
      <c r="AT359" s="20"/>
      <c r="AU359" s="229"/>
      <c r="AV359" s="20"/>
      <c r="AW359" s="229"/>
      <c r="AX359" s="20"/>
      <c r="AY359" s="229"/>
      <c r="AZ359" s="20"/>
      <c r="BA359" s="229"/>
      <c r="BB359" s="20"/>
      <c r="BC359" s="229">
        <f t="shared" si="110"/>
        <v>0</v>
      </c>
      <c r="BD359" s="48">
        <f t="shared" si="107"/>
        <v>0</v>
      </c>
      <c r="BE359" s="19">
        <v>4</v>
      </c>
      <c r="BF359" s="229">
        <f t="shared" si="111"/>
        <v>0</v>
      </c>
      <c r="BG359" s="210">
        <f t="shared" si="108"/>
        <v>0</v>
      </c>
      <c r="BH359" s="210">
        <f t="shared" si="99"/>
        <v>4</v>
      </c>
      <c r="BI359" s="213">
        <f t="shared" si="98"/>
        <v>0</v>
      </c>
      <c r="BJ359" s="141"/>
      <c r="BK359" s="201"/>
      <c r="BL359" s="198"/>
      <c r="BM359" s="198"/>
    </row>
    <row r="360" spans="1:65" s="17" customFormat="1" ht="15.95" customHeight="1">
      <c r="A360" s="123">
        <v>246</v>
      </c>
      <c r="B360" s="9" t="s">
        <v>2988</v>
      </c>
      <c r="C360" s="11" t="s">
        <v>2989</v>
      </c>
      <c r="D360" s="229"/>
      <c r="E360" s="13"/>
      <c r="F360" s="229"/>
      <c r="G360" s="13"/>
      <c r="H360" s="229"/>
      <c r="I360" s="13"/>
      <c r="J360" s="229"/>
      <c r="K360" s="13"/>
      <c r="L360" s="229"/>
      <c r="M360" s="13"/>
      <c r="N360" s="229"/>
      <c r="O360" s="13"/>
      <c r="P360" s="229"/>
      <c r="Q360" s="13"/>
      <c r="R360" s="229"/>
      <c r="S360" s="13"/>
      <c r="T360" s="229"/>
      <c r="U360" s="13"/>
      <c r="V360" s="229"/>
      <c r="W360" s="13"/>
      <c r="X360" s="229"/>
      <c r="Y360" s="13"/>
      <c r="Z360" s="229"/>
      <c r="AA360" s="13"/>
      <c r="AB360" s="229">
        <f t="shared" si="109"/>
        <v>0</v>
      </c>
      <c r="AC360" s="228">
        <f t="shared" si="106"/>
        <v>0</v>
      </c>
      <c r="AD360" s="21">
        <v>0</v>
      </c>
      <c r="AE360" s="229"/>
      <c r="AF360" s="20"/>
      <c r="AG360" s="229"/>
      <c r="AH360" s="20"/>
      <c r="AI360" s="229">
        <v>1</v>
      </c>
      <c r="AJ360" s="20">
        <v>1</v>
      </c>
      <c r="AK360" s="229"/>
      <c r="AL360" s="20"/>
      <c r="AM360" s="229"/>
      <c r="AN360" s="20"/>
      <c r="AO360" s="229"/>
      <c r="AP360" s="20"/>
      <c r="AQ360" s="229"/>
      <c r="AR360" s="20"/>
      <c r="AS360" s="229"/>
      <c r="AT360" s="20"/>
      <c r="AU360" s="229"/>
      <c r="AV360" s="20"/>
      <c r="AW360" s="229"/>
      <c r="AX360" s="20"/>
      <c r="AY360" s="229"/>
      <c r="AZ360" s="20"/>
      <c r="BA360" s="229"/>
      <c r="BB360" s="20"/>
      <c r="BC360" s="229">
        <f t="shared" si="110"/>
        <v>1</v>
      </c>
      <c r="BD360" s="48">
        <f t="shared" si="107"/>
        <v>1</v>
      </c>
      <c r="BE360" s="19">
        <v>0</v>
      </c>
      <c r="BF360" s="229">
        <f t="shared" si="111"/>
        <v>1</v>
      </c>
      <c r="BG360" s="210">
        <f t="shared" si="108"/>
        <v>1</v>
      </c>
      <c r="BH360" s="210">
        <f t="shared" si="99"/>
        <v>0</v>
      </c>
      <c r="BI360" s="213" t="e">
        <f t="shared" si="98"/>
        <v>#DIV/0!</v>
      </c>
      <c r="BJ360" s="141"/>
      <c r="BK360" s="201"/>
      <c r="BL360" s="198"/>
      <c r="BM360" s="198"/>
    </row>
    <row r="361" spans="1:65" s="17" customFormat="1" ht="15.95" customHeight="1">
      <c r="A361" s="123">
        <v>247</v>
      </c>
      <c r="B361" s="9" t="s">
        <v>75</v>
      </c>
      <c r="C361" s="11" t="s">
        <v>236</v>
      </c>
      <c r="D361" s="229"/>
      <c r="E361" s="13"/>
      <c r="F361" s="229"/>
      <c r="G361" s="13"/>
      <c r="H361" s="229"/>
      <c r="I361" s="13"/>
      <c r="J361" s="229"/>
      <c r="K361" s="13"/>
      <c r="L361" s="229"/>
      <c r="M361" s="13"/>
      <c r="N361" s="229"/>
      <c r="O361" s="13"/>
      <c r="P361" s="229"/>
      <c r="Q361" s="13"/>
      <c r="R361" s="229"/>
      <c r="S361" s="13"/>
      <c r="T361" s="229"/>
      <c r="U361" s="13"/>
      <c r="V361" s="229"/>
      <c r="W361" s="13"/>
      <c r="X361" s="229"/>
      <c r="Y361" s="13"/>
      <c r="Z361" s="229"/>
      <c r="AA361" s="13"/>
      <c r="AB361" s="229">
        <f t="shared" si="109"/>
        <v>0</v>
      </c>
      <c r="AC361" s="228">
        <f t="shared" si="106"/>
        <v>0</v>
      </c>
      <c r="AD361" s="21">
        <v>0</v>
      </c>
      <c r="AE361" s="229"/>
      <c r="AF361" s="20"/>
      <c r="AG361" s="229"/>
      <c r="AH361" s="20"/>
      <c r="AI361" s="229"/>
      <c r="AJ361" s="20"/>
      <c r="AK361" s="229"/>
      <c r="AL361" s="20"/>
      <c r="AM361" s="229"/>
      <c r="AN361" s="20"/>
      <c r="AO361" s="229"/>
      <c r="AP361" s="20"/>
      <c r="AQ361" s="229"/>
      <c r="AR361" s="20"/>
      <c r="AS361" s="229"/>
      <c r="AT361" s="20"/>
      <c r="AU361" s="229"/>
      <c r="AV361" s="20"/>
      <c r="AW361" s="229"/>
      <c r="AX361" s="20"/>
      <c r="AY361" s="229"/>
      <c r="AZ361" s="20"/>
      <c r="BA361" s="229"/>
      <c r="BB361" s="20"/>
      <c r="BC361" s="229">
        <f t="shared" si="110"/>
        <v>0</v>
      </c>
      <c r="BD361" s="48">
        <f t="shared" si="107"/>
        <v>0</v>
      </c>
      <c r="BE361" s="19">
        <v>2</v>
      </c>
      <c r="BF361" s="229">
        <f t="shared" si="111"/>
        <v>0</v>
      </c>
      <c r="BG361" s="210">
        <f t="shared" si="108"/>
        <v>0</v>
      </c>
      <c r="BH361" s="210">
        <f t="shared" si="99"/>
        <v>2</v>
      </c>
      <c r="BI361" s="213">
        <f t="shared" si="98"/>
        <v>0</v>
      </c>
      <c r="BJ361" s="141"/>
      <c r="BK361" s="201"/>
      <c r="BL361" s="198"/>
      <c r="BM361" s="198"/>
    </row>
    <row r="362" spans="1:65" s="17" customFormat="1" ht="15.95" customHeight="1">
      <c r="A362" s="123">
        <v>248</v>
      </c>
      <c r="B362" s="9" t="s">
        <v>76</v>
      </c>
      <c r="C362" s="11" t="s">
        <v>3173</v>
      </c>
      <c r="D362" s="229"/>
      <c r="E362" s="13"/>
      <c r="F362" s="229"/>
      <c r="G362" s="13"/>
      <c r="H362" s="229"/>
      <c r="I362" s="13"/>
      <c r="J362" s="229"/>
      <c r="K362" s="13"/>
      <c r="L362" s="229"/>
      <c r="M362" s="13"/>
      <c r="N362" s="229"/>
      <c r="O362" s="13"/>
      <c r="P362" s="229"/>
      <c r="Q362" s="13"/>
      <c r="R362" s="229"/>
      <c r="S362" s="13"/>
      <c r="T362" s="229"/>
      <c r="U362" s="13"/>
      <c r="V362" s="229"/>
      <c r="W362" s="13"/>
      <c r="X362" s="229"/>
      <c r="Y362" s="13"/>
      <c r="Z362" s="229"/>
      <c r="AA362" s="13"/>
      <c r="AB362" s="229"/>
      <c r="AC362" s="228">
        <f t="shared" si="106"/>
        <v>0</v>
      </c>
      <c r="AD362" s="21">
        <v>0</v>
      </c>
      <c r="AE362" s="229"/>
      <c r="AF362" s="20"/>
      <c r="AG362" s="229"/>
      <c r="AH362" s="20"/>
      <c r="AI362" s="229"/>
      <c r="AJ362" s="20"/>
      <c r="AK362" s="229"/>
      <c r="AL362" s="20"/>
      <c r="AM362" s="229"/>
      <c r="AN362" s="20"/>
      <c r="AO362" s="229"/>
      <c r="AP362" s="20"/>
      <c r="AQ362" s="229"/>
      <c r="AR362" s="20"/>
      <c r="AS362" s="229"/>
      <c r="AT362" s="20"/>
      <c r="AU362" s="229"/>
      <c r="AV362" s="20">
        <v>1</v>
      </c>
      <c r="AW362" s="229"/>
      <c r="AX362" s="20"/>
      <c r="AY362" s="229"/>
      <c r="AZ362" s="20"/>
      <c r="BA362" s="229"/>
      <c r="BB362" s="20"/>
      <c r="BC362" s="229"/>
      <c r="BD362" s="48">
        <f t="shared" si="107"/>
        <v>1</v>
      </c>
      <c r="BE362" s="19">
        <v>0</v>
      </c>
      <c r="BF362" s="229"/>
      <c r="BG362" s="210">
        <f t="shared" si="108"/>
        <v>1</v>
      </c>
      <c r="BH362" s="210">
        <f t="shared" si="99"/>
        <v>0</v>
      </c>
      <c r="BI362" s="213" t="e">
        <f t="shared" si="98"/>
        <v>#DIV/0!</v>
      </c>
      <c r="BJ362" s="141"/>
      <c r="BK362" s="201"/>
      <c r="BL362" s="198"/>
      <c r="BM362" s="198"/>
    </row>
    <row r="363" spans="1:65" s="17" customFormat="1" ht="15.95" customHeight="1">
      <c r="A363" s="123">
        <v>249</v>
      </c>
      <c r="B363" s="9" t="s">
        <v>78</v>
      </c>
      <c r="C363" s="11" t="s">
        <v>79</v>
      </c>
      <c r="D363" s="229"/>
      <c r="E363" s="13"/>
      <c r="F363" s="229"/>
      <c r="G363" s="13"/>
      <c r="H363" s="229"/>
      <c r="I363" s="13"/>
      <c r="J363" s="229"/>
      <c r="K363" s="13"/>
      <c r="L363" s="229"/>
      <c r="M363" s="13"/>
      <c r="N363" s="229"/>
      <c r="O363" s="13"/>
      <c r="P363" s="229"/>
      <c r="Q363" s="13"/>
      <c r="R363" s="229"/>
      <c r="S363" s="13"/>
      <c r="T363" s="229"/>
      <c r="U363" s="13"/>
      <c r="V363" s="229"/>
      <c r="W363" s="13"/>
      <c r="X363" s="229"/>
      <c r="Y363" s="13"/>
      <c r="Z363" s="229"/>
      <c r="AA363" s="13"/>
      <c r="AB363" s="229">
        <f>D363+F363+H363+J363+L363+N363+P363+R363+T363+V363+X363+Z363</f>
        <v>0</v>
      </c>
      <c r="AC363" s="228">
        <f t="shared" si="106"/>
        <v>0</v>
      </c>
      <c r="AD363" s="21">
        <v>0</v>
      </c>
      <c r="AE363" s="229"/>
      <c r="AF363" s="20"/>
      <c r="AG363" s="229"/>
      <c r="AH363" s="20"/>
      <c r="AI363" s="229"/>
      <c r="AJ363" s="20"/>
      <c r="AK363" s="229"/>
      <c r="AL363" s="20"/>
      <c r="AM363" s="229"/>
      <c r="AN363" s="20"/>
      <c r="AO363" s="229">
        <v>1</v>
      </c>
      <c r="AP363" s="20">
        <v>1</v>
      </c>
      <c r="AQ363" s="229"/>
      <c r="AR363" s="20"/>
      <c r="AS363" s="229"/>
      <c r="AT363" s="20"/>
      <c r="AU363" s="229"/>
      <c r="AV363" s="20"/>
      <c r="AW363" s="229"/>
      <c r="AX363" s="20"/>
      <c r="AY363" s="229"/>
      <c r="AZ363" s="20"/>
      <c r="BA363" s="229"/>
      <c r="BB363" s="20"/>
      <c r="BC363" s="229">
        <f>AE363+AG363+AI363+AK363+AM363+AO363+AQ363+AS363+AU363+AW363+AY363+BA363</f>
        <v>1</v>
      </c>
      <c r="BD363" s="48">
        <f t="shared" si="107"/>
        <v>1</v>
      </c>
      <c r="BE363" s="19">
        <v>0</v>
      </c>
      <c r="BF363" s="229"/>
      <c r="BG363" s="210">
        <f t="shared" si="108"/>
        <v>1</v>
      </c>
      <c r="BH363" s="210">
        <f t="shared" si="99"/>
        <v>0</v>
      </c>
      <c r="BI363" s="213" t="e">
        <f t="shared" si="98"/>
        <v>#DIV/0!</v>
      </c>
      <c r="BJ363" s="141"/>
      <c r="BK363" s="201"/>
      <c r="BL363" s="198"/>
      <c r="BM363" s="198"/>
    </row>
    <row r="364" spans="1:65" s="17" customFormat="1" ht="15.95" customHeight="1">
      <c r="A364" s="123">
        <v>250</v>
      </c>
      <c r="B364" s="9" t="s">
        <v>80</v>
      </c>
      <c r="C364" s="11" t="s">
        <v>1591</v>
      </c>
      <c r="D364" s="229"/>
      <c r="E364" s="13"/>
      <c r="F364" s="229"/>
      <c r="G364" s="13"/>
      <c r="H364" s="229"/>
      <c r="I364" s="13"/>
      <c r="J364" s="229"/>
      <c r="K364" s="13"/>
      <c r="L364" s="229"/>
      <c r="M364" s="13"/>
      <c r="N364" s="229"/>
      <c r="O364" s="13"/>
      <c r="P364" s="229"/>
      <c r="Q364" s="13"/>
      <c r="R364" s="229"/>
      <c r="S364" s="13"/>
      <c r="T364" s="229"/>
      <c r="U364" s="13"/>
      <c r="V364" s="229"/>
      <c r="W364" s="13"/>
      <c r="X364" s="229"/>
      <c r="Y364" s="13"/>
      <c r="Z364" s="229"/>
      <c r="AA364" s="13"/>
      <c r="AB364" s="229">
        <f>D364+F364+H364+J364+L364+N364+P364+R364+T364+V364+X364+Z364</f>
        <v>0</v>
      </c>
      <c r="AC364" s="228">
        <f t="shared" si="106"/>
        <v>0</v>
      </c>
      <c r="AD364" s="21">
        <v>0</v>
      </c>
      <c r="AE364" s="229"/>
      <c r="AF364" s="20"/>
      <c r="AG364" s="229"/>
      <c r="AH364" s="20"/>
      <c r="AI364" s="229"/>
      <c r="AJ364" s="20"/>
      <c r="AK364" s="229"/>
      <c r="AL364" s="20"/>
      <c r="AM364" s="229"/>
      <c r="AN364" s="20"/>
      <c r="AO364" s="229"/>
      <c r="AP364" s="20"/>
      <c r="AQ364" s="229"/>
      <c r="AR364" s="20"/>
      <c r="AS364" s="229"/>
      <c r="AT364" s="20"/>
      <c r="AU364" s="229"/>
      <c r="AV364" s="20">
        <v>1</v>
      </c>
      <c r="AW364" s="229"/>
      <c r="AX364" s="20"/>
      <c r="AY364" s="229"/>
      <c r="AZ364" s="20"/>
      <c r="BA364" s="229"/>
      <c r="BB364" s="20"/>
      <c r="BC364" s="229">
        <f>AE364+AG364+AI364+AK364+AM364+AO364+AQ364+AS364+AU364+AW364+AY364+BA364</f>
        <v>0</v>
      </c>
      <c r="BD364" s="48">
        <f t="shared" si="107"/>
        <v>1</v>
      </c>
      <c r="BE364" s="19">
        <v>0</v>
      </c>
      <c r="BF364" s="229"/>
      <c r="BG364" s="210">
        <f t="shared" si="108"/>
        <v>1</v>
      </c>
      <c r="BH364" s="210">
        <f t="shared" si="99"/>
        <v>0</v>
      </c>
      <c r="BI364" s="213" t="e">
        <f t="shared" si="98"/>
        <v>#DIV/0!</v>
      </c>
      <c r="BJ364" s="141"/>
      <c r="BK364" s="201"/>
      <c r="BL364" s="198"/>
      <c r="BM364" s="198"/>
    </row>
    <row r="365" spans="1:65" s="17" customFormat="1" ht="15.95" customHeight="1">
      <c r="A365" s="123">
        <v>251</v>
      </c>
      <c r="B365" s="9" t="s">
        <v>81</v>
      </c>
      <c r="C365" s="11" t="s">
        <v>2518</v>
      </c>
      <c r="D365" s="229"/>
      <c r="E365" s="13"/>
      <c r="F365" s="229"/>
      <c r="G365" s="13"/>
      <c r="H365" s="229"/>
      <c r="I365" s="13"/>
      <c r="J365" s="229"/>
      <c r="K365" s="13"/>
      <c r="L365" s="229"/>
      <c r="M365" s="13"/>
      <c r="N365" s="229"/>
      <c r="O365" s="13"/>
      <c r="P365" s="229"/>
      <c r="Q365" s="13"/>
      <c r="R365" s="229"/>
      <c r="S365" s="13"/>
      <c r="T365" s="229"/>
      <c r="U365" s="13"/>
      <c r="V365" s="229"/>
      <c r="W365" s="13"/>
      <c r="X365" s="229"/>
      <c r="Y365" s="13"/>
      <c r="Z365" s="229"/>
      <c r="AA365" s="13"/>
      <c r="AB365" s="229">
        <f>D365+F365+H365+J365+L365+N365+P365+R365+T365+V365+X365+Z365</f>
        <v>0</v>
      </c>
      <c r="AC365" s="228">
        <f t="shared" si="106"/>
        <v>0</v>
      </c>
      <c r="AD365" s="21">
        <v>0</v>
      </c>
      <c r="AE365" s="229"/>
      <c r="AF365" s="20"/>
      <c r="AG365" s="229"/>
      <c r="AH365" s="20"/>
      <c r="AI365" s="229"/>
      <c r="AJ365" s="20"/>
      <c r="AK365" s="229"/>
      <c r="AL365" s="20"/>
      <c r="AM365" s="229"/>
      <c r="AN365" s="20"/>
      <c r="AO365" s="229"/>
      <c r="AP365" s="20"/>
      <c r="AQ365" s="229"/>
      <c r="AR365" s="20"/>
      <c r="AS365" s="229"/>
      <c r="AT365" s="20"/>
      <c r="AU365" s="229"/>
      <c r="AV365" s="20">
        <v>1</v>
      </c>
      <c r="AW365" s="229"/>
      <c r="AX365" s="20"/>
      <c r="AY365" s="229"/>
      <c r="AZ365" s="20"/>
      <c r="BA365" s="229"/>
      <c r="BB365" s="20">
        <v>1</v>
      </c>
      <c r="BC365" s="229">
        <f>AE365+AG365+AI365+AK365+AM365+AO365+AQ365+AS365+AU365+AW365+AY365+BA365</f>
        <v>0</v>
      </c>
      <c r="BD365" s="48">
        <f t="shared" si="107"/>
        <v>2</v>
      </c>
      <c r="BE365" s="19">
        <v>5</v>
      </c>
      <c r="BF365" s="229">
        <f>AB365+BC365</f>
        <v>0</v>
      </c>
      <c r="BG365" s="210">
        <f t="shared" si="108"/>
        <v>2</v>
      </c>
      <c r="BH365" s="210">
        <f t="shared" si="99"/>
        <v>5</v>
      </c>
      <c r="BI365" s="213">
        <f t="shared" si="98"/>
        <v>40</v>
      </c>
      <c r="BJ365" s="141"/>
      <c r="BK365" s="201"/>
      <c r="BL365" s="198"/>
      <c r="BM365" s="198"/>
    </row>
    <row r="366" spans="1:65" s="17" customFormat="1" ht="15.95" customHeight="1">
      <c r="A366" s="123">
        <v>252</v>
      </c>
      <c r="B366" s="9" t="s">
        <v>3089</v>
      </c>
      <c r="C366" s="11" t="s">
        <v>3090</v>
      </c>
      <c r="D366" s="229"/>
      <c r="E366" s="13"/>
      <c r="F366" s="229"/>
      <c r="G366" s="13"/>
      <c r="H366" s="229"/>
      <c r="I366" s="13"/>
      <c r="J366" s="229"/>
      <c r="K366" s="13"/>
      <c r="L366" s="229"/>
      <c r="M366" s="13"/>
      <c r="N366" s="229"/>
      <c r="O366" s="13"/>
      <c r="P366" s="229"/>
      <c r="Q366" s="13"/>
      <c r="R366" s="229"/>
      <c r="S366" s="13"/>
      <c r="T366" s="229"/>
      <c r="U366" s="13"/>
      <c r="V366" s="229"/>
      <c r="W366" s="13"/>
      <c r="X366" s="229"/>
      <c r="Y366" s="13"/>
      <c r="Z366" s="229"/>
      <c r="AA366" s="13"/>
      <c r="AB366" s="229"/>
      <c r="AC366" s="228">
        <f t="shared" si="106"/>
        <v>0</v>
      </c>
      <c r="AD366" s="21">
        <v>0</v>
      </c>
      <c r="AE366" s="229"/>
      <c r="AF366" s="20"/>
      <c r="AG366" s="229"/>
      <c r="AH366" s="20"/>
      <c r="AI366" s="229"/>
      <c r="AJ366" s="20"/>
      <c r="AK366" s="229"/>
      <c r="AL366" s="20"/>
      <c r="AM366" s="229"/>
      <c r="AN366" s="20"/>
      <c r="AO366" s="229"/>
      <c r="AP366" s="20">
        <v>1</v>
      </c>
      <c r="AQ366" s="229"/>
      <c r="AR366" s="20"/>
      <c r="AS366" s="229"/>
      <c r="AT366" s="20"/>
      <c r="AU366" s="229"/>
      <c r="AV366" s="20"/>
      <c r="AW366" s="229"/>
      <c r="AX366" s="20"/>
      <c r="AY366" s="229"/>
      <c r="AZ366" s="20"/>
      <c r="BA366" s="229"/>
      <c r="BB366" s="20"/>
      <c r="BC366" s="229"/>
      <c r="BD366" s="48">
        <f t="shared" si="107"/>
        <v>1</v>
      </c>
      <c r="BE366" s="19">
        <v>0</v>
      </c>
      <c r="BF366" s="229"/>
      <c r="BG366" s="210">
        <f t="shared" si="108"/>
        <v>1</v>
      </c>
      <c r="BH366" s="210">
        <f t="shared" si="99"/>
        <v>0</v>
      </c>
      <c r="BI366" s="213" t="e">
        <f t="shared" si="98"/>
        <v>#DIV/0!</v>
      </c>
      <c r="BJ366" s="141"/>
      <c r="BK366" s="201"/>
      <c r="BL366" s="198"/>
      <c r="BM366" s="198"/>
    </row>
    <row r="367" spans="1:65" s="17" customFormat="1" ht="15.95" customHeight="1">
      <c r="A367" s="123">
        <v>253</v>
      </c>
      <c r="B367" s="9" t="s">
        <v>82</v>
      </c>
      <c r="C367" s="11" t="s">
        <v>3041</v>
      </c>
      <c r="D367" s="229"/>
      <c r="E367" s="13"/>
      <c r="F367" s="229"/>
      <c r="G367" s="13"/>
      <c r="H367" s="229"/>
      <c r="I367" s="13"/>
      <c r="J367" s="229"/>
      <c r="K367" s="13"/>
      <c r="L367" s="229"/>
      <c r="M367" s="13"/>
      <c r="N367" s="229"/>
      <c r="O367" s="13"/>
      <c r="P367" s="229"/>
      <c r="Q367" s="13"/>
      <c r="R367" s="229"/>
      <c r="S367" s="13"/>
      <c r="T367" s="229"/>
      <c r="U367" s="13"/>
      <c r="V367" s="229"/>
      <c r="W367" s="13"/>
      <c r="X367" s="229"/>
      <c r="Y367" s="13"/>
      <c r="Z367" s="229"/>
      <c r="AA367" s="13"/>
      <c r="AB367" s="229">
        <f>D367+F367+H367+J367+L367+N367+P367+R367+T367+V367+X367+Z367</f>
        <v>0</v>
      </c>
      <c r="AC367" s="228">
        <f t="shared" si="106"/>
        <v>0</v>
      </c>
      <c r="AD367" s="21">
        <v>0</v>
      </c>
      <c r="AE367" s="229"/>
      <c r="AF367" s="20"/>
      <c r="AG367" s="229"/>
      <c r="AH367" s="20"/>
      <c r="AI367" s="229"/>
      <c r="AJ367" s="20"/>
      <c r="AK367" s="229"/>
      <c r="AL367" s="20"/>
      <c r="AM367" s="229"/>
      <c r="AN367" s="20"/>
      <c r="AO367" s="229"/>
      <c r="AP367" s="20"/>
      <c r="AQ367" s="229"/>
      <c r="AR367" s="20"/>
      <c r="AS367" s="229"/>
      <c r="AT367" s="20"/>
      <c r="AU367" s="229"/>
      <c r="AV367" s="20"/>
      <c r="AW367" s="229"/>
      <c r="AX367" s="20"/>
      <c r="AY367" s="229"/>
      <c r="AZ367" s="20"/>
      <c r="BA367" s="229"/>
      <c r="BB367" s="20"/>
      <c r="BC367" s="229">
        <f>AE367+AG367+AI367+AK367+AM367+AO367+AQ367+AS367+AU367+AW367+AY367+BA367</f>
        <v>0</v>
      </c>
      <c r="BD367" s="48">
        <f t="shared" si="107"/>
        <v>0</v>
      </c>
      <c r="BE367" s="19">
        <v>0</v>
      </c>
      <c r="BF367" s="229"/>
      <c r="BG367" s="210">
        <f t="shared" si="108"/>
        <v>0</v>
      </c>
      <c r="BH367" s="210">
        <f t="shared" si="99"/>
        <v>0</v>
      </c>
      <c r="BI367" s="213" t="e">
        <f t="shared" si="98"/>
        <v>#DIV/0!</v>
      </c>
      <c r="BJ367" s="141"/>
      <c r="BK367" s="201"/>
      <c r="BL367" s="198"/>
      <c r="BM367" s="198"/>
    </row>
    <row r="368" spans="1:65" s="17" customFormat="1" ht="15.95" customHeight="1">
      <c r="A368" s="123">
        <v>254</v>
      </c>
      <c r="B368" s="9" t="s">
        <v>1488</v>
      </c>
      <c r="C368" s="11" t="s">
        <v>1720</v>
      </c>
      <c r="D368" s="229"/>
      <c r="E368" s="13"/>
      <c r="F368" s="229"/>
      <c r="G368" s="13"/>
      <c r="H368" s="229"/>
      <c r="I368" s="13"/>
      <c r="J368" s="229"/>
      <c r="K368" s="13"/>
      <c r="L368" s="229"/>
      <c r="M368" s="13"/>
      <c r="N368" s="229"/>
      <c r="O368" s="13"/>
      <c r="P368" s="229"/>
      <c r="Q368" s="13"/>
      <c r="R368" s="229"/>
      <c r="S368" s="13"/>
      <c r="T368" s="229"/>
      <c r="U368" s="13"/>
      <c r="V368" s="229"/>
      <c r="W368" s="13"/>
      <c r="X368" s="229"/>
      <c r="Y368" s="13"/>
      <c r="Z368" s="229"/>
      <c r="AA368" s="13"/>
      <c r="AB368" s="229">
        <f>D368+F368+H368+J368+L368+N368+P368+R368+T368+V368+X368+Z368</f>
        <v>0</v>
      </c>
      <c r="AC368" s="228">
        <f t="shared" si="106"/>
        <v>0</v>
      </c>
      <c r="AD368" s="21">
        <v>0</v>
      </c>
      <c r="AE368" s="229"/>
      <c r="AF368" s="20"/>
      <c r="AG368" s="229"/>
      <c r="AH368" s="20"/>
      <c r="AI368" s="229"/>
      <c r="AJ368" s="20"/>
      <c r="AK368" s="229"/>
      <c r="AL368" s="20"/>
      <c r="AM368" s="229"/>
      <c r="AN368" s="20"/>
      <c r="AO368" s="229">
        <v>1</v>
      </c>
      <c r="AP368" s="20">
        <v>1</v>
      </c>
      <c r="AQ368" s="229"/>
      <c r="AR368" s="20"/>
      <c r="AS368" s="229"/>
      <c r="AT368" s="20"/>
      <c r="AU368" s="229"/>
      <c r="AV368" s="20"/>
      <c r="AW368" s="229"/>
      <c r="AX368" s="20"/>
      <c r="AY368" s="229"/>
      <c r="AZ368" s="20"/>
      <c r="BA368" s="229"/>
      <c r="BB368" s="20"/>
      <c r="BC368" s="229">
        <f>AE368+AG368+AI368+AK368+AM368+AO368+AQ368+AS368+AU368+AW368+AY368+BA368</f>
        <v>1</v>
      </c>
      <c r="BD368" s="48">
        <f t="shared" si="107"/>
        <v>1</v>
      </c>
      <c r="BE368" s="19">
        <v>0</v>
      </c>
      <c r="BF368" s="229"/>
      <c r="BG368" s="210">
        <f t="shared" si="108"/>
        <v>1</v>
      </c>
      <c r="BH368" s="210">
        <f t="shared" si="99"/>
        <v>0</v>
      </c>
      <c r="BI368" s="213" t="e">
        <f t="shared" si="98"/>
        <v>#DIV/0!</v>
      </c>
      <c r="BJ368" s="141"/>
      <c r="BK368" s="201"/>
      <c r="BL368" s="198"/>
      <c r="BM368" s="198"/>
    </row>
    <row r="369" spans="1:65" s="17" customFormat="1" ht="15.95" customHeight="1">
      <c r="A369" s="123">
        <v>255</v>
      </c>
      <c r="B369" s="9" t="s">
        <v>490</v>
      </c>
      <c r="C369" s="11" t="s">
        <v>491</v>
      </c>
      <c r="D369" s="229"/>
      <c r="E369" s="13"/>
      <c r="F369" s="229"/>
      <c r="G369" s="13"/>
      <c r="H369" s="229"/>
      <c r="I369" s="13"/>
      <c r="J369" s="229"/>
      <c r="K369" s="13"/>
      <c r="L369" s="229"/>
      <c r="M369" s="13"/>
      <c r="N369" s="229"/>
      <c r="O369" s="13"/>
      <c r="P369" s="229"/>
      <c r="Q369" s="13"/>
      <c r="R369" s="229"/>
      <c r="S369" s="13"/>
      <c r="T369" s="229"/>
      <c r="U369" s="13"/>
      <c r="V369" s="229"/>
      <c r="W369" s="13"/>
      <c r="X369" s="229"/>
      <c r="Y369" s="13"/>
      <c r="Z369" s="229"/>
      <c r="AA369" s="13"/>
      <c r="AB369" s="229">
        <f>D369+F369+H369+J369+L369+N369+P369+R369+T369+V369+X369+Z369</f>
        <v>0</v>
      </c>
      <c r="AC369" s="228">
        <f t="shared" si="106"/>
        <v>0</v>
      </c>
      <c r="AD369" s="21">
        <v>0</v>
      </c>
      <c r="AE369" s="229"/>
      <c r="AF369" s="20"/>
      <c r="AG369" s="229"/>
      <c r="AH369" s="20"/>
      <c r="AI369" s="229"/>
      <c r="AJ369" s="20"/>
      <c r="AK369" s="229"/>
      <c r="AL369" s="20"/>
      <c r="AM369" s="229"/>
      <c r="AN369" s="20"/>
      <c r="AO369" s="229"/>
      <c r="AP369" s="20"/>
      <c r="AQ369" s="229"/>
      <c r="AR369" s="20"/>
      <c r="AS369" s="229"/>
      <c r="AT369" s="20"/>
      <c r="AU369" s="229"/>
      <c r="AV369" s="20"/>
      <c r="AW369" s="229"/>
      <c r="AX369" s="20"/>
      <c r="AY369" s="229"/>
      <c r="AZ369" s="20"/>
      <c r="BA369" s="229"/>
      <c r="BB369" s="20"/>
      <c r="BC369" s="229">
        <f>AE369+AG369+AI369+AK369+AM369+AO369+AQ369+AS369+AU369+AW369+AY369+BA369</f>
        <v>0</v>
      </c>
      <c r="BD369" s="48">
        <f t="shared" si="107"/>
        <v>0</v>
      </c>
      <c r="BE369" s="19">
        <v>1</v>
      </c>
      <c r="BF369" s="229">
        <f>AB369+BC369</f>
        <v>0</v>
      </c>
      <c r="BG369" s="210">
        <f t="shared" si="108"/>
        <v>0</v>
      </c>
      <c r="BH369" s="210">
        <f t="shared" si="99"/>
        <v>1</v>
      </c>
      <c r="BI369" s="213">
        <f t="shared" si="98"/>
        <v>0</v>
      </c>
      <c r="BJ369" s="141"/>
      <c r="BK369" s="201"/>
      <c r="BL369" s="198"/>
      <c r="BM369" s="198"/>
    </row>
    <row r="370" spans="1:65" s="17" customFormat="1" ht="15.95" customHeight="1">
      <c r="A370" s="123">
        <v>256</v>
      </c>
      <c r="B370" s="9" t="s">
        <v>237</v>
      </c>
      <c r="C370" s="11" t="s">
        <v>238</v>
      </c>
      <c r="D370" s="229"/>
      <c r="E370" s="13"/>
      <c r="F370" s="229"/>
      <c r="G370" s="13"/>
      <c r="H370" s="229"/>
      <c r="I370" s="13"/>
      <c r="J370" s="229"/>
      <c r="K370" s="13"/>
      <c r="L370" s="229"/>
      <c r="M370" s="13"/>
      <c r="N370" s="229"/>
      <c r="O370" s="13"/>
      <c r="P370" s="229"/>
      <c r="Q370" s="13"/>
      <c r="R370" s="229"/>
      <c r="S370" s="13"/>
      <c r="T370" s="229"/>
      <c r="U370" s="13"/>
      <c r="V370" s="229"/>
      <c r="W370" s="13"/>
      <c r="X370" s="229"/>
      <c r="Y370" s="13"/>
      <c r="Z370" s="229"/>
      <c r="AA370" s="13"/>
      <c r="AB370" s="229">
        <f>D370+F370+H370+J370+L370+N370+P370+R370+T370+V370+X370+Z370</f>
        <v>0</v>
      </c>
      <c r="AC370" s="228">
        <f t="shared" si="106"/>
        <v>0</v>
      </c>
      <c r="AD370" s="21">
        <v>0</v>
      </c>
      <c r="AE370" s="229"/>
      <c r="AF370" s="20"/>
      <c r="AG370" s="229"/>
      <c r="AH370" s="20"/>
      <c r="AI370" s="229"/>
      <c r="AJ370" s="20"/>
      <c r="AK370" s="229"/>
      <c r="AL370" s="20"/>
      <c r="AM370" s="229"/>
      <c r="AN370" s="20"/>
      <c r="AO370" s="229"/>
      <c r="AP370" s="20"/>
      <c r="AQ370" s="229"/>
      <c r="AR370" s="20"/>
      <c r="AS370" s="229"/>
      <c r="AT370" s="20"/>
      <c r="AU370" s="229"/>
      <c r="AV370" s="20"/>
      <c r="AW370" s="229"/>
      <c r="AX370" s="20"/>
      <c r="AY370" s="229"/>
      <c r="AZ370" s="20"/>
      <c r="BA370" s="229"/>
      <c r="BB370" s="20"/>
      <c r="BC370" s="229">
        <f>AE370+AG370+AI370+AK370+AM370+AO370+AQ370+AS370+AU370+AW370+AY370+BA370</f>
        <v>0</v>
      </c>
      <c r="BD370" s="48">
        <f t="shared" si="107"/>
        <v>0</v>
      </c>
      <c r="BE370" s="19">
        <v>3</v>
      </c>
      <c r="BF370" s="229">
        <f>AB370+BC370</f>
        <v>0</v>
      </c>
      <c r="BG370" s="210">
        <f t="shared" si="108"/>
        <v>0</v>
      </c>
      <c r="BH370" s="210">
        <f t="shared" si="99"/>
        <v>3</v>
      </c>
      <c r="BI370" s="213">
        <f t="shared" ref="BI370:BI432" si="112">BG370/BH370*100</f>
        <v>0</v>
      </c>
      <c r="BJ370" s="141"/>
      <c r="BK370" s="201"/>
      <c r="BL370" s="198"/>
      <c r="BM370" s="198"/>
    </row>
    <row r="371" spans="1:65" s="17" customFormat="1" ht="15.95" customHeight="1">
      <c r="A371" s="123">
        <v>257</v>
      </c>
      <c r="B371" s="9" t="s">
        <v>287</v>
      </c>
      <c r="C371" s="11" t="s">
        <v>2198</v>
      </c>
      <c r="D371" s="229"/>
      <c r="E371" s="13"/>
      <c r="F371" s="229"/>
      <c r="G371" s="13"/>
      <c r="H371" s="229"/>
      <c r="I371" s="13"/>
      <c r="J371" s="229"/>
      <c r="K371" s="13"/>
      <c r="L371" s="229"/>
      <c r="M371" s="13"/>
      <c r="N371" s="229"/>
      <c r="O371" s="13"/>
      <c r="P371" s="229"/>
      <c r="Q371" s="13"/>
      <c r="R371" s="229"/>
      <c r="S371" s="13"/>
      <c r="T371" s="229"/>
      <c r="U371" s="13"/>
      <c r="V371" s="229"/>
      <c r="W371" s="13"/>
      <c r="X371" s="229"/>
      <c r="Y371" s="13"/>
      <c r="Z371" s="229"/>
      <c r="AA371" s="13"/>
      <c r="AB371" s="229">
        <f>D371+F371+H371+J371+L371+N371+P371+R371+T371+V371+X371+Z371</f>
        <v>0</v>
      </c>
      <c r="AC371" s="228">
        <f t="shared" si="106"/>
        <v>0</v>
      </c>
      <c r="AD371" s="21">
        <v>0</v>
      </c>
      <c r="AE371" s="229"/>
      <c r="AF371" s="20"/>
      <c r="AG371" s="229"/>
      <c r="AH371" s="20"/>
      <c r="AI371" s="229"/>
      <c r="AJ371" s="20"/>
      <c r="AK371" s="229"/>
      <c r="AL371" s="20"/>
      <c r="AM371" s="229"/>
      <c r="AN371" s="20"/>
      <c r="AO371" s="229"/>
      <c r="AP371" s="20"/>
      <c r="AQ371" s="229"/>
      <c r="AR371" s="20"/>
      <c r="AS371" s="229"/>
      <c r="AT371" s="20"/>
      <c r="AU371" s="229"/>
      <c r="AV371" s="20"/>
      <c r="AW371" s="229"/>
      <c r="AX371" s="20"/>
      <c r="AY371" s="229"/>
      <c r="AZ371" s="20"/>
      <c r="BA371" s="229"/>
      <c r="BB371" s="20"/>
      <c r="BC371" s="229">
        <f>AE371+AG371+AI371+AK371+AM371+AO371+AQ371+AS371+AU371+AW371+AY371+BA371</f>
        <v>0</v>
      </c>
      <c r="BD371" s="48">
        <f t="shared" si="107"/>
        <v>0</v>
      </c>
      <c r="BE371" s="19">
        <v>3</v>
      </c>
      <c r="BF371" s="229">
        <f>AB371+BC371</f>
        <v>0</v>
      </c>
      <c r="BG371" s="210">
        <f t="shared" si="108"/>
        <v>0</v>
      </c>
      <c r="BH371" s="210">
        <f t="shared" si="99"/>
        <v>3</v>
      </c>
      <c r="BI371" s="213">
        <f t="shared" si="112"/>
        <v>0</v>
      </c>
      <c r="BJ371" s="141"/>
      <c r="BK371" s="201"/>
      <c r="BL371" s="198"/>
      <c r="BM371" s="198"/>
    </row>
    <row r="372" spans="1:65" s="17" customFormat="1" ht="15.95" customHeight="1">
      <c r="A372" s="123">
        <v>258</v>
      </c>
      <c r="B372" s="321" t="s">
        <v>16</v>
      </c>
      <c r="C372" s="322" t="s">
        <v>17</v>
      </c>
      <c r="D372" s="323"/>
      <c r="E372" s="324"/>
      <c r="F372" s="323"/>
      <c r="G372" s="324"/>
      <c r="H372" s="323"/>
      <c r="I372" s="324"/>
      <c r="J372" s="323"/>
      <c r="K372" s="324"/>
      <c r="L372" s="323"/>
      <c r="M372" s="324"/>
      <c r="N372" s="323"/>
      <c r="O372" s="324"/>
      <c r="P372" s="323"/>
      <c r="Q372" s="324"/>
      <c r="R372" s="323"/>
      <c r="S372" s="324"/>
      <c r="T372" s="323"/>
      <c r="U372" s="324"/>
      <c r="V372" s="323"/>
      <c r="W372" s="324"/>
      <c r="X372" s="323"/>
      <c r="Y372" s="324"/>
      <c r="Z372" s="323"/>
      <c r="AA372" s="324"/>
      <c r="AB372" s="323"/>
      <c r="AC372" s="228">
        <f t="shared" si="106"/>
        <v>0</v>
      </c>
      <c r="AD372" s="329">
        <v>0</v>
      </c>
      <c r="AE372" s="323"/>
      <c r="AF372" s="327"/>
      <c r="AG372" s="323"/>
      <c r="AH372" s="327"/>
      <c r="AI372" s="323"/>
      <c r="AJ372" s="327"/>
      <c r="AK372" s="323"/>
      <c r="AL372" s="327"/>
      <c r="AM372" s="323"/>
      <c r="AN372" s="327"/>
      <c r="AO372" s="323"/>
      <c r="AP372" s="327"/>
      <c r="AQ372" s="323"/>
      <c r="AR372" s="327"/>
      <c r="AS372" s="323"/>
      <c r="AT372" s="327"/>
      <c r="AU372" s="323"/>
      <c r="AV372" s="327"/>
      <c r="AW372" s="323"/>
      <c r="AX372" s="327"/>
      <c r="AY372" s="323"/>
      <c r="AZ372" s="327"/>
      <c r="BA372" s="323"/>
      <c r="BB372" s="327">
        <v>3</v>
      </c>
      <c r="BC372" s="323"/>
      <c r="BD372" s="48">
        <f t="shared" si="107"/>
        <v>3</v>
      </c>
      <c r="BE372" s="326">
        <v>0</v>
      </c>
      <c r="BF372" s="323"/>
      <c r="BG372" s="210">
        <f t="shared" si="108"/>
        <v>3</v>
      </c>
      <c r="BH372" s="210">
        <f t="shared" si="99"/>
        <v>0</v>
      </c>
      <c r="BI372" s="213" t="e">
        <f t="shared" si="112"/>
        <v>#DIV/0!</v>
      </c>
      <c r="BJ372" s="141"/>
      <c r="BK372" s="201"/>
      <c r="BL372" s="198"/>
      <c r="BM372" s="198"/>
    </row>
    <row r="373" spans="1:65" s="17" customFormat="1" ht="15.95" customHeight="1">
      <c r="A373" s="123">
        <v>259</v>
      </c>
      <c r="B373" s="9" t="s">
        <v>2991</v>
      </c>
      <c r="C373" s="11" t="s">
        <v>2992</v>
      </c>
      <c r="D373" s="229"/>
      <c r="E373" s="13"/>
      <c r="F373" s="229"/>
      <c r="G373" s="13"/>
      <c r="H373" s="229"/>
      <c r="I373" s="13"/>
      <c r="J373" s="229"/>
      <c r="K373" s="13"/>
      <c r="L373" s="229"/>
      <c r="M373" s="13"/>
      <c r="N373" s="229"/>
      <c r="O373" s="13"/>
      <c r="P373" s="229"/>
      <c r="Q373" s="13"/>
      <c r="R373" s="229"/>
      <c r="S373" s="13"/>
      <c r="T373" s="229"/>
      <c r="U373" s="13"/>
      <c r="V373" s="229"/>
      <c r="W373" s="13"/>
      <c r="X373" s="229"/>
      <c r="Y373" s="13"/>
      <c r="Z373" s="229"/>
      <c r="AA373" s="13"/>
      <c r="AB373" s="229">
        <f>D373+F373+H373+J373+L373+N373+P373+R373+T373+V373+X373+Z373</f>
        <v>0</v>
      </c>
      <c r="AC373" s="228">
        <f t="shared" si="106"/>
        <v>0</v>
      </c>
      <c r="AD373" s="21">
        <v>0</v>
      </c>
      <c r="AE373" s="229"/>
      <c r="AF373" s="20"/>
      <c r="AG373" s="229"/>
      <c r="AH373" s="20"/>
      <c r="AI373" s="229">
        <v>1</v>
      </c>
      <c r="AJ373" s="20">
        <v>1</v>
      </c>
      <c r="AK373" s="229"/>
      <c r="AL373" s="20"/>
      <c r="AM373" s="229"/>
      <c r="AN373" s="20"/>
      <c r="AO373" s="229"/>
      <c r="AP373" s="20"/>
      <c r="AQ373" s="229"/>
      <c r="AR373" s="20"/>
      <c r="AS373" s="229"/>
      <c r="AT373" s="20"/>
      <c r="AU373" s="229"/>
      <c r="AV373" s="20"/>
      <c r="AW373" s="229"/>
      <c r="AX373" s="20"/>
      <c r="AY373" s="229"/>
      <c r="AZ373" s="20"/>
      <c r="BA373" s="229"/>
      <c r="BB373" s="20"/>
      <c r="BC373" s="229">
        <f>AE373+AG373+AI373+AK373+AM373+AO373+AQ373+AS373+AU373+AW373+AY373+BA373</f>
        <v>1</v>
      </c>
      <c r="BD373" s="48">
        <f t="shared" si="107"/>
        <v>1</v>
      </c>
      <c r="BE373" s="19">
        <v>0</v>
      </c>
      <c r="BF373" s="229">
        <f>AB373+BC373</f>
        <v>1</v>
      </c>
      <c r="BG373" s="210">
        <f t="shared" si="108"/>
        <v>1</v>
      </c>
      <c r="BH373" s="210">
        <f t="shared" si="99"/>
        <v>0</v>
      </c>
      <c r="BI373" s="213" t="e">
        <f t="shared" si="112"/>
        <v>#DIV/0!</v>
      </c>
      <c r="BJ373" s="141"/>
      <c r="BK373" s="201"/>
      <c r="BL373" s="198"/>
      <c r="BM373" s="198"/>
    </row>
    <row r="374" spans="1:65" s="17" customFormat="1" ht="15.95" customHeight="1">
      <c r="A374" s="123">
        <v>260</v>
      </c>
      <c r="B374" s="9" t="s">
        <v>3095</v>
      </c>
      <c r="C374" s="11" t="s">
        <v>3096</v>
      </c>
      <c r="D374" s="229"/>
      <c r="E374" s="13"/>
      <c r="F374" s="229"/>
      <c r="G374" s="13"/>
      <c r="H374" s="229"/>
      <c r="I374" s="13"/>
      <c r="J374" s="229"/>
      <c r="K374" s="13"/>
      <c r="L374" s="229"/>
      <c r="M374" s="13"/>
      <c r="N374" s="229"/>
      <c r="O374" s="13"/>
      <c r="P374" s="229"/>
      <c r="Q374" s="13"/>
      <c r="R374" s="229"/>
      <c r="S374" s="13"/>
      <c r="T374" s="229"/>
      <c r="U374" s="13"/>
      <c r="V374" s="229"/>
      <c r="W374" s="13"/>
      <c r="X374" s="229"/>
      <c r="Y374" s="13"/>
      <c r="Z374" s="229"/>
      <c r="AA374" s="13"/>
      <c r="AB374" s="229"/>
      <c r="AC374" s="228">
        <f t="shared" si="106"/>
        <v>0</v>
      </c>
      <c r="AD374" s="21">
        <v>0</v>
      </c>
      <c r="AE374" s="229"/>
      <c r="AF374" s="20"/>
      <c r="AG374" s="229"/>
      <c r="AH374" s="20"/>
      <c r="AI374" s="229"/>
      <c r="AJ374" s="20"/>
      <c r="AK374" s="229"/>
      <c r="AL374" s="20"/>
      <c r="AM374" s="229"/>
      <c r="AN374" s="20"/>
      <c r="AO374" s="229"/>
      <c r="AP374" s="20">
        <v>1</v>
      </c>
      <c r="AQ374" s="229"/>
      <c r="AR374" s="20"/>
      <c r="AS374" s="229"/>
      <c r="AT374" s="20"/>
      <c r="AU374" s="229"/>
      <c r="AV374" s="20"/>
      <c r="AW374" s="229"/>
      <c r="AX374" s="20"/>
      <c r="AY374" s="229"/>
      <c r="AZ374" s="20"/>
      <c r="BA374" s="229"/>
      <c r="BB374" s="20"/>
      <c r="BC374" s="229"/>
      <c r="BD374" s="48">
        <f t="shared" si="107"/>
        <v>1</v>
      </c>
      <c r="BE374" s="19">
        <v>0</v>
      </c>
      <c r="BF374" s="229"/>
      <c r="BG374" s="210">
        <f t="shared" si="108"/>
        <v>1</v>
      </c>
      <c r="BH374" s="210">
        <f t="shared" si="99"/>
        <v>0</v>
      </c>
      <c r="BI374" s="213" t="e">
        <f t="shared" si="112"/>
        <v>#DIV/0!</v>
      </c>
      <c r="BJ374" s="141"/>
      <c r="BK374" s="201"/>
      <c r="BL374" s="198"/>
      <c r="BM374" s="198"/>
    </row>
    <row r="375" spans="1:65" s="17" customFormat="1" ht="15.95" customHeight="1">
      <c r="A375" s="123">
        <v>261</v>
      </c>
      <c r="B375" s="9" t="s">
        <v>1626</v>
      </c>
      <c r="C375" s="11" t="s">
        <v>1892</v>
      </c>
      <c r="D375" s="229"/>
      <c r="E375" s="13"/>
      <c r="F375" s="229"/>
      <c r="G375" s="13"/>
      <c r="H375" s="229"/>
      <c r="I375" s="13"/>
      <c r="J375" s="229"/>
      <c r="K375" s="13"/>
      <c r="L375" s="229"/>
      <c r="M375" s="13"/>
      <c r="N375" s="229"/>
      <c r="O375" s="13"/>
      <c r="P375" s="229"/>
      <c r="Q375" s="13"/>
      <c r="R375" s="229"/>
      <c r="S375" s="13"/>
      <c r="T375" s="229"/>
      <c r="U375" s="13"/>
      <c r="V375" s="229"/>
      <c r="W375" s="13"/>
      <c r="X375" s="229"/>
      <c r="Y375" s="13"/>
      <c r="Z375" s="229"/>
      <c r="AA375" s="13"/>
      <c r="AB375" s="229">
        <f>D375+F375+H375+J375+L375+N375+P375+R375+T375+V375+X375+Z375</f>
        <v>0</v>
      </c>
      <c r="AC375" s="228">
        <f t="shared" si="106"/>
        <v>0</v>
      </c>
      <c r="AD375" s="19">
        <v>0</v>
      </c>
      <c r="AE375" s="229"/>
      <c r="AF375" s="20"/>
      <c r="AG375" s="229"/>
      <c r="AH375" s="20"/>
      <c r="AI375" s="229"/>
      <c r="AJ375" s="20"/>
      <c r="AK375" s="229"/>
      <c r="AL375" s="20"/>
      <c r="AM375" s="229"/>
      <c r="AN375" s="20"/>
      <c r="AO375" s="229"/>
      <c r="AP375" s="20"/>
      <c r="AQ375" s="229"/>
      <c r="AR375" s="20"/>
      <c r="AS375" s="229"/>
      <c r="AT375" s="20"/>
      <c r="AU375" s="229"/>
      <c r="AV375" s="20"/>
      <c r="AW375" s="229"/>
      <c r="AX375" s="20"/>
      <c r="AY375" s="229"/>
      <c r="AZ375" s="20"/>
      <c r="BA375" s="229"/>
      <c r="BB375" s="20"/>
      <c r="BC375" s="229">
        <f>AE375+AG375+AI375+AK375+AM375+AO375+AQ375+AS375+AU375+AW375+AY375+BA375</f>
        <v>0</v>
      </c>
      <c r="BD375" s="48">
        <f t="shared" si="107"/>
        <v>0</v>
      </c>
      <c r="BE375" s="19">
        <v>1</v>
      </c>
      <c r="BF375" s="229">
        <f>AB375+BC375</f>
        <v>0</v>
      </c>
      <c r="BG375" s="210">
        <f t="shared" si="108"/>
        <v>0</v>
      </c>
      <c r="BH375" s="210">
        <f t="shared" si="99"/>
        <v>1</v>
      </c>
      <c r="BI375" s="213">
        <f t="shared" si="112"/>
        <v>0</v>
      </c>
      <c r="BJ375" s="141"/>
      <c r="BK375" s="201"/>
      <c r="BL375" s="198"/>
      <c r="BM375" s="198"/>
    </row>
    <row r="376" spans="1:65" s="17" customFormat="1" ht="15.95" customHeight="1">
      <c r="A376" s="123">
        <v>262</v>
      </c>
      <c r="B376" s="9" t="s">
        <v>870</v>
      </c>
      <c r="C376" s="11" t="s">
        <v>2505</v>
      </c>
      <c r="D376" s="229"/>
      <c r="E376" s="13"/>
      <c r="F376" s="229"/>
      <c r="G376" s="13"/>
      <c r="H376" s="229"/>
      <c r="I376" s="13"/>
      <c r="J376" s="229"/>
      <c r="K376" s="13"/>
      <c r="L376" s="229"/>
      <c r="M376" s="13"/>
      <c r="N376" s="229"/>
      <c r="O376" s="13"/>
      <c r="P376" s="229"/>
      <c r="Q376" s="13"/>
      <c r="R376" s="229"/>
      <c r="S376" s="13"/>
      <c r="T376" s="229"/>
      <c r="U376" s="13"/>
      <c r="V376" s="229"/>
      <c r="W376" s="13"/>
      <c r="X376" s="229"/>
      <c r="Y376" s="13"/>
      <c r="Z376" s="229"/>
      <c r="AA376" s="13"/>
      <c r="AB376" s="229">
        <f>D376+F376+H376+J376+L376+N376+P376+R376+T376+V376+X376+Z376</f>
        <v>0</v>
      </c>
      <c r="AC376" s="228">
        <f t="shared" si="106"/>
        <v>0</v>
      </c>
      <c r="AD376" s="19">
        <v>0</v>
      </c>
      <c r="AE376" s="229"/>
      <c r="AF376" s="20"/>
      <c r="AG376" s="229"/>
      <c r="AH376" s="20"/>
      <c r="AI376" s="229"/>
      <c r="AJ376" s="20"/>
      <c r="AK376" s="229"/>
      <c r="AL376" s="20"/>
      <c r="AM376" s="229"/>
      <c r="AN376" s="20"/>
      <c r="AO376" s="229">
        <v>1</v>
      </c>
      <c r="AP376" s="20">
        <v>1</v>
      </c>
      <c r="AQ376" s="229"/>
      <c r="AR376" s="20"/>
      <c r="AS376" s="229"/>
      <c r="AT376" s="20"/>
      <c r="AU376" s="229"/>
      <c r="AV376" s="20"/>
      <c r="AW376" s="229"/>
      <c r="AX376" s="20"/>
      <c r="AY376" s="229"/>
      <c r="AZ376" s="20"/>
      <c r="BA376" s="229"/>
      <c r="BB376" s="20"/>
      <c r="BC376" s="229">
        <f>AE376+AG376+AI376+AK376+AM376+AO376+AQ376+AS376+AU376+AW376+AY376+BA376</f>
        <v>1</v>
      </c>
      <c r="BD376" s="48">
        <f t="shared" si="107"/>
        <v>1</v>
      </c>
      <c r="BE376" s="19">
        <v>0</v>
      </c>
      <c r="BF376" s="229"/>
      <c r="BG376" s="210">
        <f t="shared" si="108"/>
        <v>1</v>
      </c>
      <c r="BH376" s="210">
        <f t="shared" si="99"/>
        <v>0</v>
      </c>
      <c r="BI376" s="213" t="e">
        <f t="shared" si="112"/>
        <v>#DIV/0!</v>
      </c>
      <c r="BJ376" s="141"/>
      <c r="BK376" s="201"/>
      <c r="BL376" s="198"/>
      <c r="BM376" s="198"/>
    </row>
    <row r="377" spans="1:65" s="17" customFormat="1" ht="15.95" customHeight="1">
      <c r="A377" s="123">
        <v>263</v>
      </c>
      <c r="B377" s="9" t="s">
        <v>84</v>
      </c>
      <c r="C377" s="11" t="s">
        <v>2493</v>
      </c>
      <c r="D377" s="229"/>
      <c r="E377" s="13"/>
      <c r="F377" s="229"/>
      <c r="G377" s="13"/>
      <c r="H377" s="229"/>
      <c r="I377" s="13"/>
      <c r="J377" s="229"/>
      <c r="K377" s="13"/>
      <c r="L377" s="229"/>
      <c r="M377" s="13"/>
      <c r="N377" s="229"/>
      <c r="O377" s="13"/>
      <c r="P377" s="229"/>
      <c r="Q377" s="13"/>
      <c r="R377" s="229"/>
      <c r="S377" s="13"/>
      <c r="T377" s="229"/>
      <c r="U377" s="13"/>
      <c r="V377" s="229"/>
      <c r="W377" s="13"/>
      <c r="X377" s="229"/>
      <c r="Y377" s="13"/>
      <c r="Z377" s="229"/>
      <c r="AA377" s="13"/>
      <c r="AB377" s="229">
        <f>D377+F377+H377+J377+L377+N377+P377+R377+T377+V377+X377+Z377</f>
        <v>0</v>
      </c>
      <c r="AC377" s="228">
        <f t="shared" si="106"/>
        <v>0</v>
      </c>
      <c r="AD377" s="21">
        <v>0</v>
      </c>
      <c r="AE377" s="229"/>
      <c r="AF377" s="20"/>
      <c r="AG377" s="229"/>
      <c r="AH377" s="20"/>
      <c r="AI377" s="229"/>
      <c r="AJ377" s="20"/>
      <c r="AK377" s="229"/>
      <c r="AL377" s="20"/>
      <c r="AM377" s="229"/>
      <c r="AN377" s="20"/>
      <c r="AO377" s="229"/>
      <c r="AP377" s="20"/>
      <c r="AQ377" s="229"/>
      <c r="AR377" s="20"/>
      <c r="AS377" s="229"/>
      <c r="AT377" s="20"/>
      <c r="AU377" s="229"/>
      <c r="AV377" s="20"/>
      <c r="AW377" s="229"/>
      <c r="AX377" s="20"/>
      <c r="AY377" s="229"/>
      <c r="AZ377" s="20"/>
      <c r="BA377" s="229"/>
      <c r="BB377" s="20"/>
      <c r="BC377" s="229">
        <f>AE377+AG377+AI377+AK377+AM377+AO377+AQ377+AS377+AU377+AW377+AY377+BA377</f>
        <v>0</v>
      </c>
      <c r="BD377" s="48">
        <f t="shared" si="107"/>
        <v>0</v>
      </c>
      <c r="BE377" s="19">
        <v>1</v>
      </c>
      <c r="BF377" s="229">
        <f>AB377+BC377</f>
        <v>0</v>
      </c>
      <c r="BG377" s="210">
        <f t="shared" si="108"/>
        <v>0</v>
      </c>
      <c r="BH377" s="210">
        <f t="shared" si="99"/>
        <v>1</v>
      </c>
      <c r="BI377" s="213">
        <f t="shared" si="112"/>
        <v>0</v>
      </c>
      <c r="BJ377" s="141"/>
      <c r="BK377" s="201"/>
      <c r="BL377" s="198"/>
      <c r="BM377" s="198"/>
    </row>
    <row r="378" spans="1:65" s="17" customFormat="1" ht="15.95" customHeight="1">
      <c r="A378" s="123">
        <v>264</v>
      </c>
      <c r="B378" s="9" t="s">
        <v>2990</v>
      </c>
      <c r="C378" s="11" t="s">
        <v>2993</v>
      </c>
      <c r="D378" s="229"/>
      <c r="E378" s="13"/>
      <c r="F378" s="229"/>
      <c r="G378" s="13"/>
      <c r="H378" s="229"/>
      <c r="I378" s="13"/>
      <c r="J378" s="229"/>
      <c r="K378" s="13"/>
      <c r="L378" s="229"/>
      <c r="M378" s="13"/>
      <c r="N378" s="229"/>
      <c r="O378" s="13"/>
      <c r="P378" s="229"/>
      <c r="Q378" s="13"/>
      <c r="R378" s="229"/>
      <c r="S378" s="13"/>
      <c r="T378" s="229"/>
      <c r="U378" s="13"/>
      <c r="V378" s="229"/>
      <c r="W378" s="13"/>
      <c r="X378" s="229"/>
      <c r="Y378" s="13"/>
      <c r="Z378" s="229"/>
      <c r="AA378" s="13"/>
      <c r="AB378" s="229">
        <f>D378+F378+H378+J378+L378+N378+P378+R378+T378+V378+X378+Z378</f>
        <v>0</v>
      </c>
      <c r="AC378" s="228">
        <f t="shared" si="106"/>
        <v>0</v>
      </c>
      <c r="AD378" s="21">
        <v>0</v>
      </c>
      <c r="AE378" s="229"/>
      <c r="AF378" s="20"/>
      <c r="AG378" s="229"/>
      <c r="AH378" s="20"/>
      <c r="AI378" s="229">
        <v>1</v>
      </c>
      <c r="AJ378" s="20">
        <v>1</v>
      </c>
      <c r="AK378" s="229"/>
      <c r="AL378" s="20"/>
      <c r="AM378" s="229"/>
      <c r="AN378" s="20"/>
      <c r="AO378" s="229"/>
      <c r="AP378" s="20"/>
      <c r="AQ378" s="229"/>
      <c r="AR378" s="20"/>
      <c r="AS378" s="229"/>
      <c r="AT378" s="20"/>
      <c r="AU378" s="229"/>
      <c r="AV378" s="20"/>
      <c r="AW378" s="229"/>
      <c r="AX378" s="20"/>
      <c r="AY378" s="229"/>
      <c r="AZ378" s="20"/>
      <c r="BA378" s="229"/>
      <c r="BB378" s="20"/>
      <c r="BC378" s="229">
        <f>AE378+AG378+AI378+AK378+AM378+AO378+AQ378+AS378+AU378+AW378+AY378+BA378</f>
        <v>1</v>
      </c>
      <c r="BD378" s="48">
        <f t="shared" si="107"/>
        <v>1</v>
      </c>
      <c r="BE378" s="19">
        <v>0</v>
      </c>
      <c r="BF378" s="229">
        <f>AB378+BC378</f>
        <v>1</v>
      </c>
      <c r="BG378" s="210">
        <f t="shared" si="108"/>
        <v>1</v>
      </c>
      <c r="BH378" s="210">
        <f t="shared" si="99"/>
        <v>0</v>
      </c>
      <c r="BI378" s="213" t="e">
        <f t="shared" si="112"/>
        <v>#DIV/0!</v>
      </c>
      <c r="BJ378" s="141"/>
      <c r="BK378" s="201"/>
      <c r="BL378" s="198"/>
      <c r="BM378" s="198"/>
    </row>
    <row r="379" spans="1:65" s="17" customFormat="1" ht="15.95" customHeight="1">
      <c r="A379" s="123">
        <v>265</v>
      </c>
      <c r="B379" s="9" t="s">
        <v>2704</v>
      </c>
      <c r="C379" s="11" t="s">
        <v>2705</v>
      </c>
      <c r="D379" s="229"/>
      <c r="E379" s="13"/>
      <c r="F379" s="229"/>
      <c r="G379" s="13"/>
      <c r="H379" s="229"/>
      <c r="I379" s="13"/>
      <c r="J379" s="229"/>
      <c r="K379" s="13"/>
      <c r="L379" s="229"/>
      <c r="M379" s="13"/>
      <c r="N379" s="229"/>
      <c r="O379" s="13"/>
      <c r="P379" s="229"/>
      <c r="Q379" s="13"/>
      <c r="R379" s="229"/>
      <c r="S379" s="13"/>
      <c r="T379" s="229"/>
      <c r="U379" s="13"/>
      <c r="V379" s="229"/>
      <c r="W379" s="13"/>
      <c r="X379" s="229"/>
      <c r="Y379" s="13"/>
      <c r="Z379" s="229"/>
      <c r="AA379" s="13"/>
      <c r="AB379" s="229">
        <f>D379+F379+H379+J379+L379+N379+P379+R379+T379+V379+X379+Z379</f>
        <v>0</v>
      </c>
      <c r="AC379" s="228">
        <f t="shared" si="106"/>
        <v>0</v>
      </c>
      <c r="AD379" s="21">
        <v>0</v>
      </c>
      <c r="AE379" s="229"/>
      <c r="AF379" s="20"/>
      <c r="AG379" s="229"/>
      <c r="AH379" s="20"/>
      <c r="AI379" s="229"/>
      <c r="AJ379" s="20"/>
      <c r="AK379" s="229"/>
      <c r="AL379" s="20"/>
      <c r="AM379" s="229"/>
      <c r="AN379" s="20"/>
      <c r="AO379" s="229"/>
      <c r="AP379" s="20"/>
      <c r="AQ379" s="229"/>
      <c r="AR379" s="20"/>
      <c r="AS379" s="229"/>
      <c r="AT379" s="20"/>
      <c r="AU379" s="229"/>
      <c r="AV379" s="20"/>
      <c r="AW379" s="229"/>
      <c r="AX379" s="20"/>
      <c r="AY379" s="229"/>
      <c r="AZ379" s="20"/>
      <c r="BA379" s="229"/>
      <c r="BB379" s="20"/>
      <c r="BC379" s="229">
        <f>AE379+AG379+AI379+AK379+AM379+AO379+AQ379+AS379+AU379+AW379+AY379+BA379</f>
        <v>0</v>
      </c>
      <c r="BD379" s="48">
        <f t="shared" si="107"/>
        <v>0</v>
      </c>
      <c r="BE379" s="19">
        <v>4</v>
      </c>
      <c r="BF379" s="229">
        <f>AB379+BC379</f>
        <v>0</v>
      </c>
      <c r="BG379" s="210">
        <f t="shared" si="108"/>
        <v>0</v>
      </c>
      <c r="BH379" s="210">
        <f t="shared" si="99"/>
        <v>4</v>
      </c>
      <c r="BI379" s="213">
        <f t="shared" si="112"/>
        <v>0</v>
      </c>
      <c r="BJ379" s="141"/>
      <c r="BK379" s="201"/>
      <c r="BL379" s="198"/>
      <c r="BM379" s="198"/>
    </row>
    <row r="380" spans="1:65" s="17" customFormat="1" ht="15.95" customHeight="1">
      <c r="A380" s="123">
        <v>266</v>
      </c>
      <c r="B380" s="9" t="s">
        <v>3103</v>
      </c>
      <c r="C380" s="11" t="s">
        <v>3104</v>
      </c>
      <c r="D380" s="229"/>
      <c r="E380" s="13"/>
      <c r="F380" s="229"/>
      <c r="G380" s="13"/>
      <c r="H380" s="229"/>
      <c r="I380" s="13"/>
      <c r="J380" s="229"/>
      <c r="K380" s="13"/>
      <c r="L380" s="229"/>
      <c r="M380" s="13"/>
      <c r="N380" s="229"/>
      <c r="O380" s="13"/>
      <c r="P380" s="229"/>
      <c r="Q380" s="13"/>
      <c r="R380" s="229"/>
      <c r="S380" s="13"/>
      <c r="T380" s="229"/>
      <c r="U380" s="13"/>
      <c r="V380" s="229"/>
      <c r="W380" s="13"/>
      <c r="X380" s="229"/>
      <c r="Y380" s="13"/>
      <c r="Z380" s="229"/>
      <c r="AA380" s="13"/>
      <c r="AB380" s="229"/>
      <c r="AC380" s="228">
        <f t="shared" si="106"/>
        <v>0</v>
      </c>
      <c r="AD380" s="21">
        <v>0</v>
      </c>
      <c r="AE380" s="229"/>
      <c r="AF380" s="20"/>
      <c r="AG380" s="229"/>
      <c r="AH380" s="20"/>
      <c r="AI380" s="229"/>
      <c r="AJ380" s="20"/>
      <c r="AK380" s="229"/>
      <c r="AL380" s="20"/>
      <c r="AM380" s="229"/>
      <c r="AN380" s="20"/>
      <c r="AO380" s="229"/>
      <c r="AP380" s="20">
        <v>1</v>
      </c>
      <c r="AQ380" s="229"/>
      <c r="AR380" s="20"/>
      <c r="AS380" s="229"/>
      <c r="AT380" s="20"/>
      <c r="AU380" s="229"/>
      <c r="AV380" s="20"/>
      <c r="AW380" s="229"/>
      <c r="AX380" s="20"/>
      <c r="AY380" s="229"/>
      <c r="AZ380" s="20"/>
      <c r="BA380" s="229"/>
      <c r="BB380" s="20"/>
      <c r="BC380" s="229"/>
      <c r="BD380" s="48">
        <f t="shared" si="107"/>
        <v>1</v>
      </c>
      <c r="BE380" s="19">
        <v>0</v>
      </c>
      <c r="BF380" s="229"/>
      <c r="BG380" s="210">
        <f t="shared" si="108"/>
        <v>1</v>
      </c>
      <c r="BH380" s="210">
        <f t="shared" si="99"/>
        <v>0</v>
      </c>
      <c r="BI380" s="213" t="e">
        <f t="shared" si="112"/>
        <v>#DIV/0!</v>
      </c>
      <c r="BJ380" s="141"/>
      <c r="BK380" s="201"/>
      <c r="BL380" s="198"/>
      <c r="BM380" s="198"/>
    </row>
    <row r="381" spans="1:65" s="17" customFormat="1" ht="24" customHeight="1">
      <c r="A381" s="123">
        <v>267</v>
      </c>
      <c r="B381" s="9" t="s">
        <v>520</v>
      </c>
      <c r="C381" s="10" t="s">
        <v>2823</v>
      </c>
      <c r="D381" s="229"/>
      <c r="E381" s="13"/>
      <c r="F381" s="229"/>
      <c r="G381" s="13"/>
      <c r="H381" s="229"/>
      <c r="I381" s="13"/>
      <c r="J381" s="229"/>
      <c r="K381" s="13"/>
      <c r="L381" s="229"/>
      <c r="M381" s="13"/>
      <c r="N381" s="229"/>
      <c r="O381" s="13"/>
      <c r="P381" s="229"/>
      <c r="Q381" s="13"/>
      <c r="R381" s="229"/>
      <c r="S381" s="13"/>
      <c r="T381" s="229"/>
      <c r="U381" s="13"/>
      <c r="V381" s="229"/>
      <c r="W381" s="13"/>
      <c r="X381" s="229"/>
      <c r="Y381" s="13"/>
      <c r="Z381" s="229"/>
      <c r="AA381" s="13"/>
      <c r="AB381" s="229">
        <f t="shared" ref="AB381:AB413" si="113">D381+F381+H381+J381+L381+N381+P381+R381+T381+V381+X381+Z381</f>
        <v>0</v>
      </c>
      <c r="AC381" s="228">
        <f t="shared" si="106"/>
        <v>0</v>
      </c>
      <c r="AD381" s="21">
        <v>0</v>
      </c>
      <c r="AE381" s="229"/>
      <c r="AF381" s="20"/>
      <c r="AG381" s="229"/>
      <c r="AH381" s="20"/>
      <c r="AI381" s="229">
        <v>1</v>
      </c>
      <c r="AJ381" s="20">
        <v>1</v>
      </c>
      <c r="AK381" s="229"/>
      <c r="AL381" s="20"/>
      <c r="AM381" s="229"/>
      <c r="AN381" s="20"/>
      <c r="AO381" s="229"/>
      <c r="AP381" s="20"/>
      <c r="AQ381" s="229"/>
      <c r="AR381" s="20"/>
      <c r="AS381" s="229"/>
      <c r="AT381" s="20"/>
      <c r="AU381" s="229"/>
      <c r="AV381" s="20"/>
      <c r="AW381" s="229"/>
      <c r="AX381" s="20"/>
      <c r="AY381" s="229"/>
      <c r="AZ381" s="20"/>
      <c r="BA381" s="229"/>
      <c r="BB381" s="20"/>
      <c r="BC381" s="229">
        <f t="shared" ref="BC381:BC413" si="114">AE381+AG381+AI381+AK381+AM381+AO381+AQ381+AS381+AU381+AW381+AY381+BA381</f>
        <v>1</v>
      </c>
      <c r="BD381" s="48">
        <f t="shared" si="107"/>
        <v>1</v>
      </c>
      <c r="BE381" s="19">
        <v>0</v>
      </c>
      <c r="BF381" s="229">
        <f>AB381+BC381</f>
        <v>1</v>
      </c>
      <c r="BG381" s="210">
        <f t="shared" si="108"/>
        <v>1</v>
      </c>
      <c r="BH381" s="210">
        <f t="shared" si="99"/>
        <v>0</v>
      </c>
      <c r="BI381" s="213" t="e">
        <f t="shared" si="112"/>
        <v>#DIV/0!</v>
      </c>
      <c r="BJ381" s="141"/>
      <c r="BK381" s="201"/>
      <c r="BL381" s="198"/>
      <c r="BM381" s="198"/>
    </row>
    <row r="382" spans="1:65" s="17" customFormat="1" ht="15.95" customHeight="1">
      <c r="A382" s="123">
        <v>268</v>
      </c>
      <c r="B382" s="9" t="s">
        <v>1844</v>
      </c>
      <c r="C382" s="11" t="s">
        <v>1845</v>
      </c>
      <c r="D382" s="229"/>
      <c r="E382" s="13"/>
      <c r="F382" s="229"/>
      <c r="G382" s="13"/>
      <c r="H382" s="229"/>
      <c r="I382" s="13"/>
      <c r="J382" s="229"/>
      <c r="K382" s="13"/>
      <c r="L382" s="229"/>
      <c r="M382" s="13"/>
      <c r="N382" s="229"/>
      <c r="O382" s="13"/>
      <c r="P382" s="229"/>
      <c r="Q382" s="13"/>
      <c r="R382" s="229"/>
      <c r="S382" s="13"/>
      <c r="T382" s="229"/>
      <c r="U382" s="13"/>
      <c r="V382" s="229"/>
      <c r="W382" s="13"/>
      <c r="X382" s="229"/>
      <c r="Y382" s="13"/>
      <c r="Z382" s="229"/>
      <c r="AA382" s="13"/>
      <c r="AB382" s="229">
        <f t="shared" si="113"/>
        <v>0</v>
      </c>
      <c r="AC382" s="228">
        <f t="shared" si="106"/>
        <v>0</v>
      </c>
      <c r="AD382" s="21">
        <v>0</v>
      </c>
      <c r="AE382" s="229"/>
      <c r="AF382" s="20"/>
      <c r="AG382" s="229"/>
      <c r="AH382" s="20"/>
      <c r="AI382" s="229"/>
      <c r="AJ382" s="20"/>
      <c r="AK382" s="229"/>
      <c r="AL382" s="20"/>
      <c r="AM382" s="229"/>
      <c r="AN382" s="20"/>
      <c r="AO382" s="229"/>
      <c r="AP382" s="20"/>
      <c r="AQ382" s="229"/>
      <c r="AR382" s="20"/>
      <c r="AS382" s="229"/>
      <c r="AT382" s="20"/>
      <c r="AU382" s="229"/>
      <c r="AV382" s="20"/>
      <c r="AW382" s="229"/>
      <c r="AX382" s="20"/>
      <c r="AY382" s="229"/>
      <c r="AZ382" s="20"/>
      <c r="BA382" s="229"/>
      <c r="BB382" s="20"/>
      <c r="BC382" s="229">
        <f t="shared" si="114"/>
        <v>0</v>
      </c>
      <c r="BD382" s="48">
        <f t="shared" si="107"/>
        <v>0</v>
      </c>
      <c r="BE382" s="19">
        <v>2</v>
      </c>
      <c r="BF382" s="229">
        <f>AB382+BC382</f>
        <v>0</v>
      </c>
      <c r="BG382" s="210">
        <f t="shared" si="108"/>
        <v>0</v>
      </c>
      <c r="BH382" s="210">
        <f t="shared" ref="BH382:BH445" si="115">AD382+BE382</f>
        <v>2</v>
      </c>
      <c r="BI382" s="213">
        <f t="shared" si="112"/>
        <v>0</v>
      </c>
      <c r="BJ382" s="141"/>
      <c r="BK382" s="201"/>
      <c r="BL382" s="198"/>
      <c r="BM382" s="198"/>
    </row>
    <row r="383" spans="1:65" s="17" customFormat="1" ht="22.5" customHeight="1">
      <c r="A383" s="123">
        <v>269</v>
      </c>
      <c r="B383" s="9" t="s">
        <v>2994</v>
      </c>
      <c r="C383" s="10" t="s">
        <v>2995</v>
      </c>
      <c r="D383" s="229"/>
      <c r="E383" s="13"/>
      <c r="F383" s="229"/>
      <c r="G383" s="13"/>
      <c r="H383" s="229"/>
      <c r="I383" s="13"/>
      <c r="J383" s="229"/>
      <c r="K383" s="13"/>
      <c r="L383" s="229"/>
      <c r="M383" s="13"/>
      <c r="N383" s="229"/>
      <c r="O383" s="13"/>
      <c r="P383" s="229"/>
      <c r="Q383" s="13"/>
      <c r="R383" s="229"/>
      <c r="S383" s="13"/>
      <c r="T383" s="229"/>
      <c r="U383" s="13"/>
      <c r="V383" s="229"/>
      <c r="W383" s="13"/>
      <c r="X383" s="229"/>
      <c r="Y383" s="13"/>
      <c r="Z383" s="229"/>
      <c r="AA383" s="13"/>
      <c r="AB383" s="229">
        <f t="shared" si="113"/>
        <v>0</v>
      </c>
      <c r="AC383" s="228">
        <f t="shared" si="106"/>
        <v>0</v>
      </c>
      <c r="AD383" s="21">
        <v>0</v>
      </c>
      <c r="AE383" s="229"/>
      <c r="AF383" s="20"/>
      <c r="AG383" s="229"/>
      <c r="AH383" s="20"/>
      <c r="AI383" s="229">
        <v>1</v>
      </c>
      <c r="AJ383" s="20">
        <v>1</v>
      </c>
      <c r="AK383" s="229"/>
      <c r="AL383" s="20"/>
      <c r="AM383" s="229"/>
      <c r="AN383" s="20"/>
      <c r="AO383" s="229"/>
      <c r="AP383" s="20"/>
      <c r="AQ383" s="229"/>
      <c r="AR383" s="20"/>
      <c r="AS383" s="229"/>
      <c r="AT383" s="20"/>
      <c r="AU383" s="229"/>
      <c r="AV383" s="20"/>
      <c r="AW383" s="229"/>
      <c r="AX383" s="20"/>
      <c r="AY383" s="229"/>
      <c r="AZ383" s="20"/>
      <c r="BA383" s="229"/>
      <c r="BB383" s="20"/>
      <c r="BC383" s="229">
        <f t="shared" si="114"/>
        <v>1</v>
      </c>
      <c r="BD383" s="48">
        <f t="shared" si="107"/>
        <v>1</v>
      </c>
      <c r="BE383" s="19">
        <v>0</v>
      </c>
      <c r="BF383" s="229">
        <f>AB383+BC383</f>
        <v>1</v>
      </c>
      <c r="BG383" s="210">
        <f t="shared" si="108"/>
        <v>1</v>
      </c>
      <c r="BH383" s="210">
        <f t="shared" si="115"/>
        <v>0</v>
      </c>
      <c r="BI383" s="213" t="e">
        <f t="shared" si="112"/>
        <v>#DIV/0!</v>
      </c>
      <c r="BJ383" s="141"/>
      <c r="BK383" s="201"/>
      <c r="BL383" s="198"/>
      <c r="BM383" s="198"/>
    </row>
    <row r="384" spans="1:65" s="17" customFormat="1" ht="15.95" customHeight="1">
      <c r="A384" s="123">
        <v>270</v>
      </c>
      <c r="B384" s="9" t="s">
        <v>339</v>
      </c>
      <c r="C384" s="11" t="s">
        <v>2664</v>
      </c>
      <c r="D384" s="229"/>
      <c r="E384" s="13"/>
      <c r="F384" s="229"/>
      <c r="G384" s="13"/>
      <c r="H384" s="229"/>
      <c r="I384" s="13"/>
      <c r="J384" s="229"/>
      <c r="K384" s="13"/>
      <c r="L384" s="229"/>
      <c r="M384" s="13"/>
      <c r="N384" s="229"/>
      <c r="O384" s="13"/>
      <c r="P384" s="229"/>
      <c r="Q384" s="13"/>
      <c r="R384" s="229"/>
      <c r="S384" s="13"/>
      <c r="T384" s="229"/>
      <c r="U384" s="13"/>
      <c r="V384" s="229"/>
      <c r="W384" s="13"/>
      <c r="X384" s="229"/>
      <c r="Y384" s="13"/>
      <c r="Z384" s="229"/>
      <c r="AA384" s="13"/>
      <c r="AB384" s="229">
        <f t="shared" si="113"/>
        <v>0</v>
      </c>
      <c r="AC384" s="228">
        <f t="shared" si="106"/>
        <v>0</v>
      </c>
      <c r="AD384" s="21">
        <v>0</v>
      </c>
      <c r="AE384" s="229"/>
      <c r="AF384" s="20"/>
      <c r="AG384" s="229"/>
      <c r="AH384" s="20"/>
      <c r="AI384" s="229"/>
      <c r="AJ384" s="20"/>
      <c r="AK384" s="229"/>
      <c r="AL384" s="20"/>
      <c r="AM384" s="229"/>
      <c r="AN384" s="20"/>
      <c r="AO384" s="229"/>
      <c r="AP384" s="20"/>
      <c r="AQ384" s="229"/>
      <c r="AR384" s="20"/>
      <c r="AS384" s="229"/>
      <c r="AT384" s="20"/>
      <c r="AU384" s="229"/>
      <c r="AV384" s="20"/>
      <c r="AW384" s="229"/>
      <c r="AX384" s="20"/>
      <c r="AY384" s="229"/>
      <c r="AZ384" s="20"/>
      <c r="BA384" s="229"/>
      <c r="BB384" s="20"/>
      <c r="BC384" s="229">
        <f t="shared" si="114"/>
        <v>0</v>
      </c>
      <c r="BD384" s="48">
        <f t="shared" si="107"/>
        <v>0</v>
      </c>
      <c r="BE384" s="19">
        <v>4</v>
      </c>
      <c r="BF384" s="229">
        <f>AB384+BC384</f>
        <v>0</v>
      </c>
      <c r="BG384" s="210">
        <f t="shared" si="108"/>
        <v>0</v>
      </c>
      <c r="BH384" s="210">
        <f t="shared" si="115"/>
        <v>4</v>
      </c>
      <c r="BI384" s="213">
        <f t="shared" si="112"/>
        <v>0</v>
      </c>
      <c r="BJ384" s="141"/>
      <c r="BK384" s="201"/>
      <c r="BL384" s="198"/>
      <c r="BM384" s="198"/>
    </row>
    <row r="385" spans="1:65" s="17" customFormat="1" ht="15.95" customHeight="1">
      <c r="A385" s="123">
        <v>271</v>
      </c>
      <c r="B385" s="9" t="s">
        <v>433</v>
      </c>
      <c r="C385" s="11" t="s">
        <v>434</v>
      </c>
      <c r="D385" s="229"/>
      <c r="E385" s="13"/>
      <c r="F385" s="229"/>
      <c r="G385" s="13"/>
      <c r="H385" s="229"/>
      <c r="I385" s="13"/>
      <c r="J385" s="229"/>
      <c r="K385" s="13"/>
      <c r="L385" s="229"/>
      <c r="M385" s="13"/>
      <c r="N385" s="229"/>
      <c r="O385" s="13"/>
      <c r="P385" s="229"/>
      <c r="Q385" s="13"/>
      <c r="R385" s="229"/>
      <c r="S385" s="13"/>
      <c r="T385" s="229"/>
      <c r="U385" s="13"/>
      <c r="V385" s="229"/>
      <c r="W385" s="13"/>
      <c r="X385" s="229"/>
      <c r="Y385" s="13"/>
      <c r="Z385" s="229"/>
      <c r="AA385" s="13"/>
      <c r="AB385" s="229">
        <f t="shared" si="113"/>
        <v>0</v>
      </c>
      <c r="AC385" s="228">
        <f t="shared" si="106"/>
        <v>0</v>
      </c>
      <c r="AD385" s="21">
        <v>0</v>
      </c>
      <c r="AE385" s="229"/>
      <c r="AF385" s="20"/>
      <c r="AG385" s="229"/>
      <c r="AH385" s="20"/>
      <c r="AI385" s="229"/>
      <c r="AJ385" s="20"/>
      <c r="AK385" s="229"/>
      <c r="AL385" s="20"/>
      <c r="AM385" s="229"/>
      <c r="AN385" s="20"/>
      <c r="AO385" s="229">
        <v>1</v>
      </c>
      <c r="AP385" s="20">
        <v>1</v>
      </c>
      <c r="AQ385" s="229"/>
      <c r="AR385" s="20"/>
      <c r="AS385" s="229"/>
      <c r="AT385" s="20"/>
      <c r="AU385" s="229"/>
      <c r="AV385" s="20"/>
      <c r="AW385" s="229"/>
      <c r="AX385" s="20"/>
      <c r="AY385" s="229"/>
      <c r="AZ385" s="20"/>
      <c r="BA385" s="229"/>
      <c r="BB385" s="20"/>
      <c r="BC385" s="229">
        <f t="shared" si="114"/>
        <v>1</v>
      </c>
      <c r="BD385" s="48">
        <f t="shared" si="107"/>
        <v>1</v>
      </c>
      <c r="BE385" s="19">
        <v>2</v>
      </c>
      <c r="BF385" s="229">
        <f>AB385+BC385</f>
        <v>1</v>
      </c>
      <c r="BG385" s="210">
        <f t="shared" si="108"/>
        <v>1</v>
      </c>
      <c r="BH385" s="210">
        <f t="shared" si="115"/>
        <v>2</v>
      </c>
      <c r="BI385" s="213">
        <f t="shared" si="112"/>
        <v>50</v>
      </c>
      <c r="BJ385" s="141"/>
      <c r="BK385" s="201"/>
      <c r="BL385" s="198"/>
      <c r="BM385" s="198"/>
    </row>
    <row r="386" spans="1:65" s="17" customFormat="1" ht="15.95" customHeight="1">
      <c r="A386" s="123">
        <v>272</v>
      </c>
      <c r="B386" s="9" t="s">
        <v>449</v>
      </c>
      <c r="C386" s="11" t="s">
        <v>450</v>
      </c>
      <c r="D386" s="229"/>
      <c r="E386" s="13"/>
      <c r="F386" s="229"/>
      <c r="G386" s="13"/>
      <c r="H386" s="229"/>
      <c r="I386" s="13"/>
      <c r="J386" s="229"/>
      <c r="K386" s="13"/>
      <c r="L386" s="229"/>
      <c r="M386" s="13"/>
      <c r="N386" s="229"/>
      <c r="O386" s="13"/>
      <c r="P386" s="229"/>
      <c r="Q386" s="13"/>
      <c r="R386" s="229"/>
      <c r="S386" s="13"/>
      <c r="T386" s="229"/>
      <c r="U386" s="13"/>
      <c r="V386" s="229"/>
      <c r="W386" s="13"/>
      <c r="X386" s="229"/>
      <c r="Y386" s="13"/>
      <c r="Z386" s="229"/>
      <c r="AA386" s="13"/>
      <c r="AB386" s="229">
        <f t="shared" si="113"/>
        <v>0</v>
      </c>
      <c r="AC386" s="228">
        <f t="shared" si="106"/>
        <v>0</v>
      </c>
      <c r="AD386" s="21">
        <v>0</v>
      </c>
      <c r="AE386" s="229"/>
      <c r="AF386" s="20"/>
      <c r="AG386" s="229"/>
      <c r="AH386" s="20"/>
      <c r="AI386" s="229"/>
      <c r="AJ386" s="20"/>
      <c r="AK386" s="229"/>
      <c r="AL386" s="20"/>
      <c r="AM386" s="229"/>
      <c r="AN386" s="20"/>
      <c r="AO386" s="229">
        <v>1</v>
      </c>
      <c r="AP386" s="20">
        <v>1</v>
      </c>
      <c r="AQ386" s="229"/>
      <c r="AR386" s="20"/>
      <c r="AS386" s="229"/>
      <c r="AT386" s="20"/>
      <c r="AU386" s="229"/>
      <c r="AV386" s="20"/>
      <c r="AW386" s="229"/>
      <c r="AX386" s="20"/>
      <c r="AY386" s="229"/>
      <c r="AZ386" s="20"/>
      <c r="BA386" s="229"/>
      <c r="BB386" s="20"/>
      <c r="BC386" s="229">
        <f t="shared" si="114"/>
        <v>1</v>
      </c>
      <c r="BD386" s="48">
        <f t="shared" si="107"/>
        <v>1</v>
      </c>
      <c r="BE386" s="19">
        <v>0</v>
      </c>
      <c r="BF386" s="229"/>
      <c r="BG386" s="210">
        <f t="shared" si="108"/>
        <v>1</v>
      </c>
      <c r="BH386" s="210">
        <f t="shared" si="115"/>
        <v>0</v>
      </c>
      <c r="BI386" s="213" t="e">
        <f t="shared" si="112"/>
        <v>#DIV/0!</v>
      </c>
      <c r="BJ386" s="141"/>
      <c r="BK386" s="201"/>
      <c r="BL386" s="198"/>
      <c r="BM386" s="198"/>
    </row>
    <row r="387" spans="1:65" s="17" customFormat="1" ht="15.95" customHeight="1">
      <c r="A387" s="123">
        <v>273</v>
      </c>
      <c r="B387" s="9" t="s">
        <v>7</v>
      </c>
      <c r="C387" s="11" t="s">
        <v>8</v>
      </c>
      <c r="D387" s="229"/>
      <c r="E387" s="13"/>
      <c r="F387" s="229"/>
      <c r="G387" s="13"/>
      <c r="H387" s="229">
        <v>1</v>
      </c>
      <c r="I387" s="13">
        <v>1</v>
      </c>
      <c r="J387" s="229"/>
      <c r="K387" s="13"/>
      <c r="L387" s="229"/>
      <c r="M387" s="13"/>
      <c r="N387" s="229"/>
      <c r="O387" s="13"/>
      <c r="P387" s="229"/>
      <c r="Q387" s="13"/>
      <c r="R387" s="229"/>
      <c r="S387" s="13"/>
      <c r="T387" s="229"/>
      <c r="U387" s="13"/>
      <c r="V387" s="229"/>
      <c r="W387" s="13"/>
      <c r="X387" s="229"/>
      <c r="Y387" s="13"/>
      <c r="Z387" s="229"/>
      <c r="AA387" s="13"/>
      <c r="AB387" s="229">
        <f t="shared" si="113"/>
        <v>1</v>
      </c>
      <c r="AC387" s="228">
        <f t="shared" si="106"/>
        <v>1</v>
      </c>
      <c r="AD387" s="21">
        <v>0</v>
      </c>
      <c r="AE387" s="229"/>
      <c r="AF387" s="20"/>
      <c r="AG387" s="229"/>
      <c r="AH387" s="20"/>
      <c r="AI387" s="229"/>
      <c r="AJ387" s="20"/>
      <c r="AK387" s="229"/>
      <c r="AL387" s="20"/>
      <c r="AM387" s="229"/>
      <c r="AN387" s="20"/>
      <c r="AO387" s="229"/>
      <c r="AP387" s="20"/>
      <c r="AQ387" s="229"/>
      <c r="AR387" s="20"/>
      <c r="AS387" s="229"/>
      <c r="AT387" s="20"/>
      <c r="AU387" s="229"/>
      <c r="AV387" s="20">
        <v>1</v>
      </c>
      <c r="AW387" s="229"/>
      <c r="AX387" s="20"/>
      <c r="AY387" s="229"/>
      <c r="AZ387" s="20"/>
      <c r="BA387" s="229"/>
      <c r="BB387" s="20"/>
      <c r="BC387" s="229">
        <f t="shared" si="114"/>
        <v>0</v>
      </c>
      <c r="BD387" s="48">
        <f t="shared" si="107"/>
        <v>1</v>
      </c>
      <c r="BE387" s="19">
        <v>0</v>
      </c>
      <c r="BF387" s="229">
        <f t="shared" ref="BF387:BF402" si="116">AB387+BC387</f>
        <v>1</v>
      </c>
      <c r="BG387" s="210">
        <f t="shared" si="108"/>
        <v>2</v>
      </c>
      <c r="BH387" s="210">
        <f t="shared" si="115"/>
        <v>0</v>
      </c>
      <c r="BI387" s="213" t="e">
        <f t="shared" si="112"/>
        <v>#DIV/0!</v>
      </c>
      <c r="BJ387" s="141"/>
      <c r="BK387" s="201"/>
      <c r="BL387" s="198"/>
      <c r="BM387" s="198"/>
    </row>
    <row r="388" spans="1:65" s="17" customFormat="1" ht="15.95" customHeight="1">
      <c r="A388" s="123">
        <v>274</v>
      </c>
      <c r="B388" s="9" t="s">
        <v>2385</v>
      </c>
      <c r="C388" s="15" t="s">
        <v>2386</v>
      </c>
      <c r="D388" s="229"/>
      <c r="E388" s="13"/>
      <c r="F388" s="229"/>
      <c r="G388" s="13"/>
      <c r="H388" s="229"/>
      <c r="I388" s="13"/>
      <c r="J388" s="229"/>
      <c r="K388" s="13"/>
      <c r="L388" s="229"/>
      <c r="M388" s="13"/>
      <c r="N388" s="229"/>
      <c r="O388" s="13"/>
      <c r="P388" s="229"/>
      <c r="Q388" s="13"/>
      <c r="R388" s="229"/>
      <c r="S388" s="13"/>
      <c r="T388" s="229"/>
      <c r="U388" s="13"/>
      <c r="V388" s="229"/>
      <c r="W388" s="13"/>
      <c r="X388" s="229"/>
      <c r="Y388" s="13"/>
      <c r="Z388" s="229"/>
      <c r="AA388" s="13"/>
      <c r="AB388" s="229">
        <f t="shared" si="113"/>
        <v>0</v>
      </c>
      <c r="AC388" s="228">
        <f t="shared" si="106"/>
        <v>0</v>
      </c>
      <c r="AD388" s="21">
        <v>0</v>
      </c>
      <c r="AE388" s="229"/>
      <c r="AF388" s="20"/>
      <c r="AG388" s="229"/>
      <c r="AH388" s="20"/>
      <c r="AI388" s="229"/>
      <c r="AJ388" s="20"/>
      <c r="AK388" s="229"/>
      <c r="AL388" s="20"/>
      <c r="AM388" s="229"/>
      <c r="AN388" s="20"/>
      <c r="AO388" s="229"/>
      <c r="AP388" s="20"/>
      <c r="AQ388" s="229"/>
      <c r="AR388" s="20"/>
      <c r="AS388" s="229"/>
      <c r="AT388" s="20"/>
      <c r="AU388" s="229"/>
      <c r="AV388" s="20"/>
      <c r="AW388" s="229"/>
      <c r="AX388" s="20"/>
      <c r="AY388" s="229"/>
      <c r="AZ388" s="20"/>
      <c r="BA388" s="229"/>
      <c r="BB388" s="20">
        <v>1</v>
      </c>
      <c r="BC388" s="229">
        <f t="shared" si="114"/>
        <v>0</v>
      </c>
      <c r="BD388" s="48">
        <f t="shared" si="107"/>
        <v>1</v>
      </c>
      <c r="BE388" s="19">
        <v>2</v>
      </c>
      <c r="BF388" s="229">
        <f t="shared" si="116"/>
        <v>0</v>
      </c>
      <c r="BG388" s="210">
        <f t="shared" si="108"/>
        <v>1</v>
      </c>
      <c r="BH388" s="210">
        <f t="shared" si="115"/>
        <v>2</v>
      </c>
      <c r="BI388" s="213">
        <f t="shared" si="112"/>
        <v>50</v>
      </c>
      <c r="BJ388" s="141"/>
      <c r="BK388" s="201"/>
      <c r="BL388" s="198"/>
      <c r="BM388" s="198"/>
    </row>
    <row r="389" spans="1:65" s="17" customFormat="1" ht="15.95" customHeight="1">
      <c r="A389" s="123">
        <v>275</v>
      </c>
      <c r="B389" s="9" t="s">
        <v>2665</v>
      </c>
      <c r="C389" s="11" t="s">
        <v>2666</v>
      </c>
      <c r="D389" s="229"/>
      <c r="E389" s="13"/>
      <c r="F389" s="229"/>
      <c r="G389" s="13"/>
      <c r="H389" s="229"/>
      <c r="I389" s="13"/>
      <c r="J389" s="229"/>
      <c r="K389" s="13"/>
      <c r="L389" s="229"/>
      <c r="M389" s="13"/>
      <c r="N389" s="229"/>
      <c r="O389" s="13"/>
      <c r="P389" s="229"/>
      <c r="Q389" s="13"/>
      <c r="R389" s="229"/>
      <c r="S389" s="13"/>
      <c r="T389" s="229"/>
      <c r="U389" s="13"/>
      <c r="V389" s="229"/>
      <c r="W389" s="13"/>
      <c r="X389" s="229"/>
      <c r="Y389" s="13"/>
      <c r="Z389" s="229"/>
      <c r="AA389" s="13"/>
      <c r="AB389" s="229">
        <f t="shared" si="113"/>
        <v>0</v>
      </c>
      <c r="AC389" s="228">
        <f t="shared" si="106"/>
        <v>0</v>
      </c>
      <c r="AD389" s="21">
        <v>0</v>
      </c>
      <c r="AE389" s="229"/>
      <c r="AF389" s="20"/>
      <c r="AG389" s="229"/>
      <c r="AH389" s="20"/>
      <c r="AI389" s="229"/>
      <c r="AJ389" s="20"/>
      <c r="AK389" s="229"/>
      <c r="AL389" s="20"/>
      <c r="AM389" s="229"/>
      <c r="AN389" s="20"/>
      <c r="AO389" s="229"/>
      <c r="AP389" s="20"/>
      <c r="AQ389" s="229"/>
      <c r="AR389" s="20"/>
      <c r="AS389" s="229"/>
      <c r="AT389" s="20"/>
      <c r="AU389" s="229"/>
      <c r="AV389" s="20"/>
      <c r="AW389" s="229"/>
      <c r="AX389" s="20"/>
      <c r="AY389" s="229"/>
      <c r="AZ389" s="20"/>
      <c r="BA389" s="229"/>
      <c r="BB389" s="20"/>
      <c r="BC389" s="229">
        <f t="shared" si="114"/>
        <v>0</v>
      </c>
      <c r="BD389" s="48">
        <f t="shared" si="107"/>
        <v>0</v>
      </c>
      <c r="BE389" s="19">
        <v>4</v>
      </c>
      <c r="BF389" s="229">
        <f t="shared" si="116"/>
        <v>0</v>
      </c>
      <c r="BG389" s="210">
        <f t="shared" si="108"/>
        <v>0</v>
      </c>
      <c r="BH389" s="210">
        <f t="shared" si="115"/>
        <v>4</v>
      </c>
      <c r="BI389" s="213">
        <f t="shared" si="112"/>
        <v>0</v>
      </c>
      <c r="BJ389" s="141"/>
      <c r="BK389" s="201"/>
      <c r="BL389" s="198"/>
      <c r="BM389" s="198"/>
    </row>
    <row r="390" spans="1:65" s="17" customFormat="1" ht="15.95" customHeight="1">
      <c r="A390" s="123">
        <v>276</v>
      </c>
      <c r="B390" s="9" t="s">
        <v>243</v>
      </c>
      <c r="C390" s="11" t="s">
        <v>244</v>
      </c>
      <c r="D390" s="229"/>
      <c r="E390" s="13"/>
      <c r="F390" s="229"/>
      <c r="G390" s="13"/>
      <c r="H390" s="229">
        <v>2</v>
      </c>
      <c r="I390" s="13">
        <v>2</v>
      </c>
      <c r="J390" s="229"/>
      <c r="K390" s="13"/>
      <c r="L390" s="229"/>
      <c r="M390" s="13"/>
      <c r="N390" s="229"/>
      <c r="O390" s="13"/>
      <c r="P390" s="229"/>
      <c r="Q390" s="13"/>
      <c r="R390" s="229"/>
      <c r="S390" s="13"/>
      <c r="T390" s="229"/>
      <c r="U390" s="13">
        <v>1</v>
      </c>
      <c r="V390" s="229"/>
      <c r="W390" s="13"/>
      <c r="X390" s="229"/>
      <c r="Y390" s="13"/>
      <c r="Z390" s="229"/>
      <c r="AA390" s="13"/>
      <c r="AB390" s="229">
        <f t="shared" si="113"/>
        <v>2</v>
      </c>
      <c r="AC390" s="228">
        <f t="shared" si="106"/>
        <v>3</v>
      </c>
      <c r="AD390" s="21">
        <v>7</v>
      </c>
      <c r="AE390" s="229"/>
      <c r="AF390" s="20"/>
      <c r="AG390" s="229"/>
      <c r="AH390" s="20"/>
      <c r="AI390" s="229">
        <f>18+1</f>
        <v>19</v>
      </c>
      <c r="AJ390" s="20">
        <f>19+1</f>
        <v>20</v>
      </c>
      <c r="AK390" s="229"/>
      <c r="AL390" s="20"/>
      <c r="AM390" s="229"/>
      <c r="AN390" s="20"/>
      <c r="AO390" s="229">
        <v>17</v>
      </c>
      <c r="AP390" s="20">
        <v>17</v>
      </c>
      <c r="AQ390" s="229"/>
      <c r="AR390" s="20"/>
      <c r="AS390" s="229"/>
      <c r="AT390" s="20"/>
      <c r="AU390" s="229"/>
      <c r="AV390" s="20">
        <v>14</v>
      </c>
      <c r="AW390" s="229"/>
      <c r="AX390" s="20"/>
      <c r="AY390" s="229"/>
      <c r="AZ390" s="20"/>
      <c r="BA390" s="229"/>
      <c r="BB390" s="20">
        <v>17</v>
      </c>
      <c r="BC390" s="229">
        <f t="shared" si="114"/>
        <v>36</v>
      </c>
      <c r="BD390" s="48">
        <f t="shared" si="107"/>
        <v>68</v>
      </c>
      <c r="BE390" s="19">
        <v>80</v>
      </c>
      <c r="BF390" s="229">
        <f t="shared" si="116"/>
        <v>38</v>
      </c>
      <c r="BG390" s="210">
        <f t="shared" si="108"/>
        <v>71</v>
      </c>
      <c r="BH390" s="210">
        <f t="shared" si="115"/>
        <v>87</v>
      </c>
      <c r="BI390" s="213">
        <f t="shared" si="112"/>
        <v>81.609195402298852</v>
      </c>
      <c r="BJ390" s="141"/>
      <c r="BK390" s="201"/>
      <c r="BL390" s="198"/>
      <c r="BM390" s="198"/>
    </row>
    <row r="391" spans="1:65" s="17" customFormat="1" ht="15.95" customHeight="1">
      <c r="A391" s="123">
        <v>277</v>
      </c>
      <c r="B391" s="9" t="s">
        <v>245</v>
      </c>
      <c r="C391" s="11" t="s">
        <v>246</v>
      </c>
      <c r="D391" s="229"/>
      <c r="E391" s="13"/>
      <c r="F391" s="229"/>
      <c r="G391" s="13"/>
      <c r="H391" s="229"/>
      <c r="I391" s="13"/>
      <c r="J391" s="229"/>
      <c r="K391" s="13"/>
      <c r="L391" s="229"/>
      <c r="M391" s="13"/>
      <c r="N391" s="229"/>
      <c r="O391" s="13"/>
      <c r="P391" s="229"/>
      <c r="Q391" s="13"/>
      <c r="R391" s="229"/>
      <c r="S391" s="13"/>
      <c r="T391" s="229"/>
      <c r="U391" s="13"/>
      <c r="V391" s="229"/>
      <c r="W391" s="13"/>
      <c r="X391" s="229"/>
      <c r="Y391" s="13"/>
      <c r="Z391" s="229"/>
      <c r="AA391" s="13"/>
      <c r="AB391" s="229">
        <f t="shared" si="113"/>
        <v>0</v>
      </c>
      <c r="AC391" s="228">
        <f t="shared" si="106"/>
        <v>0</v>
      </c>
      <c r="AD391" s="21">
        <v>0</v>
      </c>
      <c r="AE391" s="229"/>
      <c r="AF391" s="20"/>
      <c r="AG391" s="229"/>
      <c r="AH391" s="20"/>
      <c r="AI391" s="229"/>
      <c r="AJ391" s="20"/>
      <c r="AK391" s="229"/>
      <c r="AL391" s="20"/>
      <c r="AM391" s="229"/>
      <c r="AN391" s="20"/>
      <c r="AO391" s="229"/>
      <c r="AP391" s="20"/>
      <c r="AQ391" s="229"/>
      <c r="AR391" s="20"/>
      <c r="AS391" s="229"/>
      <c r="AT391" s="20"/>
      <c r="AU391" s="229"/>
      <c r="AV391" s="20">
        <v>1</v>
      </c>
      <c r="AW391" s="229"/>
      <c r="AX391" s="20"/>
      <c r="AY391" s="229"/>
      <c r="AZ391" s="20"/>
      <c r="BA391" s="229"/>
      <c r="BB391" s="20"/>
      <c r="BC391" s="229">
        <f t="shared" si="114"/>
        <v>0</v>
      </c>
      <c r="BD391" s="48">
        <f t="shared" si="107"/>
        <v>1</v>
      </c>
      <c r="BE391" s="19">
        <v>18</v>
      </c>
      <c r="BF391" s="229">
        <f t="shared" si="116"/>
        <v>0</v>
      </c>
      <c r="BG391" s="210">
        <f t="shared" si="108"/>
        <v>1</v>
      </c>
      <c r="BH391" s="210">
        <f t="shared" si="115"/>
        <v>18</v>
      </c>
      <c r="BI391" s="213">
        <f t="shared" si="112"/>
        <v>5.5555555555555554</v>
      </c>
      <c r="BJ391" s="141"/>
      <c r="BK391" s="201"/>
      <c r="BL391" s="198"/>
      <c r="BM391" s="198"/>
    </row>
    <row r="392" spans="1:65" s="17" customFormat="1" ht="15.95" customHeight="1">
      <c r="A392" s="123">
        <v>278</v>
      </c>
      <c r="B392" s="9" t="s">
        <v>247</v>
      </c>
      <c r="C392" s="11" t="s">
        <v>248</v>
      </c>
      <c r="D392" s="229"/>
      <c r="E392" s="13"/>
      <c r="F392" s="229"/>
      <c r="G392" s="13"/>
      <c r="H392" s="229"/>
      <c r="I392" s="13"/>
      <c r="J392" s="229"/>
      <c r="K392" s="13"/>
      <c r="L392" s="229"/>
      <c r="M392" s="13"/>
      <c r="N392" s="229"/>
      <c r="O392" s="13"/>
      <c r="P392" s="229"/>
      <c r="Q392" s="13"/>
      <c r="R392" s="229"/>
      <c r="S392" s="13"/>
      <c r="T392" s="229"/>
      <c r="U392" s="13"/>
      <c r="V392" s="229"/>
      <c r="W392" s="13"/>
      <c r="X392" s="229"/>
      <c r="Y392" s="13"/>
      <c r="Z392" s="229"/>
      <c r="AA392" s="13"/>
      <c r="AB392" s="229">
        <f t="shared" si="113"/>
        <v>0</v>
      </c>
      <c r="AC392" s="228">
        <f t="shared" si="106"/>
        <v>0</v>
      </c>
      <c r="AD392" s="21">
        <v>0</v>
      </c>
      <c r="AE392" s="229"/>
      <c r="AF392" s="20"/>
      <c r="AG392" s="229"/>
      <c r="AH392" s="20"/>
      <c r="AI392" s="229">
        <v>6</v>
      </c>
      <c r="AJ392" s="20">
        <v>6</v>
      </c>
      <c r="AK392" s="229"/>
      <c r="AL392" s="20"/>
      <c r="AM392" s="229"/>
      <c r="AN392" s="20"/>
      <c r="AO392" s="229">
        <v>1</v>
      </c>
      <c r="AP392" s="20">
        <v>1</v>
      </c>
      <c r="AQ392" s="229"/>
      <c r="AR392" s="20"/>
      <c r="AS392" s="229"/>
      <c r="AT392" s="20"/>
      <c r="AU392" s="229"/>
      <c r="AV392" s="20">
        <v>1</v>
      </c>
      <c r="AW392" s="229"/>
      <c r="AX392" s="20"/>
      <c r="AY392" s="229"/>
      <c r="AZ392" s="20"/>
      <c r="BA392" s="229"/>
      <c r="BB392" s="20">
        <v>2</v>
      </c>
      <c r="BC392" s="229">
        <f t="shared" si="114"/>
        <v>7</v>
      </c>
      <c r="BD392" s="48">
        <f t="shared" si="107"/>
        <v>10</v>
      </c>
      <c r="BE392" s="19">
        <v>8</v>
      </c>
      <c r="BF392" s="229">
        <f t="shared" si="116"/>
        <v>7</v>
      </c>
      <c r="BG392" s="210">
        <f t="shared" si="108"/>
        <v>10</v>
      </c>
      <c r="BH392" s="210">
        <f t="shared" si="115"/>
        <v>8</v>
      </c>
      <c r="BI392" s="213">
        <f t="shared" si="112"/>
        <v>125</v>
      </c>
      <c r="BJ392" s="141"/>
      <c r="BK392" s="201"/>
      <c r="BL392" s="198"/>
      <c r="BM392" s="198"/>
    </row>
    <row r="393" spans="1:65" s="17" customFormat="1" ht="15.95" customHeight="1">
      <c r="A393" s="123">
        <v>279</v>
      </c>
      <c r="B393" s="9" t="s">
        <v>249</v>
      </c>
      <c r="C393" s="11" t="s">
        <v>250</v>
      </c>
      <c r="D393" s="229"/>
      <c r="E393" s="13"/>
      <c r="F393" s="229"/>
      <c r="G393" s="13"/>
      <c r="H393" s="229"/>
      <c r="I393" s="13"/>
      <c r="J393" s="229"/>
      <c r="K393" s="13"/>
      <c r="L393" s="229"/>
      <c r="M393" s="13"/>
      <c r="N393" s="229"/>
      <c r="O393" s="13"/>
      <c r="P393" s="229"/>
      <c r="Q393" s="13"/>
      <c r="R393" s="229"/>
      <c r="S393" s="13"/>
      <c r="T393" s="229"/>
      <c r="U393" s="13"/>
      <c r="V393" s="229"/>
      <c r="W393" s="13"/>
      <c r="X393" s="229"/>
      <c r="Y393" s="13"/>
      <c r="Z393" s="229"/>
      <c r="AA393" s="13"/>
      <c r="AB393" s="229">
        <f t="shared" si="113"/>
        <v>0</v>
      </c>
      <c r="AC393" s="228">
        <f t="shared" si="106"/>
        <v>0</v>
      </c>
      <c r="AD393" s="21">
        <v>0</v>
      </c>
      <c r="AE393" s="229"/>
      <c r="AF393" s="20"/>
      <c r="AG393" s="229"/>
      <c r="AH393" s="20"/>
      <c r="AI393" s="229">
        <v>18</v>
      </c>
      <c r="AJ393" s="20">
        <v>19</v>
      </c>
      <c r="AK393" s="229"/>
      <c r="AL393" s="20"/>
      <c r="AM393" s="229"/>
      <c r="AN393" s="20"/>
      <c r="AO393" s="229">
        <v>20</v>
      </c>
      <c r="AP393" s="20">
        <v>21</v>
      </c>
      <c r="AQ393" s="229"/>
      <c r="AR393" s="20"/>
      <c r="AS393" s="229"/>
      <c r="AT393" s="20"/>
      <c r="AU393" s="229"/>
      <c r="AV393" s="20">
        <v>15</v>
      </c>
      <c r="AW393" s="229"/>
      <c r="AX393" s="20"/>
      <c r="AY393" s="229"/>
      <c r="AZ393" s="20"/>
      <c r="BA393" s="229"/>
      <c r="BB393" s="20">
        <v>14</v>
      </c>
      <c r="BC393" s="229">
        <f t="shared" si="114"/>
        <v>38</v>
      </c>
      <c r="BD393" s="48">
        <f t="shared" si="107"/>
        <v>69</v>
      </c>
      <c r="BE393" s="19">
        <v>88</v>
      </c>
      <c r="BF393" s="229">
        <f t="shared" si="116"/>
        <v>38</v>
      </c>
      <c r="BG393" s="210">
        <f t="shared" si="108"/>
        <v>69</v>
      </c>
      <c r="BH393" s="210">
        <f t="shared" si="115"/>
        <v>88</v>
      </c>
      <c r="BI393" s="213">
        <f t="shared" si="112"/>
        <v>78.409090909090907</v>
      </c>
      <c r="BJ393" s="141"/>
      <c r="BK393" s="201"/>
      <c r="BL393" s="198"/>
      <c r="BM393" s="198"/>
    </row>
    <row r="394" spans="1:65" s="17" customFormat="1" ht="15.95" customHeight="1">
      <c r="A394" s="123">
        <v>280</v>
      </c>
      <c r="B394" s="9" t="s">
        <v>1460</v>
      </c>
      <c r="C394" s="11" t="s">
        <v>1461</v>
      </c>
      <c r="D394" s="229"/>
      <c r="E394" s="13"/>
      <c r="F394" s="229"/>
      <c r="G394" s="13"/>
      <c r="H394" s="229"/>
      <c r="I394" s="13"/>
      <c r="J394" s="229"/>
      <c r="K394" s="13"/>
      <c r="L394" s="229"/>
      <c r="M394" s="13"/>
      <c r="N394" s="229"/>
      <c r="O394" s="13"/>
      <c r="P394" s="229"/>
      <c r="Q394" s="13"/>
      <c r="R394" s="229"/>
      <c r="S394" s="13"/>
      <c r="T394" s="229"/>
      <c r="U394" s="13"/>
      <c r="V394" s="229"/>
      <c r="W394" s="13"/>
      <c r="X394" s="229"/>
      <c r="Y394" s="13"/>
      <c r="Z394" s="229"/>
      <c r="AA394" s="13"/>
      <c r="AB394" s="229">
        <f t="shared" si="113"/>
        <v>0</v>
      </c>
      <c r="AC394" s="228">
        <f t="shared" si="106"/>
        <v>0</v>
      </c>
      <c r="AD394" s="21">
        <v>0</v>
      </c>
      <c r="AE394" s="229"/>
      <c r="AF394" s="20"/>
      <c r="AG394" s="229"/>
      <c r="AH394" s="20"/>
      <c r="AI394" s="229"/>
      <c r="AJ394" s="20"/>
      <c r="AK394" s="229"/>
      <c r="AL394" s="20"/>
      <c r="AM394" s="229"/>
      <c r="AN394" s="20"/>
      <c r="AO394" s="229"/>
      <c r="AP394" s="20"/>
      <c r="AQ394" s="229"/>
      <c r="AR394" s="20"/>
      <c r="AS394" s="229"/>
      <c r="AT394" s="20"/>
      <c r="AU394" s="229"/>
      <c r="AV394" s="20"/>
      <c r="AW394" s="229"/>
      <c r="AX394" s="20"/>
      <c r="AY394" s="229"/>
      <c r="AZ394" s="20"/>
      <c r="BA394" s="229"/>
      <c r="BB394" s="20"/>
      <c r="BC394" s="229">
        <f t="shared" si="114"/>
        <v>0</v>
      </c>
      <c r="BD394" s="48">
        <f t="shared" si="107"/>
        <v>0</v>
      </c>
      <c r="BE394" s="19">
        <v>1</v>
      </c>
      <c r="BF394" s="229">
        <f t="shared" si="116"/>
        <v>0</v>
      </c>
      <c r="BG394" s="210">
        <f t="shared" si="108"/>
        <v>0</v>
      </c>
      <c r="BH394" s="210">
        <f t="shared" si="115"/>
        <v>1</v>
      </c>
      <c r="BI394" s="213">
        <f t="shared" si="112"/>
        <v>0</v>
      </c>
      <c r="BJ394" s="141"/>
      <c r="BK394" s="201"/>
      <c r="BL394" s="198"/>
      <c r="BM394" s="198"/>
    </row>
    <row r="395" spans="1:65" s="17" customFormat="1" ht="15.95" customHeight="1">
      <c r="A395" s="123">
        <v>281</v>
      </c>
      <c r="B395" s="9" t="s">
        <v>251</v>
      </c>
      <c r="C395" s="11" t="s">
        <v>252</v>
      </c>
      <c r="D395" s="229"/>
      <c r="E395" s="13"/>
      <c r="F395" s="229"/>
      <c r="G395" s="13"/>
      <c r="H395" s="229"/>
      <c r="I395" s="13"/>
      <c r="J395" s="229"/>
      <c r="K395" s="13"/>
      <c r="L395" s="229"/>
      <c r="M395" s="13"/>
      <c r="N395" s="229"/>
      <c r="O395" s="13"/>
      <c r="P395" s="229"/>
      <c r="Q395" s="13"/>
      <c r="R395" s="229"/>
      <c r="S395" s="13"/>
      <c r="T395" s="229"/>
      <c r="U395" s="13"/>
      <c r="V395" s="229"/>
      <c r="W395" s="13"/>
      <c r="X395" s="229"/>
      <c r="Y395" s="13"/>
      <c r="Z395" s="229"/>
      <c r="AA395" s="13"/>
      <c r="AB395" s="229">
        <f t="shared" si="113"/>
        <v>0</v>
      </c>
      <c r="AC395" s="228">
        <f t="shared" si="106"/>
        <v>0</v>
      </c>
      <c r="AD395" s="21">
        <v>0</v>
      </c>
      <c r="AE395" s="229"/>
      <c r="AF395" s="20"/>
      <c r="AG395" s="229"/>
      <c r="AH395" s="20"/>
      <c r="AI395" s="229">
        <v>2</v>
      </c>
      <c r="AJ395" s="20">
        <v>2</v>
      </c>
      <c r="AK395" s="229"/>
      <c r="AL395" s="20"/>
      <c r="AM395" s="229"/>
      <c r="AN395" s="20"/>
      <c r="AO395" s="229">
        <v>1</v>
      </c>
      <c r="AP395" s="20">
        <v>1</v>
      </c>
      <c r="AQ395" s="229"/>
      <c r="AR395" s="20"/>
      <c r="AS395" s="229"/>
      <c r="AT395" s="20"/>
      <c r="AU395" s="229"/>
      <c r="AV395" s="20">
        <v>1</v>
      </c>
      <c r="AW395" s="229"/>
      <c r="AX395" s="20"/>
      <c r="AY395" s="229"/>
      <c r="AZ395" s="20"/>
      <c r="BA395" s="229"/>
      <c r="BB395" s="20">
        <v>2</v>
      </c>
      <c r="BC395" s="229">
        <f t="shared" si="114"/>
        <v>3</v>
      </c>
      <c r="BD395" s="48">
        <f t="shared" si="107"/>
        <v>6</v>
      </c>
      <c r="BE395" s="19">
        <v>13</v>
      </c>
      <c r="BF395" s="229">
        <f t="shared" si="116"/>
        <v>3</v>
      </c>
      <c r="BG395" s="210">
        <f t="shared" si="108"/>
        <v>6</v>
      </c>
      <c r="BH395" s="210">
        <f t="shared" si="115"/>
        <v>13</v>
      </c>
      <c r="BI395" s="213">
        <f t="shared" si="112"/>
        <v>46.153846153846153</v>
      </c>
      <c r="BJ395" s="141"/>
      <c r="BK395" s="201"/>
      <c r="BL395" s="198"/>
      <c r="BM395" s="198"/>
    </row>
    <row r="396" spans="1:65" s="17" customFormat="1" ht="15.95" customHeight="1">
      <c r="A396" s="123">
        <v>282</v>
      </c>
      <c r="B396" s="9" t="s">
        <v>253</v>
      </c>
      <c r="C396" s="11" t="s">
        <v>254</v>
      </c>
      <c r="D396" s="229"/>
      <c r="E396" s="13"/>
      <c r="F396" s="229"/>
      <c r="G396" s="13"/>
      <c r="H396" s="229"/>
      <c r="I396" s="13"/>
      <c r="J396" s="229"/>
      <c r="K396" s="13"/>
      <c r="L396" s="229"/>
      <c r="M396" s="13"/>
      <c r="N396" s="229"/>
      <c r="O396" s="13"/>
      <c r="P396" s="229"/>
      <c r="Q396" s="13"/>
      <c r="R396" s="229"/>
      <c r="S396" s="13"/>
      <c r="T396" s="229"/>
      <c r="U396" s="13"/>
      <c r="V396" s="229"/>
      <c r="W396" s="13"/>
      <c r="X396" s="229"/>
      <c r="Y396" s="13"/>
      <c r="Z396" s="229"/>
      <c r="AA396" s="13"/>
      <c r="AB396" s="229">
        <f t="shared" si="113"/>
        <v>0</v>
      </c>
      <c r="AC396" s="228">
        <f t="shared" si="106"/>
        <v>0</v>
      </c>
      <c r="AD396" s="21">
        <v>0</v>
      </c>
      <c r="AE396" s="229"/>
      <c r="AF396" s="20"/>
      <c r="AG396" s="229"/>
      <c r="AH396" s="20"/>
      <c r="AI396" s="229">
        <v>4</v>
      </c>
      <c r="AJ396" s="20">
        <v>4</v>
      </c>
      <c r="AK396" s="229"/>
      <c r="AL396" s="20"/>
      <c r="AM396" s="229"/>
      <c r="AN396" s="20"/>
      <c r="AO396" s="229">
        <v>4</v>
      </c>
      <c r="AP396" s="20">
        <v>4</v>
      </c>
      <c r="AQ396" s="229"/>
      <c r="AR396" s="20"/>
      <c r="AS396" s="229"/>
      <c r="AT396" s="20"/>
      <c r="AU396" s="229"/>
      <c r="AV396" s="20">
        <v>1</v>
      </c>
      <c r="AW396" s="229"/>
      <c r="AX396" s="20"/>
      <c r="AY396" s="229"/>
      <c r="AZ396" s="20"/>
      <c r="BA396" s="229"/>
      <c r="BB396" s="20">
        <v>2</v>
      </c>
      <c r="BC396" s="229">
        <f t="shared" si="114"/>
        <v>8</v>
      </c>
      <c r="BD396" s="48">
        <f t="shared" si="107"/>
        <v>11</v>
      </c>
      <c r="BE396" s="19">
        <v>6</v>
      </c>
      <c r="BF396" s="229">
        <f t="shared" si="116"/>
        <v>8</v>
      </c>
      <c r="BG396" s="210">
        <f t="shared" si="108"/>
        <v>11</v>
      </c>
      <c r="BH396" s="210">
        <f t="shared" si="115"/>
        <v>6</v>
      </c>
      <c r="BI396" s="213">
        <f t="shared" si="112"/>
        <v>183.33333333333331</v>
      </c>
      <c r="BJ396" s="141"/>
      <c r="BK396" s="201"/>
      <c r="BL396" s="198"/>
      <c r="BM396" s="198"/>
    </row>
    <row r="397" spans="1:65" s="17" customFormat="1" ht="15.95" customHeight="1">
      <c r="A397" s="123">
        <v>283</v>
      </c>
      <c r="B397" s="9" t="s">
        <v>460</v>
      </c>
      <c r="C397" s="11" t="s">
        <v>2824</v>
      </c>
      <c r="D397" s="229"/>
      <c r="E397" s="13"/>
      <c r="F397" s="229"/>
      <c r="G397" s="13"/>
      <c r="H397" s="229"/>
      <c r="I397" s="13"/>
      <c r="J397" s="229"/>
      <c r="K397" s="13"/>
      <c r="L397" s="229"/>
      <c r="M397" s="13"/>
      <c r="N397" s="229"/>
      <c r="O397" s="13"/>
      <c r="P397" s="229"/>
      <c r="Q397" s="13"/>
      <c r="R397" s="229"/>
      <c r="S397" s="13"/>
      <c r="T397" s="229"/>
      <c r="U397" s="13"/>
      <c r="V397" s="229"/>
      <c r="W397" s="13"/>
      <c r="X397" s="229"/>
      <c r="Y397" s="13"/>
      <c r="Z397" s="229"/>
      <c r="AA397" s="13"/>
      <c r="AB397" s="229">
        <f t="shared" si="113"/>
        <v>0</v>
      </c>
      <c r="AC397" s="228">
        <f t="shared" si="106"/>
        <v>0</v>
      </c>
      <c r="AD397" s="21">
        <v>0</v>
      </c>
      <c r="AE397" s="229"/>
      <c r="AF397" s="20"/>
      <c r="AG397" s="229"/>
      <c r="AH397" s="20"/>
      <c r="AI397" s="229">
        <v>1</v>
      </c>
      <c r="AJ397" s="20">
        <v>1</v>
      </c>
      <c r="AK397" s="229"/>
      <c r="AL397" s="20"/>
      <c r="AM397" s="229"/>
      <c r="AN397" s="20"/>
      <c r="AO397" s="229"/>
      <c r="AP397" s="20"/>
      <c r="AQ397" s="229"/>
      <c r="AR397" s="20"/>
      <c r="AS397" s="229"/>
      <c r="AT397" s="20"/>
      <c r="AU397" s="229"/>
      <c r="AV397" s="20"/>
      <c r="AW397" s="229"/>
      <c r="AX397" s="20"/>
      <c r="AY397" s="229"/>
      <c r="AZ397" s="20"/>
      <c r="BA397" s="229"/>
      <c r="BB397" s="20"/>
      <c r="BC397" s="229">
        <f t="shared" si="114"/>
        <v>1</v>
      </c>
      <c r="BD397" s="48">
        <f t="shared" si="107"/>
        <v>1</v>
      </c>
      <c r="BE397" s="19">
        <v>0</v>
      </c>
      <c r="BF397" s="229">
        <f t="shared" si="116"/>
        <v>1</v>
      </c>
      <c r="BG397" s="210">
        <f t="shared" si="108"/>
        <v>1</v>
      </c>
      <c r="BH397" s="210">
        <f t="shared" si="115"/>
        <v>0</v>
      </c>
      <c r="BI397" s="213" t="e">
        <f t="shared" si="112"/>
        <v>#DIV/0!</v>
      </c>
      <c r="BJ397" s="141"/>
      <c r="BK397" s="201"/>
      <c r="BL397" s="198"/>
      <c r="BM397" s="198"/>
    </row>
    <row r="398" spans="1:65" s="17" customFormat="1" ht="15.95" customHeight="1">
      <c r="A398" s="123">
        <v>284</v>
      </c>
      <c r="B398" s="9" t="s">
        <v>1757</v>
      </c>
      <c r="C398" s="11" t="s">
        <v>1758</v>
      </c>
      <c r="D398" s="229"/>
      <c r="E398" s="13"/>
      <c r="F398" s="229"/>
      <c r="G398" s="13"/>
      <c r="H398" s="229"/>
      <c r="I398" s="13"/>
      <c r="J398" s="229"/>
      <c r="K398" s="13"/>
      <c r="L398" s="229"/>
      <c r="M398" s="13"/>
      <c r="N398" s="229"/>
      <c r="O398" s="13"/>
      <c r="P398" s="229"/>
      <c r="Q398" s="13"/>
      <c r="R398" s="229"/>
      <c r="S398" s="13"/>
      <c r="T398" s="229"/>
      <c r="U398" s="13"/>
      <c r="V398" s="229"/>
      <c r="W398" s="13"/>
      <c r="X398" s="229"/>
      <c r="Y398" s="13"/>
      <c r="Z398" s="229"/>
      <c r="AA398" s="13"/>
      <c r="AB398" s="229">
        <f t="shared" si="113"/>
        <v>0</v>
      </c>
      <c r="AC398" s="228">
        <f t="shared" si="106"/>
        <v>0</v>
      </c>
      <c r="AD398" s="21">
        <v>0</v>
      </c>
      <c r="AE398" s="229"/>
      <c r="AF398" s="20"/>
      <c r="AG398" s="229"/>
      <c r="AH398" s="20"/>
      <c r="AI398" s="229"/>
      <c r="AJ398" s="20"/>
      <c r="AK398" s="229"/>
      <c r="AL398" s="20"/>
      <c r="AM398" s="229"/>
      <c r="AN398" s="20"/>
      <c r="AO398" s="229"/>
      <c r="AP398" s="20"/>
      <c r="AQ398" s="229"/>
      <c r="AR398" s="20"/>
      <c r="AS398" s="229"/>
      <c r="AT398" s="20"/>
      <c r="AU398" s="229"/>
      <c r="AV398" s="20"/>
      <c r="AW398" s="229"/>
      <c r="AX398" s="20"/>
      <c r="AY398" s="229"/>
      <c r="AZ398" s="20"/>
      <c r="BA398" s="229"/>
      <c r="BB398" s="20"/>
      <c r="BC398" s="229">
        <f t="shared" si="114"/>
        <v>0</v>
      </c>
      <c r="BD398" s="48">
        <f t="shared" si="107"/>
        <v>0</v>
      </c>
      <c r="BE398" s="19">
        <v>3</v>
      </c>
      <c r="BF398" s="229">
        <f t="shared" si="116"/>
        <v>0</v>
      </c>
      <c r="BG398" s="210">
        <f t="shared" si="108"/>
        <v>0</v>
      </c>
      <c r="BH398" s="210">
        <f t="shared" si="115"/>
        <v>3</v>
      </c>
      <c r="BI398" s="213">
        <f t="shared" si="112"/>
        <v>0</v>
      </c>
      <c r="BJ398" s="141"/>
      <c r="BK398" s="201"/>
      <c r="BL398" s="198"/>
      <c r="BM398" s="198"/>
    </row>
    <row r="399" spans="1:65" s="17" customFormat="1" ht="15.95" customHeight="1">
      <c r="A399" s="123">
        <v>285</v>
      </c>
      <c r="B399" s="9" t="s">
        <v>255</v>
      </c>
      <c r="C399" s="11" t="s">
        <v>256</v>
      </c>
      <c r="D399" s="229"/>
      <c r="E399" s="13"/>
      <c r="F399" s="229"/>
      <c r="G399" s="13"/>
      <c r="H399" s="229"/>
      <c r="I399" s="13"/>
      <c r="J399" s="229"/>
      <c r="K399" s="13"/>
      <c r="L399" s="229"/>
      <c r="M399" s="13"/>
      <c r="N399" s="229"/>
      <c r="O399" s="13"/>
      <c r="P399" s="229"/>
      <c r="Q399" s="13"/>
      <c r="R399" s="229"/>
      <c r="S399" s="13"/>
      <c r="T399" s="229"/>
      <c r="U399" s="13"/>
      <c r="V399" s="229"/>
      <c r="W399" s="13"/>
      <c r="X399" s="229"/>
      <c r="Y399" s="13"/>
      <c r="Z399" s="229"/>
      <c r="AA399" s="13"/>
      <c r="AB399" s="229">
        <f t="shared" si="113"/>
        <v>0</v>
      </c>
      <c r="AC399" s="228">
        <f t="shared" si="106"/>
        <v>0</v>
      </c>
      <c r="AD399" s="21">
        <v>2</v>
      </c>
      <c r="AE399" s="229"/>
      <c r="AF399" s="20"/>
      <c r="AG399" s="229"/>
      <c r="AH399" s="20"/>
      <c r="AI399" s="229">
        <v>1</v>
      </c>
      <c r="AJ399" s="20">
        <v>1</v>
      </c>
      <c r="AK399" s="229"/>
      <c r="AL399" s="20"/>
      <c r="AM399" s="229"/>
      <c r="AN399" s="20"/>
      <c r="AO399" s="229">
        <v>1</v>
      </c>
      <c r="AP399" s="20">
        <v>1</v>
      </c>
      <c r="AQ399" s="229"/>
      <c r="AR399" s="20"/>
      <c r="AS399" s="229"/>
      <c r="AT399" s="20"/>
      <c r="AU399" s="229"/>
      <c r="AV399" s="20">
        <v>2</v>
      </c>
      <c r="AW399" s="229"/>
      <c r="AX399" s="20"/>
      <c r="AY399" s="229"/>
      <c r="AZ399" s="20"/>
      <c r="BA399" s="229"/>
      <c r="BB399" s="20">
        <v>1</v>
      </c>
      <c r="BC399" s="229">
        <f t="shared" si="114"/>
        <v>2</v>
      </c>
      <c r="BD399" s="48">
        <f t="shared" si="107"/>
        <v>5</v>
      </c>
      <c r="BE399" s="19">
        <v>9</v>
      </c>
      <c r="BF399" s="229">
        <f t="shared" si="116"/>
        <v>2</v>
      </c>
      <c r="BG399" s="210">
        <f t="shared" si="108"/>
        <v>5</v>
      </c>
      <c r="BH399" s="210">
        <f t="shared" si="115"/>
        <v>11</v>
      </c>
      <c r="BI399" s="213">
        <f t="shared" si="112"/>
        <v>45.454545454545453</v>
      </c>
      <c r="BJ399" s="141"/>
      <c r="BK399" s="201"/>
      <c r="BL399" s="198"/>
      <c r="BM399" s="198"/>
    </row>
    <row r="400" spans="1:65" s="17" customFormat="1" ht="15.95" customHeight="1">
      <c r="A400" s="123">
        <v>286</v>
      </c>
      <c r="B400" s="9" t="s">
        <v>2201</v>
      </c>
      <c r="C400" s="11" t="s">
        <v>2202</v>
      </c>
      <c r="D400" s="229"/>
      <c r="E400" s="13"/>
      <c r="F400" s="229"/>
      <c r="G400" s="13"/>
      <c r="H400" s="229"/>
      <c r="I400" s="13"/>
      <c r="J400" s="229"/>
      <c r="K400" s="13"/>
      <c r="L400" s="229"/>
      <c r="M400" s="13"/>
      <c r="N400" s="229"/>
      <c r="O400" s="13"/>
      <c r="P400" s="229"/>
      <c r="Q400" s="13"/>
      <c r="R400" s="229"/>
      <c r="S400" s="13"/>
      <c r="T400" s="229"/>
      <c r="U400" s="13"/>
      <c r="V400" s="229"/>
      <c r="W400" s="13"/>
      <c r="X400" s="229"/>
      <c r="Y400" s="13"/>
      <c r="Z400" s="229"/>
      <c r="AA400" s="13"/>
      <c r="AB400" s="229">
        <f t="shared" si="113"/>
        <v>0</v>
      </c>
      <c r="AC400" s="228">
        <f t="shared" si="106"/>
        <v>0</v>
      </c>
      <c r="AD400" s="21">
        <v>0</v>
      </c>
      <c r="AE400" s="229"/>
      <c r="AF400" s="20"/>
      <c r="AG400" s="229"/>
      <c r="AH400" s="20"/>
      <c r="AI400" s="229"/>
      <c r="AJ400" s="20"/>
      <c r="AK400" s="229"/>
      <c r="AL400" s="20"/>
      <c r="AM400" s="229"/>
      <c r="AN400" s="20"/>
      <c r="AO400" s="229"/>
      <c r="AP400" s="20"/>
      <c r="AQ400" s="229"/>
      <c r="AR400" s="20"/>
      <c r="AS400" s="229"/>
      <c r="AT400" s="20"/>
      <c r="AU400" s="229"/>
      <c r="AV400" s="20"/>
      <c r="AW400" s="229"/>
      <c r="AX400" s="20"/>
      <c r="AY400" s="229"/>
      <c r="AZ400" s="20"/>
      <c r="BA400" s="229"/>
      <c r="BB400" s="20"/>
      <c r="BC400" s="229">
        <f t="shared" si="114"/>
        <v>0</v>
      </c>
      <c r="BD400" s="48">
        <f t="shared" si="107"/>
        <v>0</v>
      </c>
      <c r="BE400" s="19">
        <v>4</v>
      </c>
      <c r="BF400" s="229">
        <f t="shared" si="116"/>
        <v>0</v>
      </c>
      <c r="BG400" s="210">
        <f t="shared" si="108"/>
        <v>0</v>
      </c>
      <c r="BH400" s="210">
        <f t="shared" si="115"/>
        <v>4</v>
      </c>
      <c r="BI400" s="213">
        <f t="shared" si="112"/>
        <v>0</v>
      </c>
      <c r="BJ400" s="141"/>
      <c r="BK400" s="201"/>
      <c r="BL400" s="198"/>
      <c r="BM400" s="198"/>
    </row>
    <row r="401" spans="1:65" s="17" customFormat="1" ht="15.95" customHeight="1">
      <c r="A401" s="123">
        <v>287</v>
      </c>
      <c r="B401" s="9" t="s">
        <v>1717</v>
      </c>
      <c r="C401" s="11" t="s">
        <v>1718</v>
      </c>
      <c r="D401" s="229"/>
      <c r="E401" s="13"/>
      <c r="F401" s="229"/>
      <c r="G401" s="13"/>
      <c r="H401" s="229"/>
      <c r="I401" s="13"/>
      <c r="J401" s="229"/>
      <c r="K401" s="13"/>
      <c r="L401" s="229"/>
      <c r="M401" s="13"/>
      <c r="N401" s="229"/>
      <c r="O401" s="13"/>
      <c r="P401" s="229"/>
      <c r="Q401" s="13"/>
      <c r="R401" s="229"/>
      <c r="S401" s="13"/>
      <c r="T401" s="229"/>
      <c r="U401" s="13"/>
      <c r="V401" s="229"/>
      <c r="W401" s="13"/>
      <c r="X401" s="229"/>
      <c r="Y401" s="13"/>
      <c r="Z401" s="229"/>
      <c r="AA401" s="13"/>
      <c r="AB401" s="229">
        <f t="shared" si="113"/>
        <v>0</v>
      </c>
      <c r="AC401" s="228">
        <f t="shared" si="106"/>
        <v>0</v>
      </c>
      <c r="AD401" s="21">
        <v>0</v>
      </c>
      <c r="AE401" s="229"/>
      <c r="AF401" s="20"/>
      <c r="AG401" s="229"/>
      <c r="AH401" s="20"/>
      <c r="AI401" s="229"/>
      <c r="AJ401" s="20"/>
      <c r="AK401" s="229"/>
      <c r="AL401" s="20"/>
      <c r="AM401" s="229"/>
      <c r="AN401" s="20"/>
      <c r="AO401" s="229"/>
      <c r="AP401" s="20"/>
      <c r="AQ401" s="229"/>
      <c r="AR401" s="20"/>
      <c r="AS401" s="229"/>
      <c r="AT401" s="20"/>
      <c r="AU401" s="229"/>
      <c r="AV401" s="20"/>
      <c r="AW401" s="229"/>
      <c r="AX401" s="20"/>
      <c r="AY401" s="229"/>
      <c r="AZ401" s="20"/>
      <c r="BA401" s="229"/>
      <c r="BB401" s="20">
        <v>1</v>
      </c>
      <c r="BC401" s="229">
        <f t="shared" si="114"/>
        <v>0</v>
      </c>
      <c r="BD401" s="48">
        <f t="shared" si="107"/>
        <v>1</v>
      </c>
      <c r="BE401" s="19">
        <v>2</v>
      </c>
      <c r="BF401" s="229">
        <f t="shared" si="116"/>
        <v>0</v>
      </c>
      <c r="BG401" s="210">
        <f t="shared" si="108"/>
        <v>1</v>
      </c>
      <c r="BH401" s="210">
        <f t="shared" si="115"/>
        <v>2</v>
      </c>
      <c r="BI401" s="213">
        <f t="shared" si="112"/>
        <v>50</v>
      </c>
      <c r="BJ401" s="141"/>
      <c r="BK401" s="201"/>
      <c r="BL401" s="198"/>
      <c r="BM401" s="198"/>
    </row>
    <row r="402" spans="1:65" s="17" customFormat="1" ht="15.95" customHeight="1">
      <c r="A402" s="123">
        <v>288</v>
      </c>
      <c r="B402" s="9" t="s">
        <v>1662</v>
      </c>
      <c r="C402" s="11" t="s">
        <v>1663</v>
      </c>
      <c r="D402" s="229"/>
      <c r="E402" s="13"/>
      <c r="F402" s="229"/>
      <c r="G402" s="13"/>
      <c r="H402" s="229"/>
      <c r="I402" s="13"/>
      <c r="J402" s="229"/>
      <c r="K402" s="13"/>
      <c r="L402" s="229"/>
      <c r="M402" s="13"/>
      <c r="N402" s="229"/>
      <c r="O402" s="13"/>
      <c r="P402" s="229"/>
      <c r="Q402" s="13"/>
      <c r="R402" s="229"/>
      <c r="S402" s="13"/>
      <c r="T402" s="229"/>
      <c r="U402" s="13"/>
      <c r="V402" s="229"/>
      <c r="W402" s="13"/>
      <c r="X402" s="229"/>
      <c r="Y402" s="13"/>
      <c r="Z402" s="229"/>
      <c r="AA402" s="13"/>
      <c r="AB402" s="229">
        <f t="shared" si="113"/>
        <v>0</v>
      </c>
      <c r="AC402" s="228">
        <f t="shared" si="106"/>
        <v>0</v>
      </c>
      <c r="AD402" s="21">
        <v>0</v>
      </c>
      <c r="AE402" s="229"/>
      <c r="AF402" s="20"/>
      <c r="AG402" s="229"/>
      <c r="AH402" s="20"/>
      <c r="AI402" s="229"/>
      <c r="AJ402" s="20"/>
      <c r="AK402" s="229"/>
      <c r="AL402" s="20"/>
      <c r="AM402" s="229"/>
      <c r="AN402" s="20"/>
      <c r="AO402" s="229"/>
      <c r="AP402" s="20"/>
      <c r="AQ402" s="229"/>
      <c r="AR402" s="20"/>
      <c r="AS402" s="229"/>
      <c r="AT402" s="20"/>
      <c r="AU402" s="229"/>
      <c r="AV402" s="20"/>
      <c r="AW402" s="229"/>
      <c r="AX402" s="20"/>
      <c r="AY402" s="229"/>
      <c r="AZ402" s="20"/>
      <c r="BA402" s="229"/>
      <c r="BB402" s="20"/>
      <c r="BC402" s="229">
        <f t="shared" si="114"/>
        <v>0</v>
      </c>
      <c r="BD402" s="48">
        <f t="shared" si="107"/>
        <v>0</v>
      </c>
      <c r="BE402" s="19">
        <v>1</v>
      </c>
      <c r="BF402" s="229">
        <f t="shared" si="116"/>
        <v>0</v>
      </c>
      <c r="BG402" s="210">
        <f t="shared" si="108"/>
        <v>0</v>
      </c>
      <c r="BH402" s="210">
        <f t="shared" si="115"/>
        <v>1</v>
      </c>
      <c r="BI402" s="213">
        <f t="shared" si="112"/>
        <v>0</v>
      </c>
      <c r="BJ402" s="141"/>
      <c r="BK402" s="201"/>
      <c r="BL402" s="198"/>
      <c r="BM402" s="198"/>
    </row>
    <row r="403" spans="1:65" s="17" customFormat="1" ht="23.25" customHeight="1">
      <c r="A403" s="123">
        <v>289</v>
      </c>
      <c r="B403" s="9" t="s">
        <v>362</v>
      </c>
      <c r="C403" s="10" t="s">
        <v>2100</v>
      </c>
      <c r="D403" s="229"/>
      <c r="E403" s="13"/>
      <c r="F403" s="229"/>
      <c r="G403" s="13"/>
      <c r="H403" s="229"/>
      <c r="I403" s="13"/>
      <c r="J403" s="229"/>
      <c r="K403" s="13"/>
      <c r="L403" s="229"/>
      <c r="M403" s="13"/>
      <c r="N403" s="229"/>
      <c r="O403" s="13"/>
      <c r="P403" s="229"/>
      <c r="Q403" s="13"/>
      <c r="R403" s="229"/>
      <c r="S403" s="13"/>
      <c r="T403" s="229"/>
      <c r="U403" s="13"/>
      <c r="V403" s="229"/>
      <c r="W403" s="13"/>
      <c r="X403" s="229"/>
      <c r="Y403" s="13"/>
      <c r="Z403" s="229"/>
      <c r="AA403" s="13"/>
      <c r="AB403" s="229">
        <f t="shared" si="113"/>
        <v>0</v>
      </c>
      <c r="AC403" s="228">
        <f t="shared" ref="AC403:AC445" si="117">E403+G403+I403+K403+M403+O403+Q403+S403+U403+W403+Y403+AA403</f>
        <v>0</v>
      </c>
      <c r="AD403" s="21">
        <v>0</v>
      </c>
      <c r="AE403" s="229"/>
      <c r="AF403" s="20"/>
      <c r="AG403" s="229"/>
      <c r="AH403" s="20"/>
      <c r="AI403" s="229"/>
      <c r="AJ403" s="20"/>
      <c r="AK403" s="229"/>
      <c r="AL403" s="20"/>
      <c r="AM403" s="229"/>
      <c r="AN403" s="20"/>
      <c r="AO403" s="229">
        <v>2</v>
      </c>
      <c r="AP403" s="20">
        <v>2</v>
      </c>
      <c r="AQ403" s="229"/>
      <c r="AR403" s="20"/>
      <c r="AS403" s="229"/>
      <c r="AT403" s="20"/>
      <c r="AU403" s="229"/>
      <c r="AV403" s="20"/>
      <c r="AW403" s="229"/>
      <c r="AX403" s="20"/>
      <c r="AY403" s="229"/>
      <c r="AZ403" s="20"/>
      <c r="BA403" s="229"/>
      <c r="BB403" s="20"/>
      <c r="BC403" s="229">
        <f t="shared" si="114"/>
        <v>2</v>
      </c>
      <c r="BD403" s="48">
        <f t="shared" ref="BD403:BD445" si="118">AF403+AH403+AJ403+AL403+AN403+AP403+AR403+AT403+AV403+AX403+AZ403+BB403</f>
        <v>2</v>
      </c>
      <c r="BE403" s="19">
        <v>0</v>
      </c>
      <c r="BF403" s="229"/>
      <c r="BG403" s="210">
        <f t="shared" ref="BG403:BG445" si="119">AC403+BD403</f>
        <v>2</v>
      </c>
      <c r="BH403" s="210">
        <f t="shared" si="115"/>
        <v>0</v>
      </c>
      <c r="BI403" s="213" t="e">
        <f t="shared" si="112"/>
        <v>#DIV/0!</v>
      </c>
      <c r="BJ403" s="141"/>
      <c r="BK403" s="201"/>
      <c r="BL403" s="198"/>
      <c r="BM403" s="198"/>
    </row>
    <row r="404" spans="1:65" s="17" customFormat="1" ht="15.95" customHeight="1">
      <c r="A404" s="123">
        <v>290</v>
      </c>
      <c r="B404" s="9" t="s">
        <v>271</v>
      </c>
      <c r="C404" s="11" t="s">
        <v>3042</v>
      </c>
      <c r="D404" s="229"/>
      <c r="E404" s="13"/>
      <c r="F404" s="229"/>
      <c r="G404" s="13"/>
      <c r="H404" s="229"/>
      <c r="I404" s="13"/>
      <c r="J404" s="229"/>
      <c r="K404" s="13"/>
      <c r="L404" s="229"/>
      <c r="M404" s="13"/>
      <c r="N404" s="229"/>
      <c r="O404" s="13"/>
      <c r="P404" s="229"/>
      <c r="Q404" s="13"/>
      <c r="R404" s="229"/>
      <c r="S404" s="13"/>
      <c r="T404" s="229"/>
      <c r="U404" s="13"/>
      <c r="V404" s="229"/>
      <c r="W404" s="13"/>
      <c r="X404" s="229"/>
      <c r="Y404" s="13"/>
      <c r="Z404" s="229"/>
      <c r="AA404" s="13"/>
      <c r="AB404" s="229">
        <f t="shared" si="113"/>
        <v>0</v>
      </c>
      <c r="AC404" s="228">
        <f t="shared" si="117"/>
        <v>0</v>
      </c>
      <c r="AD404" s="21">
        <v>0</v>
      </c>
      <c r="AE404" s="229"/>
      <c r="AF404" s="20"/>
      <c r="AG404" s="229"/>
      <c r="AH404" s="20"/>
      <c r="AI404" s="229"/>
      <c r="AJ404" s="20"/>
      <c r="AK404" s="229"/>
      <c r="AL404" s="20"/>
      <c r="AM404" s="229"/>
      <c r="AN404" s="20"/>
      <c r="AO404" s="229">
        <v>1</v>
      </c>
      <c r="AP404" s="20">
        <v>1</v>
      </c>
      <c r="AQ404" s="229"/>
      <c r="AR404" s="20"/>
      <c r="AS404" s="229"/>
      <c r="AT404" s="20"/>
      <c r="AU404" s="229"/>
      <c r="AV404" s="20"/>
      <c r="AW404" s="229"/>
      <c r="AX404" s="20"/>
      <c r="AY404" s="229"/>
      <c r="AZ404" s="20"/>
      <c r="BA404" s="229"/>
      <c r="BB404" s="20"/>
      <c r="BC404" s="229">
        <f t="shared" si="114"/>
        <v>1</v>
      </c>
      <c r="BD404" s="48">
        <f t="shared" si="118"/>
        <v>1</v>
      </c>
      <c r="BE404" s="19">
        <v>0</v>
      </c>
      <c r="BF404" s="229"/>
      <c r="BG404" s="210">
        <f t="shared" si="119"/>
        <v>1</v>
      </c>
      <c r="BH404" s="210">
        <f t="shared" si="115"/>
        <v>0</v>
      </c>
      <c r="BI404" s="213" t="e">
        <f t="shared" si="112"/>
        <v>#DIV/0!</v>
      </c>
      <c r="BJ404" s="141"/>
      <c r="BK404" s="201"/>
      <c r="BL404" s="198"/>
      <c r="BM404" s="198"/>
    </row>
    <row r="405" spans="1:65" s="17" customFormat="1" ht="15.95" customHeight="1">
      <c r="A405" s="123">
        <v>291</v>
      </c>
      <c r="B405" s="9" t="s">
        <v>2053</v>
      </c>
      <c r="C405" s="11" t="s">
        <v>2054</v>
      </c>
      <c r="D405" s="229"/>
      <c r="E405" s="13"/>
      <c r="F405" s="229"/>
      <c r="G405" s="13"/>
      <c r="H405" s="229">
        <v>1</v>
      </c>
      <c r="I405" s="13">
        <v>1</v>
      </c>
      <c r="J405" s="229"/>
      <c r="K405" s="13"/>
      <c r="L405" s="229"/>
      <c r="M405" s="13"/>
      <c r="N405" s="229"/>
      <c r="O405" s="13"/>
      <c r="P405" s="229"/>
      <c r="Q405" s="13"/>
      <c r="R405" s="229"/>
      <c r="S405" s="13"/>
      <c r="T405" s="229"/>
      <c r="U405" s="13"/>
      <c r="V405" s="229"/>
      <c r="W405" s="13"/>
      <c r="X405" s="229"/>
      <c r="Y405" s="13"/>
      <c r="Z405" s="229"/>
      <c r="AA405" s="13"/>
      <c r="AB405" s="229">
        <f t="shared" si="113"/>
        <v>1</v>
      </c>
      <c r="AC405" s="228">
        <f t="shared" si="117"/>
        <v>1</v>
      </c>
      <c r="AD405" s="19">
        <v>3</v>
      </c>
      <c r="AE405" s="229"/>
      <c r="AF405" s="20"/>
      <c r="AG405" s="229"/>
      <c r="AH405" s="20"/>
      <c r="AI405" s="229"/>
      <c r="AJ405" s="20"/>
      <c r="AK405" s="229"/>
      <c r="AL405" s="20"/>
      <c r="AM405" s="229"/>
      <c r="AN405" s="20"/>
      <c r="AO405" s="229"/>
      <c r="AP405" s="20"/>
      <c r="AQ405" s="229"/>
      <c r="AR405" s="20"/>
      <c r="AS405" s="229"/>
      <c r="AT405" s="20"/>
      <c r="AU405" s="229"/>
      <c r="AV405" s="20"/>
      <c r="AW405" s="229"/>
      <c r="AX405" s="20"/>
      <c r="AY405" s="229"/>
      <c r="AZ405" s="20"/>
      <c r="BA405" s="229"/>
      <c r="BB405" s="20"/>
      <c r="BC405" s="229">
        <f t="shared" si="114"/>
        <v>0</v>
      </c>
      <c r="BD405" s="48">
        <f t="shared" si="118"/>
        <v>0</v>
      </c>
      <c r="BE405" s="19">
        <v>3</v>
      </c>
      <c r="BF405" s="229">
        <f t="shared" ref="BF405:BF410" si="120">AB405+BC405</f>
        <v>1</v>
      </c>
      <c r="BG405" s="210">
        <f t="shared" si="119"/>
        <v>1</v>
      </c>
      <c r="BH405" s="210">
        <f t="shared" si="115"/>
        <v>6</v>
      </c>
      <c r="BI405" s="213">
        <f t="shared" si="112"/>
        <v>16.666666666666664</v>
      </c>
      <c r="BJ405" s="141"/>
      <c r="BK405" s="201"/>
      <c r="BL405" s="198"/>
      <c r="BM405" s="198"/>
    </row>
    <row r="406" spans="1:65" s="17" customFormat="1" ht="15.95" customHeight="1">
      <c r="A406" s="123">
        <v>292</v>
      </c>
      <c r="B406" s="9" t="s">
        <v>257</v>
      </c>
      <c r="C406" s="11" t="s">
        <v>258</v>
      </c>
      <c r="D406" s="229"/>
      <c r="E406" s="13"/>
      <c r="F406" s="229"/>
      <c r="G406" s="13"/>
      <c r="H406" s="229"/>
      <c r="I406" s="13"/>
      <c r="J406" s="229"/>
      <c r="K406" s="13"/>
      <c r="L406" s="229"/>
      <c r="M406" s="13"/>
      <c r="N406" s="229"/>
      <c r="O406" s="13"/>
      <c r="P406" s="229"/>
      <c r="Q406" s="13"/>
      <c r="R406" s="229"/>
      <c r="S406" s="13"/>
      <c r="T406" s="229"/>
      <c r="U406" s="13"/>
      <c r="V406" s="229"/>
      <c r="W406" s="13"/>
      <c r="X406" s="229"/>
      <c r="Y406" s="13"/>
      <c r="Z406" s="229"/>
      <c r="AA406" s="13"/>
      <c r="AB406" s="229">
        <f t="shared" si="113"/>
        <v>0</v>
      </c>
      <c r="AC406" s="228">
        <f t="shared" si="117"/>
        <v>0</v>
      </c>
      <c r="AD406" s="21">
        <v>0</v>
      </c>
      <c r="AE406" s="229"/>
      <c r="AF406" s="20"/>
      <c r="AG406" s="229"/>
      <c r="AH406" s="20"/>
      <c r="AI406" s="229"/>
      <c r="AJ406" s="20"/>
      <c r="AK406" s="229"/>
      <c r="AL406" s="20"/>
      <c r="AM406" s="229"/>
      <c r="AN406" s="20"/>
      <c r="AO406" s="229"/>
      <c r="AP406" s="20"/>
      <c r="AQ406" s="229"/>
      <c r="AR406" s="20"/>
      <c r="AS406" s="229"/>
      <c r="AT406" s="20"/>
      <c r="AU406" s="229"/>
      <c r="AV406" s="20"/>
      <c r="AW406" s="229"/>
      <c r="AX406" s="20"/>
      <c r="AY406" s="229"/>
      <c r="AZ406" s="20"/>
      <c r="BA406" s="229"/>
      <c r="BB406" s="20"/>
      <c r="BC406" s="229">
        <f t="shared" si="114"/>
        <v>0</v>
      </c>
      <c r="BD406" s="48">
        <f t="shared" si="118"/>
        <v>0</v>
      </c>
      <c r="BE406" s="19">
        <v>1</v>
      </c>
      <c r="BF406" s="229">
        <f t="shared" si="120"/>
        <v>0</v>
      </c>
      <c r="BG406" s="210">
        <f t="shared" si="119"/>
        <v>0</v>
      </c>
      <c r="BH406" s="210">
        <f t="shared" si="115"/>
        <v>1</v>
      </c>
      <c r="BI406" s="213">
        <f t="shared" si="112"/>
        <v>0</v>
      </c>
      <c r="BJ406" s="141"/>
      <c r="BK406" s="201"/>
      <c r="BL406" s="198"/>
      <c r="BM406" s="198"/>
    </row>
    <row r="407" spans="1:65" s="17" customFormat="1" ht="15.95" customHeight="1">
      <c r="A407" s="123">
        <v>293</v>
      </c>
      <c r="B407" s="9" t="s">
        <v>259</v>
      </c>
      <c r="C407" s="11" t="s">
        <v>2466</v>
      </c>
      <c r="D407" s="229"/>
      <c r="E407" s="13"/>
      <c r="F407" s="229"/>
      <c r="G407" s="13"/>
      <c r="H407" s="229">
        <v>2</v>
      </c>
      <c r="I407" s="13">
        <v>2</v>
      </c>
      <c r="J407" s="229"/>
      <c r="K407" s="13"/>
      <c r="L407" s="229"/>
      <c r="M407" s="13"/>
      <c r="N407" s="229"/>
      <c r="O407" s="13"/>
      <c r="P407" s="229"/>
      <c r="Q407" s="13"/>
      <c r="R407" s="229"/>
      <c r="S407" s="13"/>
      <c r="T407" s="229"/>
      <c r="U407" s="13"/>
      <c r="V407" s="229"/>
      <c r="W407" s="13"/>
      <c r="X407" s="229"/>
      <c r="Y407" s="13"/>
      <c r="Z407" s="229"/>
      <c r="AA407" s="13"/>
      <c r="AB407" s="229">
        <f t="shared" si="113"/>
        <v>2</v>
      </c>
      <c r="AC407" s="228">
        <f t="shared" si="117"/>
        <v>2</v>
      </c>
      <c r="AD407" s="21">
        <v>0</v>
      </c>
      <c r="AE407" s="229"/>
      <c r="AF407" s="20"/>
      <c r="AG407" s="229"/>
      <c r="AH407" s="20"/>
      <c r="AI407" s="229">
        <v>9</v>
      </c>
      <c r="AJ407" s="20">
        <v>9</v>
      </c>
      <c r="AK407" s="229"/>
      <c r="AL407" s="20"/>
      <c r="AM407" s="229"/>
      <c r="AN407" s="20"/>
      <c r="AO407" s="229">
        <v>9</v>
      </c>
      <c r="AP407" s="20">
        <v>9</v>
      </c>
      <c r="AQ407" s="229"/>
      <c r="AR407" s="20"/>
      <c r="AS407" s="229"/>
      <c r="AT407" s="20"/>
      <c r="AU407" s="229"/>
      <c r="AV407" s="20">
        <v>12</v>
      </c>
      <c r="AW407" s="229"/>
      <c r="AX407" s="20"/>
      <c r="AY407" s="229"/>
      <c r="AZ407" s="20"/>
      <c r="BA407" s="229"/>
      <c r="BB407" s="20">
        <v>10</v>
      </c>
      <c r="BC407" s="229">
        <f t="shared" si="114"/>
        <v>18</v>
      </c>
      <c r="BD407" s="48">
        <f t="shared" si="118"/>
        <v>40</v>
      </c>
      <c r="BE407" s="19">
        <v>48</v>
      </c>
      <c r="BF407" s="229">
        <f t="shared" si="120"/>
        <v>20</v>
      </c>
      <c r="BG407" s="210">
        <f t="shared" si="119"/>
        <v>42</v>
      </c>
      <c r="BH407" s="210">
        <f t="shared" si="115"/>
        <v>48</v>
      </c>
      <c r="BI407" s="213">
        <f t="shared" si="112"/>
        <v>87.5</v>
      </c>
      <c r="BJ407" s="141"/>
      <c r="BK407" s="201"/>
      <c r="BL407" s="198"/>
      <c r="BM407" s="198"/>
    </row>
    <row r="408" spans="1:65" s="17" customFormat="1" ht="15.95" customHeight="1">
      <c r="A408" s="123">
        <v>294</v>
      </c>
      <c r="B408" s="9" t="s">
        <v>260</v>
      </c>
      <c r="C408" s="11" t="s">
        <v>261</v>
      </c>
      <c r="D408" s="229"/>
      <c r="E408" s="13"/>
      <c r="F408" s="229"/>
      <c r="G408" s="13"/>
      <c r="H408" s="229"/>
      <c r="I408" s="13"/>
      <c r="J408" s="229"/>
      <c r="K408" s="13"/>
      <c r="L408" s="229"/>
      <c r="M408" s="13"/>
      <c r="N408" s="229"/>
      <c r="O408" s="13"/>
      <c r="P408" s="229"/>
      <c r="Q408" s="13"/>
      <c r="R408" s="229"/>
      <c r="S408" s="13"/>
      <c r="T408" s="229"/>
      <c r="U408" s="13">
        <v>2</v>
      </c>
      <c r="V408" s="229"/>
      <c r="W408" s="13"/>
      <c r="X408" s="229"/>
      <c r="Y408" s="13"/>
      <c r="Z408" s="229"/>
      <c r="AA408" s="13">
        <v>3</v>
      </c>
      <c r="AB408" s="229">
        <f t="shared" si="113"/>
        <v>0</v>
      </c>
      <c r="AC408" s="228">
        <f t="shared" si="117"/>
        <v>5</v>
      </c>
      <c r="AD408" s="19">
        <v>5</v>
      </c>
      <c r="AE408" s="229"/>
      <c r="AF408" s="20"/>
      <c r="AG408" s="229"/>
      <c r="AH408" s="20"/>
      <c r="AI408" s="229"/>
      <c r="AJ408" s="20"/>
      <c r="AK408" s="229"/>
      <c r="AL408" s="20"/>
      <c r="AM408" s="229"/>
      <c r="AN408" s="20"/>
      <c r="AO408" s="229"/>
      <c r="AP408" s="20"/>
      <c r="AQ408" s="229"/>
      <c r="AR408" s="20"/>
      <c r="AS408" s="229"/>
      <c r="AT408" s="20"/>
      <c r="AU408" s="229"/>
      <c r="AV408" s="20"/>
      <c r="AW408" s="229"/>
      <c r="AX408" s="20"/>
      <c r="AY408" s="229"/>
      <c r="AZ408" s="20"/>
      <c r="BA408" s="229"/>
      <c r="BB408" s="20"/>
      <c r="BC408" s="229">
        <f t="shared" si="114"/>
        <v>0</v>
      </c>
      <c r="BD408" s="48">
        <f t="shared" si="118"/>
        <v>0</v>
      </c>
      <c r="BE408" s="19">
        <v>3</v>
      </c>
      <c r="BF408" s="229">
        <f t="shared" si="120"/>
        <v>0</v>
      </c>
      <c r="BG408" s="210">
        <f t="shared" si="119"/>
        <v>5</v>
      </c>
      <c r="BH408" s="210">
        <f t="shared" si="115"/>
        <v>8</v>
      </c>
      <c r="BI408" s="213">
        <f t="shared" si="112"/>
        <v>62.5</v>
      </c>
      <c r="BJ408" s="141"/>
      <c r="BK408" s="201"/>
      <c r="BL408" s="198"/>
      <c r="BM408" s="198"/>
    </row>
    <row r="409" spans="1:65" s="17" customFormat="1" ht="15.95" customHeight="1">
      <c r="A409" s="123">
        <v>295</v>
      </c>
      <c r="B409" s="9" t="s">
        <v>1332</v>
      </c>
      <c r="C409" s="11" t="s">
        <v>1333</v>
      </c>
      <c r="D409" s="229"/>
      <c r="E409" s="13"/>
      <c r="F409" s="229"/>
      <c r="G409" s="13"/>
      <c r="H409" s="229"/>
      <c r="I409" s="13"/>
      <c r="J409" s="229"/>
      <c r="K409" s="13"/>
      <c r="L409" s="229"/>
      <c r="M409" s="13"/>
      <c r="N409" s="229"/>
      <c r="O409" s="13"/>
      <c r="P409" s="229"/>
      <c r="Q409" s="13"/>
      <c r="R409" s="229"/>
      <c r="S409" s="13"/>
      <c r="T409" s="229"/>
      <c r="U409" s="13"/>
      <c r="V409" s="229"/>
      <c r="W409" s="13"/>
      <c r="X409" s="229"/>
      <c r="Y409" s="13"/>
      <c r="Z409" s="229"/>
      <c r="AA409" s="13"/>
      <c r="AB409" s="229">
        <f t="shared" si="113"/>
        <v>0</v>
      </c>
      <c r="AC409" s="228">
        <f t="shared" si="117"/>
        <v>0</v>
      </c>
      <c r="AD409" s="21">
        <v>0</v>
      </c>
      <c r="AE409" s="229"/>
      <c r="AF409" s="20"/>
      <c r="AG409" s="229"/>
      <c r="AH409" s="20"/>
      <c r="AI409" s="229">
        <v>3</v>
      </c>
      <c r="AJ409" s="20">
        <v>3</v>
      </c>
      <c r="AK409" s="229"/>
      <c r="AL409" s="20"/>
      <c r="AM409" s="229"/>
      <c r="AN409" s="20"/>
      <c r="AO409" s="229">
        <v>1</v>
      </c>
      <c r="AP409" s="20">
        <v>1</v>
      </c>
      <c r="AQ409" s="229"/>
      <c r="AR409" s="20"/>
      <c r="AS409" s="229"/>
      <c r="AT409" s="20"/>
      <c r="AU409" s="229"/>
      <c r="AV409" s="20">
        <v>4</v>
      </c>
      <c r="AW409" s="229"/>
      <c r="AX409" s="20"/>
      <c r="AY409" s="229"/>
      <c r="AZ409" s="20"/>
      <c r="BA409" s="229"/>
      <c r="BB409" s="20">
        <v>2</v>
      </c>
      <c r="BC409" s="229">
        <f t="shared" si="114"/>
        <v>4</v>
      </c>
      <c r="BD409" s="48">
        <f t="shared" si="118"/>
        <v>10</v>
      </c>
      <c r="BE409" s="19">
        <v>2</v>
      </c>
      <c r="BF409" s="229">
        <f t="shared" si="120"/>
        <v>4</v>
      </c>
      <c r="BG409" s="210">
        <f t="shared" si="119"/>
        <v>10</v>
      </c>
      <c r="BH409" s="210">
        <f t="shared" si="115"/>
        <v>2</v>
      </c>
      <c r="BI409" s="213">
        <f t="shared" si="112"/>
        <v>500</v>
      </c>
      <c r="BJ409" s="141"/>
      <c r="BK409" s="201"/>
      <c r="BL409" s="198"/>
      <c r="BM409" s="198"/>
    </row>
    <row r="410" spans="1:65" s="17" customFormat="1" ht="15.95" customHeight="1">
      <c r="A410" s="123">
        <v>296</v>
      </c>
      <c r="B410" s="9" t="s">
        <v>1567</v>
      </c>
      <c r="C410" s="11" t="s">
        <v>1568</v>
      </c>
      <c r="D410" s="229"/>
      <c r="E410" s="13"/>
      <c r="F410" s="229"/>
      <c r="G410" s="13"/>
      <c r="H410" s="229"/>
      <c r="I410" s="13"/>
      <c r="J410" s="229"/>
      <c r="K410" s="13"/>
      <c r="L410" s="229"/>
      <c r="M410" s="13"/>
      <c r="N410" s="229"/>
      <c r="O410" s="13"/>
      <c r="P410" s="229"/>
      <c r="Q410" s="13"/>
      <c r="R410" s="229"/>
      <c r="S410" s="13"/>
      <c r="T410" s="229"/>
      <c r="U410" s="13"/>
      <c r="V410" s="229"/>
      <c r="W410" s="13"/>
      <c r="X410" s="229"/>
      <c r="Y410" s="13"/>
      <c r="Z410" s="229"/>
      <c r="AA410" s="13"/>
      <c r="AB410" s="229">
        <f t="shared" si="113"/>
        <v>0</v>
      </c>
      <c r="AC410" s="228">
        <f t="shared" si="117"/>
        <v>0</v>
      </c>
      <c r="AD410" s="21">
        <v>0</v>
      </c>
      <c r="AE410" s="229"/>
      <c r="AF410" s="20"/>
      <c r="AG410" s="229"/>
      <c r="AH410" s="20"/>
      <c r="AI410" s="229"/>
      <c r="AJ410" s="20"/>
      <c r="AK410" s="229"/>
      <c r="AL410" s="20"/>
      <c r="AM410" s="229"/>
      <c r="AN410" s="20"/>
      <c r="AO410" s="229"/>
      <c r="AP410" s="20"/>
      <c r="AQ410" s="229"/>
      <c r="AR410" s="20"/>
      <c r="AS410" s="229"/>
      <c r="AT410" s="20"/>
      <c r="AU410" s="229"/>
      <c r="AV410" s="20"/>
      <c r="AW410" s="229"/>
      <c r="AX410" s="20"/>
      <c r="AY410" s="229"/>
      <c r="AZ410" s="20"/>
      <c r="BA410" s="229"/>
      <c r="BB410" s="20"/>
      <c r="BC410" s="229">
        <f t="shared" si="114"/>
        <v>0</v>
      </c>
      <c r="BD410" s="48">
        <f t="shared" si="118"/>
        <v>0</v>
      </c>
      <c r="BE410" s="19">
        <v>2</v>
      </c>
      <c r="BF410" s="229">
        <f t="shared" si="120"/>
        <v>0</v>
      </c>
      <c r="BG410" s="210">
        <f t="shared" si="119"/>
        <v>0</v>
      </c>
      <c r="BH410" s="210">
        <f t="shared" si="115"/>
        <v>2</v>
      </c>
      <c r="BI410" s="213">
        <f t="shared" si="112"/>
        <v>0</v>
      </c>
      <c r="BJ410" s="141"/>
      <c r="BK410" s="201"/>
      <c r="BL410" s="198"/>
      <c r="BM410" s="198"/>
    </row>
    <row r="411" spans="1:65" s="17" customFormat="1" ht="15.95" customHeight="1">
      <c r="A411" s="123">
        <v>297</v>
      </c>
      <c r="B411" s="9" t="s">
        <v>374</v>
      </c>
      <c r="C411" s="11" t="s">
        <v>375</v>
      </c>
      <c r="D411" s="229"/>
      <c r="E411" s="13"/>
      <c r="F411" s="229"/>
      <c r="G411" s="13"/>
      <c r="H411" s="229"/>
      <c r="I411" s="13"/>
      <c r="J411" s="229"/>
      <c r="K411" s="13"/>
      <c r="L411" s="229"/>
      <c r="M411" s="13"/>
      <c r="N411" s="229"/>
      <c r="O411" s="13"/>
      <c r="P411" s="229"/>
      <c r="Q411" s="13"/>
      <c r="R411" s="229"/>
      <c r="S411" s="13"/>
      <c r="T411" s="229"/>
      <c r="U411" s="13"/>
      <c r="V411" s="229"/>
      <c r="W411" s="13"/>
      <c r="X411" s="229"/>
      <c r="Y411" s="13"/>
      <c r="Z411" s="229"/>
      <c r="AA411" s="13"/>
      <c r="AB411" s="229">
        <f t="shared" si="113"/>
        <v>0</v>
      </c>
      <c r="AC411" s="228">
        <f t="shared" si="117"/>
        <v>0</v>
      </c>
      <c r="AD411" s="21">
        <v>0</v>
      </c>
      <c r="AE411" s="229"/>
      <c r="AF411" s="20"/>
      <c r="AG411" s="229"/>
      <c r="AH411" s="20"/>
      <c r="AI411" s="229"/>
      <c r="AJ411" s="20"/>
      <c r="AK411" s="229"/>
      <c r="AL411" s="20"/>
      <c r="AM411" s="229"/>
      <c r="AN411" s="20"/>
      <c r="AO411" s="229">
        <v>1</v>
      </c>
      <c r="AP411" s="20">
        <v>1</v>
      </c>
      <c r="AQ411" s="229"/>
      <c r="AR411" s="20"/>
      <c r="AS411" s="229"/>
      <c r="AT411" s="20"/>
      <c r="AU411" s="229"/>
      <c r="AV411" s="20"/>
      <c r="AW411" s="229"/>
      <c r="AX411" s="20"/>
      <c r="AY411" s="229"/>
      <c r="AZ411" s="20"/>
      <c r="BA411" s="229"/>
      <c r="BB411" s="20"/>
      <c r="BC411" s="229">
        <f t="shared" si="114"/>
        <v>1</v>
      </c>
      <c r="BD411" s="48">
        <f t="shared" si="118"/>
        <v>1</v>
      </c>
      <c r="BE411" s="19">
        <v>0</v>
      </c>
      <c r="BF411" s="229"/>
      <c r="BG411" s="210">
        <f t="shared" si="119"/>
        <v>1</v>
      </c>
      <c r="BH411" s="210">
        <f t="shared" si="115"/>
        <v>0</v>
      </c>
      <c r="BI411" s="213" t="e">
        <f t="shared" si="112"/>
        <v>#DIV/0!</v>
      </c>
      <c r="BJ411" s="141"/>
      <c r="BK411" s="201"/>
      <c r="BL411" s="198"/>
      <c r="BM411" s="198"/>
    </row>
    <row r="412" spans="1:65" s="17" customFormat="1" ht="15.95" customHeight="1">
      <c r="A412" s="123">
        <v>298</v>
      </c>
      <c r="B412" s="9" t="s">
        <v>977</v>
      </c>
      <c r="C412" s="11" t="s">
        <v>1430</v>
      </c>
      <c r="D412" s="229"/>
      <c r="E412" s="13"/>
      <c r="F412" s="229"/>
      <c r="G412" s="13"/>
      <c r="H412" s="229"/>
      <c r="I412" s="13"/>
      <c r="J412" s="229"/>
      <c r="K412" s="13"/>
      <c r="L412" s="229"/>
      <c r="M412" s="13"/>
      <c r="N412" s="229"/>
      <c r="O412" s="13"/>
      <c r="P412" s="229"/>
      <c r="Q412" s="13"/>
      <c r="R412" s="229"/>
      <c r="S412" s="13"/>
      <c r="T412" s="229"/>
      <c r="U412" s="13"/>
      <c r="V412" s="229"/>
      <c r="W412" s="13"/>
      <c r="X412" s="229"/>
      <c r="Y412" s="13"/>
      <c r="Z412" s="229"/>
      <c r="AA412" s="13"/>
      <c r="AB412" s="229">
        <f t="shared" si="113"/>
        <v>0</v>
      </c>
      <c r="AC412" s="228">
        <f t="shared" si="117"/>
        <v>0</v>
      </c>
      <c r="AD412" s="21">
        <v>0</v>
      </c>
      <c r="AE412" s="229"/>
      <c r="AF412" s="20"/>
      <c r="AG412" s="229"/>
      <c r="AH412" s="20"/>
      <c r="AI412" s="229"/>
      <c r="AJ412" s="20"/>
      <c r="AK412" s="229"/>
      <c r="AL412" s="20"/>
      <c r="AM412" s="229"/>
      <c r="AN412" s="20"/>
      <c r="AO412" s="229"/>
      <c r="AP412" s="20"/>
      <c r="AQ412" s="229"/>
      <c r="AR412" s="20"/>
      <c r="AS412" s="229"/>
      <c r="AT412" s="20"/>
      <c r="AU412" s="229"/>
      <c r="AV412" s="20"/>
      <c r="AW412" s="229"/>
      <c r="AX412" s="20"/>
      <c r="AY412" s="229"/>
      <c r="AZ412" s="20"/>
      <c r="BA412" s="229"/>
      <c r="BB412" s="20"/>
      <c r="BC412" s="229">
        <f t="shared" si="114"/>
        <v>0</v>
      </c>
      <c r="BD412" s="48">
        <f t="shared" si="118"/>
        <v>0</v>
      </c>
      <c r="BE412" s="19">
        <v>7</v>
      </c>
      <c r="BF412" s="229">
        <f>AB412+BC412</f>
        <v>0</v>
      </c>
      <c r="BG412" s="210">
        <f t="shared" si="119"/>
        <v>0</v>
      </c>
      <c r="BH412" s="210">
        <f t="shared" si="115"/>
        <v>7</v>
      </c>
      <c r="BI412" s="213">
        <f t="shared" si="112"/>
        <v>0</v>
      </c>
      <c r="BJ412" s="141"/>
      <c r="BK412" s="201"/>
      <c r="BL412" s="198"/>
      <c r="BM412" s="198"/>
    </row>
    <row r="413" spans="1:65" s="17" customFormat="1" ht="22.5" customHeight="1">
      <c r="A413" s="123">
        <v>299</v>
      </c>
      <c r="B413" s="9" t="s">
        <v>978</v>
      </c>
      <c r="C413" s="10" t="s">
        <v>2821</v>
      </c>
      <c r="D413" s="229"/>
      <c r="E413" s="13"/>
      <c r="F413" s="229"/>
      <c r="G413" s="13"/>
      <c r="H413" s="229">
        <v>1</v>
      </c>
      <c r="I413" s="13">
        <v>1</v>
      </c>
      <c r="J413" s="229"/>
      <c r="K413" s="13"/>
      <c r="L413" s="229"/>
      <c r="M413" s="13"/>
      <c r="N413" s="229"/>
      <c r="O413" s="13"/>
      <c r="P413" s="229"/>
      <c r="Q413" s="13"/>
      <c r="R413" s="229"/>
      <c r="S413" s="13"/>
      <c r="T413" s="229"/>
      <c r="U413" s="13"/>
      <c r="V413" s="229"/>
      <c r="W413" s="13"/>
      <c r="X413" s="229"/>
      <c r="Y413" s="13"/>
      <c r="Z413" s="229"/>
      <c r="AA413" s="13"/>
      <c r="AB413" s="229">
        <f t="shared" si="113"/>
        <v>1</v>
      </c>
      <c r="AC413" s="228">
        <f t="shared" si="117"/>
        <v>1</v>
      </c>
      <c r="AD413" s="21">
        <v>0</v>
      </c>
      <c r="AE413" s="229"/>
      <c r="AF413" s="20"/>
      <c r="AG413" s="229"/>
      <c r="AH413" s="20"/>
      <c r="AI413" s="229"/>
      <c r="AJ413" s="20"/>
      <c r="AK413" s="229"/>
      <c r="AL413" s="20"/>
      <c r="AM413" s="229"/>
      <c r="AN413" s="20"/>
      <c r="AO413" s="229">
        <f>1+1</f>
        <v>2</v>
      </c>
      <c r="AP413" s="20">
        <f>1+1</f>
        <v>2</v>
      </c>
      <c r="AQ413" s="229"/>
      <c r="AR413" s="20"/>
      <c r="AS413" s="229"/>
      <c r="AT413" s="20"/>
      <c r="AU413" s="229"/>
      <c r="AV413" s="20"/>
      <c r="AW413" s="229"/>
      <c r="AX413" s="20"/>
      <c r="AY413" s="229"/>
      <c r="AZ413" s="20"/>
      <c r="BA413" s="229"/>
      <c r="BB413" s="20"/>
      <c r="BC413" s="229">
        <f t="shared" si="114"/>
        <v>2</v>
      </c>
      <c r="BD413" s="48">
        <f t="shared" si="118"/>
        <v>2</v>
      </c>
      <c r="BE413" s="19">
        <v>0</v>
      </c>
      <c r="BF413" s="229">
        <f>AB413+BC413</f>
        <v>3</v>
      </c>
      <c r="BG413" s="210">
        <f t="shared" si="119"/>
        <v>3</v>
      </c>
      <c r="BH413" s="210">
        <f t="shared" si="115"/>
        <v>0</v>
      </c>
      <c r="BI413" s="213" t="e">
        <f t="shared" si="112"/>
        <v>#DIV/0!</v>
      </c>
      <c r="BJ413" s="141"/>
      <c r="BK413" s="201"/>
      <c r="BL413" s="198"/>
      <c r="BM413" s="198"/>
    </row>
    <row r="414" spans="1:65" s="17" customFormat="1" ht="15.95" customHeight="1">
      <c r="A414" s="123">
        <v>300</v>
      </c>
      <c r="B414" s="321" t="s">
        <v>1052</v>
      </c>
      <c r="C414" s="322" t="s">
        <v>1053</v>
      </c>
      <c r="D414" s="323"/>
      <c r="E414" s="324"/>
      <c r="F414" s="323"/>
      <c r="G414" s="324"/>
      <c r="H414" s="323"/>
      <c r="I414" s="324"/>
      <c r="J414" s="323"/>
      <c r="K414" s="324"/>
      <c r="L414" s="323"/>
      <c r="M414" s="324"/>
      <c r="N414" s="323"/>
      <c r="O414" s="324"/>
      <c r="P414" s="323"/>
      <c r="Q414" s="324"/>
      <c r="R414" s="323"/>
      <c r="S414" s="324"/>
      <c r="T414" s="323"/>
      <c r="U414" s="324"/>
      <c r="V414" s="323"/>
      <c r="W414" s="324"/>
      <c r="X414" s="323"/>
      <c r="Y414" s="324"/>
      <c r="Z414" s="323"/>
      <c r="AA414" s="324"/>
      <c r="AB414" s="323"/>
      <c r="AC414" s="228">
        <f t="shared" si="117"/>
        <v>0</v>
      </c>
      <c r="AD414" s="329">
        <v>0</v>
      </c>
      <c r="AE414" s="323"/>
      <c r="AF414" s="327"/>
      <c r="AG414" s="323"/>
      <c r="AH414" s="327"/>
      <c r="AI414" s="323"/>
      <c r="AJ414" s="327"/>
      <c r="AK414" s="323"/>
      <c r="AL414" s="327"/>
      <c r="AM414" s="323"/>
      <c r="AN414" s="327"/>
      <c r="AO414" s="323"/>
      <c r="AP414" s="327"/>
      <c r="AQ414" s="323"/>
      <c r="AR414" s="327"/>
      <c r="AS414" s="323"/>
      <c r="AT414" s="327"/>
      <c r="AU414" s="323"/>
      <c r="AV414" s="327"/>
      <c r="AW414" s="323"/>
      <c r="AX414" s="327"/>
      <c r="AY414" s="323"/>
      <c r="AZ414" s="327"/>
      <c r="BA414" s="323"/>
      <c r="BB414" s="327">
        <v>1</v>
      </c>
      <c r="BC414" s="323"/>
      <c r="BD414" s="48">
        <f t="shared" si="118"/>
        <v>1</v>
      </c>
      <c r="BE414" s="326">
        <v>0</v>
      </c>
      <c r="BF414" s="323"/>
      <c r="BG414" s="210">
        <f t="shared" si="119"/>
        <v>1</v>
      </c>
      <c r="BH414" s="210">
        <f t="shared" si="115"/>
        <v>0</v>
      </c>
      <c r="BI414" s="213" t="e">
        <f t="shared" si="112"/>
        <v>#DIV/0!</v>
      </c>
      <c r="BJ414" s="141"/>
      <c r="BK414" s="201"/>
      <c r="BL414" s="198"/>
      <c r="BM414" s="198"/>
    </row>
    <row r="415" spans="1:65" s="17" customFormat="1" ht="15.95" customHeight="1">
      <c r="A415" s="123">
        <v>301</v>
      </c>
      <c r="B415" s="9" t="s">
        <v>2996</v>
      </c>
      <c r="C415" s="15" t="s">
        <v>2997</v>
      </c>
      <c r="D415" s="229"/>
      <c r="E415" s="13"/>
      <c r="F415" s="229"/>
      <c r="G415" s="13"/>
      <c r="H415" s="229"/>
      <c r="I415" s="13"/>
      <c r="J415" s="229"/>
      <c r="K415" s="13"/>
      <c r="L415" s="229"/>
      <c r="M415" s="13"/>
      <c r="N415" s="229"/>
      <c r="O415" s="13"/>
      <c r="P415" s="229"/>
      <c r="Q415" s="13"/>
      <c r="R415" s="229"/>
      <c r="S415" s="13"/>
      <c r="T415" s="229"/>
      <c r="U415" s="13"/>
      <c r="V415" s="229"/>
      <c r="W415" s="13"/>
      <c r="X415" s="229"/>
      <c r="Y415" s="13"/>
      <c r="Z415" s="229"/>
      <c r="AA415" s="13"/>
      <c r="AB415" s="229">
        <f t="shared" ref="AB415:AB427" si="121">D415+F415+H415+J415+L415+N415+P415+R415+T415+V415+X415+Z415</f>
        <v>0</v>
      </c>
      <c r="AC415" s="228">
        <f t="shared" si="117"/>
        <v>0</v>
      </c>
      <c r="AD415" s="21">
        <v>0</v>
      </c>
      <c r="AE415" s="229"/>
      <c r="AF415" s="20"/>
      <c r="AG415" s="229"/>
      <c r="AH415" s="20"/>
      <c r="AI415" s="229">
        <v>1</v>
      </c>
      <c r="AJ415" s="20">
        <v>1</v>
      </c>
      <c r="AK415" s="229"/>
      <c r="AL415" s="20"/>
      <c r="AM415" s="229"/>
      <c r="AN415" s="20"/>
      <c r="AO415" s="229"/>
      <c r="AP415" s="20"/>
      <c r="AQ415" s="229"/>
      <c r="AR415" s="20"/>
      <c r="AS415" s="229"/>
      <c r="AT415" s="20"/>
      <c r="AU415" s="229"/>
      <c r="AV415" s="20"/>
      <c r="AW415" s="229"/>
      <c r="AX415" s="20"/>
      <c r="AY415" s="229"/>
      <c r="AZ415" s="20"/>
      <c r="BA415" s="229"/>
      <c r="BB415" s="20"/>
      <c r="BC415" s="229">
        <f t="shared" ref="BC415:BC427" si="122">AE415+AG415+AI415+AK415+AM415+AO415+AQ415+AS415+AU415+AW415+AY415+BA415</f>
        <v>1</v>
      </c>
      <c r="BD415" s="48">
        <f t="shared" si="118"/>
        <v>1</v>
      </c>
      <c r="BE415" s="19">
        <v>0</v>
      </c>
      <c r="BF415" s="229">
        <f t="shared" ref="BF415:BF427" si="123">AB415+BC415</f>
        <v>1</v>
      </c>
      <c r="BG415" s="210">
        <f t="shared" si="119"/>
        <v>1</v>
      </c>
      <c r="BH415" s="210">
        <f t="shared" si="115"/>
        <v>0</v>
      </c>
      <c r="BI415" s="213" t="e">
        <f t="shared" si="112"/>
        <v>#DIV/0!</v>
      </c>
      <c r="BJ415" s="141"/>
      <c r="BK415" s="201"/>
      <c r="BL415" s="198"/>
      <c r="BM415" s="198"/>
    </row>
    <row r="416" spans="1:65" s="17" customFormat="1" ht="15.95" customHeight="1">
      <c r="A416" s="123">
        <v>302</v>
      </c>
      <c r="B416" s="9" t="s">
        <v>2998</v>
      </c>
      <c r="C416" s="282" t="s">
        <v>2999</v>
      </c>
      <c r="D416" s="229"/>
      <c r="E416" s="13"/>
      <c r="F416" s="229"/>
      <c r="G416" s="13"/>
      <c r="H416" s="229"/>
      <c r="I416" s="13"/>
      <c r="J416" s="229"/>
      <c r="K416" s="13"/>
      <c r="L416" s="229"/>
      <c r="M416" s="13"/>
      <c r="N416" s="229"/>
      <c r="O416" s="13"/>
      <c r="P416" s="229"/>
      <c r="Q416" s="13"/>
      <c r="R416" s="229"/>
      <c r="S416" s="13"/>
      <c r="T416" s="229"/>
      <c r="U416" s="13"/>
      <c r="V416" s="229"/>
      <c r="W416" s="13"/>
      <c r="X416" s="229"/>
      <c r="Y416" s="13"/>
      <c r="Z416" s="229"/>
      <c r="AA416" s="13"/>
      <c r="AB416" s="229">
        <f t="shared" si="121"/>
        <v>0</v>
      </c>
      <c r="AC416" s="228">
        <f t="shared" si="117"/>
        <v>0</v>
      </c>
      <c r="AD416" s="21">
        <v>0</v>
      </c>
      <c r="AE416" s="229"/>
      <c r="AF416" s="20"/>
      <c r="AG416" s="229"/>
      <c r="AH416" s="20"/>
      <c r="AI416" s="229">
        <v>1</v>
      </c>
      <c r="AJ416" s="20">
        <v>1</v>
      </c>
      <c r="AK416" s="229"/>
      <c r="AL416" s="20"/>
      <c r="AM416" s="229"/>
      <c r="AN416" s="20"/>
      <c r="AO416" s="229"/>
      <c r="AP416" s="20"/>
      <c r="AQ416" s="229"/>
      <c r="AR416" s="20"/>
      <c r="AS416" s="229"/>
      <c r="AT416" s="20"/>
      <c r="AU416" s="229"/>
      <c r="AV416" s="20"/>
      <c r="AW416" s="229"/>
      <c r="AX416" s="20"/>
      <c r="AY416" s="229"/>
      <c r="AZ416" s="20"/>
      <c r="BA416" s="229"/>
      <c r="BB416" s="20"/>
      <c r="BC416" s="229">
        <f t="shared" si="122"/>
        <v>1</v>
      </c>
      <c r="BD416" s="48">
        <f t="shared" si="118"/>
        <v>1</v>
      </c>
      <c r="BE416" s="19">
        <v>0</v>
      </c>
      <c r="BF416" s="229">
        <f t="shared" si="123"/>
        <v>1</v>
      </c>
      <c r="BG416" s="210">
        <f t="shared" si="119"/>
        <v>1</v>
      </c>
      <c r="BH416" s="210">
        <f t="shared" si="115"/>
        <v>0</v>
      </c>
      <c r="BI416" s="213" t="e">
        <f t="shared" si="112"/>
        <v>#DIV/0!</v>
      </c>
      <c r="BJ416" s="141"/>
      <c r="BK416" s="201"/>
      <c r="BL416" s="198"/>
      <c r="BM416" s="198"/>
    </row>
    <row r="417" spans="1:65" s="17" customFormat="1" ht="15.95" customHeight="1">
      <c r="A417" s="123">
        <v>303</v>
      </c>
      <c r="B417" s="9" t="s">
        <v>2706</v>
      </c>
      <c r="C417" s="189" t="s">
        <v>2707</v>
      </c>
      <c r="D417" s="229"/>
      <c r="E417" s="13"/>
      <c r="F417" s="229"/>
      <c r="G417" s="13"/>
      <c r="H417" s="229"/>
      <c r="I417" s="13"/>
      <c r="J417" s="229"/>
      <c r="K417" s="13"/>
      <c r="L417" s="229"/>
      <c r="M417" s="13"/>
      <c r="N417" s="229"/>
      <c r="O417" s="13"/>
      <c r="P417" s="229"/>
      <c r="Q417" s="13"/>
      <c r="R417" s="229"/>
      <c r="S417" s="13"/>
      <c r="T417" s="229"/>
      <c r="U417" s="13"/>
      <c r="V417" s="229"/>
      <c r="W417" s="13"/>
      <c r="X417" s="229"/>
      <c r="Y417" s="13"/>
      <c r="Z417" s="229"/>
      <c r="AA417" s="13"/>
      <c r="AB417" s="229">
        <f t="shared" si="121"/>
        <v>0</v>
      </c>
      <c r="AC417" s="228">
        <f t="shared" si="117"/>
        <v>0</v>
      </c>
      <c r="AD417" s="21">
        <v>0</v>
      </c>
      <c r="AE417" s="229"/>
      <c r="AF417" s="20"/>
      <c r="AG417" s="229"/>
      <c r="AH417" s="20"/>
      <c r="AI417" s="229"/>
      <c r="AJ417" s="20"/>
      <c r="AK417" s="229"/>
      <c r="AL417" s="20"/>
      <c r="AM417" s="229"/>
      <c r="AN417" s="20"/>
      <c r="AO417" s="229"/>
      <c r="AP417" s="20"/>
      <c r="AQ417" s="229"/>
      <c r="AR417" s="20"/>
      <c r="AS417" s="229"/>
      <c r="AT417" s="20"/>
      <c r="AU417" s="229"/>
      <c r="AV417" s="20"/>
      <c r="AW417" s="229"/>
      <c r="AX417" s="20"/>
      <c r="AY417" s="229"/>
      <c r="AZ417" s="20"/>
      <c r="BA417" s="229"/>
      <c r="BB417" s="20"/>
      <c r="BC417" s="229">
        <f t="shared" si="122"/>
        <v>0</v>
      </c>
      <c r="BD417" s="48">
        <f t="shared" si="118"/>
        <v>0</v>
      </c>
      <c r="BE417" s="19">
        <v>3</v>
      </c>
      <c r="BF417" s="229">
        <f t="shared" si="123"/>
        <v>0</v>
      </c>
      <c r="BG417" s="210">
        <f t="shared" si="119"/>
        <v>0</v>
      </c>
      <c r="BH417" s="210">
        <f t="shared" si="115"/>
        <v>3</v>
      </c>
      <c r="BI417" s="213">
        <f t="shared" si="112"/>
        <v>0</v>
      </c>
      <c r="BJ417" s="141"/>
      <c r="BK417" s="201"/>
      <c r="BL417" s="198"/>
      <c r="BM417" s="198"/>
    </row>
    <row r="418" spans="1:65" s="17" customFormat="1" ht="15.95" customHeight="1">
      <c r="A418" s="123">
        <v>304</v>
      </c>
      <c r="B418" s="9" t="s">
        <v>1360</v>
      </c>
      <c r="C418" s="11" t="s">
        <v>1361</v>
      </c>
      <c r="D418" s="229"/>
      <c r="E418" s="13"/>
      <c r="F418" s="229"/>
      <c r="G418" s="13"/>
      <c r="H418" s="229"/>
      <c r="I418" s="13"/>
      <c r="J418" s="229"/>
      <c r="K418" s="13"/>
      <c r="L418" s="229"/>
      <c r="M418" s="13"/>
      <c r="N418" s="229"/>
      <c r="O418" s="13"/>
      <c r="P418" s="229"/>
      <c r="Q418" s="13"/>
      <c r="R418" s="229"/>
      <c r="S418" s="13"/>
      <c r="T418" s="229"/>
      <c r="U418" s="13"/>
      <c r="V418" s="229"/>
      <c r="W418" s="13"/>
      <c r="X418" s="229"/>
      <c r="Y418" s="13"/>
      <c r="Z418" s="229"/>
      <c r="AA418" s="13"/>
      <c r="AB418" s="229">
        <f t="shared" si="121"/>
        <v>0</v>
      </c>
      <c r="AC418" s="228">
        <f t="shared" si="117"/>
        <v>0</v>
      </c>
      <c r="AD418" s="21">
        <v>0</v>
      </c>
      <c r="AE418" s="229"/>
      <c r="AF418" s="20"/>
      <c r="AG418" s="229"/>
      <c r="AH418" s="20"/>
      <c r="AI418" s="229"/>
      <c r="AJ418" s="20"/>
      <c r="AK418" s="229"/>
      <c r="AL418" s="20"/>
      <c r="AM418" s="229"/>
      <c r="AN418" s="20"/>
      <c r="AO418" s="229"/>
      <c r="AP418" s="20"/>
      <c r="AQ418" s="229"/>
      <c r="AR418" s="20"/>
      <c r="AS418" s="229"/>
      <c r="AT418" s="20"/>
      <c r="AU418" s="229"/>
      <c r="AV418" s="20"/>
      <c r="AW418" s="229"/>
      <c r="AX418" s="20"/>
      <c r="AY418" s="229"/>
      <c r="AZ418" s="20"/>
      <c r="BA418" s="229"/>
      <c r="BB418" s="20"/>
      <c r="BC418" s="229">
        <f t="shared" si="122"/>
        <v>0</v>
      </c>
      <c r="BD418" s="48">
        <f t="shared" si="118"/>
        <v>0</v>
      </c>
      <c r="BE418" s="19">
        <v>1</v>
      </c>
      <c r="BF418" s="229">
        <f t="shared" si="123"/>
        <v>0</v>
      </c>
      <c r="BG418" s="210">
        <f t="shared" si="119"/>
        <v>0</v>
      </c>
      <c r="BH418" s="210">
        <f t="shared" si="115"/>
        <v>1</v>
      </c>
      <c r="BI418" s="213">
        <f t="shared" si="112"/>
        <v>0</v>
      </c>
      <c r="BJ418" s="141"/>
      <c r="BK418" s="201"/>
      <c r="BL418" s="198"/>
      <c r="BM418" s="198"/>
    </row>
    <row r="419" spans="1:65" s="17" customFormat="1" ht="15.95" customHeight="1">
      <c r="A419" s="123">
        <v>305</v>
      </c>
      <c r="B419" s="9" t="s">
        <v>263</v>
      </c>
      <c r="C419" s="11" t="s">
        <v>264</v>
      </c>
      <c r="D419" s="229"/>
      <c r="E419" s="13"/>
      <c r="F419" s="229"/>
      <c r="G419" s="13"/>
      <c r="H419" s="229"/>
      <c r="I419" s="13"/>
      <c r="J419" s="229"/>
      <c r="K419" s="13"/>
      <c r="L419" s="229"/>
      <c r="M419" s="13"/>
      <c r="N419" s="229"/>
      <c r="O419" s="13"/>
      <c r="P419" s="229"/>
      <c r="Q419" s="13"/>
      <c r="R419" s="229"/>
      <c r="S419" s="13"/>
      <c r="T419" s="229"/>
      <c r="U419" s="13"/>
      <c r="V419" s="229"/>
      <c r="W419" s="13"/>
      <c r="X419" s="229"/>
      <c r="Y419" s="13"/>
      <c r="Z419" s="229"/>
      <c r="AA419" s="13"/>
      <c r="AB419" s="229">
        <f t="shared" si="121"/>
        <v>0</v>
      </c>
      <c r="AC419" s="228">
        <f t="shared" si="117"/>
        <v>0</v>
      </c>
      <c r="AD419" s="21">
        <v>0</v>
      </c>
      <c r="AE419" s="229"/>
      <c r="AF419" s="20"/>
      <c r="AG419" s="229"/>
      <c r="AH419" s="20"/>
      <c r="AI419" s="229"/>
      <c r="AJ419" s="20"/>
      <c r="AK419" s="229"/>
      <c r="AL419" s="20"/>
      <c r="AM419" s="229"/>
      <c r="AN419" s="20"/>
      <c r="AO419" s="229">
        <v>1</v>
      </c>
      <c r="AP419" s="20">
        <v>1</v>
      </c>
      <c r="AQ419" s="229"/>
      <c r="AR419" s="20"/>
      <c r="AS419" s="229"/>
      <c r="AT419" s="20"/>
      <c r="AU419" s="229"/>
      <c r="AV419" s="20"/>
      <c r="AW419" s="229"/>
      <c r="AX419" s="20"/>
      <c r="AY419" s="229"/>
      <c r="AZ419" s="20"/>
      <c r="BA419" s="229"/>
      <c r="BB419" s="20">
        <v>1</v>
      </c>
      <c r="BC419" s="229">
        <f t="shared" si="122"/>
        <v>1</v>
      </c>
      <c r="BD419" s="48">
        <f t="shared" si="118"/>
        <v>2</v>
      </c>
      <c r="BE419" s="19">
        <v>2</v>
      </c>
      <c r="BF419" s="229">
        <f t="shared" si="123"/>
        <v>1</v>
      </c>
      <c r="BG419" s="210">
        <f t="shared" si="119"/>
        <v>2</v>
      </c>
      <c r="BH419" s="210">
        <f t="shared" si="115"/>
        <v>2</v>
      </c>
      <c r="BI419" s="213">
        <f t="shared" si="112"/>
        <v>100</v>
      </c>
      <c r="BJ419" s="141"/>
      <c r="BK419" s="201"/>
      <c r="BL419" s="198"/>
      <c r="BM419" s="198"/>
    </row>
    <row r="420" spans="1:65" s="17" customFormat="1" ht="15.95" customHeight="1">
      <c r="A420" s="123">
        <v>306</v>
      </c>
      <c r="B420" s="9" t="s">
        <v>1449</v>
      </c>
      <c r="C420" s="11" t="s">
        <v>1450</v>
      </c>
      <c r="D420" s="229"/>
      <c r="E420" s="13"/>
      <c r="F420" s="229"/>
      <c r="G420" s="13"/>
      <c r="H420" s="229"/>
      <c r="I420" s="13"/>
      <c r="J420" s="229"/>
      <c r="K420" s="13"/>
      <c r="L420" s="229"/>
      <c r="M420" s="13"/>
      <c r="N420" s="229"/>
      <c r="O420" s="13"/>
      <c r="P420" s="229"/>
      <c r="Q420" s="13"/>
      <c r="R420" s="229"/>
      <c r="S420" s="13"/>
      <c r="T420" s="229"/>
      <c r="U420" s="13"/>
      <c r="V420" s="229"/>
      <c r="W420" s="13"/>
      <c r="X420" s="229"/>
      <c r="Y420" s="13"/>
      <c r="Z420" s="229"/>
      <c r="AA420" s="13"/>
      <c r="AB420" s="229">
        <f t="shared" si="121"/>
        <v>0</v>
      </c>
      <c r="AC420" s="228">
        <f t="shared" si="117"/>
        <v>0</v>
      </c>
      <c r="AD420" s="21">
        <v>0</v>
      </c>
      <c r="AE420" s="229"/>
      <c r="AF420" s="20"/>
      <c r="AG420" s="229"/>
      <c r="AH420" s="20"/>
      <c r="AI420" s="229"/>
      <c r="AJ420" s="20"/>
      <c r="AK420" s="229"/>
      <c r="AL420" s="20"/>
      <c r="AM420" s="229"/>
      <c r="AN420" s="20"/>
      <c r="AO420" s="229"/>
      <c r="AP420" s="20"/>
      <c r="AQ420" s="229"/>
      <c r="AR420" s="20"/>
      <c r="AS420" s="229"/>
      <c r="AT420" s="20"/>
      <c r="AU420" s="229"/>
      <c r="AV420" s="20"/>
      <c r="AW420" s="229"/>
      <c r="AX420" s="20"/>
      <c r="AY420" s="229"/>
      <c r="AZ420" s="20"/>
      <c r="BA420" s="229"/>
      <c r="BB420" s="20"/>
      <c r="BC420" s="229">
        <f t="shared" si="122"/>
        <v>0</v>
      </c>
      <c r="BD420" s="48">
        <f t="shared" si="118"/>
        <v>0</v>
      </c>
      <c r="BE420" s="19">
        <v>1</v>
      </c>
      <c r="BF420" s="229">
        <f t="shared" si="123"/>
        <v>0</v>
      </c>
      <c r="BG420" s="210">
        <f t="shared" si="119"/>
        <v>0</v>
      </c>
      <c r="BH420" s="210">
        <f t="shared" si="115"/>
        <v>1</v>
      </c>
      <c r="BI420" s="213">
        <f t="shared" si="112"/>
        <v>0</v>
      </c>
      <c r="BJ420" s="141"/>
      <c r="BK420" s="201"/>
      <c r="BL420" s="198"/>
      <c r="BM420" s="198"/>
    </row>
    <row r="421" spans="1:65" s="17" customFormat="1" ht="15.95" customHeight="1">
      <c r="A421" s="123">
        <v>307</v>
      </c>
      <c r="B421" s="9" t="s">
        <v>1431</v>
      </c>
      <c r="C421" s="11" t="s">
        <v>1432</v>
      </c>
      <c r="D421" s="229"/>
      <c r="E421" s="13"/>
      <c r="F421" s="229"/>
      <c r="G421" s="13"/>
      <c r="H421" s="229"/>
      <c r="I421" s="13"/>
      <c r="J421" s="229"/>
      <c r="K421" s="13"/>
      <c r="L421" s="229"/>
      <c r="M421" s="13"/>
      <c r="N421" s="229"/>
      <c r="O421" s="13"/>
      <c r="P421" s="229"/>
      <c r="Q421" s="13"/>
      <c r="R421" s="229"/>
      <c r="S421" s="13"/>
      <c r="T421" s="229"/>
      <c r="U421" s="13"/>
      <c r="V421" s="229"/>
      <c r="W421" s="13"/>
      <c r="X421" s="229"/>
      <c r="Y421" s="13"/>
      <c r="Z421" s="229"/>
      <c r="AA421" s="13"/>
      <c r="AB421" s="229">
        <f t="shared" si="121"/>
        <v>0</v>
      </c>
      <c r="AC421" s="228">
        <f t="shared" si="117"/>
        <v>0</v>
      </c>
      <c r="AD421" s="21">
        <v>0</v>
      </c>
      <c r="AE421" s="229"/>
      <c r="AF421" s="20"/>
      <c r="AG421" s="229"/>
      <c r="AH421" s="20"/>
      <c r="AI421" s="229"/>
      <c r="AJ421" s="20"/>
      <c r="AK421" s="229"/>
      <c r="AL421" s="20"/>
      <c r="AM421" s="229"/>
      <c r="AN421" s="20"/>
      <c r="AO421" s="229"/>
      <c r="AP421" s="20"/>
      <c r="AQ421" s="229"/>
      <c r="AR421" s="20"/>
      <c r="AS421" s="229"/>
      <c r="AT421" s="20"/>
      <c r="AU421" s="229"/>
      <c r="AV421" s="20"/>
      <c r="AW421" s="229"/>
      <c r="AX421" s="20"/>
      <c r="AY421" s="229"/>
      <c r="AZ421" s="20"/>
      <c r="BA421" s="229"/>
      <c r="BB421" s="20"/>
      <c r="BC421" s="229">
        <f t="shared" si="122"/>
        <v>0</v>
      </c>
      <c r="BD421" s="48">
        <f t="shared" si="118"/>
        <v>0</v>
      </c>
      <c r="BE421" s="19">
        <v>1</v>
      </c>
      <c r="BF421" s="229">
        <f t="shared" si="123"/>
        <v>0</v>
      </c>
      <c r="BG421" s="210">
        <f t="shared" si="119"/>
        <v>0</v>
      </c>
      <c r="BH421" s="210">
        <f t="shared" si="115"/>
        <v>1</v>
      </c>
      <c r="BI421" s="213">
        <f t="shared" si="112"/>
        <v>0</v>
      </c>
      <c r="BJ421" s="141"/>
      <c r="BK421" s="201"/>
      <c r="BL421" s="198"/>
      <c r="BM421" s="198"/>
    </row>
    <row r="422" spans="1:65" s="17" customFormat="1" ht="15.95" customHeight="1">
      <c r="A422" s="123">
        <v>308</v>
      </c>
      <c r="B422" s="9" t="s">
        <v>2667</v>
      </c>
      <c r="C422" s="11" t="s">
        <v>2668</v>
      </c>
      <c r="D422" s="229"/>
      <c r="E422" s="13"/>
      <c r="F422" s="229"/>
      <c r="G422" s="13"/>
      <c r="H422" s="229"/>
      <c r="I422" s="13"/>
      <c r="J422" s="229"/>
      <c r="K422" s="13"/>
      <c r="L422" s="229"/>
      <c r="M422" s="13"/>
      <c r="N422" s="229"/>
      <c r="O422" s="13"/>
      <c r="P422" s="229"/>
      <c r="Q422" s="13"/>
      <c r="R422" s="229"/>
      <c r="S422" s="13"/>
      <c r="T422" s="229"/>
      <c r="U422" s="13"/>
      <c r="V422" s="229"/>
      <c r="W422" s="13"/>
      <c r="X422" s="229"/>
      <c r="Y422" s="13"/>
      <c r="Z422" s="229"/>
      <c r="AA422" s="13"/>
      <c r="AB422" s="229">
        <f t="shared" si="121"/>
        <v>0</v>
      </c>
      <c r="AC422" s="228">
        <f t="shared" si="117"/>
        <v>0</v>
      </c>
      <c r="AD422" s="21">
        <v>0</v>
      </c>
      <c r="AE422" s="229"/>
      <c r="AF422" s="20"/>
      <c r="AG422" s="229"/>
      <c r="AH422" s="20"/>
      <c r="AI422" s="229"/>
      <c r="AJ422" s="20"/>
      <c r="AK422" s="229"/>
      <c r="AL422" s="20"/>
      <c r="AM422" s="229"/>
      <c r="AN422" s="20"/>
      <c r="AO422" s="229"/>
      <c r="AP422" s="20"/>
      <c r="AQ422" s="229"/>
      <c r="AR422" s="20"/>
      <c r="AS422" s="229"/>
      <c r="AT422" s="20"/>
      <c r="AU422" s="229"/>
      <c r="AV422" s="20"/>
      <c r="AW422" s="229"/>
      <c r="AX422" s="20"/>
      <c r="AY422" s="229"/>
      <c r="AZ422" s="20"/>
      <c r="BA422" s="229"/>
      <c r="BB422" s="20"/>
      <c r="BC422" s="229">
        <f t="shared" si="122"/>
        <v>0</v>
      </c>
      <c r="BD422" s="48">
        <f t="shared" si="118"/>
        <v>0</v>
      </c>
      <c r="BE422" s="19">
        <v>4</v>
      </c>
      <c r="BF422" s="229">
        <f t="shared" si="123"/>
        <v>0</v>
      </c>
      <c r="BG422" s="210">
        <f t="shared" si="119"/>
        <v>0</v>
      </c>
      <c r="BH422" s="210">
        <f t="shared" si="115"/>
        <v>4</v>
      </c>
      <c r="BI422" s="213">
        <f t="shared" si="112"/>
        <v>0</v>
      </c>
      <c r="BJ422" s="141"/>
      <c r="BK422" s="201"/>
      <c r="BL422" s="198"/>
      <c r="BM422" s="198"/>
    </row>
    <row r="423" spans="1:65" s="17" customFormat="1" ht="15.95" customHeight="1">
      <c r="A423" s="123">
        <v>309</v>
      </c>
      <c r="B423" s="9" t="s">
        <v>2669</v>
      </c>
      <c r="C423" s="11" t="s">
        <v>2670</v>
      </c>
      <c r="D423" s="229"/>
      <c r="E423" s="13"/>
      <c r="F423" s="229"/>
      <c r="G423" s="13"/>
      <c r="H423" s="229"/>
      <c r="I423" s="13"/>
      <c r="J423" s="229"/>
      <c r="K423" s="13"/>
      <c r="L423" s="229"/>
      <c r="M423" s="13"/>
      <c r="N423" s="229"/>
      <c r="O423" s="13"/>
      <c r="P423" s="229"/>
      <c r="Q423" s="13"/>
      <c r="R423" s="229"/>
      <c r="S423" s="13"/>
      <c r="T423" s="229"/>
      <c r="U423" s="13"/>
      <c r="V423" s="229"/>
      <c r="W423" s="13"/>
      <c r="X423" s="229"/>
      <c r="Y423" s="13"/>
      <c r="Z423" s="229"/>
      <c r="AA423" s="13"/>
      <c r="AB423" s="229">
        <f t="shared" si="121"/>
        <v>0</v>
      </c>
      <c r="AC423" s="228">
        <f t="shared" si="117"/>
        <v>0</v>
      </c>
      <c r="AD423" s="21">
        <v>0</v>
      </c>
      <c r="AE423" s="229"/>
      <c r="AF423" s="20"/>
      <c r="AG423" s="229"/>
      <c r="AH423" s="20"/>
      <c r="AI423" s="229"/>
      <c r="AJ423" s="20"/>
      <c r="AK423" s="229"/>
      <c r="AL423" s="20"/>
      <c r="AM423" s="229"/>
      <c r="AN423" s="20"/>
      <c r="AO423" s="229"/>
      <c r="AP423" s="20"/>
      <c r="AQ423" s="229"/>
      <c r="AR423" s="20"/>
      <c r="AS423" s="229"/>
      <c r="AT423" s="20"/>
      <c r="AU423" s="229"/>
      <c r="AV423" s="20"/>
      <c r="AW423" s="229"/>
      <c r="AX423" s="20"/>
      <c r="AY423" s="229"/>
      <c r="AZ423" s="20"/>
      <c r="BA423" s="229"/>
      <c r="BB423" s="20"/>
      <c r="BC423" s="229">
        <f t="shared" si="122"/>
        <v>0</v>
      </c>
      <c r="BD423" s="48">
        <f t="shared" si="118"/>
        <v>0</v>
      </c>
      <c r="BE423" s="19">
        <v>4</v>
      </c>
      <c r="BF423" s="229">
        <f t="shared" si="123"/>
        <v>0</v>
      </c>
      <c r="BG423" s="210">
        <f t="shared" si="119"/>
        <v>0</v>
      </c>
      <c r="BH423" s="210">
        <f t="shared" si="115"/>
        <v>4</v>
      </c>
      <c r="BI423" s="213">
        <f t="shared" si="112"/>
        <v>0</v>
      </c>
      <c r="BJ423" s="141"/>
      <c r="BK423" s="201"/>
      <c r="BL423" s="198"/>
      <c r="BM423" s="198"/>
    </row>
    <row r="424" spans="1:65" s="17" customFormat="1" ht="15.95" customHeight="1">
      <c r="A424" s="123">
        <v>310</v>
      </c>
      <c r="B424" s="9" t="s">
        <v>2671</v>
      </c>
      <c r="C424" s="11" t="s">
        <v>2672</v>
      </c>
      <c r="D424" s="229"/>
      <c r="E424" s="13"/>
      <c r="F424" s="229"/>
      <c r="G424" s="13"/>
      <c r="H424" s="229"/>
      <c r="I424" s="13"/>
      <c r="J424" s="229"/>
      <c r="K424" s="13"/>
      <c r="L424" s="229"/>
      <c r="M424" s="13"/>
      <c r="N424" s="229"/>
      <c r="O424" s="13"/>
      <c r="P424" s="229"/>
      <c r="Q424" s="13"/>
      <c r="R424" s="229"/>
      <c r="S424" s="13"/>
      <c r="T424" s="229"/>
      <c r="U424" s="13"/>
      <c r="V424" s="229"/>
      <c r="W424" s="13"/>
      <c r="X424" s="229"/>
      <c r="Y424" s="13"/>
      <c r="Z424" s="229"/>
      <c r="AA424" s="13"/>
      <c r="AB424" s="229">
        <f t="shared" si="121"/>
        <v>0</v>
      </c>
      <c r="AC424" s="228">
        <f t="shared" si="117"/>
        <v>0</v>
      </c>
      <c r="AD424" s="21">
        <v>0</v>
      </c>
      <c r="AE424" s="229"/>
      <c r="AF424" s="20"/>
      <c r="AG424" s="229"/>
      <c r="AH424" s="20"/>
      <c r="AI424" s="229"/>
      <c r="AJ424" s="20"/>
      <c r="AK424" s="229"/>
      <c r="AL424" s="20"/>
      <c r="AM424" s="229"/>
      <c r="AN424" s="20"/>
      <c r="AO424" s="229"/>
      <c r="AP424" s="20"/>
      <c r="AQ424" s="229"/>
      <c r="AR424" s="20"/>
      <c r="AS424" s="229"/>
      <c r="AT424" s="20"/>
      <c r="AU424" s="229"/>
      <c r="AV424" s="20"/>
      <c r="AW424" s="229"/>
      <c r="AX424" s="20"/>
      <c r="AY424" s="229"/>
      <c r="AZ424" s="20"/>
      <c r="BA424" s="229"/>
      <c r="BB424" s="20"/>
      <c r="BC424" s="229">
        <f t="shared" si="122"/>
        <v>0</v>
      </c>
      <c r="BD424" s="48">
        <f t="shared" si="118"/>
        <v>0</v>
      </c>
      <c r="BE424" s="19">
        <v>4</v>
      </c>
      <c r="BF424" s="229">
        <f t="shared" si="123"/>
        <v>0</v>
      </c>
      <c r="BG424" s="210">
        <f t="shared" si="119"/>
        <v>0</v>
      </c>
      <c r="BH424" s="210">
        <f t="shared" si="115"/>
        <v>4</v>
      </c>
      <c r="BI424" s="213">
        <f t="shared" si="112"/>
        <v>0</v>
      </c>
      <c r="BJ424" s="141"/>
      <c r="BK424" s="201"/>
      <c r="BL424" s="198"/>
      <c r="BM424" s="198"/>
    </row>
    <row r="425" spans="1:65" s="17" customFormat="1" ht="15.95" customHeight="1">
      <c r="A425" s="123">
        <v>311</v>
      </c>
      <c r="B425" s="9" t="s">
        <v>1946</v>
      </c>
      <c r="C425" s="11" t="s">
        <v>1947</v>
      </c>
      <c r="D425" s="229"/>
      <c r="E425" s="13"/>
      <c r="F425" s="229"/>
      <c r="G425" s="13"/>
      <c r="H425" s="229"/>
      <c r="I425" s="13"/>
      <c r="J425" s="229"/>
      <c r="K425" s="13"/>
      <c r="L425" s="229"/>
      <c r="M425" s="13"/>
      <c r="N425" s="229"/>
      <c r="O425" s="13"/>
      <c r="P425" s="229"/>
      <c r="Q425" s="13"/>
      <c r="R425" s="229"/>
      <c r="S425" s="13"/>
      <c r="T425" s="229"/>
      <c r="U425" s="13"/>
      <c r="V425" s="229"/>
      <c r="W425" s="13"/>
      <c r="X425" s="229"/>
      <c r="Y425" s="13"/>
      <c r="Z425" s="229"/>
      <c r="AA425" s="13"/>
      <c r="AB425" s="229">
        <f t="shared" si="121"/>
        <v>0</v>
      </c>
      <c r="AC425" s="228">
        <f t="shared" si="117"/>
        <v>0</v>
      </c>
      <c r="AD425" s="21">
        <v>0</v>
      </c>
      <c r="AE425" s="229"/>
      <c r="AF425" s="20"/>
      <c r="AG425" s="229"/>
      <c r="AH425" s="20"/>
      <c r="AI425" s="229"/>
      <c r="AJ425" s="20"/>
      <c r="AK425" s="229"/>
      <c r="AL425" s="20"/>
      <c r="AM425" s="229"/>
      <c r="AN425" s="20"/>
      <c r="AO425" s="229"/>
      <c r="AP425" s="20"/>
      <c r="AQ425" s="229"/>
      <c r="AR425" s="20"/>
      <c r="AS425" s="229"/>
      <c r="AT425" s="20"/>
      <c r="AU425" s="229"/>
      <c r="AV425" s="20"/>
      <c r="AW425" s="229"/>
      <c r="AX425" s="20"/>
      <c r="AY425" s="229"/>
      <c r="AZ425" s="20"/>
      <c r="BA425" s="229"/>
      <c r="BB425" s="20"/>
      <c r="BC425" s="229">
        <f t="shared" si="122"/>
        <v>0</v>
      </c>
      <c r="BD425" s="48">
        <f t="shared" si="118"/>
        <v>0</v>
      </c>
      <c r="BE425" s="19">
        <v>1</v>
      </c>
      <c r="BF425" s="229">
        <f t="shared" si="123"/>
        <v>0</v>
      </c>
      <c r="BG425" s="210">
        <f t="shared" si="119"/>
        <v>0</v>
      </c>
      <c r="BH425" s="210">
        <f t="shared" si="115"/>
        <v>1</v>
      </c>
      <c r="BI425" s="213">
        <f t="shared" si="112"/>
        <v>0</v>
      </c>
      <c r="BJ425" s="141"/>
      <c r="BK425" s="201"/>
      <c r="BL425" s="198"/>
      <c r="BM425" s="198"/>
    </row>
    <row r="426" spans="1:65" s="17" customFormat="1" ht="15.95" customHeight="1">
      <c r="A426" s="123">
        <v>312</v>
      </c>
      <c r="B426" s="9" t="s">
        <v>265</v>
      </c>
      <c r="C426" s="11" t="s">
        <v>266</v>
      </c>
      <c r="D426" s="229"/>
      <c r="E426" s="13"/>
      <c r="F426" s="229"/>
      <c r="G426" s="13"/>
      <c r="H426" s="229"/>
      <c r="I426" s="13"/>
      <c r="J426" s="229"/>
      <c r="K426" s="13"/>
      <c r="L426" s="229"/>
      <c r="M426" s="13"/>
      <c r="N426" s="229"/>
      <c r="O426" s="13"/>
      <c r="P426" s="229"/>
      <c r="Q426" s="13"/>
      <c r="R426" s="229"/>
      <c r="S426" s="13"/>
      <c r="T426" s="229"/>
      <c r="U426" s="13"/>
      <c r="V426" s="229"/>
      <c r="W426" s="13"/>
      <c r="X426" s="229"/>
      <c r="Y426" s="13"/>
      <c r="Z426" s="229"/>
      <c r="AA426" s="13"/>
      <c r="AB426" s="229">
        <f t="shared" si="121"/>
        <v>0</v>
      </c>
      <c r="AC426" s="228">
        <f t="shared" si="117"/>
        <v>0</v>
      </c>
      <c r="AD426" s="21">
        <v>0</v>
      </c>
      <c r="AE426" s="229"/>
      <c r="AF426" s="20"/>
      <c r="AG426" s="229"/>
      <c r="AH426" s="20"/>
      <c r="AI426" s="229">
        <v>2</v>
      </c>
      <c r="AJ426" s="20">
        <v>2</v>
      </c>
      <c r="AK426" s="229"/>
      <c r="AL426" s="20"/>
      <c r="AM426" s="229"/>
      <c r="AN426" s="20"/>
      <c r="AO426" s="229">
        <v>2</v>
      </c>
      <c r="AP426" s="20">
        <v>2</v>
      </c>
      <c r="AQ426" s="229"/>
      <c r="AR426" s="20"/>
      <c r="AS426" s="229"/>
      <c r="AT426" s="20"/>
      <c r="AU426" s="229"/>
      <c r="AV426" s="20">
        <v>1</v>
      </c>
      <c r="AW426" s="229"/>
      <c r="AX426" s="20"/>
      <c r="AY426" s="229"/>
      <c r="AZ426" s="20"/>
      <c r="BA426" s="229"/>
      <c r="BB426" s="20">
        <v>2</v>
      </c>
      <c r="BC426" s="229">
        <f t="shared" si="122"/>
        <v>4</v>
      </c>
      <c r="BD426" s="48">
        <f t="shared" si="118"/>
        <v>7</v>
      </c>
      <c r="BE426" s="19">
        <v>12</v>
      </c>
      <c r="BF426" s="229">
        <f t="shared" si="123"/>
        <v>4</v>
      </c>
      <c r="BG426" s="210">
        <f t="shared" si="119"/>
        <v>7</v>
      </c>
      <c r="BH426" s="210">
        <f t="shared" si="115"/>
        <v>12</v>
      </c>
      <c r="BI426" s="213">
        <f t="shared" si="112"/>
        <v>58.333333333333336</v>
      </c>
      <c r="BJ426" s="141"/>
      <c r="BK426" s="201"/>
      <c r="BL426" s="198"/>
      <c r="BM426" s="198"/>
    </row>
    <row r="427" spans="1:65" s="17" customFormat="1" ht="15.95" customHeight="1">
      <c r="A427" s="123">
        <v>313</v>
      </c>
      <c r="B427" s="9" t="s">
        <v>2673</v>
      </c>
      <c r="C427" s="11" t="s">
        <v>2674</v>
      </c>
      <c r="D427" s="229"/>
      <c r="E427" s="13"/>
      <c r="F427" s="229"/>
      <c r="G427" s="13"/>
      <c r="H427" s="229"/>
      <c r="I427" s="13"/>
      <c r="J427" s="229"/>
      <c r="K427" s="13"/>
      <c r="L427" s="229"/>
      <c r="M427" s="13"/>
      <c r="N427" s="229"/>
      <c r="O427" s="13"/>
      <c r="P427" s="229"/>
      <c r="Q427" s="13"/>
      <c r="R427" s="229"/>
      <c r="S427" s="13"/>
      <c r="T427" s="229"/>
      <c r="U427" s="13"/>
      <c r="V427" s="229"/>
      <c r="W427" s="13"/>
      <c r="X427" s="229"/>
      <c r="Y427" s="13"/>
      <c r="Z427" s="229"/>
      <c r="AA427" s="13"/>
      <c r="AB427" s="229">
        <f t="shared" si="121"/>
        <v>0</v>
      </c>
      <c r="AC427" s="228">
        <f t="shared" si="117"/>
        <v>0</v>
      </c>
      <c r="AD427" s="21">
        <v>0</v>
      </c>
      <c r="AE427" s="229"/>
      <c r="AF427" s="20"/>
      <c r="AG427" s="229"/>
      <c r="AH427" s="20"/>
      <c r="AI427" s="229"/>
      <c r="AJ427" s="20"/>
      <c r="AK427" s="229"/>
      <c r="AL427" s="20"/>
      <c r="AM427" s="229"/>
      <c r="AN427" s="20"/>
      <c r="AO427" s="229"/>
      <c r="AP427" s="20"/>
      <c r="AQ427" s="229"/>
      <c r="AR427" s="20"/>
      <c r="AS427" s="229"/>
      <c r="AT427" s="20"/>
      <c r="AU427" s="229"/>
      <c r="AV427" s="20"/>
      <c r="AW427" s="229"/>
      <c r="AX427" s="20"/>
      <c r="AY427" s="229"/>
      <c r="AZ427" s="20"/>
      <c r="BA427" s="229"/>
      <c r="BB427" s="20"/>
      <c r="BC427" s="229">
        <f t="shared" si="122"/>
        <v>0</v>
      </c>
      <c r="BD427" s="48">
        <f t="shared" si="118"/>
        <v>0</v>
      </c>
      <c r="BE427" s="19">
        <v>4</v>
      </c>
      <c r="BF427" s="229">
        <f t="shared" si="123"/>
        <v>0</v>
      </c>
      <c r="BG427" s="210">
        <f t="shared" si="119"/>
        <v>0</v>
      </c>
      <c r="BH427" s="210">
        <f t="shared" si="115"/>
        <v>4</v>
      </c>
      <c r="BI427" s="213">
        <f t="shared" si="112"/>
        <v>0</v>
      </c>
      <c r="BJ427" s="141"/>
      <c r="BK427" s="201"/>
      <c r="BL427" s="198"/>
      <c r="BM427" s="198"/>
    </row>
    <row r="428" spans="1:65" s="17" customFormat="1" ht="15.95" customHeight="1">
      <c r="A428" s="123">
        <v>314</v>
      </c>
      <c r="B428" s="9" t="s">
        <v>3161</v>
      </c>
      <c r="C428" s="11" t="s">
        <v>3162</v>
      </c>
      <c r="D428" s="229"/>
      <c r="E428" s="13"/>
      <c r="F428" s="229"/>
      <c r="G428" s="13"/>
      <c r="H428" s="229"/>
      <c r="I428" s="13"/>
      <c r="J428" s="229"/>
      <c r="K428" s="13"/>
      <c r="L428" s="229"/>
      <c r="M428" s="13"/>
      <c r="N428" s="229"/>
      <c r="O428" s="13"/>
      <c r="P428" s="229"/>
      <c r="Q428" s="13"/>
      <c r="R428" s="229"/>
      <c r="S428" s="13"/>
      <c r="T428" s="229"/>
      <c r="U428" s="13"/>
      <c r="V428" s="229"/>
      <c r="W428" s="13"/>
      <c r="X428" s="229"/>
      <c r="Y428" s="13"/>
      <c r="Z428" s="229"/>
      <c r="AA428" s="13"/>
      <c r="AB428" s="229"/>
      <c r="AC428" s="228">
        <f t="shared" si="117"/>
        <v>0</v>
      </c>
      <c r="AD428" s="21">
        <v>0</v>
      </c>
      <c r="AE428" s="229"/>
      <c r="AF428" s="20"/>
      <c r="AG428" s="229"/>
      <c r="AH428" s="20"/>
      <c r="AI428" s="229"/>
      <c r="AJ428" s="20"/>
      <c r="AK428" s="229"/>
      <c r="AL428" s="20"/>
      <c r="AM428" s="229"/>
      <c r="AN428" s="20"/>
      <c r="AO428" s="229"/>
      <c r="AP428" s="20">
        <v>1</v>
      </c>
      <c r="AQ428" s="229"/>
      <c r="AR428" s="20"/>
      <c r="AS428" s="229"/>
      <c r="AT428" s="20"/>
      <c r="AU428" s="229"/>
      <c r="AV428" s="20"/>
      <c r="AW428" s="229"/>
      <c r="AX428" s="20"/>
      <c r="AY428" s="229"/>
      <c r="AZ428" s="20"/>
      <c r="BA428" s="229"/>
      <c r="BB428" s="20"/>
      <c r="BC428" s="229"/>
      <c r="BD428" s="48">
        <f t="shared" si="118"/>
        <v>1</v>
      </c>
      <c r="BE428" s="19">
        <v>0</v>
      </c>
      <c r="BF428" s="229"/>
      <c r="BG428" s="210">
        <f t="shared" si="119"/>
        <v>1</v>
      </c>
      <c r="BH428" s="210">
        <f t="shared" si="115"/>
        <v>0</v>
      </c>
      <c r="BI428" s="213" t="e">
        <f t="shared" si="112"/>
        <v>#DIV/0!</v>
      </c>
      <c r="BJ428" s="141"/>
      <c r="BK428" s="201"/>
      <c r="BL428" s="198"/>
      <c r="BM428" s="198"/>
    </row>
    <row r="429" spans="1:65" s="17" customFormat="1" ht="15.95" customHeight="1">
      <c r="A429" s="123">
        <v>315</v>
      </c>
      <c r="B429" s="9" t="s">
        <v>2207</v>
      </c>
      <c r="C429" s="11" t="s">
        <v>2208</v>
      </c>
      <c r="D429" s="229"/>
      <c r="E429" s="13"/>
      <c r="F429" s="229"/>
      <c r="G429" s="13"/>
      <c r="H429" s="229"/>
      <c r="I429" s="13"/>
      <c r="J429" s="229"/>
      <c r="K429" s="13"/>
      <c r="L429" s="229"/>
      <c r="M429" s="13"/>
      <c r="N429" s="229"/>
      <c r="O429" s="13"/>
      <c r="P429" s="229"/>
      <c r="Q429" s="13"/>
      <c r="R429" s="229"/>
      <c r="S429" s="13"/>
      <c r="T429" s="229"/>
      <c r="U429" s="13"/>
      <c r="V429" s="229"/>
      <c r="W429" s="13"/>
      <c r="X429" s="229"/>
      <c r="Y429" s="13"/>
      <c r="Z429" s="229"/>
      <c r="AA429" s="13"/>
      <c r="AB429" s="229">
        <f>D429+F429+H429+J429+L429+N429+P429+R429+T429+V429+X429+Z429</f>
        <v>0</v>
      </c>
      <c r="AC429" s="228">
        <f t="shared" si="117"/>
        <v>0</v>
      </c>
      <c r="AD429" s="21">
        <v>0</v>
      </c>
      <c r="AE429" s="229"/>
      <c r="AF429" s="20"/>
      <c r="AG429" s="229"/>
      <c r="AH429" s="20"/>
      <c r="AI429" s="229"/>
      <c r="AJ429" s="20"/>
      <c r="AK429" s="229"/>
      <c r="AL429" s="20"/>
      <c r="AM429" s="229"/>
      <c r="AN429" s="20"/>
      <c r="AO429" s="229"/>
      <c r="AP429" s="20"/>
      <c r="AQ429" s="229"/>
      <c r="AR429" s="20"/>
      <c r="AS429" s="229"/>
      <c r="AT429" s="20"/>
      <c r="AU429" s="229"/>
      <c r="AV429" s="20"/>
      <c r="AW429" s="229"/>
      <c r="AX429" s="20"/>
      <c r="AY429" s="229"/>
      <c r="AZ429" s="20"/>
      <c r="BA429" s="229"/>
      <c r="BB429" s="20"/>
      <c r="BC429" s="229">
        <f>AE429+AG429+AI429+AK429+AM429+AO429+AQ429+AS429+AU429+AW429+AY429+BA429</f>
        <v>0</v>
      </c>
      <c r="BD429" s="48">
        <f t="shared" si="118"/>
        <v>0</v>
      </c>
      <c r="BE429" s="19">
        <v>5</v>
      </c>
      <c r="BF429" s="229">
        <f>AB429+BC429</f>
        <v>0</v>
      </c>
      <c r="BG429" s="210">
        <f t="shared" si="119"/>
        <v>0</v>
      </c>
      <c r="BH429" s="210">
        <f t="shared" si="115"/>
        <v>5</v>
      </c>
      <c r="BI429" s="213">
        <f t="shared" si="112"/>
        <v>0</v>
      </c>
      <c r="BJ429" s="141"/>
      <c r="BK429" s="201"/>
      <c r="BL429" s="198"/>
      <c r="BM429" s="198"/>
    </row>
    <row r="430" spans="1:65" s="17" customFormat="1" ht="15.95" customHeight="1">
      <c r="A430" s="123">
        <v>316</v>
      </c>
      <c r="B430" s="9" t="s">
        <v>3163</v>
      </c>
      <c r="C430" s="11" t="s">
        <v>3164</v>
      </c>
      <c r="D430" s="229"/>
      <c r="E430" s="13"/>
      <c r="F430" s="229"/>
      <c r="G430" s="13"/>
      <c r="H430" s="229"/>
      <c r="I430" s="13"/>
      <c r="J430" s="229"/>
      <c r="K430" s="13"/>
      <c r="L430" s="229"/>
      <c r="M430" s="13"/>
      <c r="N430" s="229"/>
      <c r="O430" s="13"/>
      <c r="P430" s="229"/>
      <c r="Q430" s="13"/>
      <c r="R430" s="229"/>
      <c r="S430" s="13"/>
      <c r="T430" s="229"/>
      <c r="U430" s="13"/>
      <c r="V430" s="229"/>
      <c r="W430" s="13"/>
      <c r="X430" s="229"/>
      <c r="Y430" s="13"/>
      <c r="Z430" s="229"/>
      <c r="AA430" s="13"/>
      <c r="AB430" s="229"/>
      <c r="AC430" s="228">
        <f t="shared" si="117"/>
        <v>0</v>
      </c>
      <c r="AD430" s="21">
        <v>0</v>
      </c>
      <c r="AE430" s="229"/>
      <c r="AF430" s="20"/>
      <c r="AG430" s="229"/>
      <c r="AH430" s="20"/>
      <c r="AI430" s="229"/>
      <c r="AJ430" s="20"/>
      <c r="AK430" s="229"/>
      <c r="AL430" s="20"/>
      <c r="AM430" s="229"/>
      <c r="AN430" s="20"/>
      <c r="AO430" s="229"/>
      <c r="AP430" s="20">
        <v>1</v>
      </c>
      <c r="AQ430" s="229"/>
      <c r="AR430" s="20"/>
      <c r="AS430" s="229"/>
      <c r="AT430" s="20"/>
      <c r="AU430" s="229"/>
      <c r="AV430" s="20"/>
      <c r="AW430" s="229"/>
      <c r="AX430" s="20"/>
      <c r="AY430" s="229"/>
      <c r="AZ430" s="20"/>
      <c r="BA430" s="229"/>
      <c r="BB430" s="20"/>
      <c r="BC430" s="229"/>
      <c r="BD430" s="48">
        <f t="shared" si="118"/>
        <v>1</v>
      </c>
      <c r="BE430" s="19">
        <v>0</v>
      </c>
      <c r="BF430" s="229"/>
      <c r="BG430" s="210">
        <f t="shared" si="119"/>
        <v>1</v>
      </c>
      <c r="BH430" s="210">
        <f t="shared" si="115"/>
        <v>0</v>
      </c>
      <c r="BI430" s="213" t="e">
        <f t="shared" si="112"/>
        <v>#DIV/0!</v>
      </c>
      <c r="BJ430" s="141"/>
      <c r="BK430" s="201"/>
      <c r="BL430" s="198"/>
      <c r="BM430" s="198"/>
    </row>
    <row r="431" spans="1:65" s="17" customFormat="1" ht="15.95" customHeight="1">
      <c r="A431" s="123">
        <v>317</v>
      </c>
      <c r="B431" s="9" t="s">
        <v>1592</v>
      </c>
      <c r="C431" s="11" t="s">
        <v>1593</v>
      </c>
      <c r="D431" s="229"/>
      <c r="E431" s="13"/>
      <c r="F431" s="229"/>
      <c r="G431" s="13"/>
      <c r="H431" s="229"/>
      <c r="I431" s="13"/>
      <c r="J431" s="229"/>
      <c r="K431" s="13"/>
      <c r="L431" s="229"/>
      <c r="M431" s="13"/>
      <c r="N431" s="229"/>
      <c r="O431" s="13"/>
      <c r="P431" s="229"/>
      <c r="Q431" s="13"/>
      <c r="R431" s="229"/>
      <c r="S431" s="13"/>
      <c r="T431" s="229"/>
      <c r="U431" s="13"/>
      <c r="V431" s="229"/>
      <c r="W431" s="13"/>
      <c r="X431" s="229"/>
      <c r="Y431" s="13"/>
      <c r="Z431" s="229"/>
      <c r="AA431" s="13"/>
      <c r="AB431" s="229">
        <f t="shared" ref="AB431:AB443" si="124">D431+F431+H431+J431+L431+N431+P431+R431+T431+V431+X431+Z431</f>
        <v>0</v>
      </c>
      <c r="AC431" s="228">
        <f t="shared" si="117"/>
        <v>0</v>
      </c>
      <c r="AD431" s="21">
        <v>0</v>
      </c>
      <c r="AE431" s="229"/>
      <c r="AF431" s="20"/>
      <c r="AG431" s="229"/>
      <c r="AH431" s="20"/>
      <c r="AI431" s="229"/>
      <c r="AJ431" s="20"/>
      <c r="AK431" s="229"/>
      <c r="AL431" s="20"/>
      <c r="AM431" s="229"/>
      <c r="AN431" s="20"/>
      <c r="AO431" s="229">
        <v>1</v>
      </c>
      <c r="AP431" s="20">
        <v>1</v>
      </c>
      <c r="AQ431" s="229"/>
      <c r="AR431" s="20"/>
      <c r="AS431" s="229"/>
      <c r="AT431" s="20"/>
      <c r="AU431" s="229"/>
      <c r="AV431" s="20"/>
      <c r="AW431" s="229"/>
      <c r="AX431" s="20"/>
      <c r="AY431" s="229"/>
      <c r="AZ431" s="20"/>
      <c r="BA431" s="229"/>
      <c r="BB431" s="20"/>
      <c r="BC431" s="229">
        <f t="shared" ref="BC431:BC443" si="125">AE431+AG431+AI431+AK431+AM431+AO431+AQ431+AS431+AU431+AW431+AY431+BA431</f>
        <v>1</v>
      </c>
      <c r="BD431" s="48">
        <f t="shared" si="118"/>
        <v>1</v>
      </c>
      <c r="BE431" s="19">
        <v>1</v>
      </c>
      <c r="BF431" s="229">
        <f t="shared" ref="BF431:BF443" si="126">AB431+BC431</f>
        <v>1</v>
      </c>
      <c r="BG431" s="210">
        <f t="shared" si="119"/>
        <v>1</v>
      </c>
      <c r="BH431" s="210">
        <f t="shared" si="115"/>
        <v>1</v>
      </c>
      <c r="BI431" s="213">
        <f t="shared" si="112"/>
        <v>100</v>
      </c>
      <c r="BJ431" s="141"/>
      <c r="BK431" s="201"/>
      <c r="BL431" s="198"/>
      <c r="BM431" s="198"/>
    </row>
    <row r="432" spans="1:65" s="17" customFormat="1" ht="15.95" customHeight="1">
      <c r="A432" s="123">
        <v>318</v>
      </c>
      <c r="B432" s="9" t="s">
        <v>2387</v>
      </c>
      <c r="C432" s="11" t="s">
        <v>2388</v>
      </c>
      <c r="D432" s="229"/>
      <c r="E432" s="13"/>
      <c r="F432" s="229"/>
      <c r="G432" s="13"/>
      <c r="H432" s="229"/>
      <c r="I432" s="13"/>
      <c r="J432" s="229"/>
      <c r="K432" s="13"/>
      <c r="L432" s="229"/>
      <c r="M432" s="13"/>
      <c r="N432" s="229"/>
      <c r="O432" s="13"/>
      <c r="P432" s="229"/>
      <c r="Q432" s="13"/>
      <c r="R432" s="229"/>
      <c r="S432" s="13"/>
      <c r="T432" s="229"/>
      <c r="U432" s="13"/>
      <c r="V432" s="229"/>
      <c r="W432" s="13"/>
      <c r="X432" s="229"/>
      <c r="Y432" s="13"/>
      <c r="Z432" s="229"/>
      <c r="AA432" s="13"/>
      <c r="AB432" s="229">
        <f t="shared" si="124"/>
        <v>0</v>
      </c>
      <c r="AC432" s="228">
        <f t="shared" si="117"/>
        <v>0</v>
      </c>
      <c r="AD432" s="21">
        <v>0</v>
      </c>
      <c r="AE432" s="229"/>
      <c r="AF432" s="20"/>
      <c r="AG432" s="229"/>
      <c r="AH432" s="20"/>
      <c r="AI432" s="229">
        <v>1</v>
      </c>
      <c r="AJ432" s="20">
        <v>1</v>
      </c>
      <c r="AK432" s="229"/>
      <c r="AL432" s="20"/>
      <c r="AM432" s="229"/>
      <c r="AN432" s="20"/>
      <c r="AO432" s="229"/>
      <c r="AP432" s="20"/>
      <c r="AQ432" s="229"/>
      <c r="AR432" s="20"/>
      <c r="AS432" s="229"/>
      <c r="AT432" s="20"/>
      <c r="AU432" s="229"/>
      <c r="AV432" s="20"/>
      <c r="AW432" s="229"/>
      <c r="AX432" s="20"/>
      <c r="AY432" s="229"/>
      <c r="AZ432" s="20"/>
      <c r="BA432" s="229"/>
      <c r="BB432" s="20"/>
      <c r="BC432" s="229">
        <f t="shared" si="125"/>
        <v>1</v>
      </c>
      <c r="BD432" s="48">
        <f t="shared" si="118"/>
        <v>1</v>
      </c>
      <c r="BE432" s="19">
        <v>2</v>
      </c>
      <c r="BF432" s="229">
        <f t="shared" si="126"/>
        <v>1</v>
      </c>
      <c r="BG432" s="210">
        <f t="shared" si="119"/>
        <v>1</v>
      </c>
      <c r="BH432" s="210">
        <f t="shared" si="115"/>
        <v>2</v>
      </c>
      <c r="BI432" s="213">
        <f t="shared" si="112"/>
        <v>50</v>
      </c>
      <c r="BJ432" s="141"/>
      <c r="BK432" s="201"/>
      <c r="BL432" s="198"/>
      <c r="BM432" s="198"/>
    </row>
    <row r="433" spans="1:65" s="17" customFormat="1" ht="15.95" customHeight="1">
      <c r="A433" s="123">
        <v>319</v>
      </c>
      <c r="B433" s="9" t="s">
        <v>2675</v>
      </c>
      <c r="C433" s="11" t="s">
        <v>2676</v>
      </c>
      <c r="D433" s="229"/>
      <c r="E433" s="13"/>
      <c r="F433" s="229"/>
      <c r="G433" s="13"/>
      <c r="H433" s="229"/>
      <c r="I433" s="13"/>
      <c r="J433" s="229"/>
      <c r="K433" s="13"/>
      <c r="L433" s="229"/>
      <c r="M433" s="13"/>
      <c r="N433" s="229"/>
      <c r="O433" s="13"/>
      <c r="P433" s="229"/>
      <c r="Q433" s="13"/>
      <c r="R433" s="229"/>
      <c r="S433" s="13"/>
      <c r="T433" s="229"/>
      <c r="U433" s="13"/>
      <c r="V433" s="229"/>
      <c r="W433" s="13"/>
      <c r="X433" s="229"/>
      <c r="Y433" s="13"/>
      <c r="Z433" s="229"/>
      <c r="AA433" s="13"/>
      <c r="AB433" s="229">
        <f t="shared" si="124"/>
        <v>0</v>
      </c>
      <c r="AC433" s="228">
        <f t="shared" si="117"/>
        <v>0</v>
      </c>
      <c r="AD433" s="21">
        <v>0</v>
      </c>
      <c r="AE433" s="229"/>
      <c r="AF433" s="20"/>
      <c r="AG433" s="229"/>
      <c r="AH433" s="20"/>
      <c r="AI433" s="229"/>
      <c r="AJ433" s="20"/>
      <c r="AK433" s="229"/>
      <c r="AL433" s="20"/>
      <c r="AM433" s="229"/>
      <c r="AN433" s="20"/>
      <c r="AO433" s="229"/>
      <c r="AP433" s="20"/>
      <c r="AQ433" s="229"/>
      <c r="AR433" s="20"/>
      <c r="AS433" s="229"/>
      <c r="AT433" s="20"/>
      <c r="AU433" s="229"/>
      <c r="AV433" s="20"/>
      <c r="AW433" s="229"/>
      <c r="AX433" s="20"/>
      <c r="AY433" s="229"/>
      <c r="AZ433" s="20"/>
      <c r="BA433" s="229"/>
      <c r="BB433" s="20"/>
      <c r="BC433" s="229">
        <f t="shared" si="125"/>
        <v>0</v>
      </c>
      <c r="BD433" s="48">
        <f t="shared" si="118"/>
        <v>0</v>
      </c>
      <c r="BE433" s="19">
        <v>4</v>
      </c>
      <c r="BF433" s="229">
        <f t="shared" si="126"/>
        <v>0</v>
      </c>
      <c r="BG433" s="210">
        <f t="shared" si="119"/>
        <v>0</v>
      </c>
      <c r="BH433" s="210">
        <f t="shared" si="115"/>
        <v>4</v>
      </c>
      <c r="BI433" s="213">
        <f t="shared" ref="BI433:BI445" si="127">BG433/BH433*100</f>
        <v>0</v>
      </c>
      <c r="BJ433" s="141"/>
      <c r="BK433" s="201"/>
      <c r="BL433" s="198"/>
      <c r="BM433" s="198"/>
    </row>
    <row r="434" spans="1:65" s="17" customFormat="1" ht="15.95" customHeight="1">
      <c r="A434" s="123">
        <v>320</v>
      </c>
      <c r="B434" s="9" t="s">
        <v>2209</v>
      </c>
      <c r="C434" s="11" t="s">
        <v>2210</v>
      </c>
      <c r="D434" s="229"/>
      <c r="E434" s="13"/>
      <c r="F434" s="229"/>
      <c r="G434" s="13"/>
      <c r="H434" s="229"/>
      <c r="I434" s="13"/>
      <c r="J434" s="229"/>
      <c r="K434" s="13"/>
      <c r="L434" s="229"/>
      <c r="M434" s="13"/>
      <c r="N434" s="229"/>
      <c r="O434" s="13"/>
      <c r="P434" s="229"/>
      <c r="Q434" s="13"/>
      <c r="R434" s="229"/>
      <c r="S434" s="13"/>
      <c r="T434" s="229"/>
      <c r="U434" s="13"/>
      <c r="V434" s="229"/>
      <c r="W434" s="13"/>
      <c r="X434" s="229"/>
      <c r="Y434" s="13"/>
      <c r="Z434" s="229"/>
      <c r="AA434" s="13"/>
      <c r="AB434" s="229">
        <f t="shared" si="124"/>
        <v>0</v>
      </c>
      <c r="AC434" s="228">
        <f t="shared" si="117"/>
        <v>0</v>
      </c>
      <c r="AD434" s="21">
        <v>0</v>
      </c>
      <c r="AE434" s="229"/>
      <c r="AF434" s="20"/>
      <c r="AG434" s="229"/>
      <c r="AH434" s="20"/>
      <c r="AI434" s="229"/>
      <c r="AJ434" s="20"/>
      <c r="AK434" s="229"/>
      <c r="AL434" s="20"/>
      <c r="AM434" s="229"/>
      <c r="AN434" s="20"/>
      <c r="AO434" s="229"/>
      <c r="AP434" s="20"/>
      <c r="AQ434" s="229"/>
      <c r="AR434" s="20"/>
      <c r="AS434" s="229"/>
      <c r="AT434" s="20"/>
      <c r="AU434" s="229"/>
      <c r="AV434" s="20"/>
      <c r="AW434" s="229"/>
      <c r="AX434" s="20"/>
      <c r="AY434" s="229"/>
      <c r="AZ434" s="20"/>
      <c r="BA434" s="229"/>
      <c r="BB434" s="20"/>
      <c r="BC434" s="229">
        <f t="shared" si="125"/>
        <v>0</v>
      </c>
      <c r="BD434" s="48">
        <f t="shared" si="118"/>
        <v>0</v>
      </c>
      <c r="BE434" s="19">
        <v>2</v>
      </c>
      <c r="BF434" s="229">
        <f t="shared" si="126"/>
        <v>0</v>
      </c>
      <c r="BG434" s="210">
        <f t="shared" si="119"/>
        <v>0</v>
      </c>
      <c r="BH434" s="210">
        <f t="shared" si="115"/>
        <v>2</v>
      </c>
      <c r="BI434" s="213">
        <f t="shared" si="127"/>
        <v>0</v>
      </c>
      <c r="BJ434" s="141"/>
      <c r="BK434" s="201"/>
      <c r="BL434" s="198"/>
      <c r="BM434" s="198"/>
    </row>
    <row r="435" spans="1:65" s="17" customFormat="1" ht="15.95" customHeight="1">
      <c r="A435" s="123">
        <v>321</v>
      </c>
      <c r="B435" s="9" t="s">
        <v>981</v>
      </c>
      <c r="C435" s="11" t="s">
        <v>1636</v>
      </c>
      <c r="D435" s="229"/>
      <c r="E435" s="13"/>
      <c r="F435" s="229"/>
      <c r="G435" s="13"/>
      <c r="H435" s="229"/>
      <c r="I435" s="13"/>
      <c r="J435" s="229"/>
      <c r="K435" s="13"/>
      <c r="L435" s="229"/>
      <c r="M435" s="13"/>
      <c r="N435" s="229"/>
      <c r="O435" s="13"/>
      <c r="P435" s="229"/>
      <c r="Q435" s="13"/>
      <c r="R435" s="229"/>
      <c r="S435" s="13"/>
      <c r="T435" s="229"/>
      <c r="U435" s="13"/>
      <c r="V435" s="229"/>
      <c r="W435" s="13"/>
      <c r="X435" s="229"/>
      <c r="Y435" s="13"/>
      <c r="Z435" s="229"/>
      <c r="AA435" s="13"/>
      <c r="AB435" s="229">
        <f t="shared" si="124"/>
        <v>0</v>
      </c>
      <c r="AC435" s="228">
        <f t="shared" si="117"/>
        <v>0</v>
      </c>
      <c r="AD435" s="21">
        <v>0</v>
      </c>
      <c r="AE435" s="229"/>
      <c r="AF435" s="20"/>
      <c r="AG435" s="229"/>
      <c r="AH435" s="20"/>
      <c r="AI435" s="229">
        <v>2</v>
      </c>
      <c r="AJ435" s="20">
        <v>2</v>
      </c>
      <c r="AK435" s="229"/>
      <c r="AL435" s="20"/>
      <c r="AM435" s="229"/>
      <c r="AN435" s="20"/>
      <c r="AO435" s="229"/>
      <c r="AP435" s="20"/>
      <c r="AQ435" s="229"/>
      <c r="AR435" s="20"/>
      <c r="AS435" s="229"/>
      <c r="AT435" s="20"/>
      <c r="AU435" s="229"/>
      <c r="AV435" s="20"/>
      <c r="AW435" s="229"/>
      <c r="AX435" s="20"/>
      <c r="AY435" s="229"/>
      <c r="AZ435" s="20"/>
      <c r="BA435" s="229"/>
      <c r="BB435" s="20"/>
      <c r="BC435" s="229">
        <f t="shared" si="125"/>
        <v>2</v>
      </c>
      <c r="BD435" s="48">
        <f t="shared" si="118"/>
        <v>2</v>
      </c>
      <c r="BE435" s="19">
        <v>0</v>
      </c>
      <c r="BF435" s="229">
        <f t="shared" si="126"/>
        <v>2</v>
      </c>
      <c r="BG435" s="210">
        <f t="shared" si="119"/>
        <v>2</v>
      </c>
      <c r="BH435" s="210">
        <f t="shared" si="115"/>
        <v>0</v>
      </c>
      <c r="BI435" s="213" t="e">
        <f t="shared" si="127"/>
        <v>#DIV/0!</v>
      </c>
      <c r="BJ435" s="141"/>
      <c r="BK435" s="201"/>
      <c r="BL435" s="198"/>
      <c r="BM435" s="198"/>
    </row>
    <row r="436" spans="1:65" s="17" customFormat="1" ht="15.95" customHeight="1">
      <c r="A436" s="123">
        <v>322</v>
      </c>
      <c r="B436" s="9" t="s">
        <v>3000</v>
      </c>
      <c r="C436" s="15" t="s">
        <v>3001</v>
      </c>
      <c r="D436" s="229"/>
      <c r="E436" s="13"/>
      <c r="F436" s="229"/>
      <c r="G436" s="13"/>
      <c r="H436" s="229"/>
      <c r="I436" s="13"/>
      <c r="J436" s="229"/>
      <c r="K436" s="13"/>
      <c r="L436" s="229"/>
      <c r="M436" s="13"/>
      <c r="N436" s="229"/>
      <c r="O436" s="13"/>
      <c r="P436" s="229"/>
      <c r="Q436" s="13"/>
      <c r="R436" s="229"/>
      <c r="S436" s="13"/>
      <c r="T436" s="229"/>
      <c r="U436" s="13"/>
      <c r="V436" s="229"/>
      <c r="W436" s="13"/>
      <c r="X436" s="229"/>
      <c r="Y436" s="13"/>
      <c r="Z436" s="229"/>
      <c r="AA436" s="13"/>
      <c r="AB436" s="229">
        <f t="shared" si="124"/>
        <v>0</v>
      </c>
      <c r="AC436" s="228">
        <f t="shared" si="117"/>
        <v>0</v>
      </c>
      <c r="AD436" s="21">
        <v>0</v>
      </c>
      <c r="AE436" s="229"/>
      <c r="AF436" s="20"/>
      <c r="AG436" s="229"/>
      <c r="AH436" s="20"/>
      <c r="AI436" s="229">
        <v>1</v>
      </c>
      <c r="AJ436" s="20">
        <v>1</v>
      </c>
      <c r="AK436" s="229"/>
      <c r="AL436" s="20"/>
      <c r="AM436" s="229"/>
      <c r="AN436" s="20"/>
      <c r="AO436" s="229">
        <v>1</v>
      </c>
      <c r="AP436" s="20">
        <v>1</v>
      </c>
      <c r="AQ436" s="229"/>
      <c r="AR436" s="20"/>
      <c r="AS436" s="229"/>
      <c r="AT436" s="20"/>
      <c r="AU436" s="229"/>
      <c r="AV436" s="20"/>
      <c r="AW436" s="229"/>
      <c r="AX436" s="20"/>
      <c r="AY436" s="229"/>
      <c r="AZ436" s="20"/>
      <c r="BA436" s="229"/>
      <c r="BB436" s="20"/>
      <c r="BC436" s="229">
        <f t="shared" si="125"/>
        <v>2</v>
      </c>
      <c r="BD436" s="48">
        <f t="shared" si="118"/>
        <v>2</v>
      </c>
      <c r="BE436" s="19">
        <v>0</v>
      </c>
      <c r="BF436" s="229">
        <f t="shared" si="126"/>
        <v>2</v>
      </c>
      <c r="BG436" s="210">
        <f t="shared" si="119"/>
        <v>2</v>
      </c>
      <c r="BH436" s="210">
        <f t="shared" si="115"/>
        <v>0</v>
      </c>
      <c r="BI436" s="213" t="e">
        <f t="shared" si="127"/>
        <v>#DIV/0!</v>
      </c>
      <c r="BJ436" s="141"/>
      <c r="BK436" s="201"/>
      <c r="BL436" s="198"/>
      <c r="BM436" s="198"/>
    </row>
    <row r="437" spans="1:65" s="17" customFormat="1" ht="15.95" customHeight="1">
      <c r="A437" s="123">
        <v>323</v>
      </c>
      <c r="B437" s="9" t="s">
        <v>1508</v>
      </c>
      <c r="C437" s="11" t="s">
        <v>1665</v>
      </c>
      <c r="D437" s="229"/>
      <c r="E437" s="13"/>
      <c r="F437" s="229"/>
      <c r="G437" s="13"/>
      <c r="H437" s="229">
        <f>13+4</f>
        <v>17</v>
      </c>
      <c r="I437" s="13">
        <f>18+4</f>
        <v>22</v>
      </c>
      <c r="J437" s="229"/>
      <c r="K437" s="13"/>
      <c r="L437" s="229"/>
      <c r="M437" s="13"/>
      <c r="N437" s="229"/>
      <c r="O437" s="13"/>
      <c r="P437" s="229"/>
      <c r="Q437" s="13"/>
      <c r="R437" s="229"/>
      <c r="S437" s="13"/>
      <c r="T437" s="229"/>
      <c r="U437" s="13">
        <v>61</v>
      </c>
      <c r="V437" s="229"/>
      <c r="W437" s="13"/>
      <c r="X437" s="229"/>
      <c r="Y437" s="13"/>
      <c r="Z437" s="229"/>
      <c r="AA437" s="13">
        <v>32</v>
      </c>
      <c r="AB437" s="229">
        <f t="shared" si="124"/>
        <v>17</v>
      </c>
      <c r="AC437" s="228">
        <f t="shared" si="117"/>
        <v>115</v>
      </c>
      <c r="AD437" s="21">
        <v>108</v>
      </c>
      <c r="AE437" s="229"/>
      <c r="AF437" s="20"/>
      <c r="AG437" s="229"/>
      <c r="AH437" s="20"/>
      <c r="AI437" s="229">
        <v>1</v>
      </c>
      <c r="AJ437" s="20">
        <v>1</v>
      </c>
      <c r="AK437" s="229"/>
      <c r="AL437" s="20"/>
      <c r="AM437" s="229"/>
      <c r="AN437" s="20"/>
      <c r="AO437" s="229">
        <v>21</v>
      </c>
      <c r="AP437" s="20">
        <v>42</v>
      </c>
      <c r="AQ437" s="229"/>
      <c r="AR437" s="20"/>
      <c r="AS437" s="229"/>
      <c r="AT437" s="20"/>
      <c r="AU437" s="229"/>
      <c r="AV437" s="20"/>
      <c r="AW437" s="229"/>
      <c r="AX437" s="20"/>
      <c r="AY437" s="229"/>
      <c r="AZ437" s="20"/>
      <c r="BA437" s="229"/>
      <c r="BB437" s="20">
        <f>1+13+1</f>
        <v>15</v>
      </c>
      <c r="BC437" s="229">
        <f t="shared" si="125"/>
        <v>22</v>
      </c>
      <c r="BD437" s="48">
        <f t="shared" si="118"/>
        <v>58</v>
      </c>
      <c r="BE437" s="19">
        <v>0</v>
      </c>
      <c r="BF437" s="229">
        <f t="shared" si="126"/>
        <v>39</v>
      </c>
      <c r="BG437" s="210">
        <f t="shared" si="119"/>
        <v>173</v>
      </c>
      <c r="BH437" s="210">
        <f t="shared" si="115"/>
        <v>108</v>
      </c>
      <c r="BI437" s="213">
        <f t="shared" si="127"/>
        <v>160.18518518518519</v>
      </c>
      <c r="BJ437" s="141"/>
      <c r="BK437" s="201"/>
      <c r="BL437" s="198"/>
      <c r="BM437" s="198"/>
    </row>
    <row r="438" spans="1:65" s="17" customFormat="1" ht="15.95" customHeight="1">
      <c r="A438" s="123">
        <v>324</v>
      </c>
      <c r="B438" s="9" t="s">
        <v>1898</v>
      </c>
      <c r="C438" s="11" t="s">
        <v>1899</v>
      </c>
      <c r="D438" s="229"/>
      <c r="E438" s="13"/>
      <c r="F438" s="229"/>
      <c r="G438" s="13"/>
      <c r="H438" s="229"/>
      <c r="I438" s="13"/>
      <c r="J438" s="229"/>
      <c r="K438" s="13"/>
      <c r="L438" s="229"/>
      <c r="M438" s="13"/>
      <c r="N438" s="229"/>
      <c r="O438" s="13"/>
      <c r="P438" s="229"/>
      <c r="Q438" s="13"/>
      <c r="R438" s="229"/>
      <c r="S438" s="13"/>
      <c r="T438" s="229"/>
      <c r="U438" s="13"/>
      <c r="V438" s="229"/>
      <c r="W438" s="13"/>
      <c r="X438" s="229"/>
      <c r="Y438" s="13"/>
      <c r="Z438" s="229"/>
      <c r="AA438" s="13"/>
      <c r="AB438" s="229">
        <f t="shared" si="124"/>
        <v>0</v>
      </c>
      <c r="AC438" s="228">
        <f t="shared" si="117"/>
        <v>0</v>
      </c>
      <c r="AD438" s="21">
        <v>38</v>
      </c>
      <c r="AE438" s="229"/>
      <c r="AF438" s="20"/>
      <c r="AG438" s="229"/>
      <c r="AH438" s="20"/>
      <c r="AI438" s="229"/>
      <c r="AJ438" s="20"/>
      <c r="AK438" s="229"/>
      <c r="AL438" s="20"/>
      <c r="AM438" s="229"/>
      <c r="AN438" s="20"/>
      <c r="AO438" s="229"/>
      <c r="AP438" s="20"/>
      <c r="AQ438" s="229"/>
      <c r="AR438" s="20"/>
      <c r="AS438" s="229"/>
      <c r="AT438" s="20"/>
      <c r="AU438" s="229"/>
      <c r="AV438" s="20"/>
      <c r="AW438" s="229"/>
      <c r="AX438" s="20"/>
      <c r="AY438" s="229"/>
      <c r="AZ438" s="20"/>
      <c r="BA438" s="229"/>
      <c r="BB438" s="20"/>
      <c r="BC438" s="229">
        <f t="shared" si="125"/>
        <v>0</v>
      </c>
      <c r="BD438" s="48">
        <f t="shared" si="118"/>
        <v>0</v>
      </c>
      <c r="BE438" s="19">
        <v>0</v>
      </c>
      <c r="BF438" s="229">
        <f t="shared" si="126"/>
        <v>0</v>
      </c>
      <c r="BG438" s="210">
        <f t="shared" si="119"/>
        <v>0</v>
      </c>
      <c r="BH438" s="210">
        <f t="shared" si="115"/>
        <v>38</v>
      </c>
      <c r="BI438" s="213">
        <f t="shared" si="127"/>
        <v>0</v>
      </c>
      <c r="BJ438" s="141"/>
      <c r="BK438" s="201"/>
      <c r="BL438" s="198"/>
      <c r="BM438" s="198"/>
    </row>
    <row r="439" spans="1:65" s="17" customFormat="1" ht="15.95" customHeight="1">
      <c r="A439" s="123">
        <v>325</v>
      </c>
      <c r="B439" s="9" t="s">
        <v>720</v>
      </c>
      <c r="C439" s="11" t="s">
        <v>721</v>
      </c>
      <c r="D439" s="229"/>
      <c r="E439" s="13"/>
      <c r="F439" s="229"/>
      <c r="G439" s="13"/>
      <c r="H439" s="229"/>
      <c r="I439" s="13"/>
      <c r="J439" s="229"/>
      <c r="K439" s="13"/>
      <c r="L439" s="229"/>
      <c r="M439" s="13"/>
      <c r="N439" s="229"/>
      <c r="O439" s="13"/>
      <c r="P439" s="229"/>
      <c r="Q439" s="13"/>
      <c r="R439" s="229"/>
      <c r="S439" s="13"/>
      <c r="T439" s="229"/>
      <c r="U439" s="13"/>
      <c r="V439" s="229"/>
      <c r="W439" s="13"/>
      <c r="X439" s="229"/>
      <c r="Y439" s="13"/>
      <c r="Z439" s="229"/>
      <c r="AA439" s="13"/>
      <c r="AB439" s="229">
        <f t="shared" si="124"/>
        <v>0</v>
      </c>
      <c r="AC439" s="228">
        <f t="shared" si="117"/>
        <v>0</v>
      </c>
      <c r="AD439" s="19">
        <v>0</v>
      </c>
      <c r="AE439" s="229"/>
      <c r="AF439" s="20"/>
      <c r="AG439" s="229"/>
      <c r="AH439" s="20"/>
      <c r="AI439" s="229"/>
      <c r="AJ439" s="20"/>
      <c r="AK439" s="229"/>
      <c r="AL439" s="20"/>
      <c r="AM439" s="229"/>
      <c r="AN439" s="20"/>
      <c r="AO439" s="229">
        <v>1</v>
      </c>
      <c r="AP439" s="20">
        <v>1</v>
      </c>
      <c r="AQ439" s="229"/>
      <c r="AR439" s="20"/>
      <c r="AS439" s="229"/>
      <c r="AT439" s="20"/>
      <c r="AU439" s="229"/>
      <c r="AV439" s="20"/>
      <c r="AW439" s="229"/>
      <c r="AX439" s="20"/>
      <c r="AY439" s="229"/>
      <c r="AZ439" s="20"/>
      <c r="BA439" s="229"/>
      <c r="BB439" s="20"/>
      <c r="BC439" s="229">
        <f t="shared" si="125"/>
        <v>1</v>
      </c>
      <c r="BD439" s="48">
        <f t="shared" si="118"/>
        <v>1</v>
      </c>
      <c r="BE439" s="19">
        <v>7</v>
      </c>
      <c r="BF439" s="229">
        <f t="shared" si="126"/>
        <v>1</v>
      </c>
      <c r="BG439" s="210">
        <f t="shared" si="119"/>
        <v>1</v>
      </c>
      <c r="BH439" s="210">
        <f t="shared" si="115"/>
        <v>7</v>
      </c>
      <c r="BI439" s="213">
        <f t="shared" si="127"/>
        <v>14.285714285714285</v>
      </c>
      <c r="BJ439" s="141"/>
      <c r="BK439" s="201"/>
      <c r="BL439" s="198"/>
      <c r="BM439" s="198"/>
    </row>
    <row r="440" spans="1:65" s="17" customFormat="1" ht="15.95" customHeight="1">
      <c r="A440" s="123">
        <v>326</v>
      </c>
      <c r="B440" s="9" t="s">
        <v>2677</v>
      </c>
      <c r="C440" s="11" t="s">
        <v>2678</v>
      </c>
      <c r="D440" s="229"/>
      <c r="E440" s="13"/>
      <c r="F440" s="229"/>
      <c r="G440" s="13"/>
      <c r="H440" s="229"/>
      <c r="I440" s="13"/>
      <c r="J440" s="229"/>
      <c r="K440" s="13"/>
      <c r="L440" s="229"/>
      <c r="M440" s="13"/>
      <c r="N440" s="229"/>
      <c r="O440" s="13"/>
      <c r="P440" s="229"/>
      <c r="Q440" s="13"/>
      <c r="R440" s="229"/>
      <c r="S440" s="13"/>
      <c r="T440" s="229"/>
      <c r="U440" s="13"/>
      <c r="V440" s="229"/>
      <c r="W440" s="13"/>
      <c r="X440" s="229"/>
      <c r="Y440" s="13"/>
      <c r="Z440" s="229"/>
      <c r="AA440" s="13"/>
      <c r="AB440" s="229">
        <f t="shared" si="124"/>
        <v>0</v>
      </c>
      <c r="AC440" s="228">
        <f t="shared" si="117"/>
        <v>0</v>
      </c>
      <c r="AD440" s="19">
        <v>0</v>
      </c>
      <c r="AE440" s="229"/>
      <c r="AF440" s="20"/>
      <c r="AG440" s="229"/>
      <c r="AH440" s="20"/>
      <c r="AI440" s="229"/>
      <c r="AJ440" s="20"/>
      <c r="AK440" s="229"/>
      <c r="AL440" s="20"/>
      <c r="AM440" s="229"/>
      <c r="AN440" s="20"/>
      <c r="AO440" s="229"/>
      <c r="AP440" s="20"/>
      <c r="AQ440" s="229"/>
      <c r="AR440" s="20"/>
      <c r="AS440" s="229"/>
      <c r="AT440" s="20"/>
      <c r="AU440" s="229"/>
      <c r="AV440" s="20"/>
      <c r="AW440" s="229"/>
      <c r="AX440" s="20"/>
      <c r="AY440" s="229"/>
      <c r="AZ440" s="20"/>
      <c r="BA440" s="229"/>
      <c r="BB440" s="20"/>
      <c r="BC440" s="229">
        <f t="shared" si="125"/>
        <v>0</v>
      </c>
      <c r="BD440" s="48">
        <f t="shared" si="118"/>
        <v>0</v>
      </c>
      <c r="BE440" s="19">
        <v>4</v>
      </c>
      <c r="BF440" s="229">
        <f t="shared" si="126"/>
        <v>0</v>
      </c>
      <c r="BG440" s="210">
        <f t="shared" si="119"/>
        <v>0</v>
      </c>
      <c r="BH440" s="210">
        <f t="shared" si="115"/>
        <v>4</v>
      </c>
      <c r="BI440" s="213">
        <f t="shared" si="127"/>
        <v>0</v>
      </c>
      <c r="BJ440" s="141"/>
      <c r="BK440" s="201"/>
      <c r="BL440" s="198"/>
      <c r="BM440" s="198"/>
    </row>
    <row r="441" spans="1:65" s="17" customFormat="1" ht="15.95" customHeight="1">
      <c r="A441" s="123">
        <v>327</v>
      </c>
      <c r="B441" s="9" t="s">
        <v>2214</v>
      </c>
      <c r="C441" s="11" t="s">
        <v>2215</v>
      </c>
      <c r="D441" s="229"/>
      <c r="E441" s="13"/>
      <c r="F441" s="229"/>
      <c r="G441" s="13"/>
      <c r="H441" s="229"/>
      <c r="I441" s="13"/>
      <c r="J441" s="229"/>
      <c r="K441" s="13"/>
      <c r="L441" s="229"/>
      <c r="M441" s="13"/>
      <c r="N441" s="229"/>
      <c r="O441" s="13"/>
      <c r="P441" s="229"/>
      <c r="Q441" s="13"/>
      <c r="R441" s="229"/>
      <c r="S441" s="13"/>
      <c r="T441" s="229"/>
      <c r="U441" s="13"/>
      <c r="V441" s="229"/>
      <c r="W441" s="13"/>
      <c r="X441" s="229"/>
      <c r="Y441" s="13"/>
      <c r="Z441" s="229"/>
      <c r="AA441" s="13"/>
      <c r="AB441" s="229">
        <f t="shared" si="124"/>
        <v>0</v>
      </c>
      <c r="AC441" s="228">
        <f t="shared" si="117"/>
        <v>0</v>
      </c>
      <c r="AD441" s="21">
        <v>0</v>
      </c>
      <c r="AE441" s="229"/>
      <c r="AF441" s="20"/>
      <c r="AG441" s="229"/>
      <c r="AH441" s="20"/>
      <c r="AI441" s="229">
        <f>1+1</f>
        <v>2</v>
      </c>
      <c r="AJ441" s="20">
        <f>2+1</f>
        <v>3</v>
      </c>
      <c r="AK441" s="229"/>
      <c r="AL441" s="20"/>
      <c r="AM441" s="229"/>
      <c r="AN441" s="20"/>
      <c r="AO441" s="229">
        <v>2</v>
      </c>
      <c r="AP441" s="20">
        <v>2</v>
      </c>
      <c r="AQ441" s="229"/>
      <c r="AR441" s="20"/>
      <c r="AS441" s="229"/>
      <c r="AT441" s="20"/>
      <c r="AU441" s="229"/>
      <c r="AV441" s="20"/>
      <c r="AW441" s="229"/>
      <c r="AX441" s="20"/>
      <c r="AY441" s="229"/>
      <c r="AZ441" s="20"/>
      <c r="BA441" s="229"/>
      <c r="BB441" s="20"/>
      <c r="BC441" s="229">
        <f t="shared" si="125"/>
        <v>4</v>
      </c>
      <c r="BD441" s="48">
        <f t="shared" si="118"/>
        <v>5</v>
      </c>
      <c r="BE441" s="19">
        <v>4</v>
      </c>
      <c r="BF441" s="229">
        <f t="shared" si="126"/>
        <v>4</v>
      </c>
      <c r="BG441" s="210">
        <f t="shared" si="119"/>
        <v>5</v>
      </c>
      <c r="BH441" s="210">
        <f t="shared" si="115"/>
        <v>4</v>
      </c>
      <c r="BI441" s="213">
        <f t="shared" si="127"/>
        <v>125</v>
      </c>
      <c r="BJ441" s="141"/>
      <c r="BK441" s="201"/>
      <c r="BL441" s="198"/>
      <c r="BM441" s="198"/>
    </row>
    <row r="442" spans="1:65" s="17" customFormat="1" ht="15.95" customHeight="1">
      <c r="A442" s="123">
        <v>328</v>
      </c>
      <c r="B442" s="9" t="s">
        <v>1339</v>
      </c>
      <c r="C442" s="11" t="s">
        <v>1340</v>
      </c>
      <c r="D442" s="229"/>
      <c r="E442" s="13"/>
      <c r="F442" s="229"/>
      <c r="G442" s="13"/>
      <c r="H442" s="229"/>
      <c r="I442" s="13"/>
      <c r="J442" s="229"/>
      <c r="K442" s="13"/>
      <c r="L442" s="229"/>
      <c r="M442" s="13"/>
      <c r="N442" s="229"/>
      <c r="O442" s="13"/>
      <c r="P442" s="229"/>
      <c r="Q442" s="13"/>
      <c r="R442" s="229"/>
      <c r="S442" s="13"/>
      <c r="T442" s="229"/>
      <c r="U442" s="13"/>
      <c r="V442" s="229"/>
      <c r="W442" s="13"/>
      <c r="X442" s="229"/>
      <c r="Y442" s="13"/>
      <c r="Z442" s="229"/>
      <c r="AA442" s="13"/>
      <c r="AB442" s="229">
        <f t="shared" si="124"/>
        <v>0</v>
      </c>
      <c r="AC442" s="228">
        <f t="shared" si="117"/>
        <v>0</v>
      </c>
      <c r="AD442" s="21">
        <v>0</v>
      </c>
      <c r="AE442" s="229"/>
      <c r="AF442" s="20"/>
      <c r="AG442" s="229"/>
      <c r="AH442" s="20"/>
      <c r="AI442" s="229">
        <v>1</v>
      </c>
      <c r="AJ442" s="20">
        <v>1</v>
      </c>
      <c r="AK442" s="229"/>
      <c r="AL442" s="20"/>
      <c r="AM442" s="229"/>
      <c r="AN442" s="20"/>
      <c r="AO442" s="229">
        <v>2</v>
      </c>
      <c r="AP442" s="20">
        <v>2</v>
      </c>
      <c r="AQ442" s="229"/>
      <c r="AR442" s="20"/>
      <c r="AS442" s="229"/>
      <c r="AT442" s="20"/>
      <c r="AU442" s="229"/>
      <c r="AV442" s="20">
        <v>1</v>
      </c>
      <c r="AW442" s="229"/>
      <c r="AX442" s="20"/>
      <c r="AY442" s="229"/>
      <c r="AZ442" s="20"/>
      <c r="BA442" s="229"/>
      <c r="BB442" s="20">
        <v>3</v>
      </c>
      <c r="BC442" s="229">
        <f t="shared" si="125"/>
        <v>3</v>
      </c>
      <c r="BD442" s="48">
        <f t="shared" si="118"/>
        <v>7</v>
      </c>
      <c r="BE442" s="19">
        <f>4+10</f>
        <v>14</v>
      </c>
      <c r="BF442" s="229">
        <f t="shared" si="126"/>
        <v>3</v>
      </c>
      <c r="BG442" s="210">
        <f t="shared" si="119"/>
        <v>7</v>
      </c>
      <c r="BH442" s="210">
        <f t="shared" si="115"/>
        <v>14</v>
      </c>
      <c r="BI442" s="213">
        <f t="shared" si="127"/>
        <v>50</v>
      </c>
      <c r="BJ442" s="141"/>
      <c r="BK442" s="201"/>
      <c r="BL442" s="198"/>
      <c r="BM442" s="198"/>
    </row>
    <row r="443" spans="1:65" s="17" customFormat="1" ht="15.95" customHeight="1">
      <c r="A443" s="123">
        <v>329</v>
      </c>
      <c r="B443" s="9" t="s">
        <v>1723</v>
      </c>
      <c r="C443" s="11" t="s">
        <v>1423</v>
      </c>
      <c r="D443" s="229"/>
      <c r="E443" s="13"/>
      <c r="F443" s="229"/>
      <c r="G443" s="13"/>
      <c r="H443" s="229"/>
      <c r="I443" s="13"/>
      <c r="J443" s="229"/>
      <c r="K443" s="13"/>
      <c r="L443" s="229"/>
      <c r="M443" s="13"/>
      <c r="N443" s="229"/>
      <c r="O443" s="13"/>
      <c r="P443" s="229"/>
      <c r="Q443" s="13"/>
      <c r="R443" s="229"/>
      <c r="S443" s="13"/>
      <c r="T443" s="229"/>
      <c r="U443" s="13"/>
      <c r="V443" s="229"/>
      <c r="W443" s="13"/>
      <c r="X443" s="229"/>
      <c r="Y443" s="13"/>
      <c r="Z443" s="229"/>
      <c r="AA443" s="13"/>
      <c r="AB443" s="229">
        <f t="shared" si="124"/>
        <v>0</v>
      </c>
      <c r="AC443" s="228">
        <f t="shared" si="117"/>
        <v>0</v>
      </c>
      <c r="AD443" s="21">
        <v>0</v>
      </c>
      <c r="AE443" s="229"/>
      <c r="AF443" s="20"/>
      <c r="AG443" s="229"/>
      <c r="AH443" s="20"/>
      <c r="AI443" s="229"/>
      <c r="AJ443" s="20"/>
      <c r="AK443" s="229"/>
      <c r="AL443" s="20"/>
      <c r="AM443" s="229"/>
      <c r="AN443" s="20"/>
      <c r="AO443" s="229"/>
      <c r="AP443" s="20"/>
      <c r="AQ443" s="229"/>
      <c r="AR443" s="20"/>
      <c r="AS443" s="229"/>
      <c r="AT443" s="20"/>
      <c r="AU443" s="229"/>
      <c r="AV443" s="20"/>
      <c r="AW443" s="229"/>
      <c r="AX443" s="20"/>
      <c r="AY443" s="229"/>
      <c r="AZ443" s="20"/>
      <c r="BA443" s="229"/>
      <c r="BB443" s="20"/>
      <c r="BC443" s="229">
        <f t="shared" si="125"/>
        <v>0</v>
      </c>
      <c r="BD443" s="48">
        <f t="shared" si="118"/>
        <v>0</v>
      </c>
      <c r="BE443" s="19">
        <v>4</v>
      </c>
      <c r="BF443" s="229">
        <f t="shared" si="126"/>
        <v>0</v>
      </c>
      <c r="BG443" s="210">
        <f t="shared" si="119"/>
        <v>0</v>
      </c>
      <c r="BH443" s="210">
        <f t="shared" si="115"/>
        <v>4</v>
      </c>
      <c r="BI443" s="213">
        <f t="shared" si="127"/>
        <v>0</v>
      </c>
      <c r="BJ443" s="141"/>
      <c r="BK443" s="201"/>
      <c r="BL443" s="198"/>
      <c r="BM443" s="198"/>
    </row>
    <row r="444" spans="1:65" s="17" customFormat="1" ht="15.95" customHeight="1">
      <c r="A444" s="123">
        <v>330</v>
      </c>
      <c r="B444" s="321" t="s">
        <v>985</v>
      </c>
      <c r="C444" s="322" t="s">
        <v>986</v>
      </c>
      <c r="D444" s="323"/>
      <c r="E444" s="324"/>
      <c r="F444" s="323"/>
      <c r="G444" s="324"/>
      <c r="H444" s="323"/>
      <c r="I444" s="324"/>
      <c r="J444" s="323"/>
      <c r="K444" s="324"/>
      <c r="L444" s="323"/>
      <c r="M444" s="324"/>
      <c r="N444" s="323"/>
      <c r="O444" s="324"/>
      <c r="P444" s="323"/>
      <c r="Q444" s="324"/>
      <c r="R444" s="323"/>
      <c r="S444" s="324"/>
      <c r="T444" s="323"/>
      <c r="U444" s="324"/>
      <c r="V444" s="323"/>
      <c r="W444" s="324"/>
      <c r="X444" s="323"/>
      <c r="Y444" s="324"/>
      <c r="Z444" s="323"/>
      <c r="AA444" s="324"/>
      <c r="AB444" s="323"/>
      <c r="AC444" s="228">
        <f t="shared" si="117"/>
        <v>0</v>
      </c>
      <c r="AD444" s="329">
        <v>0</v>
      </c>
      <c r="AE444" s="323"/>
      <c r="AF444" s="327"/>
      <c r="AG444" s="323"/>
      <c r="AH444" s="327"/>
      <c r="AI444" s="323"/>
      <c r="AJ444" s="327"/>
      <c r="AK444" s="323"/>
      <c r="AL444" s="327"/>
      <c r="AM444" s="323"/>
      <c r="AN444" s="327"/>
      <c r="AO444" s="323"/>
      <c r="AP444" s="327"/>
      <c r="AQ444" s="323"/>
      <c r="AR444" s="327"/>
      <c r="AS444" s="323"/>
      <c r="AT444" s="327"/>
      <c r="AU444" s="323"/>
      <c r="AV444" s="327"/>
      <c r="AW444" s="323"/>
      <c r="AX444" s="327"/>
      <c r="AY444" s="323"/>
      <c r="AZ444" s="327"/>
      <c r="BA444" s="323"/>
      <c r="BB444" s="327">
        <f>4+1</f>
        <v>5</v>
      </c>
      <c r="BC444" s="323"/>
      <c r="BD444" s="48">
        <f t="shared" si="118"/>
        <v>5</v>
      </c>
      <c r="BE444" s="326">
        <v>0</v>
      </c>
      <c r="BF444" s="323"/>
      <c r="BG444" s="210">
        <f t="shared" si="119"/>
        <v>5</v>
      </c>
      <c r="BH444" s="210">
        <f t="shared" si="115"/>
        <v>0</v>
      </c>
      <c r="BI444" s="213" t="e">
        <f t="shared" si="127"/>
        <v>#DIV/0!</v>
      </c>
      <c r="BJ444" s="141"/>
      <c r="BK444" s="201"/>
      <c r="BL444" s="198"/>
      <c r="BM444" s="198"/>
    </row>
    <row r="445" spans="1:65" s="17" customFormat="1" ht="15.95" customHeight="1">
      <c r="A445" s="123">
        <v>331</v>
      </c>
      <c r="B445" s="9" t="s">
        <v>94</v>
      </c>
      <c r="C445" s="15" t="s">
        <v>95</v>
      </c>
      <c r="D445" s="229"/>
      <c r="E445" s="13"/>
      <c r="F445" s="229"/>
      <c r="G445" s="13"/>
      <c r="H445" s="229"/>
      <c r="I445" s="13"/>
      <c r="J445" s="229"/>
      <c r="K445" s="13"/>
      <c r="L445" s="229"/>
      <c r="M445" s="13"/>
      <c r="N445" s="229"/>
      <c r="O445" s="13"/>
      <c r="P445" s="229"/>
      <c r="Q445" s="13"/>
      <c r="R445" s="229"/>
      <c r="S445" s="13"/>
      <c r="T445" s="229"/>
      <c r="U445" s="13"/>
      <c r="V445" s="229"/>
      <c r="W445" s="13"/>
      <c r="X445" s="229"/>
      <c r="Y445" s="13"/>
      <c r="Z445" s="229"/>
      <c r="AA445" s="13"/>
      <c r="AB445" s="229">
        <f>D445+F445+H445+J445+L445+N445+P445+R445+T445+V445+X445+Z445</f>
        <v>0</v>
      </c>
      <c r="AC445" s="228">
        <f t="shared" si="117"/>
        <v>0</v>
      </c>
      <c r="AD445" s="21">
        <v>0</v>
      </c>
      <c r="AE445" s="229"/>
      <c r="AF445" s="20"/>
      <c r="AG445" s="229"/>
      <c r="AH445" s="20"/>
      <c r="AI445" s="229"/>
      <c r="AJ445" s="20"/>
      <c r="AK445" s="229"/>
      <c r="AL445" s="20"/>
      <c r="AM445" s="229"/>
      <c r="AN445" s="20"/>
      <c r="AO445" s="229">
        <v>1</v>
      </c>
      <c r="AP445" s="20">
        <v>1</v>
      </c>
      <c r="AQ445" s="229"/>
      <c r="AR445" s="20"/>
      <c r="AS445" s="229"/>
      <c r="AT445" s="20"/>
      <c r="AU445" s="229"/>
      <c r="AV445" s="20"/>
      <c r="AW445" s="229"/>
      <c r="AX445" s="20"/>
      <c r="AY445" s="229"/>
      <c r="AZ445" s="20"/>
      <c r="BA445" s="229"/>
      <c r="BB445" s="20">
        <v>3</v>
      </c>
      <c r="BC445" s="229">
        <f>AE445+AG445+AI445+AK445+AM445+AO445+AQ445+AS445+AU445+AW445+AY445+BA445</f>
        <v>1</v>
      </c>
      <c r="BD445" s="48">
        <f t="shared" si="118"/>
        <v>4</v>
      </c>
      <c r="BE445" s="19">
        <v>8</v>
      </c>
      <c r="BF445" s="229">
        <f>AB445+BC445</f>
        <v>1</v>
      </c>
      <c r="BG445" s="210">
        <f t="shared" si="119"/>
        <v>4</v>
      </c>
      <c r="BH445" s="210">
        <f t="shared" si="115"/>
        <v>8</v>
      </c>
      <c r="BI445" s="213">
        <f t="shared" si="127"/>
        <v>50</v>
      </c>
      <c r="BJ445" s="141"/>
      <c r="BK445" s="201"/>
      <c r="BL445" s="198"/>
      <c r="BM445" s="198"/>
    </row>
    <row r="446" spans="1:65" s="17" customFormat="1" ht="21.95" customHeight="1">
      <c r="A446" s="385" t="s">
        <v>2754</v>
      </c>
      <c r="B446" s="385"/>
      <c r="C446" s="385"/>
      <c r="D446" s="90">
        <f t="shared" ref="D446:AA446" si="128">SUM(D447:D560)</f>
        <v>0</v>
      </c>
      <c r="E446" s="90">
        <f t="shared" si="128"/>
        <v>0</v>
      </c>
      <c r="F446" s="90">
        <f t="shared" si="128"/>
        <v>0</v>
      </c>
      <c r="G446" s="90">
        <f t="shared" si="128"/>
        <v>0</v>
      </c>
      <c r="H446" s="90">
        <f t="shared" si="128"/>
        <v>0</v>
      </c>
      <c r="I446" s="90">
        <f t="shared" si="128"/>
        <v>0</v>
      </c>
      <c r="J446" s="90">
        <f t="shared" si="128"/>
        <v>0</v>
      </c>
      <c r="K446" s="90">
        <f t="shared" si="128"/>
        <v>0</v>
      </c>
      <c r="L446" s="90">
        <f t="shared" si="128"/>
        <v>0</v>
      </c>
      <c r="M446" s="90">
        <f t="shared" si="128"/>
        <v>0</v>
      </c>
      <c r="N446" s="90">
        <f t="shared" si="128"/>
        <v>0</v>
      </c>
      <c r="O446" s="90">
        <f t="shared" si="128"/>
        <v>0</v>
      </c>
      <c r="P446" s="90">
        <f t="shared" si="128"/>
        <v>0</v>
      </c>
      <c r="Q446" s="90">
        <f t="shared" si="128"/>
        <v>0</v>
      </c>
      <c r="R446" s="90">
        <f t="shared" si="128"/>
        <v>0</v>
      </c>
      <c r="S446" s="90">
        <f t="shared" si="128"/>
        <v>0</v>
      </c>
      <c r="T446" s="90">
        <f t="shared" si="128"/>
        <v>0</v>
      </c>
      <c r="U446" s="90">
        <f t="shared" si="128"/>
        <v>1</v>
      </c>
      <c r="V446" s="90">
        <f t="shared" si="128"/>
        <v>0</v>
      </c>
      <c r="W446" s="90">
        <f t="shared" si="128"/>
        <v>0</v>
      </c>
      <c r="X446" s="90">
        <f t="shared" si="128"/>
        <v>0</v>
      </c>
      <c r="Y446" s="90">
        <f t="shared" si="128"/>
        <v>0</v>
      </c>
      <c r="Z446" s="90">
        <f t="shared" si="128"/>
        <v>0</v>
      </c>
      <c r="AA446" s="90">
        <f t="shared" si="128"/>
        <v>8</v>
      </c>
      <c r="AB446" s="90">
        <f t="shared" ref="AB446" si="129">D446+F446+H446+J446+L446+N446+P446+R446+T446+V446+X446+Z446</f>
        <v>0</v>
      </c>
      <c r="AC446" s="90">
        <f t="shared" ref="AC446" si="130">E446+G446+I446+K446+M446+O446+Q446+S446+U446+W446+Y446+AA446</f>
        <v>9</v>
      </c>
      <c r="AD446" s="112">
        <f t="shared" ref="AD446:BB446" si="131">SUM(AD447:AD560)</f>
        <v>19</v>
      </c>
      <c r="AE446" s="90">
        <f t="shared" si="131"/>
        <v>0</v>
      </c>
      <c r="AF446" s="91">
        <f t="shared" si="131"/>
        <v>0</v>
      </c>
      <c r="AG446" s="90">
        <f t="shared" si="131"/>
        <v>0</v>
      </c>
      <c r="AH446" s="91">
        <f t="shared" si="131"/>
        <v>0</v>
      </c>
      <c r="AI446" s="90">
        <f t="shared" si="131"/>
        <v>159</v>
      </c>
      <c r="AJ446" s="91">
        <f t="shared" si="131"/>
        <v>165</v>
      </c>
      <c r="AK446" s="90">
        <f t="shared" si="131"/>
        <v>0</v>
      </c>
      <c r="AL446" s="91">
        <f t="shared" si="131"/>
        <v>0</v>
      </c>
      <c r="AM446" s="90">
        <f t="shared" si="131"/>
        <v>0</v>
      </c>
      <c r="AN446" s="91">
        <f t="shared" si="131"/>
        <v>0</v>
      </c>
      <c r="AO446" s="90">
        <f t="shared" si="131"/>
        <v>177</v>
      </c>
      <c r="AP446" s="91">
        <f t="shared" si="131"/>
        <v>200</v>
      </c>
      <c r="AQ446" s="90">
        <f t="shared" si="131"/>
        <v>0</v>
      </c>
      <c r="AR446" s="91">
        <f t="shared" si="131"/>
        <v>0</v>
      </c>
      <c r="AS446" s="90">
        <f t="shared" si="131"/>
        <v>0</v>
      </c>
      <c r="AT446" s="91">
        <f t="shared" si="131"/>
        <v>0</v>
      </c>
      <c r="AU446" s="90">
        <f t="shared" si="131"/>
        <v>0</v>
      </c>
      <c r="AV446" s="91">
        <f t="shared" si="131"/>
        <v>176</v>
      </c>
      <c r="AW446" s="90">
        <f t="shared" si="131"/>
        <v>0</v>
      </c>
      <c r="AX446" s="91">
        <f t="shared" si="131"/>
        <v>0</v>
      </c>
      <c r="AY446" s="90">
        <f t="shared" si="131"/>
        <v>0</v>
      </c>
      <c r="AZ446" s="91">
        <f t="shared" si="131"/>
        <v>0</v>
      </c>
      <c r="BA446" s="90">
        <f t="shared" si="131"/>
        <v>0</v>
      </c>
      <c r="BB446" s="91">
        <f t="shared" si="131"/>
        <v>153</v>
      </c>
      <c r="BC446" s="90">
        <f t="shared" ref="BC446" si="132">AE446+AG446+AI446+AK446+AM446+AO446+AQ446+AS446+AU446+AW446+AY446+BA446</f>
        <v>336</v>
      </c>
      <c r="BD446" s="91">
        <f t="shared" ref="BD446" si="133">AF446+AH446+AJ446+AL446+AN446+AP446+AR446+AT446+AV446+AX446+AZ446+BB446</f>
        <v>694</v>
      </c>
      <c r="BE446" s="91">
        <f>SUM(BE447:BE560)</f>
        <v>703</v>
      </c>
      <c r="BF446" s="90">
        <f t="shared" ref="BF446" si="134">AB446+BC446</f>
        <v>336</v>
      </c>
      <c r="BG446" s="91">
        <f t="shared" ref="BG446" si="135">AC446+BD446</f>
        <v>703</v>
      </c>
      <c r="BH446" s="91">
        <f t="shared" ref="BH446" si="136">AD446+BE446</f>
        <v>722</v>
      </c>
      <c r="BI446" s="272">
        <f t="shared" ref="BI446" si="137">BG446/BH446*100</f>
        <v>97.368421052631575</v>
      </c>
      <c r="BJ446" s="140">
        <v>722</v>
      </c>
      <c r="BK446" s="203">
        <f>BJ446-BH446</f>
        <v>0</v>
      </c>
      <c r="BL446" s="198"/>
      <c r="BM446" s="198"/>
    </row>
    <row r="447" spans="1:65" s="17" customFormat="1" ht="15.95" customHeight="1">
      <c r="A447" s="123">
        <v>1</v>
      </c>
      <c r="B447" s="9" t="s">
        <v>2258</v>
      </c>
      <c r="C447" s="11" t="s">
        <v>2259</v>
      </c>
      <c r="D447" s="229"/>
      <c r="E447" s="13"/>
      <c r="F447" s="229"/>
      <c r="G447" s="13"/>
      <c r="H447" s="229"/>
      <c r="I447" s="13"/>
      <c r="J447" s="229"/>
      <c r="K447" s="13"/>
      <c r="L447" s="229"/>
      <c r="M447" s="13"/>
      <c r="N447" s="229"/>
      <c r="O447" s="13"/>
      <c r="P447" s="229"/>
      <c r="Q447" s="13"/>
      <c r="R447" s="229"/>
      <c r="S447" s="13"/>
      <c r="T447" s="229"/>
      <c r="U447" s="13"/>
      <c r="V447" s="229"/>
      <c r="W447" s="13"/>
      <c r="X447" s="229"/>
      <c r="Y447" s="13"/>
      <c r="Z447" s="229"/>
      <c r="AA447" s="13"/>
      <c r="AB447" s="229">
        <f t="shared" ref="AB447:AC450" si="138">D447+F447+H447+J447+L447+N447+P447+R447+T447+V447+X447+Z447</f>
        <v>0</v>
      </c>
      <c r="AC447" s="228">
        <f t="shared" si="138"/>
        <v>0</v>
      </c>
      <c r="AD447" s="19">
        <v>3</v>
      </c>
      <c r="AE447" s="229"/>
      <c r="AF447" s="20"/>
      <c r="AG447" s="229"/>
      <c r="AH447" s="20"/>
      <c r="AI447" s="229"/>
      <c r="AJ447" s="20"/>
      <c r="AK447" s="229"/>
      <c r="AL447" s="20"/>
      <c r="AM447" s="229"/>
      <c r="AN447" s="20"/>
      <c r="AO447" s="229"/>
      <c r="AP447" s="20"/>
      <c r="AQ447" s="229"/>
      <c r="AR447" s="20"/>
      <c r="AS447" s="229"/>
      <c r="AT447" s="20"/>
      <c r="AU447" s="229"/>
      <c r="AV447" s="20"/>
      <c r="AW447" s="229"/>
      <c r="AX447" s="20"/>
      <c r="AY447" s="229"/>
      <c r="AZ447" s="20"/>
      <c r="BA447" s="229"/>
      <c r="BB447" s="20"/>
      <c r="BC447" s="229">
        <f t="shared" ref="BC447:BD450" si="139">AE447+AG447+AI447+AK447+AM447+AO447+AQ447+AS447+AU447+AW447+AY447+BA447</f>
        <v>0</v>
      </c>
      <c r="BD447" s="48">
        <f t="shared" si="139"/>
        <v>0</v>
      </c>
      <c r="BE447" s="19">
        <v>0</v>
      </c>
      <c r="BF447" s="229">
        <f t="shared" ref="BF447:BH450" si="140">AB447+BC447</f>
        <v>0</v>
      </c>
      <c r="BG447" s="210">
        <f t="shared" si="140"/>
        <v>0</v>
      </c>
      <c r="BH447" s="210">
        <f t="shared" si="140"/>
        <v>3</v>
      </c>
      <c r="BI447" s="213">
        <f t="shared" ref="BI447:BI478" si="141">BG447/BH447*100</f>
        <v>0</v>
      </c>
      <c r="BJ447" s="270" t="s">
        <v>2857</v>
      </c>
      <c r="BK447" s="201"/>
      <c r="BL447" s="198"/>
      <c r="BM447" s="198"/>
    </row>
    <row r="448" spans="1:65" s="17" customFormat="1" ht="15.95" customHeight="1">
      <c r="A448" s="123">
        <v>2</v>
      </c>
      <c r="B448" s="9" t="s">
        <v>2134</v>
      </c>
      <c r="C448" s="11" t="s">
        <v>2135</v>
      </c>
      <c r="D448" s="229"/>
      <c r="E448" s="13"/>
      <c r="F448" s="229"/>
      <c r="G448" s="13"/>
      <c r="H448" s="229"/>
      <c r="I448" s="13"/>
      <c r="J448" s="229"/>
      <c r="K448" s="13"/>
      <c r="L448" s="229"/>
      <c r="M448" s="13"/>
      <c r="N448" s="229"/>
      <c r="O448" s="13"/>
      <c r="P448" s="229"/>
      <c r="Q448" s="13"/>
      <c r="R448" s="229"/>
      <c r="S448" s="13"/>
      <c r="T448" s="229"/>
      <c r="U448" s="13"/>
      <c r="V448" s="229"/>
      <c r="W448" s="13"/>
      <c r="X448" s="229"/>
      <c r="Y448" s="13"/>
      <c r="Z448" s="229"/>
      <c r="AA448" s="13"/>
      <c r="AB448" s="229">
        <f t="shared" si="138"/>
        <v>0</v>
      </c>
      <c r="AC448" s="228">
        <f t="shared" si="138"/>
        <v>0</v>
      </c>
      <c r="AD448" s="19">
        <v>2</v>
      </c>
      <c r="AE448" s="229"/>
      <c r="AF448" s="20"/>
      <c r="AG448" s="229"/>
      <c r="AH448" s="20"/>
      <c r="AI448" s="229"/>
      <c r="AJ448" s="20"/>
      <c r="AK448" s="229"/>
      <c r="AL448" s="20"/>
      <c r="AM448" s="229"/>
      <c r="AN448" s="20"/>
      <c r="AO448" s="229"/>
      <c r="AP448" s="20"/>
      <c r="AQ448" s="229"/>
      <c r="AR448" s="20"/>
      <c r="AS448" s="229"/>
      <c r="AT448" s="20"/>
      <c r="AU448" s="229"/>
      <c r="AV448" s="20"/>
      <c r="AW448" s="229"/>
      <c r="AX448" s="20"/>
      <c r="AY448" s="229"/>
      <c r="AZ448" s="20"/>
      <c r="BA448" s="229"/>
      <c r="BB448" s="20"/>
      <c r="BC448" s="229">
        <f t="shared" si="139"/>
        <v>0</v>
      </c>
      <c r="BD448" s="48">
        <f t="shared" si="139"/>
        <v>0</v>
      </c>
      <c r="BE448" s="19">
        <v>0</v>
      </c>
      <c r="BF448" s="229">
        <f t="shared" si="140"/>
        <v>0</v>
      </c>
      <c r="BG448" s="210">
        <f t="shared" si="140"/>
        <v>0</v>
      </c>
      <c r="BH448" s="210">
        <f t="shared" si="140"/>
        <v>2</v>
      </c>
      <c r="BI448" s="213">
        <f t="shared" si="141"/>
        <v>0</v>
      </c>
      <c r="BJ448" s="141"/>
      <c r="BK448" s="201"/>
      <c r="BL448" s="198"/>
      <c r="BM448" s="198"/>
    </row>
    <row r="449" spans="1:65" s="17" customFormat="1" ht="15.95" customHeight="1">
      <c r="A449" s="123">
        <v>3</v>
      </c>
      <c r="B449" s="9" t="s">
        <v>109</v>
      </c>
      <c r="C449" s="11" t="s">
        <v>110</v>
      </c>
      <c r="D449" s="229"/>
      <c r="E449" s="13"/>
      <c r="F449" s="229"/>
      <c r="G449" s="13"/>
      <c r="H449" s="229"/>
      <c r="I449" s="13"/>
      <c r="J449" s="229"/>
      <c r="K449" s="13"/>
      <c r="L449" s="229"/>
      <c r="M449" s="13"/>
      <c r="N449" s="229"/>
      <c r="O449" s="13"/>
      <c r="P449" s="229"/>
      <c r="Q449" s="13"/>
      <c r="R449" s="229"/>
      <c r="S449" s="13"/>
      <c r="T449" s="229"/>
      <c r="U449" s="13"/>
      <c r="V449" s="229"/>
      <c r="W449" s="13"/>
      <c r="X449" s="229"/>
      <c r="Y449" s="13"/>
      <c r="Z449" s="229"/>
      <c r="AA449" s="13"/>
      <c r="AB449" s="229">
        <f t="shared" si="138"/>
        <v>0</v>
      </c>
      <c r="AC449" s="228">
        <f t="shared" si="138"/>
        <v>0</v>
      </c>
      <c r="AD449" s="21">
        <v>0</v>
      </c>
      <c r="AE449" s="229"/>
      <c r="AF449" s="20"/>
      <c r="AG449" s="229"/>
      <c r="AH449" s="20"/>
      <c r="AI449" s="229"/>
      <c r="AJ449" s="20"/>
      <c r="AK449" s="229"/>
      <c r="AL449" s="20"/>
      <c r="AM449" s="229"/>
      <c r="AN449" s="20"/>
      <c r="AO449" s="229"/>
      <c r="AP449" s="20"/>
      <c r="AQ449" s="229"/>
      <c r="AR449" s="20"/>
      <c r="AS449" s="229"/>
      <c r="AT449" s="20"/>
      <c r="AU449" s="229"/>
      <c r="AV449" s="20"/>
      <c r="AW449" s="229"/>
      <c r="AX449" s="20"/>
      <c r="AY449" s="229"/>
      <c r="AZ449" s="20"/>
      <c r="BA449" s="229"/>
      <c r="BB449" s="20"/>
      <c r="BC449" s="229">
        <f t="shared" si="139"/>
        <v>0</v>
      </c>
      <c r="BD449" s="48">
        <f t="shared" si="139"/>
        <v>0</v>
      </c>
      <c r="BE449" s="19">
        <v>1</v>
      </c>
      <c r="BF449" s="229">
        <f t="shared" si="140"/>
        <v>0</v>
      </c>
      <c r="BG449" s="210">
        <f t="shared" si="140"/>
        <v>0</v>
      </c>
      <c r="BH449" s="210">
        <f t="shared" si="140"/>
        <v>1</v>
      </c>
      <c r="BI449" s="213">
        <f t="shared" si="141"/>
        <v>0</v>
      </c>
      <c r="BJ449" s="141"/>
      <c r="BK449" s="201"/>
      <c r="BL449" s="198"/>
      <c r="BM449" s="198"/>
    </row>
    <row r="450" spans="1:65" s="17" customFormat="1" ht="15.95" customHeight="1">
      <c r="A450" s="123">
        <v>4</v>
      </c>
      <c r="B450" s="9" t="s">
        <v>852</v>
      </c>
      <c r="C450" s="11" t="s">
        <v>949</v>
      </c>
      <c r="D450" s="229"/>
      <c r="E450" s="13"/>
      <c r="F450" s="229"/>
      <c r="G450" s="13"/>
      <c r="H450" s="229"/>
      <c r="I450" s="13"/>
      <c r="J450" s="229"/>
      <c r="K450" s="13"/>
      <c r="L450" s="229"/>
      <c r="M450" s="13"/>
      <c r="N450" s="229"/>
      <c r="O450" s="13"/>
      <c r="P450" s="229"/>
      <c r="Q450" s="13"/>
      <c r="R450" s="229"/>
      <c r="S450" s="13"/>
      <c r="T450" s="229"/>
      <c r="U450" s="13"/>
      <c r="V450" s="229"/>
      <c r="W450" s="13"/>
      <c r="X450" s="229"/>
      <c r="Y450" s="13"/>
      <c r="Z450" s="229"/>
      <c r="AA450" s="13"/>
      <c r="AB450" s="229">
        <f t="shared" si="138"/>
        <v>0</v>
      </c>
      <c r="AC450" s="228">
        <f t="shared" si="138"/>
        <v>0</v>
      </c>
      <c r="AD450" s="19">
        <v>0</v>
      </c>
      <c r="AE450" s="229"/>
      <c r="AF450" s="20"/>
      <c r="AG450" s="229"/>
      <c r="AH450" s="20"/>
      <c r="AI450" s="229"/>
      <c r="AJ450" s="20"/>
      <c r="AK450" s="229"/>
      <c r="AL450" s="20"/>
      <c r="AM450" s="229"/>
      <c r="AN450" s="20"/>
      <c r="AO450" s="229"/>
      <c r="AP450" s="20"/>
      <c r="AQ450" s="229"/>
      <c r="AR450" s="20"/>
      <c r="AS450" s="229"/>
      <c r="AT450" s="20"/>
      <c r="AU450" s="229"/>
      <c r="AV450" s="20">
        <v>2</v>
      </c>
      <c r="AW450" s="229"/>
      <c r="AX450" s="20"/>
      <c r="AY450" s="229"/>
      <c r="AZ450" s="20"/>
      <c r="BA450" s="229"/>
      <c r="BB450" s="20">
        <v>1</v>
      </c>
      <c r="BC450" s="229">
        <f t="shared" si="139"/>
        <v>0</v>
      </c>
      <c r="BD450" s="48">
        <f t="shared" si="139"/>
        <v>3</v>
      </c>
      <c r="BE450" s="19">
        <v>1</v>
      </c>
      <c r="BF450" s="229">
        <f t="shared" si="140"/>
        <v>0</v>
      </c>
      <c r="BG450" s="210">
        <f t="shared" si="140"/>
        <v>3</v>
      </c>
      <c r="BH450" s="210">
        <f t="shared" si="140"/>
        <v>1</v>
      </c>
      <c r="BI450" s="213">
        <f t="shared" si="141"/>
        <v>300</v>
      </c>
      <c r="BJ450" s="141"/>
      <c r="BK450" s="201"/>
      <c r="BL450" s="198"/>
      <c r="BM450" s="198"/>
    </row>
    <row r="451" spans="1:65" s="17" customFormat="1" ht="15.95" customHeight="1">
      <c r="A451" s="123">
        <v>5</v>
      </c>
      <c r="B451" s="9" t="s">
        <v>478</v>
      </c>
      <c r="C451" s="11" t="s">
        <v>479</v>
      </c>
      <c r="D451" s="229"/>
      <c r="E451" s="13"/>
      <c r="F451" s="229"/>
      <c r="G451" s="13"/>
      <c r="H451" s="229"/>
      <c r="I451" s="13"/>
      <c r="J451" s="229"/>
      <c r="K451" s="13"/>
      <c r="L451" s="229"/>
      <c r="M451" s="13"/>
      <c r="N451" s="229"/>
      <c r="O451" s="13"/>
      <c r="P451" s="229"/>
      <c r="Q451" s="13"/>
      <c r="R451" s="229"/>
      <c r="S451" s="13"/>
      <c r="T451" s="229"/>
      <c r="U451" s="13"/>
      <c r="V451" s="229"/>
      <c r="W451" s="13"/>
      <c r="X451" s="229"/>
      <c r="Y451" s="13"/>
      <c r="Z451" s="229"/>
      <c r="AA451" s="13"/>
      <c r="AB451" s="229"/>
      <c r="AC451" s="228">
        <f t="shared" ref="AC451:AC482" si="142">E451+G451+I451+K451+M451+O451+Q451+S451+U451+W451+Y451+AA451</f>
        <v>0</v>
      </c>
      <c r="AD451" s="19">
        <v>0</v>
      </c>
      <c r="AE451" s="229"/>
      <c r="AF451" s="20"/>
      <c r="AG451" s="229"/>
      <c r="AH451" s="20"/>
      <c r="AI451" s="229"/>
      <c r="AJ451" s="20"/>
      <c r="AK451" s="229"/>
      <c r="AL451" s="20"/>
      <c r="AM451" s="229"/>
      <c r="AN451" s="20"/>
      <c r="AO451" s="229"/>
      <c r="AP451" s="20"/>
      <c r="AQ451" s="229"/>
      <c r="AR451" s="20"/>
      <c r="AS451" s="229"/>
      <c r="AT451" s="20"/>
      <c r="AU451" s="229"/>
      <c r="AV451" s="20">
        <v>1</v>
      </c>
      <c r="AW451" s="229"/>
      <c r="AX451" s="20"/>
      <c r="AY451" s="229"/>
      <c r="AZ451" s="20"/>
      <c r="BA451" s="229"/>
      <c r="BB451" s="20"/>
      <c r="BC451" s="229"/>
      <c r="BD451" s="48">
        <f t="shared" ref="BD451:BD482" si="143">AF451+AH451+AJ451+AL451+AN451+AP451+AR451+AT451+AV451+AX451+AZ451+BB451</f>
        <v>1</v>
      </c>
      <c r="BE451" s="19">
        <v>0</v>
      </c>
      <c r="BF451" s="229"/>
      <c r="BG451" s="210">
        <f t="shared" ref="BG451:BG482" si="144">AC451+BD451</f>
        <v>1</v>
      </c>
      <c r="BH451" s="210">
        <f t="shared" ref="BH451:BH482" si="145">AD451+BE451</f>
        <v>0</v>
      </c>
      <c r="BI451" s="213" t="e">
        <f t="shared" si="141"/>
        <v>#DIV/0!</v>
      </c>
      <c r="BJ451" s="141"/>
      <c r="BK451" s="201"/>
      <c r="BL451" s="198"/>
      <c r="BM451" s="198"/>
    </row>
    <row r="452" spans="1:65" s="17" customFormat="1" ht="15.95" customHeight="1">
      <c r="A452" s="123">
        <v>6</v>
      </c>
      <c r="B452" s="9" t="s">
        <v>472</v>
      </c>
      <c r="C452" s="11" t="s">
        <v>473</v>
      </c>
      <c r="D452" s="229"/>
      <c r="E452" s="13"/>
      <c r="F452" s="229"/>
      <c r="G452" s="13"/>
      <c r="H452" s="229"/>
      <c r="I452" s="13"/>
      <c r="J452" s="229"/>
      <c r="K452" s="13"/>
      <c r="L452" s="229"/>
      <c r="M452" s="13"/>
      <c r="N452" s="229"/>
      <c r="O452" s="13"/>
      <c r="P452" s="229"/>
      <c r="Q452" s="13"/>
      <c r="R452" s="229"/>
      <c r="S452" s="13"/>
      <c r="T452" s="229"/>
      <c r="U452" s="13"/>
      <c r="V452" s="229"/>
      <c r="W452" s="13"/>
      <c r="X452" s="229"/>
      <c r="Y452" s="13"/>
      <c r="Z452" s="229"/>
      <c r="AA452" s="13"/>
      <c r="AB452" s="229">
        <f t="shared" ref="AB452:AB460" si="146">D452+F452+H452+J452+L452+N452+P452+R452+T452+V452+X452+Z452</f>
        <v>0</v>
      </c>
      <c r="AC452" s="228">
        <f t="shared" si="142"/>
        <v>0</v>
      </c>
      <c r="AD452" s="21">
        <v>0</v>
      </c>
      <c r="AE452" s="229"/>
      <c r="AF452" s="20"/>
      <c r="AG452" s="229"/>
      <c r="AH452" s="20"/>
      <c r="AI452" s="229"/>
      <c r="AJ452" s="20"/>
      <c r="AK452" s="229"/>
      <c r="AL452" s="20"/>
      <c r="AM452" s="229"/>
      <c r="AN452" s="20"/>
      <c r="AO452" s="229"/>
      <c r="AP452" s="20"/>
      <c r="AQ452" s="229"/>
      <c r="AR452" s="20"/>
      <c r="AS452" s="229"/>
      <c r="AT452" s="20"/>
      <c r="AU452" s="229"/>
      <c r="AV452" s="20"/>
      <c r="AW452" s="229"/>
      <c r="AX452" s="20"/>
      <c r="AY452" s="229"/>
      <c r="AZ452" s="20"/>
      <c r="BA452" s="229"/>
      <c r="BB452" s="20"/>
      <c r="BC452" s="229">
        <f t="shared" ref="BC452:BC460" si="147">AE452+AG452+AI452+AK452+AM452+AO452+AQ452+AS452+AU452+AW452+AY452+BA452</f>
        <v>0</v>
      </c>
      <c r="BD452" s="48">
        <f t="shared" si="143"/>
        <v>0</v>
      </c>
      <c r="BE452" s="19">
        <v>1</v>
      </c>
      <c r="BF452" s="229">
        <f t="shared" ref="BF452:BF460" si="148">AB452+BC452</f>
        <v>0</v>
      </c>
      <c r="BG452" s="210">
        <f t="shared" si="144"/>
        <v>0</v>
      </c>
      <c r="BH452" s="210">
        <f t="shared" si="145"/>
        <v>1</v>
      </c>
      <c r="BI452" s="213">
        <f t="shared" si="141"/>
        <v>0</v>
      </c>
      <c r="BJ452" s="141"/>
      <c r="BK452" s="201"/>
      <c r="BL452" s="198"/>
      <c r="BM452" s="198"/>
    </row>
    <row r="453" spans="1:65" s="17" customFormat="1" ht="15.95" customHeight="1">
      <c r="A453" s="123">
        <v>7</v>
      </c>
      <c r="B453" s="9" t="s">
        <v>277</v>
      </c>
      <c r="C453" s="11" t="s">
        <v>278</v>
      </c>
      <c r="D453" s="229"/>
      <c r="E453" s="13"/>
      <c r="F453" s="229"/>
      <c r="G453" s="13"/>
      <c r="H453" s="229"/>
      <c r="I453" s="13"/>
      <c r="J453" s="229"/>
      <c r="K453" s="13"/>
      <c r="L453" s="229"/>
      <c r="M453" s="13"/>
      <c r="N453" s="229"/>
      <c r="O453" s="13"/>
      <c r="P453" s="229"/>
      <c r="Q453" s="13"/>
      <c r="R453" s="229"/>
      <c r="S453" s="13"/>
      <c r="T453" s="229"/>
      <c r="U453" s="13"/>
      <c r="V453" s="229"/>
      <c r="W453" s="13"/>
      <c r="X453" s="229"/>
      <c r="Y453" s="13"/>
      <c r="Z453" s="229"/>
      <c r="AA453" s="13"/>
      <c r="AB453" s="229">
        <f t="shared" si="146"/>
        <v>0</v>
      </c>
      <c r="AC453" s="228">
        <f t="shared" si="142"/>
        <v>0</v>
      </c>
      <c r="AD453" s="21">
        <v>0</v>
      </c>
      <c r="AE453" s="229"/>
      <c r="AF453" s="20"/>
      <c r="AG453" s="229"/>
      <c r="AH453" s="20"/>
      <c r="AI453" s="229">
        <v>1</v>
      </c>
      <c r="AJ453" s="20">
        <v>1</v>
      </c>
      <c r="AK453" s="229"/>
      <c r="AL453" s="20"/>
      <c r="AM453" s="229"/>
      <c r="AN453" s="20"/>
      <c r="AO453" s="229"/>
      <c r="AP453" s="20"/>
      <c r="AQ453" s="229"/>
      <c r="AR453" s="20"/>
      <c r="AS453" s="229"/>
      <c r="AT453" s="20"/>
      <c r="AU453" s="229"/>
      <c r="AV453" s="20"/>
      <c r="AW453" s="229"/>
      <c r="AX453" s="20"/>
      <c r="AY453" s="229"/>
      <c r="AZ453" s="20"/>
      <c r="BA453" s="229"/>
      <c r="BB453" s="20"/>
      <c r="BC453" s="229">
        <f t="shared" si="147"/>
        <v>1</v>
      </c>
      <c r="BD453" s="48">
        <f t="shared" si="143"/>
        <v>1</v>
      </c>
      <c r="BE453" s="19">
        <v>1</v>
      </c>
      <c r="BF453" s="229">
        <f t="shared" si="148"/>
        <v>1</v>
      </c>
      <c r="BG453" s="210">
        <f t="shared" si="144"/>
        <v>1</v>
      </c>
      <c r="BH453" s="210">
        <f t="shared" si="145"/>
        <v>1</v>
      </c>
      <c r="BI453" s="213">
        <f t="shared" si="141"/>
        <v>100</v>
      </c>
      <c r="BJ453" s="141"/>
      <c r="BK453" s="201"/>
      <c r="BL453" s="198"/>
      <c r="BM453" s="198"/>
    </row>
    <row r="454" spans="1:65" s="17" customFormat="1" ht="15.95" customHeight="1">
      <c r="A454" s="123">
        <v>8</v>
      </c>
      <c r="B454" s="9" t="s">
        <v>1617</v>
      </c>
      <c r="C454" s="11" t="s">
        <v>1618</v>
      </c>
      <c r="D454" s="229"/>
      <c r="E454" s="13"/>
      <c r="F454" s="229"/>
      <c r="G454" s="13"/>
      <c r="H454" s="229"/>
      <c r="I454" s="13"/>
      <c r="J454" s="229"/>
      <c r="K454" s="13"/>
      <c r="L454" s="229"/>
      <c r="M454" s="13"/>
      <c r="N454" s="229"/>
      <c r="O454" s="13"/>
      <c r="P454" s="229"/>
      <c r="Q454" s="13"/>
      <c r="R454" s="229"/>
      <c r="S454" s="13"/>
      <c r="T454" s="229"/>
      <c r="U454" s="13"/>
      <c r="V454" s="229"/>
      <c r="W454" s="13"/>
      <c r="X454" s="229"/>
      <c r="Y454" s="13"/>
      <c r="Z454" s="229"/>
      <c r="AA454" s="13"/>
      <c r="AB454" s="229">
        <f t="shared" si="146"/>
        <v>0</v>
      </c>
      <c r="AC454" s="228">
        <f t="shared" si="142"/>
        <v>0</v>
      </c>
      <c r="AD454" s="21">
        <v>0</v>
      </c>
      <c r="AE454" s="229"/>
      <c r="AF454" s="20"/>
      <c r="AG454" s="229"/>
      <c r="AH454" s="20"/>
      <c r="AI454" s="229"/>
      <c r="AJ454" s="20"/>
      <c r="AK454" s="229"/>
      <c r="AL454" s="20"/>
      <c r="AM454" s="229"/>
      <c r="AN454" s="20"/>
      <c r="AO454" s="229">
        <v>1</v>
      </c>
      <c r="AP454" s="20">
        <v>1</v>
      </c>
      <c r="AQ454" s="229"/>
      <c r="AR454" s="20"/>
      <c r="AS454" s="229"/>
      <c r="AT454" s="20"/>
      <c r="AU454" s="229"/>
      <c r="AV454" s="20">
        <v>1</v>
      </c>
      <c r="AW454" s="229"/>
      <c r="AX454" s="20"/>
      <c r="AY454" s="229"/>
      <c r="AZ454" s="20"/>
      <c r="BA454" s="229"/>
      <c r="BB454" s="20">
        <v>1</v>
      </c>
      <c r="BC454" s="229">
        <f t="shared" si="147"/>
        <v>1</v>
      </c>
      <c r="BD454" s="48">
        <f t="shared" si="143"/>
        <v>3</v>
      </c>
      <c r="BE454" s="19">
        <v>1</v>
      </c>
      <c r="BF454" s="229">
        <f t="shared" si="148"/>
        <v>1</v>
      </c>
      <c r="BG454" s="210">
        <f t="shared" si="144"/>
        <v>3</v>
      </c>
      <c r="BH454" s="210">
        <f t="shared" si="145"/>
        <v>1</v>
      </c>
      <c r="BI454" s="213">
        <f t="shared" si="141"/>
        <v>300</v>
      </c>
      <c r="BJ454" s="141"/>
      <c r="BK454" s="201"/>
      <c r="BL454" s="198"/>
      <c r="BM454" s="198"/>
    </row>
    <row r="455" spans="1:65" s="17" customFormat="1" ht="15.95" customHeight="1">
      <c r="A455" s="123">
        <v>9</v>
      </c>
      <c r="B455" s="9" t="s">
        <v>1666</v>
      </c>
      <c r="C455" s="11" t="s">
        <v>1667</v>
      </c>
      <c r="D455" s="229"/>
      <c r="E455" s="13"/>
      <c r="F455" s="229"/>
      <c r="G455" s="13"/>
      <c r="H455" s="229"/>
      <c r="I455" s="13"/>
      <c r="J455" s="229"/>
      <c r="K455" s="13"/>
      <c r="L455" s="229"/>
      <c r="M455" s="13"/>
      <c r="N455" s="229"/>
      <c r="O455" s="13"/>
      <c r="P455" s="229"/>
      <c r="Q455" s="13"/>
      <c r="R455" s="229"/>
      <c r="S455" s="13"/>
      <c r="T455" s="229"/>
      <c r="U455" s="13"/>
      <c r="V455" s="229"/>
      <c r="W455" s="13"/>
      <c r="X455" s="229"/>
      <c r="Y455" s="13"/>
      <c r="Z455" s="229"/>
      <c r="AA455" s="13"/>
      <c r="AB455" s="229">
        <f t="shared" si="146"/>
        <v>0</v>
      </c>
      <c r="AC455" s="228">
        <f t="shared" si="142"/>
        <v>0</v>
      </c>
      <c r="AD455" s="21">
        <v>0</v>
      </c>
      <c r="AE455" s="229"/>
      <c r="AF455" s="20"/>
      <c r="AG455" s="229"/>
      <c r="AH455" s="20"/>
      <c r="AI455" s="229"/>
      <c r="AJ455" s="20"/>
      <c r="AK455" s="229"/>
      <c r="AL455" s="20"/>
      <c r="AM455" s="229"/>
      <c r="AN455" s="20"/>
      <c r="AO455" s="229"/>
      <c r="AP455" s="20"/>
      <c r="AQ455" s="229"/>
      <c r="AR455" s="20"/>
      <c r="AS455" s="229"/>
      <c r="AT455" s="20"/>
      <c r="AU455" s="229"/>
      <c r="AV455" s="20"/>
      <c r="AW455" s="229"/>
      <c r="AX455" s="20"/>
      <c r="AY455" s="229"/>
      <c r="AZ455" s="20"/>
      <c r="BA455" s="229"/>
      <c r="BB455" s="20"/>
      <c r="BC455" s="229">
        <f t="shared" si="147"/>
        <v>0</v>
      </c>
      <c r="BD455" s="48">
        <f t="shared" si="143"/>
        <v>0</v>
      </c>
      <c r="BE455" s="19">
        <v>1</v>
      </c>
      <c r="BF455" s="229">
        <f t="shared" si="148"/>
        <v>0</v>
      </c>
      <c r="BG455" s="210">
        <f t="shared" si="144"/>
        <v>0</v>
      </c>
      <c r="BH455" s="210">
        <f t="shared" si="145"/>
        <v>1</v>
      </c>
      <c r="BI455" s="213">
        <f t="shared" si="141"/>
        <v>0</v>
      </c>
      <c r="BJ455" s="141"/>
      <c r="BK455" s="201"/>
      <c r="BL455" s="198"/>
      <c r="BM455" s="198"/>
    </row>
    <row r="456" spans="1:65" s="17" customFormat="1" ht="15.95" customHeight="1">
      <c r="A456" s="123">
        <v>10</v>
      </c>
      <c r="B456" s="9" t="s">
        <v>474</v>
      </c>
      <c r="C456" s="11" t="s">
        <v>475</v>
      </c>
      <c r="D456" s="229"/>
      <c r="E456" s="13"/>
      <c r="F456" s="229"/>
      <c r="G456" s="13"/>
      <c r="H456" s="229"/>
      <c r="I456" s="13"/>
      <c r="J456" s="229"/>
      <c r="K456" s="13"/>
      <c r="L456" s="229"/>
      <c r="M456" s="13"/>
      <c r="N456" s="229"/>
      <c r="O456" s="13"/>
      <c r="P456" s="229"/>
      <c r="Q456" s="13"/>
      <c r="R456" s="229"/>
      <c r="S456" s="13"/>
      <c r="T456" s="229"/>
      <c r="U456" s="13"/>
      <c r="V456" s="229"/>
      <c r="W456" s="13"/>
      <c r="X456" s="229"/>
      <c r="Y456" s="13"/>
      <c r="Z456" s="229"/>
      <c r="AA456" s="13"/>
      <c r="AB456" s="229">
        <f t="shared" si="146"/>
        <v>0</v>
      </c>
      <c r="AC456" s="228">
        <f t="shared" si="142"/>
        <v>0</v>
      </c>
      <c r="AD456" s="21">
        <v>3</v>
      </c>
      <c r="AE456" s="229"/>
      <c r="AF456" s="20"/>
      <c r="AG456" s="229"/>
      <c r="AH456" s="20"/>
      <c r="AI456" s="229"/>
      <c r="AJ456" s="20"/>
      <c r="AK456" s="229"/>
      <c r="AL456" s="20"/>
      <c r="AM456" s="229"/>
      <c r="AN456" s="20"/>
      <c r="AO456" s="229"/>
      <c r="AP456" s="20"/>
      <c r="AQ456" s="229"/>
      <c r="AR456" s="20"/>
      <c r="AS456" s="229"/>
      <c r="AT456" s="20"/>
      <c r="AU456" s="229"/>
      <c r="AV456" s="20"/>
      <c r="AW456" s="229"/>
      <c r="AX456" s="20"/>
      <c r="AY456" s="229"/>
      <c r="AZ456" s="20"/>
      <c r="BA456" s="229"/>
      <c r="BB456" s="20"/>
      <c r="BC456" s="229">
        <f t="shared" si="147"/>
        <v>0</v>
      </c>
      <c r="BD456" s="48">
        <f t="shared" si="143"/>
        <v>0</v>
      </c>
      <c r="BE456" s="19">
        <v>1</v>
      </c>
      <c r="BF456" s="229">
        <f t="shared" si="148"/>
        <v>0</v>
      </c>
      <c r="BG456" s="210">
        <f t="shared" si="144"/>
        <v>0</v>
      </c>
      <c r="BH456" s="210">
        <f t="shared" si="145"/>
        <v>4</v>
      </c>
      <c r="BI456" s="213">
        <f t="shared" si="141"/>
        <v>0</v>
      </c>
      <c r="BJ456" s="141"/>
      <c r="BK456" s="201"/>
      <c r="BL456" s="198"/>
      <c r="BM456" s="198"/>
    </row>
    <row r="457" spans="1:65" s="17" customFormat="1" ht="15.95" customHeight="1">
      <c r="A457" s="123">
        <v>11</v>
      </c>
      <c r="B457" s="9" t="s">
        <v>954</v>
      </c>
      <c r="C457" s="11" t="s">
        <v>2415</v>
      </c>
      <c r="D457" s="229"/>
      <c r="E457" s="13"/>
      <c r="F457" s="229"/>
      <c r="G457" s="13"/>
      <c r="H457" s="229"/>
      <c r="I457" s="13"/>
      <c r="J457" s="229"/>
      <c r="K457" s="13"/>
      <c r="L457" s="229"/>
      <c r="M457" s="13"/>
      <c r="N457" s="229"/>
      <c r="O457" s="13"/>
      <c r="P457" s="229"/>
      <c r="Q457" s="13"/>
      <c r="R457" s="229"/>
      <c r="S457" s="13"/>
      <c r="T457" s="229"/>
      <c r="U457" s="13"/>
      <c r="V457" s="229"/>
      <c r="W457" s="13"/>
      <c r="X457" s="229"/>
      <c r="Y457" s="13"/>
      <c r="Z457" s="229"/>
      <c r="AA457" s="13"/>
      <c r="AB457" s="229">
        <f t="shared" si="146"/>
        <v>0</v>
      </c>
      <c r="AC457" s="228">
        <f t="shared" si="142"/>
        <v>0</v>
      </c>
      <c r="AD457" s="21">
        <v>0</v>
      </c>
      <c r="AE457" s="229"/>
      <c r="AF457" s="20"/>
      <c r="AG457" s="229"/>
      <c r="AH457" s="20"/>
      <c r="AI457" s="229">
        <v>1</v>
      </c>
      <c r="AJ457" s="20">
        <v>1</v>
      </c>
      <c r="AK457" s="229"/>
      <c r="AL457" s="20"/>
      <c r="AM457" s="229"/>
      <c r="AN457" s="20"/>
      <c r="AO457" s="229"/>
      <c r="AP457" s="20"/>
      <c r="AQ457" s="229"/>
      <c r="AR457" s="20"/>
      <c r="AS457" s="229"/>
      <c r="AT457" s="20"/>
      <c r="AU457" s="229"/>
      <c r="AV457" s="20"/>
      <c r="AW457" s="229"/>
      <c r="AX457" s="20"/>
      <c r="AY457" s="229"/>
      <c r="AZ457" s="20"/>
      <c r="BA457" s="229"/>
      <c r="BB457" s="20"/>
      <c r="BC457" s="229">
        <f t="shared" si="147"/>
        <v>1</v>
      </c>
      <c r="BD457" s="48">
        <f t="shared" si="143"/>
        <v>1</v>
      </c>
      <c r="BE457" s="19">
        <v>0</v>
      </c>
      <c r="BF457" s="229">
        <f t="shared" si="148"/>
        <v>1</v>
      </c>
      <c r="BG457" s="210">
        <f t="shared" si="144"/>
        <v>1</v>
      </c>
      <c r="BH457" s="210">
        <f t="shared" si="145"/>
        <v>0</v>
      </c>
      <c r="BI457" s="213" t="e">
        <f t="shared" si="141"/>
        <v>#DIV/0!</v>
      </c>
      <c r="BJ457" s="141"/>
      <c r="BK457" s="201"/>
      <c r="BL457" s="198"/>
      <c r="BM457" s="198"/>
    </row>
    <row r="458" spans="1:65" s="17" customFormat="1" ht="15.95" customHeight="1">
      <c r="A458" s="123">
        <v>12</v>
      </c>
      <c r="B458" s="9" t="s">
        <v>541</v>
      </c>
      <c r="C458" s="11" t="s">
        <v>542</v>
      </c>
      <c r="D458" s="229"/>
      <c r="E458" s="13"/>
      <c r="F458" s="229"/>
      <c r="G458" s="13"/>
      <c r="H458" s="229"/>
      <c r="I458" s="13"/>
      <c r="J458" s="229"/>
      <c r="K458" s="13"/>
      <c r="L458" s="229"/>
      <c r="M458" s="13"/>
      <c r="N458" s="229"/>
      <c r="O458" s="13"/>
      <c r="P458" s="229"/>
      <c r="Q458" s="13"/>
      <c r="R458" s="229"/>
      <c r="S458" s="13"/>
      <c r="T458" s="229"/>
      <c r="U458" s="13"/>
      <c r="V458" s="229"/>
      <c r="W458" s="13"/>
      <c r="X458" s="229"/>
      <c r="Y458" s="13"/>
      <c r="Z458" s="229"/>
      <c r="AA458" s="13"/>
      <c r="AB458" s="229">
        <f t="shared" si="146"/>
        <v>0</v>
      </c>
      <c r="AC458" s="228">
        <f t="shared" si="142"/>
        <v>0</v>
      </c>
      <c r="AD458" s="21">
        <v>0</v>
      </c>
      <c r="AE458" s="229"/>
      <c r="AF458" s="20"/>
      <c r="AG458" s="229"/>
      <c r="AH458" s="20"/>
      <c r="AI458" s="229"/>
      <c r="AJ458" s="20"/>
      <c r="AK458" s="229"/>
      <c r="AL458" s="20"/>
      <c r="AM458" s="229"/>
      <c r="AN458" s="20"/>
      <c r="AO458" s="229"/>
      <c r="AP458" s="20"/>
      <c r="AQ458" s="229"/>
      <c r="AR458" s="20"/>
      <c r="AS458" s="229"/>
      <c r="AT458" s="20"/>
      <c r="AU458" s="229"/>
      <c r="AV458" s="20"/>
      <c r="AW458" s="229"/>
      <c r="AX458" s="20"/>
      <c r="AY458" s="229"/>
      <c r="AZ458" s="20"/>
      <c r="BA458" s="229"/>
      <c r="BB458" s="20"/>
      <c r="BC458" s="229">
        <f t="shared" si="147"/>
        <v>0</v>
      </c>
      <c r="BD458" s="48">
        <f t="shared" si="143"/>
        <v>0</v>
      </c>
      <c r="BE458" s="19">
        <v>0</v>
      </c>
      <c r="BF458" s="229">
        <f t="shared" si="148"/>
        <v>0</v>
      </c>
      <c r="BG458" s="210">
        <f t="shared" si="144"/>
        <v>0</v>
      </c>
      <c r="BH458" s="210">
        <f t="shared" si="145"/>
        <v>0</v>
      </c>
      <c r="BI458" s="213" t="e">
        <f t="shared" si="141"/>
        <v>#DIV/0!</v>
      </c>
      <c r="BJ458" s="141"/>
      <c r="BK458" s="201"/>
      <c r="BL458" s="198"/>
      <c r="BM458" s="198"/>
    </row>
    <row r="459" spans="1:65" s="17" customFormat="1" ht="15.95" customHeight="1">
      <c r="A459" s="123">
        <v>13</v>
      </c>
      <c r="B459" s="9" t="s">
        <v>955</v>
      </c>
      <c r="C459" s="11" t="s">
        <v>956</v>
      </c>
      <c r="D459" s="229"/>
      <c r="E459" s="13"/>
      <c r="F459" s="229"/>
      <c r="G459" s="13"/>
      <c r="H459" s="229"/>
      <c r="I459" s="13"/>
      <c r="J459" s="229"/>
      <c r="K459" s="13"/>
      <c r="L459" s="229"/>
      <c r="M459" s="13"/>
      <c r="N459" s="229"/>
      <c r="O459" s="13"/>
      <c r="P459" s="229"/>
      <c r="Q459" s="13"/>
      <c r="R459" s="229"/>
      <c r="S459" s="13"/>
      <c r="T459" s="229"/>
      <c r="U459" s="13"/>
      <c r="V459" s="229"/>
      <c r="W459" s="13"/>
      <c r="X459" s="229"/>
      <c r="Y459" s="13"/>
      <c r="Z459" s="229"/>
      <c r="AA459" s="13"/>
      <c r="AB459" s="229">
        <f t="shared" si="146"/>
        <v>0</v>
      </c>
      <c r="AC459" s="228">
        <f t="shared" si="142"/>
        <v>0</v>
      </c>
      <c r="AD459" s="19">
        <v>0</v>
      </c>
      <c r="AE459" s="229"/>
      <c r="AF459" s="20"/>
      <c r="AG459" s="229"/>
      <c r="AH459" s="20"/>
      <c r="AI459" s="229"/>
      <c r="AJ459" s="20"/>
      <c r="AK459" s="229"/>
      <c r="AL459" s="20"/>
      <c r="AM459" s="229"/>
      <c r="AN459" s="20"/>
      <c r="AO459" s="229"/>
      <c r="AP459" s="20"/>
      <c r="AQ459" s="229"/>
      <c r="AR459" s="20"/>
      <c r="AS459" s="229"/>
      <c r="AT459" s="20"/>
      <c r="AU459" s="229"/>
      <c r="AV459" s="20"/>
      <c r="AW459" s="229"/>
      <c r="AX459" s="20"/>
      <c r="AY459" s="229"/>
      <c r="AZ459" s="20"/>
      <c r="BA459" s="229"/>
      <c r="BB459" s="20"/>
      <c r="BC459" s="229">
        <f t="shared" si="147"/>
        <v>0</v>
      </c>
      <c r="BD459" s="48">
        <f t="shared" si="143"/>
        <v>0</v>
      </c>
      <c r="BE459" s="19">
        <v>1</v>
      </c>
      <c r="BF459" s="229">
        <f t="shared" si="148"/>
        <v>0</v>
      </c>
      <c r="BG459" s="210">
        <f t="shared" si="144"/>
        <v>0</v>
      </c>
      <c r="BH459" s="210">
        <f t="shared" si="145"/>
        <v>1</v>
      </c>
      <c r="BI459" s="213">
        <f t="shared" si="141"/>
        <v>0</v>
      </c>
      <c r="BJ459" s="141"/>
      <c r="BK459" s="201"/>
      <c r="BL459" s="198"/>
      <c r="BM459" s="198"/>
    </row>
    <row r="460" spans="1:65" s="17" customFormat="1" ht="15.95" customHeight="1">
      <c r="A460" s="123">
        <v>14</v>
      </c>
      <c r="B460" s="9" t="s">
        <v>26</v>
      </c>
      <c r="C460" s="11" t="s">
        <v>27</v>
      </c>
      <c r="D460" s="229"/>
      <c r="E460" s="13"/>
      <c r="F460" s="229"/>
      <c r="G460" s="13"/>
      <c r="H460" s="229"/>
      <c r="I460" s="13"/>
      <c r="J460" s="229"/>
      <c r="K460" s="13"/>
      <c r="L460" s="229"/>
      <c r="M460" s="13"/>
      <c r="N460" s="229"/>
      <c r="O460" s="13"/>
      <c r="P460" s="229"/>
      <c r="Q460" s="13"/>
      <c r="R460" s="229"/>
      <c r="S460" s="13"/>
      <c r="T460" s="229"/>
      <c r="U460" s="13"/>
      <c r="V460" s="229"/>
      <c r="W460" s="13"/>
      <c r="X460" s="229"/>
      <c r="Y460" s="13"/>
      <c r="Z460" s="229"/>
      <c r="AA460" s="13"/>
      <c r="AB460" s="229">
        <f t="shared" si="146"/>
        <v>0</v>
      </c>
      <c r="AC460" s="228">
        <f t="shared" si="142"/>
        <v>0</v>
      </c>
      <c r="AD460" s="21">
        <v>0</v>
      </c>
      <c r="AE460" s="229"/>
      <c r="AF460" s="20"/>
      <c r="AG460" s="229"/>
      <c r="AH460" s="20"/>
      <c r="AI460" s="229"/>
      <c r="AJ460" s="20"/>
      <c r="AK460" s="229"/>
      <c r="AL460" s="20"/>
      <c r="AM460" s="229"/>
      <c r="AN460" s="20"/>
      <c r="AO460" s="229">
        <v>1</v>
      </c>
      <c r="AP460" s="20">
        <v>1</v>
      </c>
      <c r="AQ460" s="229"/>
      <c r="AR460" s="20"/>
      <c r="AS460" s="229"/>
      <c r="AT460" s="20"/>
      <c r="AU460" s="229"/>
      <c r="AV460" s="20">
        <v>1</v>
      </c>
      <c r="AW460" s="229"/>
      <c r="AX460" s="20"/>
      <c r="AY460" s="229"/>
      <c r="AZ460" s="20"/>
      <c r="BA460" s="229"/>
      <c r="BB460" s="20"/>
      <c r="BC460" s="229">
        <f t="shared" si="147"/>
        <v>1</v>
      </c>
      <c r="BD460" s="48">
        <f t="shared" si="143"/>
        <v>2</v>
      </c>
      <c r="BE460" s="19">
        <v>6</v>
      </c>
      <c r="BF460" s="229">
        <f t="shared" si="148"/>
        <v>1</v>
      </c>
      <c r="BG460" s="210">
        <f t="shared" si="144"/>
        <v>2</v>
      </c>
      <c r="BH460" s="210">
        <f t="shared" si="145"/>
        <v>6</v>
      </c>
      <c r="BI460" s="213">
        <f t="shared" si="141"/>
        <v>33.333333333333329</v>
      </c>
      <c r="BJ460" s="141"/>
      <c r="BK460" s="201"/>
      <c r="BL460" s="198"/>
      <c r="BM460" s="198"/>
    </row>
    <row r="461" spans="1:65" s="17" customFormat="1" ht="15.95" customHeight="1">
      <c r="A461" s="123">
        <v>15</v>
      </c>
      <c r="B461" s="9" t="s">
        <v>3064</v>
      </c>
      <c r="C461" s="11" t="s">
        <v>3065</v>
      </c>
      <c r="D461" s="229"/>
      <c r="E461" s="13"/>
      <c r="F461" s="229"/>
      <c r="G461" s="13"/>
      <c r="H461" s="229"/>
      <c r="I461" s="13"/>
      <c r="J461" s="229"/>
      <c r="K461" s="13"/>
      <c r="L461" s="229"/>
      <c r="M461" s="13"/>
      <c r="N461" s="229"/>
      <c r="O461" s="13"/>
      <c r="P461" s="229"/>
      <c r="Q461" s="13"/>
      <c r="R461" s="229"/>
      <c r="S461" s="13"/>
      <c r="T461" s="229"/>
      <c r="U461" s="13"/>
      <c r="V461" s="229"/>
      <c r="W461" s="13"/>
      <c r="X461" s="229"/>
      <c r="Y461" s="13"/>
      <c r="Z461" s="229"/>
      <c r="AA461" s="13"/>
      <c r="AB461" s="229"/>
      <c r="AC461" s="228">
        <f t="shared" si="142"/>
        <v>0</v>
      </c>
      <c r="AD461" s="21">
        <v>0</v>
      </c>
      <c r="AE461" s="229"/>
      <c r="AF461" s="20"/>
      <c r="AG461" s="229"/>
      <c r="AH461" s="20"/>
      <c r="AI461" s="229"/>
      <c r="AJ461" s="20"/>
      <c r="AK461" s="229"/>
      <c r="AL461" s="20"/>
      <c r="AM461" s="229"/>
      <c r="AN461" s="20"/>
      <c r="AO461" s="229"/>
      <c r="AP461" s="20">
        <v>1</v>
      </c>
      <c r="AQ461" s="229"/>
      <c r="AR461" s="20"/>
      <c r="AS461" s="229"/>
      <c r="AT461" s="20"/>
      <c r="AU461" s="229"/>
      <c r="AV461" s="20"/>
      <c r="AW461" s="229"/>
      <c r="AX461" s="20"/>
      <c r="AY461" s="229"/>
      <c r="AZ461" s="20"/>
      <c r="BA461" s="229"/>
      <c r="BB461" s="20"/>
      <c r="BC461" s="229"/>
      <c r="BD461" s="48">
        <f t="shared" si="143"/>
        <v>1</v>
      </c>
      <c r="BE461" s="19">
        <v>0</v>
      </c>
      <c r="BF461" s="229"/>
      <c r="BG461" s="210">
        <f t="shared" si="144"/>
        <v>1</v>
      </c>
      <c r="BH461" s="210">
        <f t="shared" si="145"/>
        <v>0</v>
      </c>
      <c r="BI461" s="213" t="e">
        <f t="shared" si="141"/>
        <v>#DIV/0!</v>
      </c>
      <c r="BJ461" s="141"/>
      <c r="BK461" s="201"/>
      <c r="BL461" s="198"/>
      <c r="BM461" s="198"/>
    </row>
    <row r="462" spans="1:65" s="17" customFormat="1" ht="15.95" customHeight="1">
      <c r="A462" s="123">
        <v>16</v>
      </c>
      <c r="B462" s="9" t="s">
        <v>1664</v>
      </c>
      <c r="C462" s="11" t="s">
        <v>3174</v>
      </c>
      <c r="D462" s="229"/>
      <c r="E462" s="13"/>
      <c r="F462" s="229"/>
      <c r="G462" s="13"/>
      <c r="H462" s="229"/>
      <c r="I462" s="13"/>
      <c r="J462" s="229"/>
      <c r="K462" s="13"/>
      <c r="L462" s="229"/>
      <c r="M462" s="13"/>
      <c r="N462" s="229"/>
      <c r="O462" s="13"/>
      <c r="P462" s="229"/>
      <c r="Q462" s="13"/>
      <c r="R462" s="229"/>
      <c r="S462" s="13"/>
      <c r="T462" s="229"/>
      <c r="U462" s="13"/>
      <c r="V462" s="229"/>
      <c r="W462" s="13"/>
      <c r="X462" s="229"/>
      <c r="Y462" s="13"/>
      <c r="Z462" s="229"/>
      <c r="AA462" s="13"/>
      <c r="AB462" s="229"/>
      <c r="AC462" s="228">
        <f t="shared" si="142"/>
        <v>0</v>
      </c>
      <c r="AD462" s="21">
        <v>0</v>
      </c>
      <c r="AE462" s="229"/>
      <c r="AF462" s="20"/>
      <c r="AG462" s="229"/>
      <c r="AH462" s="20"/>
      <c r="AI462" s="229"/>
      <c r="AJ462" s="20"/>
      <c r="AK462" s="229"/>
      <c r="AL462" s="20"/>
      <c r="AM462" s="229"/>
      <c r="AN462" s="20"/>
      <c r="AO462" s="229"/>
      <c r="AP462" s="20"/>
      <c r="AQ462" s="229"/>
      <c r="AR462" s="20"/>
      <c r="AS462" s="229"/>
      <c r="AT462" s="20"/>
      <c r="AU462" s="229"/>
      <c r="AV462" s="20">
        <v>1</v>
      </c>
      <c r="AW462" s="229"/>
      <c r="AX462" s="20"/>
      <c r="AY462" s="229"/>
      <c r="AZ462" s="20"/>
      <c r="BA462" s="229"/>
      <c r="BB462" s="20"/>
      <c r="BC462" s="229"/>
      <c r="BD462" s="48">
        <f t="shared" si="143"/>
        <v>1</v>
      </c>
      <c r="BE462" s="19">
        <v>0</v>
      </c>
      <c r="BF462" s="229"/>
      <c r="BG462" s="210">
        <f t="shared" si="144"/>
        <v>1</v>
      </c>
      <c r="BH462" s="210">
        <f t="shared" si="145"/>
        <v>0</v>
      </c>
      <c r="BI462" s="213" t="e">
        <f t="shared" si="141"/>
        <v>#DIV/0!</v>
      </c>
      <c r="BJ462" s="141"/>
      <c r="BK462" s="201"/>
      <c r="BL462" s="198"/>
      <c r="BM462" s="198"/>
    </row>
    <row r="463" spans="1:65" s="17" customFormat="1" ht="15.95" customHeight="1">
      <c r="A463" s="123">
        <v>17</v>
      </c>
      <c r="B463" s="9" t="s">
        <v>28</v>
      </c>
      <c r="C463" s="11" t="s">
        <v>29</v>
      </c>
      <c r="D463" s="229"/>
      <c r="E463" s="13"/>
      <c r="F463" s="229"/>
      <c r="G463" s="13"/>
      <c r="H463" s="229"/>
      <c r="I463" s="13"/>
      <c r="J463" s="229"/>
      <c r="K463" s="13"/>
      <c r="L463" s="229"/>
      <c r="M463" s="13"/>
      <c r="N463" s="229"/>
      <c r="O463" s="13"/>
      <c r="P463" s="229"/>
      <c r="Q463" s="13"/>
      <c r="R463" s="229"/>
      <c r="S463" s="13"/>
      <c r="T463" s="229"/>
      <c r="U463" s="13"/>
      <c r="V463" s="229"/>
      <c r="W463" s="13"/>
      <c r="X463" s="229"/>
      <c r="Y463" s="13"/>
      <c r="Z463" s="229"/>
      <c r="AA463" s="13"/>
      <c r="AB463" s="229"/>
      <c r="AC463" s="228">
        <f t="shared" si="142"/>
        <v>0</v>
      </c>
      <c r="AD463" s="21">
        <v>0</v>
      </c>
      <c r="AE463" s="229"/>
      <c r="AF463" s="20"/>
      <c r="AG463" s="229"/>
      <c r="AH463" s="20"/>
      <c r="AI463" s="229"/>
      <c r="AJ463" s="20"/>
      <c r="AK463" s="229"/>
      <c r="AL463" s="20"/>
      <c r="AM463" s="229"/>
      <c r="AN463" s="20"/>
      <c r="AO463" s="229"/>
      <c r="AP463" s="20"/>
      <c r="AQ463" s="229"/>
      <c r="AR463" s="20"/>
      <c r="AS463" s="229"/>
      <c r="AT463" s="20"/>
      <c r="AU463" s="229"/>
      <c r="AV463" s="20">
        <v>1</v>
      </c>
      <c r="AW463" s="229"/>
      <c r="AX463" s="20"/>
      <c r="AY463" s="229"/>
      <c r="AZ463" s="20"/>
      <c r="BA463" s="229"/>
      <c r="BB463" s="20">
        <v>1</v>
      </c>
      <c r="BC463" s="229"/>
      <c r="BD463" s="48">
        <f t="shared" si="143"/>
        <v>2</v>
      </c>
      <c r="BE463" s="19">
        <v>0</v>
      </c>
      <c r="BF463" s="229"/>
      <c r="BG463" s="210">
        <f t="shared" si="144"/>
        <v>2</v>
      </c>
      <c r="BH463" s="210">
        <f t="shared" si="145"/>
        <v>0</v>
      </c>
      <c r="BI463" s="213" t="e">
        <f t="shared" si="141"/>
        <v>#DIV/0!</v>
      </c>
      <c r="BJ463" s="141"/>
      <c r="BK463" s="201"/>
      <c r="BL463" s="198"/>
      <c r="BM463" s="198"/>
    </row>
    <row r="464" spans="1:65" s="17" customFormat="1" ht="15.95" customHeight="1">
      <c r="A464" s="123">
        <v>18</v>
      </c>
      <c r="B464" s="9" t="s">
        <v>30</v>
      </c>
      <c r="C464" s="11" t="s">
        <v>279</v>
      </c>
      <c r="D464" s="229"/>
      <c r="E464" s="13"/>
      <c r="F464" s="229"/>
      <c r="G464" s="13"/>
      <c r="H464" s="229"/>
      <c r="I464" s="13"/>
      <c r="J464" s="229"/>
      <c r="K464" s="13"/>
      <c r="L464" s="229"/>
      <c r="M464" s="13"/>
      <c r="N464" s="229"/>
      <c r="O464" s="13"/>
      <c r="P464" s="229"/>
      <c r="Q464" s="13"/>
      <c r="R464" s="229"/>
      <c r="S464" s="13"/>
      <c r="T464" s="229"/>
      <c r="U464" s="13"/>
      <c r="V464" s="229"/>
      <c r="W464" s="13"/>
      <c r="X464" s="229"/>
      <c r="Y464" s="13"/>
      <c r="Z464" s="229"/>
      <c r="AA464" s="13"/>
      <c r="AB464" s="229">
        <f t="shared" ref="AB464:AB476" si="149">D464+F464+H464+J464+L464+N464+P464+R464+T464+V464+X464+Z464</f>
        <v>0</v>
      </c>
      <c r="AC464" s="228">
        <f t="shared" si="142"/>
        <v>0</v>
      </c>
      <c r="AD464" s="21">
        <v>0</v>
      </c>
      <c r="AE464" s="229"/>
      <c r="AF464" s="20"/>
      <c r="AG464" s="229"/>
      <c r="AH464" s="20"/>
      <c r="AI464" s="229"/>
      <c r="AJ464" s="20"/>
      <c r="AK464" s="229"/>
      <c r="AL464" s="20"/>
      <c r="AM464" s="229"/>
      <c r="AN464" s="20"/>
      <c r="AO464" s="229"/>
      <c r="AP464" s="20"/>
      <c r="AQ464" s="229"/>
      <c r="AR464" s="20"/>
      <c r="AS464" s="229"/>
      <c r="AT464" s="20"/>
      <c r="AU464" s="229"/>
      <c r="AV464" s="20"/>
      <c r="AW464" s="229"/>
      <c r="AX464" s="20"/>
      <c r="AY464" s="229"/>
      <c r="AZ464" s="20"/>
      <c r="BA464" s="229"/>
      <c r="BB464" s="20"/>
      <c r="BC464" s="229">
        <f t="shared" ref="BC464:BC476" si="150">AE464+AG464+AI464+AK464+AM464+AO464+AQ464+AS464+AU464+AW464+AY464+BA464</f>
        <v>0</v>
      </c>
      <c r="BD464" s="48">
        <f t="shared" si="143"/>
        <v>0</v>
      </c>
      <c r="BE464" s="19">
        <v>1</v>
      </c>
      <c r="BF464" s="229">
        <f t="shared" ref="BF464:BF476" si="151">AB464+BC464</f>
        <v>0</v>
      </c>
      <c r="BG464" s="210">
        <f t="shared" si="144"/>
        <v>0</v>
      </c>
      <c r="BH464" s="210">
        <f t="shared" si="145"/>
        <v>1</v>
      </c>
      <c r="BI464" s="213">
        <f t="shared" si="141"/>
        <v>0</v>
      </c>
      <c r="BJ464" s="141"/>
      <c r="BK464" s="201"/>
      <c r="BL464" s="198"/>
      <c r="BM464" s="198"/>
    </row>
    <row r="465" spans="1:65" s="17" customFormat="1" ht="15.95" customHeight="1">
      <c r="A465" s="123">
        <v>19</v>
      </c>
      <c r="B465" s="9" t="s">
        <v>483</v>
      </c>
      <c r="C465" s="15" t="s">
        <v>2587</v>
      </c>
      <c r="D465" s="229"/>
      <c r="E465" s="13"/>
      <c r="F465" s="229"/>
      <c r="G465" s="13"/>
      <c r="H465" s="229"/>
      <c r="I465" s="13"/>
      <c r="J465" s="229"/>
      <c r="K465" s="13"/>
      <c r="L465" s="229"/>
      <c r="M465" s="13"/>
      <c r="N465" s="229"/>
      <c r="O465" s="13"/>
      <c r="P465" s="229"/>
      <c r="Q465" s="13"/>
      <c r="R465" s="229"/>
      <c r="S465" s="13"/>
      <c r="T465" s="229"/>
      <c r="U465" s="13"/>
      <c r="V465" s="229"/>
      <c r="W465" s="13"/>
      <c r="X465" s="229"/>
      <c r="Y465" s="13"/>
      <c r="Z465" s="229"/>
      <c r="AA465" s="13"/>
      <c r="AB465" s="229">
        <f t="shared" si="149"/>
        <v>0</v>
      </c>
      <c r="AC465" s="228">
        <f t="shared" si="142"/>
        <v>0</v>
      </c>
      <c r="AD465" s="21">
        <v>0</v>
      </c>
      <c r="AE465" s="229"/>
      <c r="AF465" s="20"/>
      <c r="AG465" s="229"/>
      <c r="AH465" s="20"/>
      <c r="AI465" s="229">
        <v>1</v>
      </c>
      <c r="AJ465" s="20">
        <v>1</v>
      </c>
      <c r="AK465" s="229"/>
      <c r="AL465" s="20"/>
      <c r="AM465" s="229"/>
      <c r="AN465" s="20"/>
      <c r="AO465" s="229">
        <v>1</v>
      </c>
      <c r="AP465" s="20">
        <v>1</v>
      </c>
      <c r="AQ465" s="229"/>
      <c r="AR465" s="20"/>
      <c r="AS465" s="229"/>
      <c r="AT465" s="20"/>
      <c r="AU465" s="229"/>
      <c r="AV465" s="20">
        <v>1</v>
      </c>
      <c r="AW465" s="229"/>
      <c r="AX465" s="20"/>
      <c r="AY465" s="229"/>
      <c r="AZ465" s="20"/>
      <c r="BA465" s="229"/>
      <c r="BB465" s="20"/>
      <c r="BC465" s="229">
        <f t="shared" si="150"/>
        <v>2</v>
      </c>
      <c r="BD465" s="48">
        <f t="shared" si="143"/>
        <v>3</v>
      </c>
      <c r="BE465" s="19">
        <v>2</v>
      </c>
      <c r="BF465" s="229">
        <f t="shared" si="151"/>
        <v>2</v>
      </c>
      <c r="BG465" s="210">
        <f t="shared" si="144"/>
        <v>3</v>
      </c>
      <c r="BH465" s="210">
        <f t="shared" si="145"/>
        <v>2</v>
      </c>
      <c r="BI465" s="213">
        <f t="shared" si="141"/>
        <v>150</v>
      </c>
      <c r="BJ465" s="141"/>
      <c r="BK465" s="201"/>
      <c r="BL465" s="198"/>
      <c r="BM465" s="198"/>
    </row>
    <row r="466" spans="1:65" s="17" customFormat="1" ht="15.95" customHeight="1">
      <c r="A466" s="123">
        <v>20</v>
      </c>
      <c r="B466" s="9" t="s">
        <v>484</v>
      </c>
      <c r="C466" s="11" t="s">
        <v>485</v>
      </c>
      <c r="D466" s="229"/>
      <c r="E466" s="13"/>
      <c r="F466" s="229"/>
      <c r="G466" s="13"/>
      <c r="H466" s="229"/>
      <c r="I466" s="13"/>
      <c r="J466" s="229"/>
      <c r="K466" s="13"/>
      <c r="L466" s="229"/>
      <c r="M466" s="13"/>
      <c r="N466" s="229"/>
      <c r="O466" s="13"/>
      <c r="P466" s="229"/>
      <c r="Q466" s="13"/>
      <c r="R466" s="229"/>
      <c r="S466" s="13"/>
      <c r="T466" s="229"/>
      <c r="U466" s="13"/>
      <c r="V466" s="229"/>
      <c r="W466" s="13"/>
      <c r="X466" s="229"/>
      <c r="Y466" s="13"/>
      <c r="Z466" s="229"/>
      <c r="AA466" s="13"/>
      <c r="AB466" s="229">
        <f t="shared" si="149"/>
        <v>0</v>
      </c>
      <c r="AC466" s="228">
        <f t="shared" si="142"/>
        <v>0</v>
      </c>
      <c r="AD466" s="21">
        <v>0</v>
      </c>
      <c r="AE466" s="229"/>
      <c r="AF466" s="20"/>
      <c r="AG466" s="229"/>
      <c r="AH466" s="20"/>
      <c r="AI466" s="229">
        <v>1</v>
      </c>
      <c r="AJ466" s="20">
        <v>1</v>
      </c>
      <c r="AK466" s="229"/>
      <c r="AL466" s="20"/>
      <c r="AM466" s="229"/>
      <c r="AN466" s="20"/>
      <c r="AO466" s="229"/>
      <c r="AP466" s="20"/>
      <c r="AQ466" s="229"/>
      <c r="AR466" s="20"/>
      <c r="AS466" s="229"/>
      <c r="AT466" s="20"/>
      <c r="AU466" s="229"/>
      <c r="AV466" s="20"/>
      <c r="AW466" s="229"/>
      <c r="AX466" s="20"/>
      <c r="AY466" s="229"/>
      <c r="AZ466" s="20"/>
      <c r="BA466" s="229"/>
      <c r="BB466" s="20"/>
      <c r="BC466" s="229">
        <f t="shared" si="150"/>
        <v>1</v>
      </c>
      <c r="BD466" s="48">
        <f t="shared" si="143"/>
        <v>1</v>
      </c>
      <c r="BE466" s="19">
        <v>4</v>
      </c>
      <c r="BF466" s="229">
        <f t="shared" si="151"/>
        <v>1</v>
      </c>
      <c r="BG466" s="210">
        <f t="shared" si="144"/>
        <v>1</v>
      </c>
      <c r="BH466" s="210">
        <f t="shared" si="145"/>
        <v>4</v>
      </c>
      <c r="BI466" s="213">
        <f t="shared" si="141"/>
        <v>25</v>
      </c>
      <c r="BJ466" s="141"/>
      <c r="BK466" s="201"/>
      <c r="BL466" s="198"/>
      <c r="BM466" s="198"/>
    </row>
    <row r="467" spans="1:65" s="17" customFormat="1" ht="15.95" customHeight="1">
      <c r="A467" s="123">
        <v>21</v>
      </c>
      <c r="B467" s="9" t="s">
        <v>132</v>
      </c>
      <c r="C467" s="11" t="s">
        <v>1464</v>
      </c>
      <c r="D467" s="229"/>
      <c r="E467" s="13"/>
      <c r="F467" s="229"/>
      <c r="G467" s="13"/>
      <c r="H467" s="229"/>
      <c r="I467" s="13"/>
      <c r="J467" s="229"/>
      <c r="K467" s="13"/>
      <c r="L467" s="229"/>
      <c r="M467" s="13"/>
      <c r="N467" s="229"/>
      <c r="O467" s="13"/>
      <c r="P467" s="229"/>
      <c r="Q467" s="13"/>
      <c r="R467" s="229"/>
      <c r="S467" s="13"/>
      <c r="T467" s="229"/>
      <c r="U467" s="13"/>
      <c r="V467" s="229"/>
      <c r="W467" s="13"/>
      <c r="X467" s="229"/>
      <c r="Y467" s="13"/>
      <c r="Z467" s="229"/>
      <c r="AA467" s="13"/>
      <c r="AB467" s="229">
        <f t="shared" si="149"/>
        <v>0</v>
      </c>
      <c r="AC467" s="228">
        <f t="shared" si="142"/>
        <v>0</v>
      </c>
      <c r="AD467" s="21">
        <v>0</v>
      </c>
      <c r="AE467" s="229"/>
      <c r="AF467" s="20"/>
      <c r="AG467" s="229"/>
      <c r="AH467" s="20"/>
      <c r="AI467" s="229">
        <v>1</v>
      </c>
      <c r="AJ467" s="20">
        <v>1</v>
      </c>
      <c r="AK467" s="229"/>
      <c r="AL467" s="20"/>
      <c r="AM467" s="229"/>
      <c r="AN467" s="20"/>
      <c r="AO467" s="229"/>
      <c r="AP467" s="20"/>
      <c r="AQ467" s="229"/>
      <c r="AR467" s="20"/>
      <c r="AS467" s="229"/>
      <c r="AT467" s="20"/>
      <c r="AU467" s="229"/>
      <c r="AV467" s="20"/>
      <c r="AW467" s="229"/>
      <c r="AX467" s="20"/>
      <c r="AY467" s="229"/>
      <c r="AZ467" s="20"/>
      <c r="BA467" s="229"/>
      <c r="BB467" s="20"/>
      <c r="BC467" s="229">
        <f t="shared" si="150"/>
        <v>1</v>
      </c>
      <c r="BD467" s="48">
        <f t="shared" si="143"/>
        <v>1</v>
      </c>
      <c r="BE467" s="19">
        <v>2</v>
      </c>
      <c r="BF467" s="229">
        <f t="shared" si="151"/>
        <v>1</v>
      </c>
      <c r="BG467" s="210">
        <f t="shared" si="144"/>
        <v>1</v>
      </c>
      <c r="BH467" s="210">
        <f t="shared" si="145"/>
        <v>2</v>
      </c>
      <c r="BI467" s="213">
        <f t="shared" si="141"/>
        <v>50</v>
      </c>
      <c r="BJ467" s="141"/>
      <c r="BK467" s="201"/>
      <c r="BL467" s="198"/>
      <c r="BM467" s="198"/>
    </row>
    <row r="468" spans="1:65" s="17" customFormat="1" ht="15.95" customHeight="1">
      <c r="A468" s="123">
        <v>22</v>
      </c>
      <c r="B468" s="9" t="s">
        <v>499</v>
      </c>
      <c r="C468" s="11" t="s">
        <v>2825</v>
      </c>
      <c r="D468" s="229"/>
      <c r="E468" s="13"/>
      <c r="F468" s="229"/>
      <c r="G468" s="13"/>
      <c r="H468" s="229"/>
      <c r="I468" s="13"/>
      <c r="J468" s="229"/>
      <c r="K468" s="13"/>
      <c r="L468" s="229"/>
      <c r="M468" s="13"/>
      <c r="N468" s="229"/>
      <c r="O468" s="13"/>
      <c r="P468" s="229"/>
      <c r="Q468" s="13"/>
      <c r="R468" s="229"/>
      <c r="S468" s="13"/>
      <c r="T468" s="229"/>
      <c r="U468" s="13"/>
      <c r="V468" s="229"/>
      <c r="W468" s="13"/>
      <c r="X468" s="229"/>
      <c r="Y468" s="13"/>
      <c r="Z468" s="229"/>
      <c r="AA468" s="13"/>
      <c r="AB468" s="229">
        <f t="shared" si="149"/>
        <v>0</v>
      </c>
      <c r="AC468" s="228">
        <f t="shared" si="142"/>
        <v>0</v>
      </c>
      <c r="AD468" s="21">
        <v>0</v>
      </c>
      <c r="AE468" s="229"/>
      <c r="AF468" s="20"/>
      <c r="AG468" s="229"/>
      <c r="AH468" s="20"/>
      <c r="AI468" s="229">
        <v>1</v>
      </c>
      <c r="AJ468" s="20">
        <v>2</v>
      </c>
      <c r="AK468" s="229"/>
      <c r="AL468" s="20"/>
      <c r="AM468" s="229"/>
      <c r="AN468" s="20"/>
      <c r="AO468" s="229">
        <v>1</v>
      </c>
      <c r="AP468" s="20">
        <v>1</v>
      </c>
      <c r="AQ468" s="229"/>
      <c r="AR468" s="20"/>
      <c r="AS468" s="229"/>
      <c r="AT468" s="20"/>
      <c r="AU468" s="229"/>
      <c r="AV468" s="20"/>
      <c r="AW468" s="229"/>
      <c r="AX468" s="20"/>
      <c r="AY468" s="229"/>
      <c r="AZ468" s="20"/>
      <c r="BA468" s="229"/>
      <c r="BB468" s="20">
        <v>1</v>
      </c>
      <c r="BC468" s="229">
        <f t="shared" si="150"/>
        <v>2</v>
      </c>
      <c r="BD468" s="48">
        <f t="shared" si="143"/>
        <v>4</v>
      </c>
      <c r="BE468" s="19">
        <v>0</v>
      </c>
      <c r="BF468" s="229">
        <f t="shared" si="151"/>
        <v>2</v>
      </c>
      <c r="BG468" s="210">
        <f t="shared" si="144"/>
        <v>4</v>
      </c>
      <c r="BH468" s="210">
        <f t="shared" si="145"/>
        <v>0</v>
      </c>
      <c r="BI468" s="213" t="e">
        <f t="shared" si="141"/>
        <v>#DIV/0!</v>
      </c>
      <c r="BJ468" s="141"/>
      <c r="BK468" s="201"/>
      <c r="BL468" s="198"/>
      <c r="BM468" s="198"/>
    </row>
    <row r="469" spans="1:65" s="17" customFormat="1" ht="15.95" customHeight="1">
      <c r="A469" s="123">
        <v>23</v>
      </c>
      <c r="B469" s="9" t="s">
        <v>145</v>
      </c>
      <c r="C469" s="11" t="s">
        <v>1729</v>
      </c>
      <c r="D469" s="229"/>
      <c r="E469" s="13"/>
      <c r="F469" s="229"/>
      <c r="G469" s="13"/>
      <c r="H469" s="229"/>
      <c r="I469" s="13"/>
      <c r="J469" s="229"/>
      <c r="K469" s="13"/>
      <c r="L469" s="229"/>
      <c r="M469" s="13"/>
      <c r="N469" s="229"/>
      <c r="O469" s="13"/>
      <c r="P469" s="229"/>
      <c r="Q469" s="13"/>
      <c r="R469" s="229"/>
      <c r="S469" s="13"/>
      <c r="T469" s="229"/>
      <c r="U469" s="13"/>
      <c r="V469" s="229"/>
      <c r="W469" s="13"/>
      <c r="X469" s="229"/>
      <c r="Y469" s="13"/>
      <c r="Z469" s="229"/>
      <c r="AA469" s="13"/>
      <c r="AB469" s="229">
        <f t="shared" si="149"/>
        <v>0</v>
      </c>
      <c r="AC469" s="228">
        <f t="shared" si="142"/>
        <v>0</v>
      </c>
      <c r="AD469" s="21">
        <v>0</v>
      </c>
      <c r="AE469" s="229"/>
      <c r="AF469" s="20"/>
      <c r="AG469" s="229"/>
      <c r="AH469" s="20"/>
      <c r="AI469" s="229"/>
      <c r="AJ469" s="20"/>
      <c r="AK469" s="229"/>
      <c r="AL469" s="20"/>
      <c r="AM469" s="229"/>
      <c r="AN469" s="20"/>
      <c r="AO469" s="229"/>
      <c r="AP469" s="20"/>
      <c r="AQ469" s="229"/>
      <c r="AR469" s="20"/>
      <c r="AS469" s="229"/>
      <c r="AT469" s="20"/>
      <c r="AU469" s="229"/>
      <c r="AV469" s="20"/>
      <c r="AW469" s="229"/>
      <c r="AX469" s="20"/>
      <c r="AY469" s="229"/>
      <c r="AZ469" s="20"/>
      <c r="BA469" s="229"/>
      <c r="BB469" s="20"/>
      <c r="BC469" s="229">
        <f t="shared" si="150"/>
        <v>0</v>
      </c>
      <c r="BD469" s="48">
        <f t="shared" si="143"/>
        <v>0</v>
      </c>
      <c r="BE469" s="19">
        <v>1</v>
      </c>
      <c r="BF469" s="229">
        <f t="shared" si="151"/>
        <v>0</v>
      </c>
      <c r="BG469" s="210">
        <f t="shared" si="144"/>
        <v>0</v>
      </c>
      <c r="BH469" s="210">
        <f t="shared" si="145"/>
        <v>1</v>
      </c>
      <c r="BI469" s="213">
        <f t="shared" si="141"/>
        <v>0</v>
      </c>
      <c r="BJ469" s="141"/>
      <c r="BK469" s="201"/>
      <c r="BL469" s="198"/>
      <c r="BM469" s="198"/>
    </row>
    <row r="470" spans="1:65" s="17" customFormat="1" ht="15.95" customHeight="1">
      <c r="A470" s="123">
        <v>24</v>
      </c>
      <c r="B470" s="9" t="s">
        <v>169</v>
      </c>
      <c r="C470" s="11" t="s">
        <v>170</v>
      </c>
      <c r="D470" s="229"/>
      <c r="E470" s="13"/>
      <c r="F470" s="229"/>
      <c r="G470" s="13"/>
      <c r="H470" s="229"/>
      <c r="I470" s="13"/>
      <c r="J470" s="229"/>
      <c r="K470" s="13"/>
      <c r="L470" s="229"/>
      <c r="M470" s="13"/>
      <c r="N470" s="229"/>
      <c r="O470" s="13"/>
      <c r="P470" s="229"/>
      <c r="Q470" s="13"/>
      <c r="R470" s="229"/>
      <c r="S470" s="13"/>
      <c r="T470" s="229"/>
      <c r="U470" s="13"/>
      <c r="V470" s="229"/>
      <c r="W470" s="13"/>
      <c r="X470" s="229"/>
      <c r="Y470" s="13"/>
      <c r="Z470" s="229"/>
      <c r="AA470" s="13"/>
      <c r="AB470" s="229">
        <f t="shared" si="149"/>
        <v>0</v>
      </c>
      <c r="AC470" s="228">
        <f t="shared" si="142"/>
        <v>0</v>
      </c>
      <c r="AD470" s="21">
        <v>0</v>
      </c>
      <c r="AE470" s="229"/>
      <c r="AF470" s="20"/>
      <c r="AG470" s="229"/>
      <c r="AH470" s="20"/>
      <c r="AI470" s="229">
        <v>1</v>
      </c>
      <c r="AJ470" s="20">
        <v>1</v>
      </c>
      <c r="AK470" s="229"/>
      <c r="AL470" s="20"/>
      <c r="AM470" s="229"/>
      <c r="AN470" s="20"/>
      <c r="AO470" s="229"/>
      <c r="AP470" s="20"/>
      <c r="AQ470" s="229"/>
      <c r="AR470" s="20"/>
      <c r="AS470" s="229"/>
      <c r="AT470" s="20"/>
      <c r="AU470" s="229"/>
      <c r="AV470" s="20"/>
      <c r="AW470" s="229"/>
      <c r="AX470" s="20"/>
      <c r="AY470" s="229"/>
      <c r="AZ470" s="20"/>
      <c r="BA470" s="229"/>
      <c r="BB470" s="20"/>
      <c r="BC470" s="229">
        <f t="shared" si="150"/>
        <v>1</v>
      </c>
      <c r="BD470" s="48">
        <f t="shared" si="143"/>
        <v>1</v>
      </c>
      <c r="BE470" s="19">
        <v>0</v>
      </c>
      <c r="BF470" s="229">
        <f t="shared" si="151"/>
        <v>1</v>
      </c>
      <c r="BG470" s="210">
        <f t="shared" si="144"/>
        <v>1</v>
      </c>
      <c r="BH470" s="210">
        <f t="shared" si="145"/>
        <v>0</v>
      </c>
      <c r="BI470" s="213" t="e">
        <f t="shared" si="141"/>
        <v>#DIV/0!</v>
      </c>
      <c r="BJ470" s="141"/>
      <c r="BK470" s="201"/>
      <c r="BL470" s="198"/>
      <c r="BM470" s="198"/>
    </row>
    <row r="471" spans="1:65" s="17" customFormat="1" ht="15.95" customHeight="1">
      <c r="A471" s="123">
        <v>25</v>
      </c>
      <c r="B471" s="9" t="s">
        <v>34</v>
      </c>
      <c r="C471" s="11" t="s">
        <v>35</v>
      </c>
      <c r="D471" s="229"/>
      <c r="E471" s="13"/>
      <c r="F471" s="229"/>
      <c r="G471" s="13"/>
      <c r="H471" s="229"/>
      <c r="I471" s="13"/>
      <c r="J471" s="229"/>
      <c r="K471" s="13"/>
      <c r="L471" s="229"/>
      <c r="M471" s="13"/>
      <c r="N471" s="229"/>
      <c r="O471" s="13"/>
      <c r="P471" s="229"/>
      <c r="Q471" s="13"/>
      <c r="R471" s="229"/>
      <c r="S471" s="13"/>
      <c r="T471" s="229"/>
      <c r="U471" s="13"/>
      <c r="V471" s="229"/>
      <c r="W471" s="13"/>
      <c r="X471" s="229"/>
      <c r="Y471" s="13"/>
      <c r="Z471" s="229"/>
      <c r="AA471" s="13"/>
      <c r="AB471" s="229">
        <f t="shared" si="149"/>
        <v>0</v>
      </c>
      <c r="AC471" s="228">
        <f t="shared" si="142"/>
        <v>0</v>
      </c>
      <c r="AD471" s="21">
        <v>0</v>
      </c>
      <c r="AE471" s="229"/>
      <c r="AF471" s="20"/>
      <c r="AG471" s="229"/>
      <c r="AH471" s="20"/>
      <c r="AI471" s="229"/>
      <c r="AJ471" s="20"/>
      <c r="AK471" s="229"/>
      <c r="AL471" s="20"/>
      <c r="AM471" s="229"/>
      <c r="AN471" s="20"/>
      <c r="AO471" s="229"/>
      <c r="AP471" s="20"/>
      <c r="AQ471" s="229"/>
      <c r="AR471" s="20"/>
      <c r="AS471" s="229"/>
      <c r="AT471" s="20"/>
      <c r="AU471" s="229"/>
      <c r="AV471" s="20"/>
      <c r="AW471" s="229"/>
      <c r="AX471" s="20"/>
      <c r="AY471" s="229"/>
      <c r="AZ471" s="20"/>
      <c r="BA471" s="229"/>
      <c r="BB471" s="20"/>
      <c r="BC471" s="229">
        <f t="shared" si="150"/>
        <v>0</v>
      </c>
      <c r="BD471" s="48">
        <f t="shared" si="143"/>
        <v>0</v>
      </c>
      <c r="BE471" s="19">
        <v>1</v>
      </c>
      <c r="BF471" s="229">
        <f t="shared" si="151"/>
        <v>0</v>
      </c>
      <c r="BG471" s="210">
        <f t="shared" si="144"/>
        <v>0</v>
      </c>
      <c r="BH471" s="210">
        <f t="shared" si="145"/>
        <v>1</v>
      </c>
      <c r="BI471" s="213">
        <f t="shared" si="141"/>
        <v>0</v>
      </c>
      <c r="BJ471" s="141"/>
      <c r="BK471" s="201"/>
      <c r="BL471" s="198"/>
      <c r="BM471" s="198"/>
    </row>
    <row r="472" spans="1:65" s="17" customFormat="1" ht="15.95" customHeight="1">
      <c r="A472" s="123">
        <v>26</v>
      </c>
      <c r="B472" s="9" t="s">
        <v>171</v>
      </c>
      <c r="C472" s="11" t="s">
        <v>172</v>
      </c>
      <c r="D472" s="229"/>
      <c r="E472" s="13"/>
      <c r="F472" s="229"/>
      <c r="G472" s="13"/>
      <c r="H472" s="229"/>
      <c r="I472" s="13"/>
      <c r="J472" s="229"/>
      <c r="K472" s="13"/>
      <c r="L472" s="229"/>
      <c r="M472" s="13"/>
      <c r="N472" s="229"/>
      <c r="O472" s="13"/>
      <c r="P472" s="229"/>
      <c r="Q472" s="13"/>
      <c r="R472" s="229"/>
      <c r="S472" s="13"/>
      <c r="T472" s="229"/>
      <c r="U472" s="13"/>
      <c r="V472" s="229"/>
      <c r="W472" s="13"/>
      <c r="X472" s="229"/>
      <c r="Y472" s="13"/>
      <c r="Z472" s="229"/>
      <c r="AA472" s="13"/>
      <c r="AB472" s="229">
        <f t="shared" si="149"/>
        <v>0</v>
      </c>
      <c r="AC472" s="228">
        <f t="shared" si="142"/>
        <v>0</v>
      </c>
      <c r="AD472" s="21">
        <v>0</v>
      </c>
      <c r="AE472" s="229"/>
      <c r="AF472" s="20"/>
      <c r="AG472" s="229"/>
      <c r="AH472" s="20"/>
      <c r="AI472" s="229"/>
      <c r="AJ472" s="20"/>
      <c r="AK472" s="229"/>
      <c r="AL472" s="20"/>
      <c r="AM472" s="229"/>
      <c r="AN472" s="20"/>
      <c r="AO472" s="229"/>
      <c r="AP472" s="20"/>
      <c r="AQ472" s="229"/>
      <c r="AR472" s="20"/>
      <c r="AS472" s="229"/>
      <c r="AT472" s="20"/>
      <c r="AU472" s="229"/>
      <c r="AV472" s="20"/>
      <c r="AW472" s="229"/>
      <c r="AX472" s="20"/>
      <c r="AY472" s="229"/>
      <c r="AZ472" s="20"/>
      <c r="BA472" s="229"/>
      <c r="BB472" s="20"/>
      <c r="BC472" s="229">
        <f t="shared" si="150"/>
        <v>0</v>
      </c>
      <c r="BD472" s="48">
        <f t="shared" si="143"/>
        <v>0</v>
      </c>
      <c r="BE472" s="19">
        <v>2</v>
      </c>
      <c r="BF472" s="229">
        <f t="shared" si="151"/>
        <v>0</v>
      </c>
      <c r="BG472" s="210">
        <f t="shared" si="144"/>
        <v>0</v>
      </c>
      <c r="BH472" s="210">
        <f t="shared" si="145"/>
        <v>2</v>
      </c>
      <c r="BI472" s="213">
        <f t="shared" si="141"/>
        <v>0</v>
      </c>
      <c r="BJ472" s="141"/>
      <c r="BK472" s="201"/>
      <c r="BL472" s="198"/>
      <c r="BM472" s="198"/>
    </row>
    <row r="473" spans="1:65" s="17" customFormat="1" ht="15.95" customHeight="1">
      <c r="A473" s="123">
        <v>27</v>
      </c>
      <c r="B473" s="9" t="s">
        <v>175</v>
      </c>
      <c r="C473" s="11" t="s">
        <v>2562</v>
      </c>
      <c r="D473" s="229"/>
      <c r="E473" s="13"/>
      <c r="F473" s="229"/>
      <c r="G473" s="13"/>
      <c r="H473" s="229"/>
      <c r="I473" s="13"/>
      <c r="J473" s="229"/>
      <c r="K473" s="13"/>
      <c r="L473" s="229"/>
      <c r="M473" s="13"/>
      <c r="N473" s="229"/>
      <c r="O473" s="13"/>
      <c r="P473" s="229"/>
      <c r="Q473" s="13"/>
      <c r="R473" s="229"/>
      <c r="S473" s="13"/>
      <c r="T473" s="229"/>
      <c r="U473" s="13"/>
      <c r="V473" s="229"/>
      <c r="W473" s="13"/>
      <c r="X473" s="229"/>
      <c r="Y473" s="13"/>
      <c r="Z473" s="229"/>
      <c r="AA473" s="13"/>
      <c r="AB473" s="229">
        <f t="shared" si="149"/>
        <v>0</v>
      </c>
      <c r="AC473" s="228">
        <f t="shared" si="142"/>
        <v>0</v>
      </c>
      <c r="AD473" s="21">
        <v>0</v>
      </c>
      <c r="AE473" s="229"/>
      <c r="AF473" s="20"/>
      <c r="AG473" s="229"/>
      <c r="AH473" s="20"/>
      <c r="AI473" s="229"/>
      <c r="AJ473" s="20"/>
      <c r="AK473" s="229"/>
      <c r="AL473" s="20"/>
      <c r="AM473" s="229"/>
      <c r="AN473" s="20"/>
      <c r="AO473" s="229"/>
      <c r="AP473" s="20"/>
      <c r="AQ473" s="229"/>
      <c r="AR473" s="20"/>
      <c r="AS473" s="229"/>
      <c r="AT473" s="20"/>
      <c r="AU473" s="229"/>
      <c r="AV473" s="20"/>
      <c r="AW473" s="229"/>
      <c r="AX473" s="20"/>
      <c r="AY473" s="229"/>
      <c r="AZ473" s="20"/>
      <c r="BA473" s="229"/>
      <c r="BB473" s="20"/>
      <c r="BC473" s="229">
        <f t="shared" si="150"/>
        <v>0</v>
      </c>
      <c r="BD473" s="48">
        <f t="shared" si="143"/>
        <v>0</v>
      </c>
      <c r="BE473" s="19">
        <v>3</v>
      </c>
      <c r="BF473" s="229">
        <f t="shared" si="151"/>
        <v>0</v>
      </c>
      <c r="BG473" s="210">
        <f t="shared" si="144"/>
        <v>0</v>
      </c>
      <c r="BH473" s="210">
        <f t="shared" si="145"/>
        <v>3</v>
      </c>
      <c r="BI473" s="213">
        <f t="shared" si="141"/>
        <v>0</v>
      </c>
      <c r="BJ473" s="141"/>
      <c r="BK473" s="201"/>
      <c r="BL473" s="198"/>
      <c r="BM473" s="198"/>
    </row>
    <row r="474" spans="1:65" s="17" customFormat="1" ht="15.95" customHeight="1">
      <c r="A474" s="123">
        <v>28</v>
      </c>
      <c r="B474" s="9" t="s">
        <v>185</v>
      </c>
      <c r="C474" s="11" t="s">
        <v>2560</v>
      </c>
      <c r="D474" s="229"/>
      <c r="E474" s="13"/>
      <c r="F474" s="229"/>
      <c r="G474" s="13"/>
      <c r="H474" s="229"/>
      <c r="I474" s="13"/>
      <c r="J474" s="229"/>
      <c r="K474" s="13"/>
      <c r="L474" s="229"/>
      <c r="M474" s="13"/>
      <c r="N474" s="229"/>
      <c r="O474" s="13"/>
      <c r="P474" s="229"/>
      <c r="Q474" s="13"/>
      <c r="R474" s="229"/>
      <c r="S474" s="13"/>
      <c r="T474" s="229"/>
      <c r="U474" s="13"/>
      <c r="V474" s="229"/>
      <c r="W474" s="13"/>
      <c r="X474" s="229"/>
      <c r="Y474" s="13"/>
      <c r="Z474" s="229"/>
      <c r="AA474" s="13"/>
      <c r="AB474" s="229">
        <f t="shared" si="149"/>
        <v>0</v>
      </c>
      <c r="AC474" s="228">
        <f t="shared" si="142"/>
        <v>0</v>
      </c>
      <c r="AD474" s="21">
        <v>0</v>
      </c>
      <c r="AE474" s="229"/>
      <c r="AF474" s="20"/>
      <c r="AG474" s="229"/>
      <c r="AH474" s="20"/>
      <c r="AI474" s="229">
        <v>7</v>
      </c>
      <c r="AJ474" s="20">
        <v>7</v>
      </c>
      <c r="AK474" s="229"/>
      <c r="AL474" s="20"/>
      <c r="AM474" s="229"/>
      <c r="AN474" s="20"/>
      <c r="AO474" s="229">
        <v>5</v>
      </c>
      <c r="AP474" s="20">
        <v>5</v>
      </c>
      <c r="AQ474" s="229"/>
      <c r="AR474" s="20"/>
      <c r="AS474" s="229"/>
      <c r="AT474" s="20"/>
      <c r="AU474" s="229"/>
      <c r="AV474" s="20">
        <v>6</v>
      </c>
      <c r="AW474" s="229"/>
      <c r="AX474" s="20"/>
      <c r="AY474" s="229"/>
      <c r="AZ474" s="20"/>
      <c r="BA474" s="229"/>
      <c r="BB474" s="20">
        <v>3</v>
      </c>
      <c r="BC474" s="229">
        <f t="shared" si="150"/>
        <v>12</v>
      </c>
      <c r="BD474" s="48">
        <f t="shared" si="143"/>
        <v>21</v>
      </c>
      <c r="BE474" s="19">
        <v>39</v>
      </c>
      <c r="BF474" s="229">
        <f t="shared" si="151"/>
        <v>12</v>
      </c>
      <c r="BG474" s="210">
        <f t="shared" si="144"/>
        <v>21</v>
      </c>
      <c r="BH474" s="210">
        <f t="shared" si="145"/>
        <v>39</v>
      </c>
      <c r="BI474" s="213">
        <f t="shared" si="141"/>
        <v>53.846153846153847</v>
      </c>
      <c r="BJ474" s="141"/>
      <c r="BK474" s="201"/>
      <c r="BL474" s="198"/>
      <c r="BM474" s="198"/>
    </row>
    <row r="475" spans="1:65" s="17" customFormat="1" ht="15.95" customHeight="1">
      <c r="A475" s="123">
        <v>29</v>
      </c>
      <c r="B475" s="9" t="s">
        <v>186</v>
      </c>
      <c r="C475" s="11" t="s">
        <v>2559</v>
      </c>
      <c r="D475" s="229"/>
      <c r="E475" s="13"/>
      <c r="F475" s="229"/>
      <c r="G475" s="13"/>
      <c r="H475" s="229"/>
      <c r="I475" s="13"/>
      <c r="J475" s="229"/>
      <c r="K475" s="13"/>
      <c r="L475" s="229"/>
      <c r="M475" s="13"/>
      <c r="N475" s="229"/>
      <c r="O475" s="13"/>
      <c r="P475" s="229"/>
      <c r="Q475" s="13"/>
      <c r="R475" s="229"/>
      <c r="S475" s="13"/>
      <c r="T475" s="229"/>
      <c r="U475" s="13"/>
      <c r="V475" s="229"/>
      <c r="W475" s="13"/>
      <c r="X475" s="229"/>
      <c r="Y475" s="13"/>
      <c r="Z475" s="229"/>
      <c r="AA475" s="13"/>
      <c r="AB475" s="229">
        <f t="shared" si="149"/>
        <v>0</v>
      </c>
      <c r="AC475" s="228">
        <f t="shared" si="142"/>
        <v>0</v>
      </c>
      <c r="AD475" s="21">
        <v>0</v>
      </c>
      <c r="AE475" s="229"/>
      <c r="AF475" s="20"/>
      <c r="AG475" s="229"/>
      <c r="AH475" s="20"/>
      <c r="AI475" s="229"/>
      <c r="AJ475" s="20"/>
      <c r="AK475" s="229"/>
      <c r="AL475" s="20"/>
      <c r="AM475" s="229"/>
      <c r="AN475" s="20"/>
      <c r="AO475" s="229"/>
      <c r="AP475" s="20"/>
      <c r="AQ475" s="229"/>
      <c r="AR475" s="20"/>
      <c r="AS475" s="229"/>
      <c r="AT475" s="20"/>
      <c r="AU475" s="229"/>
      <c r="AV475" s="20"/>
      <c r="AW475" s="229"/>
      <c r="AX475" s="20"/>
      <c r="AY475" s="229"/>
      <c r="AZ475" s="20"/>
      <c r="BA475" s="229"/>
      <c r="BB475" s="20">
        <v>2</v>
      </c>
      <c r="BC475" s="229">
        <f t="shared" si="150"/>
        <v>0</v>
      </c>
      <c r="BD475" s="48">
        <f t="shared" si="143"/>
        <v>2</v>
      </c>
      <c r="BE475" s="19">
        <v>3</v>
      </c>
      <c r="BF475" s="229">
        <f t="shared" si="151"/>
        <v>0</v>
      </c>
      <c r="BG475" s="210">
        <f t="shared" si="144"/>
        <v>2</v>
      </c>
      <c r="BH475" s="210">
        <f t="shared" si="145"/>
        <v>3</v>
      </c>
      <c r="BI475" s="213">
        <f t="shared" si="141"/>
        <v>66.666666666666657</v>
      </c>
      <c r="BJ475" s="141"/>
      <c r="BK475" s="201"/>
      <c r="BL475" s="198"/>
      <c r="BM475" s="198"/>
    </row>
    <row r="476" spans="1:65" s="17" customFormat="1" ht="15.95" customHeight="1">
      <c r="A476" s="123">
        <v>30</v>
      </c>
      <c r="B476" s="9" t="s">
        <v>187</v>
      </c>
      <c r="C476" s="11" t="s">
        <v>188</v>
      </c>
      <c r="D476" s="229"/>
      <c r="E476" s="13"/>
      <c r="F476" s="229"/>
      <c r="G476" s="13"/>
      <c r="H476" s="229"/>
      <c r="I476" s="13"/>
      <c r="J476" s="229"/>
      <c r="K476" s="13"/>
      <c r="L476" s="229"/>
      <c r="M476" s="13"/>
      <c r="N476" s="229"/>
      <c r="O476" s="13"/>
      <c r="P476" s="229"/>
      <c r="Q476" s="13"/>
      <c r="R476" s="229"/>
      <c r="S476" s="13"/>
      <c r="T476" s="229"/>
      <c r="U476" s="13"/>
      <c r="V476" s="229"/>
      <c r="W476" s="13"/>
      <c r="X476" s="229"/>
      <c r="Y476" s="13"/>
      <c r="Z476" s="229"/>
      <c r="AA476" s="13"/>
      <c r="AB476" s="229">
        <f t="shared" si="149"/>
        <v>0</v>
      </c>
      <c r="AC476" s="228">
        <f t="shared" si="142"/>
        <v>0</v>
      </c>
      <c r="AD476" s="21">
        <v>0</v>
      </c>
      <c r="AE476" s="229"/>
      <c r="AF476" s="20"/>
      <c r="AG476" s="229"/>
      <c r="AH476" s="20"/>
      <c r="AI476" s="229">
        <v>5</v>
      </c>
      <c r="AJ476" s="20">
        <v>5</v>
      </c>
      <c r="AK476" s="229"/>
      <c r="AL476" s="20"/>
      <c r="AM476" s="229"/>
      <c r="AN476" s="20"/>
      <c r="AO476" s="229">
        <f>3+1</f>
        <v>4</v>
      </c>
      <c r="AP476" s="20">
        <f>3+1</f>
        <v>4</v>
      </c>
      <c r="AQ476" s="229"/>
      <c r="AR476" s="20"/>
      <c r="AS476" s="229"/>
      <c r="AT476" s="20"/>
      <c r="AU476" s="229"/>
      <c r="AV476" s="20">
        <v>1</v>
      </c>
      <c r="AW476" s="229"/>
      <c r="AX476" s="20"/>
      <c r="AY476" s="229"/>
      <c r="AZ476" s="20"/>
      <c r="BA476" s="229"/>
      <c r="BB476" s="20">
        <v>4</v>
      </c>
      <c r="BC476" s="229">
        <f t="shared" si="150"/>
        <v>9</v>
      </c>
      <c r="BD476" s="48">
        <f t="shared" si="143"/>
        <v>14</v>
      </c>
      <c r="BE476" s="19">
        <f>7+17</f>
        <v>24</v>
      </c>
      <c r="BF476" s="229">
        <f t="shared" si="151"/>
        <v>9</v>
      </c>
      <c r="BG476" s="210">
        <f t="shared" si="144"/>
        <v>14</v>
      </c>
      <c r="BH476" s="210">
        <f t="shared" si="145"/>
        <v>24</v>
      </c>
      <c r="BI476" s="213">
        <f t="shared" si="141"/>
        <v>58.333333333333336</v>
      </c>
      <c r="BJ476" s="141"/>
      <c r="BK476" s="201"/>
      <c r="BL476" s="198"/>
      <c r="BM476" s="198"/>
    </row>
    <row r="477" spans="1:65" s="17" customFormat="1" ht="15.95" customHeight="1">
      <c r="A477" s="123">
        <v>31</v>
      </c>
      <c r="B477" s="9" t="s">
        <v>280</v>
      </c>
      <c r="C477" s="11" t="s">
        <v>3068</v>
      </c>
      <c r="D477" s="229"/>
      <c r="E477" s="13"/>
      <c r="F477" s="229"/>
      <c r="G477" s="13"/>
      <c r="H477" s="229"/>
      <c r="I477" s="13"/>
      <c r="J477" s="229"/>
      <c r="K477" s="13"/>
      <c r="L477" s="229"/>
      <c r="M477" s="13"/>
      <c r="N477" s="229"/>
      <c r="O477" s="13"/>
      <c r="P477" s="229"/>
      <c r="Q477" s="13"/>
      <c r="R477" s="229"/>
      <c r="S477" s="13"/>
      <c r="T477" s="229"/>
      <c r="U477" s="13"/>
      <c r="V477" s="229"/>
      <c r="W477" s="13"/>
      <c r="X477" s="229"/>
      <c r="Y477" s="13"/>
      <c r="Z477" s="229"/>
      <c r="AA477" s="13"/>
      <c r="AB477" s="229"/>
      <c r="AC477" s="228">
        <f t="shared" si="142"/>
        <v>0</v>
      </c>
      <c r="AD477" s="21">
        <v>0</v>
      </c>
      <c r="AE477" s="229"/>
      <c r="AF477" s="20"/>
      <c r="AG477" s="229"/>
      <c r="AH477" s="20"/>
      <c r="AI477" s="229"/>
      <c r="AJ477" s="20"/>
      <c r="AK477" s="229"/>
      <c r="AL477" s="20"/>
      <c r="AM477" s="229"/>
      <c r="AN477" s="20"/>
      <c r="AO477" s="229"/>
      <c r="AP477" s="20">
        <v>10</v>
      </c>
      <c r="AQ477" s="229"/>
      <c r="AR477" s="20"/>
      <c r="AS477" s="229"/>
      <c r="AT477" s="20"/>
      <c r="AU477" s="229"/>
      <c r="AV477" s="20">
        <v>6</v>
      </c>
      <c r="AW477" s="229"/>
      <c r="AX477" s="20"/>
      <c r="AY477" s="229"/>
      <c r="AZ477" s="20"/>
      <c r="BA477" s="229"/>
      <c r="BB477" s="20">
        <v>1</v>
      </c>
      <c r="BC477" s="229"/>
      <c r="BD477" s="48">
        <f t="shared" si="143"/>
        <v>17</v>
      </c>
      <c r="BE477" s="19">
        <v>0</v>
      </c>
      <c r="BF477" s="229"/>
      <c r="BG477" s="210">
        <f t="shared" si="144"/>
        <v>17</v>
      </c>
      <c r="BH477" s="210">
        <f t="shared" si="145"/>
        <v>0</v>
      </c>
      <c r="BI477" s="213" t="e">
        <f t="shared" si="141"/>
        <v>#DIV/0!</v>
      </c>
      <c r="BJ477" s="141"/>
      <c r="BK477" s="201"/>
      <c r="BL477" s="198"/>
      <c r="BM477" s="198"/>
    </row>
    <row r="478" spans="1:65" s="17" customFormat="1" ht="15.95" customHeight="1">
      <c r="A478" s="123">
        <v>32</v>
      </c>
      <c r="B478" s="9" t="s">
        <v>2696</v>
      </c>
      <c r="C478" s="133" t="s">
        <v>2697</v>
      </c>
      <c r="D478" s="229"/>
      <c r="E478" s="13"/>
      <c r="F478" s="229"/>
      <c r="G478" s="13"/>
      <c r="H478" s="229"/>
      <c r="I478" s="13"/>
      <c r="J478" s="229"/>
      <c r="K478" s="13"/>
      <c r="L478" s="229"/>
      <c r="M478" s="13"/>
      <c r="N478" s="229"/>
      <c r="O478" s="13"/>
      <c r="P478" s="229"/>
      <c r="Q478" s="13"/>
      <c r="R478" s="229"/>
      <c r="S478" s="13"/>
      <c r="T478" s="229"/>
      <c r="U478" s="13"/>
      <c r="V478" s="229"/>
      <c r="W478" s="13"/>
      <c r="X478" s="229"/>
      <c r="Y478" s="13"/>
      <c r="Z478" s="229"/>
      <c r="AA478" s="13"/>
      <c r="AB478" s="229">
        <f t="shared" ref="AB478:AB485" si="152">D478+F478+H478+J478+L478+N478+P478+R478+T478+V478+X478+Z478</f>
        <v>0</v>
      </c>
      <c r="AC478" s="228">
        <f t="shared" si="142"/>
        <v>0</v>
      </c>
      <c r="AD478" s="21">
        <v>0</v>
      </c>
      <c r="AE478" s="229"/>
      <c r="AF478" s="20"/>
      <c r="AG478" s="229"/>
      <c r="AH478" s="20"/>
      <c r="AI478" s="229">
        <v>5</v>
      </c>
      <c r="AJ478" s="20">
        <v>5</v>
      </c>
      <c r="AK478" s="229"/>
      <c r="AL478" s="20"/>
      <c r="AM478" s="229"/>
      <c r="AN478" s="20"/>
      <c r="AO478" s="229">
        <v>5</v>
      </c>
      <c r="AP478" s="20">
        <v>5</v>
      </c>
      <c r="AQ478" s="229"/>
      <c r="AR478" s="20"/>
      <c r="AS478" s="229"/>
      <c r="AT478" s="20"/>
      <c r="AU478" s="229"/>
      <c r="AV478" s="20"/>
      <c r="AW478" s="229"/>
      <c r="AX478" s="20"/>
      <c r="AY478" s="229"/>
      <c r="AZ478" s="20"/>
      <c r="BA478" s="229"/>
      <c r="BB478" s="20"/>
      <c r="BC478" s="229">
        <f t="shared" ref="BC478:BC485" si="153">AE478+AG478+AI478+AK478+AM478+AO478+AQ478+AS478+AU478+AW478+AY478+BA478</f>
        <v>10</v>
      </c>
      <c r="BD478" s="48">
        <f t="shared" si="143"/>
        <v>10</v>
      </c>
      <c r="BE478" s="19">
        <v>2</v>
      </c>
      <c r="BF478" s="229">
        <f t="shared" ref="BF478:BF484" si="154">AB478+BC478</f>
        <v>10</v>
      </c>
      <c r="BG478" s="210">
        <f t="shared" si="144"/>
        <v>10</v>
      </c>
      <c r="BH478" s="210">
        <f t="shared" si="145"/>
        <v>2</v>
      </c>
      <c r="BI478" s="213">
        <f t="shared" si="141"/>
        <v>500</v>
      </c>
      <c r="BJ478" s="141"/>
      <c r="BK478" s="201"/>
      <c r="BL478" s="198"/>
      <c r="BM478" s="198"/>
    </row>
    <row r="479" spans="1:65" s="17" customFormat="1" ht="15.95" customHeight="1">
      <c r="A479" s="123">
        <v>33</v>
      </c>
      <c r="B479" s="9" t="s">
        <v>281</v>
      </c>
      <c r="C479" s="11" t="s">
        <v>282</v>
      </c>
      <c r="D479" s="229"/>
      <c r="E479" s="13"/>
      <c r="F479" s="229"/>
      <c r="G479" s="13"/>
      <c r="H479" s="229"/>
      <c r="I479" s="13"/>
      <c r="J479" s="229"/>
      <c r="K479" s="13"/>
      <c r="L479" s="229"/>
      <c r="M479" s="13"/>
      <c r="N479" s="229"/>
      <c r="O479" s="13"/>
      <c r="P479" s="229"/>
      <c r="Q479" s="13"/>
      <c r="R479" s="229"/>
      <c r="S479" s="13"/>
      <c r="T479" s="229"/>
      <c r="U479" s="13"/>
      <c r="V479" s="229"/>
      <c r="W479" s="13"/>
      <c r="X479" s="229"/>
      <c r="Y479" s="13"/>
      <c r="Z479" s="229"/>
      <c r="AA479" s="13"/>
      <c r="AB479" s="229">
        <f t="shared" si="152"/>
        <v>0</v>
      </c>
      <c r="AC479" s="228">
        <f t="shared" si="142"/>
        <v>0</v>
      </c>
      <c r="AD479" s="21">
        <v>0</v>
      </c>
      <c r="AE479" s="229"/>
      <c r="AF479" s="20"/>
      <c r="AG479" s="229"/>
      <c r="AH479" s="20"/>
      <c r="AI479" s="229"/>
      <c r="AJ479" s="20"/>
      <c r="AK479" s="229"/>
      <c r="AL479" s="20"/>
      <c r="AM479" s="229"/>
      <c r="AN479" s="20"/>
      <c r="AO479" s="229"/>
      <c r="AP479" s="20"/>
      <c r="AQ479" s="229"/>
      <c r="AR479" s="20"/>
      <c r="AS479" s="229"/>
      <c r="AT479" s="20"/>
      <c r="AU479" s="229"/>
      <c r="AV479" s="20"/>
      <c r="AW479" s="229"/>
      <c r="AX479" s="20"/>
      <c r="AY479" s="229"/>
      <c r="AZ479" s="20"/>
      <c r="BA479" s="229"/>
      <c r="BB479" s="20"/>
      <c r="BC479" s="229">
        <f t="shared" si="153"/>
        <v>0</v>
      </c>
      <c r="BD479" s="48">
        <f t="shared" si="143"/>
        <v>0</v>
      </c>
      <c r="BE479" s="19">
        <v>5</v>
      </c>
      <c r="BF479" s="229">
        <f t="shared" si="154"/>
        <v>0</v>
      </c>
      <c r="BG479" s="210">
        <f t="shared" si="144"/>
        <v>0</v>
      </c>
      <c r="BH479" s="210">
        <f t="shared" si="145"/>
        <v>5</v>
      </c>
      <c r="BI479" s="213">
        <f t="shared" ref="BI479:BI510" si="155">BG479/BH479*100</f>
        <v>0</v>
      </c>
      <c r="BJ479" s="141"/>
      <c r="BK479" s="201"/>
      <c r="BL479" s="198"/>
      <c r="BM479" s="198"/>
    </row>
    <row r="480" spans="1:65" s="17" customFormat="1" ht="15.95" customHeight="1">
      <c r="A480" s="123">
        <v>34</v>
      </c>
      <c r="B480" s="9" t="s">
        <v>2698</v>
      </c>
      <c r="C480" s="11" t="s">
        <v>2699</v>
      </c>
      <c r="D480" s="229"/>
      <c r="E480" s="13"/>
      <c r="F480" s="229"/>
      <c r="G480" s="13"/>
      <c r="H480" s="229"/>
      <c r="I480" s="13"/>
      <c r="J480" s="229"/>
      <c r="K480" s="13"/>
      <c r="L480" s="229"/>
      <c r="M480" s="13"/>
      <c r="N480" s="229"/>
      <c r="O480" s="13"/>
      <c r="P480" s="229"/>
      <c r="Q480" s="13"/>
      <c r="R480" s="229"/>
      <c r="S480" s="13"/>
      <c r="T480" s="229"/>
      <c r="U480" s="13"/>
      <c r="V480" s="229"/>
      <c r="W480" s="13"/>
      <c r="X480" s="229"/>
      <c r="Y480" s="13"/>
      <c r="Z480" s="229"/>
      <c r="AA480" s="13"/>
      <c r="AB480" s="229">
        <f t="shared" si="152"/>
        <v>0</v>
      </c>
      <c r="AC480" s="228">
        <f t="shared" si="142"/>
        <v>0</v>
      </c>
      <c r="AD480" s="21">
        <v>0</v>
      </c>
      <c r="AE480" s="229"/>
      <c r="AF480" s="20"/>
      <c r="AG480" s="229"/>
      <c r="AH480" s="20"/>
      <c r="AI480" s="229"/>
      <c r="AJ480" s="20"/>
      <c r="AK480" s="229"/>
      <c r="AL480" s="20"/>
      <c r="AM480" s="229"/>
      <c r="AN480" s="20"/>
      <c r="AO480" s="229"/>
      <c r="AP480" s="20"/>
      <c r="AQ480" s="229"/>
      <c r="AR480" s="20"/>
      <c r="AS480" s="229"/>
      <c r="AT480" s="20"/>
      <c r="AU480" s="229"/>
      <c r="AV480" s="20"/>
      <c r="AW480" s="229"/>
      <c r="AX480" s="20"/>
      <c r="AY480" s="229"/>
      <c r="AZ480" s="20"/>
      <c r="BA480" s="229"/>
      <c r="BB480" s="20">
        <v>1</v>
      </c>
      <c r="BC480" s="229">
        <f t="shared" si="153"/>
        <v>0</v>
      </c>
      <c r="BD480" s="48">
        <f t="shared" si="143"/>
        <v>1</v>
      </c>
      <c r="BE480" s="19">
        <v>2</v>
      </c>
      <c r="BF480" s="229">
        <f t="shared" si="154"/>
        <v>0</v>
      </c>
      <c r="BG480" s="210">
        <f t="shared" si="144"/>
        <v>1</v>
      </c>
      <c r="BH480" s="210">
        <f t="shared" si="145"/>
        <v>2</v>
      </c>
      <c r="BI480" s="213">
        <f t="shared" si="155"/>
        <v>50</v>
      </c>
      <c r="BJ480" s="141"/>
      <c r="BK480" s="201"/>
      <c r="BL480" s="198"/>
      <c r="BM480" s="198"/>
    </row>
    <row r="481" spans="1:65" s="17" customFormat="1" ht="15.95" customHeight="1">
      <c r="A481" s="123">
        <v>35</v>
      </c>
      <c r="B481" s="9" t="s">
        <v>283</v>
      </c>
      <c r="C481" s="11" t="s">
        <v>284</v>
      </c>
      <c r="D481" s="229"/>
      <c r="E481" s="13"/>
      <c r="F481" s="229"/>
      <c r="G481" s="13"/>
      <c r="H481" s="290"/>
      <c r="I481" s="290"/>
      <c r="J481" s="229"/>
      <c r="K481" s="13"/>
      <c r="L481" s="229"/>
      <c r="M481" s="13"/>
      <c r="N481" s="229"/>
      <c r="O481" s="13"/>
      <c r="P481" s="229"/>
      <c r="Q481" s="13"/>
      <c r="R481" s="229"/>
      <c r="S481" s="13"/>
      <c r="T481" s="229"/>
      <c r="U481" s="13"/>
      <c r="V481" s="229"/>
      <c r="W481" s="13"/>
      <c r="X481" s="229"/>
      <c r="Y481" s="13"/>
      <c r="Z481" s="229"/>
      <c r="AA481" s="13">
        <v>8</v>
      </c>
      <c r="AB481" s="229">
        <f t="shared" si="152"/>
        <v>0</v>
      </c>
      <c r="AC481" s="228">
        <f t="shared" si="142"/>
        <v>8</v>
      </c>
      <c r="AD481" s="21">
        <v>11</v>
      </c>
      <c r="AE481" s="229"/>
      <c r="AF481" s="20"/>
      <c r="AG481" s="229"/>
      <c r="AH481" s="20"/>
      <c r="AI481" s="229">
        <v>4</v>
      </c>
      <c r="AJ481" s="20">
        <v>4</v>
      </c>
      <c r="AK481" s="229"/>
      <c r="AL481" s="20"/>
      <c r="AM481" s="229"/>
      <c r="AN481" s="20"/>
      <c r="AO481" s="229">
        <v>6</v>
      </c>
      <c r="AP481" s="20">
        <v>6</v>
      </c>
      <c r="AQ481" s="229"/>
      <c r="AR481" s="20"/>
      <c r="AS481" s="229"/>
      <c r="AT481" s="20"/>
      <c r="AU481" s="229"/>
      <c r="AV481" s="20">
        <v>4</v>
      </c>
      <c r="AW481" s="229"/>
      <c r="AX481" s="20"/>
      <c r="AY481" s="229"/>
      <c r="AZ481" s="20"/>
      <c r="BA481" s="229"/>
      <c r="BB481" s="20">
        <v>5</v>
      </c>
      <c r="BC481" s="229">
        <f t="shared" si="153"/>
        <v>10</v>
      </c>
      <c r="BD481" s="48">
        <f t="shared" si="143"/>
        <v>19</v>
      </c>
      <c r="BE481" s="19">
        <v>45</v>
      </c>
      <c r="BF481" s="229">
        <f t="shared" si="154"/>
        <v>10</v>
      </c>
      <c r="BG481" s="210">
        <f t="shared" si="144"/>
        <v>27</v>
      </c>
      <c r="BH481" s="210">
        <f t="shared" si="145"/>
        <v>56</v>
      </c>
      <c r="BI481" s="213">
        <f t="shared" si="155"/>
        <v>48.214285714285715</v>
      </c>
      <c r="BJ481" s="141"/>
      <c r="BK481" s="201"/>
      <c r="BL481" s="198"/>
      <c r="BM481" s="198"/>
    </row>
    <row r="482" spans="1:65" s="17" customFormat="1" ht="15.95" customHeight="1">
      <c r="A482" s="123">
        <v>36</v>
      </c>
      <c r="B482" s="9" t="s">
        <v>2826</v>
      </c>
      <c r="C482" s="11" t="s">
        <v>2827</v>
      </c>
      <c r="D482" s="229"/>
      <c r="E482" s="13"/>
      <c r="F482" s="229"/>
      <c r="G482" s="13"/>
      <c r="H482" s="229"/>
      <c r="I482" s="13"/>
      <c r="J482" s="229"/>
      <c r="K482" s="13"/>
      <c r="L482" s="229"/>
      <c r="M482" s="13"/>
      <c r="N482" s="229"/>
      <c r="O482" s="13"/>
      <c r="P482" s="229"/>
      <c r="Q482" s="13"/>
      <c r="R482" s="229"/>
      <c r="S482" s="13"/>
      <c r="T482" s="229"/>
      <c r="U482" s="13"/>
      <c r="V482" s="229"/>
      <c r="W482" s="13"/>
      <c r="X482" s="229"/>
      <c r="Y482" s="13"/>
      <c r="Z482" s="229"/>
      <c r="AA482" s="13"/>
      <c r="AB482" s="229">
        <f t="shared" si="152"/>
        <v>0</v>
      </c>
      <c r="AC482" s="228">
        <f t="shared" si="142"/>
        <v>0</v>
      </c>
      <c r="AD482" s="21">
        <v>0</v>
      </c>
      <c r="AE482" s="229"/>
      <c r="AF482" s="20"/>
      <c r="AG482" s="229"/>
      <c r="AH482" s="20"/>
      <c r="AI482" s="229">
        <v>1</v>
      </c>
      <c r="AJ482" s="20">
        <v>1</v>
      </c>
      <c r="AK482" s="229"/>
      <c r="AL482" s="20"/>
      <c r="AM482" s="229"/>
      <c r="AN482" s="20"/>
      <c r="AO482" s="229">
        <v>4</v>
      </c>
      <c r="AP482" s="20">
        <v>4</v>
      </c>
      <c r="AQ482" s="229"/>
      <c r="AR482" s="20"/>
      <c r="AS482" s="229"/>
      <c r="AT482" s="20"/>
      <c r="AU482" s="229"/>
      <c r="AV482" s="20"/>
      <c r="AW482" s="229"/>
      <c r="AX482" s="20"/>
      <c r="AY482" s="229"/>
      <c r="AZ482" s="20"/>
      <c r="BA482" s="229"/>
      <c r="BB482" s="20"/>
      <c r="BC482" s="229">
        <f t="shared" si="153"/>
        <v>5</v>
      </c>
      <c r="BD482" s="48">
        <f t="shared" si="143"/>
        <v>5</v>
      </c>
      <c r="BE482" s="19">
        <v>0</v>
      </c>
      <c r="BF482" s="229">
        <f t="shared" si="154"/>
        <v>5</v>
      </c>
      <c r="BG482" s="210">
        <f t="shared" si="144"/>
        <v>5</v>
      </c>
      <c r="BH482" s="210">
        <f t="shared" si="145"/>
        <v>0</v>
      </c>
      <c r="BI482" s="213" t="e">
        <f t="shared" si="155"/>
        <v>#DIV/0!</v>
      </c>
      <c r="BJ482" s="141"/>
      <c r="BK482" s="201"/>
      <c r="BL482" s="198"/>
      <c r="BM482" s="198"/>
    </row>
    <row r="483" spans="1:65" s="17" customFormat="1" ht="15.95" customHeight="1">
      <c r="A483" s="123">
        <v>37</v>
      </c>
      <c r="B483" s="9" t="s">
        <v>190</v>
      </c>
      <c r="C483" s="11" t="s">
        <v>191</v>
      </c>
      <c r="D483" s="229"/>
      <c r="E483" s="13"/>
      <c r="F483" s="229"/>
      <c r="G483" s="13"/>
      <c r="H483" s="229"/>
      <c r="I483" s="13"/>
      <c r="J483" s="229"/>
      <c r="K483" s="13"/>
      <c r="L483" s="229"/>
      <c r="M483" s="13"/>
      <c r="N483" s="229"/>
      <c r="O483" s="13"/>
      <c r="P483" s="229"/>
      <c r="Q483" s="13"/>
      <c r="R483" s="229"/>
      <c r="S483" s="13"/>
      <c r="T483" s="229"/>
      <c r="U483" s="13"/>
      <c r="V483" s="229"/>
      <c r="W483" s="13"/>
      <c r="X483" s="229"/>
      <c r="Y483" s="13"/>
      <c r="Z483" s="229"/>
      <c r="AA483" s="13"/>
      <c r="AB483" s="229">
        <f t="shared" si="152"/>
        <v>0</v>
      </c>
      <c r="AC483" s="228">
        <f t="shared" ref="AC483:AC514" si="156">E483+G483+I483+K483+M483+O483+Q483+S483+U483+W483+Y483+AA483</f>
        <v>0</v>
      </c>
      <c r="AD483" s="21">
        <v>0</v>
      </c>
      <c r="AE483" s="229"/>
      <c r="AF483" s="20"/>
      <c r="AG483" s="229"/>
      <c r="AH483" s="20"/>
      <c r="AI483" s="229"/>
      <c r="AJ483" s="20"/>
      <c r="AK483" s="229"/>
      <c r="AL483" s="20"/>
      <c r="AM483" s="229"/>
      <c r="AN483" s="20"/>
      <c r="AO483" s="229"/>
      <c r="AP483" s="20"/>
      <c r="AQ483" s="229"/>
      <c r="AR483" s="20"/>
      <c r="AS483" s="229"/>
      <c r="AT483" s="20"/>
      <c r="AU483" s="229"/>
      <c r="AV483" s="20"/>
      <c r="AW483" s="229"/>
      <c r="AX483" s="20"/>
      <c r="AY483" s="229"/>
      <c r="AZ483" s="20"/>
      <c r="BA483" s="229"/>
      <c r="BB483" s="20"/>
      <c r="BC483" s="229">
        <f t="shared" si="153"/>
        <v>0</v>
      </c>
      <c r="BD483" s="48">
        <f t="shared" ref="BD483:BD514" si="157">AF483+AH483+AJ483+AL483+AN483+AP483+AR483+AT483+AV483+AX483+AZ483+BB483</f>
        <v>0</v>
      </c>
      <c r="BE483" s="19">
        <v>1</v>
      </c>
      <c r="BF483" s="229">
        <f t="shared" si="154"/>
        <v>0</v>
      </c>
      <c r="BG483" s="210">
        <f t="shared" ref="BG483:BG514" si="158">AC483+BD483</f>
        <v>0</v>
      </c>
      <c r="BH483" s="210">
        <f t="shared" ref="BH483:BH514" si="159">AD483+BE483</f>
        <v>1</v>
      </c>
      <c r="BI483" s="213">
        <f t="shared" si="155"/>
        <v>0</v>
      </c>
      <c r="BJ483" s="141"/>
      <c r="BK483" s="201"/>
      <c r="BL483" s="198"/>
      <c r="BM483" s="198"/>
    </row>
    <row r="484" spans="1:65" s="17" customFormat="1" ht="15.95" customHeight="1">
      <c r="A484" s="123">
        <v>38</v>
      </c>
      <c r="B484" s="9" t="s">
        <v>285</v>
      </c>
      <c r="C484" s="11" t="s">
        <v>1566</v>
      </c>
      <c r="D484" s="229"/>
      <c r="E484" s="13"/>
      <c r="F484" s="229"/>
      <c r="G484" s="13"/>
      <c r="H484" s="229"/>
      <c r="I484" s="13"/>
      <c r="J484" s="229"/>
      <c r="K484" s="13"/>
      <c r="L484" s="229"/>
      <c r="M484" s="13"/>
      <c r="N484" s="229"/>
      <c r="O484" s="13"/>
      <c r="P484" s="229"/>
      <c r="Q484" s="13"/>
      <c r="R484" s="229"/>
      <c r="S484" s="13"/>
      <c r="T484" s="229"/>
      <c r="U484" s="13"/>
      <c r="V484" s="229"/>
      <c r="W484" s="13"/>
      <c r="X484" s="229"/>
      <c r="Y484" s="13"/>
      <c r="Z484" s="229"/>
      <c r="AA484" s="13"/>
      <c r="AB484" s="229">
        <f t="shared" si="152"/>
        <v>0</v>
      </c>
      <c r="AC484" s="228">
        <f t="shared" si="156"/>
        <v>0</v>
      </c>
      <c r="AD484" s="21">
        <v>0</v>
      </c>
      <c r="AE484" s="229"/>
      <c r="AF484" s="20"/>
      <c r="AG484" s="229"/>
      <c r="AH484" s="20"/>
      <c r="AI484" s="229"/>
      <c r="AJ484" s="20"/>
      <c r="AK484" s="229"/>
      <c r="AL484" s="20"/>
      <c r="AM484" s="229"/>
      <c r="AN484" s="20"/>
      <c r="AO484" s="229"/>
      <c r="AP484" s="20"/>
      <c r="AQ484" s="229"/>
      <c r="AR484" s="20"/>
      <c r="AS484" s="229"/>
      <c r="AT484" s="20"/>
      <c r="AU484" s="229"/>
      <c r="AV484" s="20"/>
      <c r="AW484" s="229"/>
      <c r="AX484" s="20"/>
      <c r="AY484" s="229"/>
      <c r="AZ484" s="20"/>
      <c r="BA484" s="229"/>
      <c r="BB484" s="20"/>
      <c r="BC484" s="229">
        <f t="shared" si="153"/>
        <v>0</v>
      </c>
      <c r="BD484" s="48">
        <f t="shared" si="157"/>
        <v>0</v>
      </c>
      <c r="BE484" s="19">
        <v>3</v>
      </c>
      <c r="BF484" s="229">
        <f t="shared" si="154"/>
        <v>0</v>
      </c>
      <c r="BG484" s="210">
        <f t="shared" si="158"/>
        <v>0</v>
      </c>
      <c r="BH484" s="210">
        <f t="shared" si="159"/>
        <v>3</v>
      </c>
      <c r="BI484" s="213">
        <f t="shared" si="155"/>
        <v>0</v>
      </c>
      <c r="BJ484" s="141"/>
      <c r="BK484" s="201"/>
      <c r="BL484" s="198"/>
      <c r="BM484" s="198"/>
    </row>
    <row r="485" spans="1:65" s="17" customFormat="1" ht="15.95" customHeight="1">
      <c r="A485" s="123">
        <v>39</v>
      </c>
      <c r="B485" s="9" t="s">
        <v>1756</v>
      </c>
      <c r="C485" s="11" t="s">
        <v>3043</v>
      </c>
      <c r="D485" s="229"/>
      <c r="E485" s="13"/>
      <c r="F485" s="229"/>
      <c r="G485" s="13"/>
      <c r="H485" s="229"/>
      <c r="I485" s="13"/>
      <c r="J485" s="229"/>
      <c r="K485" s="13"/>
      <c r="L485" s="229"/>
      <c r="M485" s="13"/>
      <c r="N485" s="229"/>
      <c r="O485" s="13"/>
      <c r="P485" s="229"/>
      <c r="Q485" s="13"/>
      <c r="R485" s="229"/>
      <c r="S485" s="13"/>
      <c r="T485" s="229"/>
      <c r="U485" s="13"/>
      <c r="V485" s="229"/>
      <c r="W485" s="13"/>
      <c r="X485" s="229"/>
      <c r="Y485" s="13"/>
      <c r="Z485" s="229"/>
      <c r="AA485" s="13"/>
      <c r="AB485" s="229">
        <f t="shared" si="152"/>
        <v>0</v>
      </c>
      <c r="AC485" s="228">
        <f t="shared" si="156"/>
        <v>0</v>
      </c>
      <c r="AD485" s="21">
        <v>0</v>
      </c>
      <c r="AE485" s="229"/>
      <c r="AF485" s="20"/>
      <c r="AG485" s="229"/>
      <c r="AH485" s="20"/>
      <c r="AI485" s="229"/>
      <c r="AJ485" s="20"/>
      <c r="AK485" s="229"/>
      <c r="AL485" s="20"/>
      <c r="AM485" s="229"/>
      <c r="AN485" s="20"/>
      <c r="AO485" s="229">
        <v>1</v>
      </c>
      <c r="AP485" s="20">
        <v>1</v>
      </c>
      <c r="AQ485" s="229"/>
      <c r="AR485" s="20"/>
      <c r="AS485" s="229"/>
      <c r="AT485" s="20"/>
      <c r="AU485" s="229"/>
      <c r="AV485" s="20"/>
      <c r="AW485" s="229"/>
      <c r="AX485" s="20"/>
      <c r="AY485" s="229"/>
      <c r="AZ485" s="20"/>
      <c r="BA485" s="229"/>
      <c r="BB485" s="20"/>
      <c r="BC485" s="229">
        <f t="shared" si="153"/>
        <v>1</v>
      </c>
      <c r="BD485" s="48">
        <f t="shared" si="157"/>
        <v>1</v>
      </c>
      <c r="BE485" s="19">
        <v>0</v>
      </c>
      <c r="BF485" s="229"/>
      <c r="BG485" s="210">
        <f t="shared" si="158"/>
        <v>1</v>
      </c>
      <c r="BH485" s="210">
        <f t="shared" si="159"/>
        <v>0</v>
      </c>
      <c r="BI485" s="213" t="e">
        <f t="shared" si="155"/>
        <v>#DIV/0!</v>
      </c>
      <c r="BJ485" s="141"/>
      <c r="BK485" s="201"/>
      <c r="BL485" s="198"/>
      <c r="BM485" s="198"/>
    </row>
    <row r="486" spans="1:65" s="17" customFormat="1" ht="15.95" customHeight="1">
      <c r="A486" s="123">
        <v>40</v>
      </c>
      <c r="B486" s="9" t="s">
        <v>204</v>
      </c>
      <c r="C486" s="11" t="s">
        <v>205</v>
      </c>
      <c r="D486" s="229"/>
      <c r="E486" s="13"/>
      <c r="F486" s="229"/>
      <c r="G486" s="13"/>
      <c r="H486" s="229"/>
      <c r="I486" s="13"/>
      <c r="J486" s="229"/>
      <c r="K486" s="13"/>
      <c r="L486" s="229"/>
      <c r="M486" s="13"/>
      <c r="N486" s="229"/>
      <c r="O486" s="13"/>
      <c r="P486" s="229"/>
      <c r="Q486" s="13"/>
      <c r="R486" s="229"/>
      <c r="S486" s="13"/>
      <c r="T486" s="229"/>
      <c r="U486" s="13"/>
      <c r="V486" s="229"/>
      <c r="W486" s="13"/>
      <c r="X486" s="229"/>
      <c r="Y486" s="13"/>
      <c r="Z486" s="229"/>
      <c r="AA486" s="13"/>
      <c r="AB486" s="229"/>
      <c r="AC486" s="228">
        <f t="shared" si="156"/>
        <v>0</v>
      </c>
      <c r="AD486" s="21">
        <v>0</v>
      </c>
      <c r="AE486" s="229"/>
      <c r="AF486" s="20"/>
      <c r="AG486" s="229"/>
      <c r="AH486" s="20"/>
      <c r="AI486" s="229"/>
      <c r="AJ486" s="20"/>
      <c r="AK486" s="229"/>
      <c r="AL486" s="20"/>
      <c r="AM486" s="229"/>
      <c r="AN486" s="20"/>
      <c r="AO486" s="229"/>
      <c r="AP486" s="20"/>
      <c r="AQ486" s="229"/>
      <c r="AR486" s="20"/>
      <c r="AS486" s="229"/>
      <c r="AT486" s="20"/>
      <c r="AU486" s="229"/>
      <c r="AV486" s="20">
        <v>1</v>
      </c>
      <c r="AW486" s="229"/>
      <c r="AX486" s="20"/>
      <c r="AY486" s="229"/>
      <c r="AZ486" s="20"/>
      <c r="BA486" s="229"/>
      <c r="BB486" s="20"/>
      <c r="BC486" s="229"/>
      <c r="BD486" s="48">
        <f t="shared" si="157"/>
        <v>1</v>
      </c>
      <c r="BE486" s="19">
        <v>0</v>
      </c>
      <c r="BF486" s="229"/>
      <c r="BG486" s="210">
        <f t="shared" si="158"/>
        <v>1</v>
      </c>
      <c r="BH486" s="210">
        <f t="shared" si="159"/>
        <v>0</v>
      </c>
      <c r="BI486" s="213" t="e">
        <f t="shared" si="155"/>
        <v>#DIV/0!</v>
      </c>
      <c r="BJ486" s="141"/>
      <c r="BK486" s="201"/>
      <c r="BL486" s="198"/>
      <c r="BM486" s="198"/>
    </row>
    <row r="487" spans="1:65" s="17" customFormat="1" ht="15.95" customHeight="1">
      <c r="A487" s="123">
        <v>41</v>
      </c>
      <c r="B487" s="9" t="s">
        <v>2392</v>
      </c>
      <c r="C487" s="11" t="s">
        <v>2393</v>
      </c>
      <c r="D487" s="229"/>
      <c r="E487" s="13"/>
      <c r="F487" s="229"/>
      <c r="G487" s="13"/>
      <c r="H487" s="229"/>
      <c r="I487" s="13"/>
      <c r="J487" s="229"/>
      <c r="K487" s="13"/>
      <c r="L487" s="229"/>
      <c r="M487" s="13"/>
      <c r="N487" s="229"/>
      <c r="O487" s="13"/>
      <c r="P487" s="229"/>
      <c r="Q487" s="13"/>
      <c r="R487" s="229"/>
      <c r="S487" s="13"/>
      <c r="T487" s="229"/>
      <c r="U487" s="13"/>
      <c r="V487" s="229"/>
      <c r="W487" s="13"/>
      <c r="X487" s="229"/>
      <c r="Y487" s="13"/>
      <c r="Z487" s="229"/>
      <c r="AA487" s="13"/>
      <c r="AB487" s="229">
        <f>D487+F487+H487+J487+L487+N487+P487+R487+T487+V487+X487+Z487</f>
        <v>0</v>
      </c>
      <c r="AC487" s="228">
        <f t="shared" si="156"/>
        <v>0</v>
      </c>
      <c r="AD487" s="21">
        <v>0</v>
      </c>
      <c r="AE487" s="229"/>
      <c r="AF487" s="20"/>
      <c r="AG487" s="229"/>
      <c r="AH487" s="20"/>
      <c r="AI487" s="229"/>
      <c r="AJ487" s="20"/>
      <c r="AK487" s="229"/>
      <c r="AL487" s="20"/>
      <c r="AM487" s="229"/>
      <c r="AN487" s="20"/>
      <c r="AO487" s="229"/>
      <c r="AP487" s="20"/>
      <c r="AQ487" s="229"/>
      <c r="AR487" s="20"/>
      <c r="AS487" s="229"/>
      <c r="AT487" s="20"/>
      <c r="AU487" s="229"/>
      <c r="AV487" s="20"/>
      <c r="AW487" s="229"/>
      <c r="AX487" s="20"/>
      <c r="AY487" s="229"/>
      <c r="AZ487" s="20"/>
      <c r="BA487" s="229"/>
      <c r="BB487" s="20"/>
      <c r="BC487" s="229">
        <f>AE487+AG487+AI487+AK487+AM487+AO487+AQ487+AS487+AU487+AW487+AY487+BA487</f>
        <v>0</v>
      </c>
      <c r="BD487" s="48">
        <f t="shared" si="157"/>
        <v>0</v>
      </c>
      <c r="BE487" s="19">
        <v>1</v>
      </c>
      <c r="BF487" s="229">
        <f>AB487+BC487</f>
        <v>0</v>
      </c>
      <c r="BG487" s="210">
        <f t="shared" si="158"/>
        <v>0</v>
      </c>
      <c r="BH487" s="210">
        <f t="shared" si="159"/>
        <v>1</v>
      </c>
      <c r="BI487" s="213">
        <f t="shared" si="155"/>
        <v>0</v>
      </c>
      <c r="BJ487" s="141"/>
      <c r="BK487" s="201"/>
      <c r="BL487" s="198"/>
      <c r="BM487" s="198"/>
    </row>
    <row r="488" spans="1:65" s="17" customFormat="1" ht="15.95" customHeight="1">
      <c r="A488" s="123">
        <v>42</v>
      </c>
      <c r="B488" s="9" t="s">
        <v>1849</v>
      </c>
      <c r="C488" s="11" t="s">
        <v>1850</v>
      </c>
      <c r="D488" s="229"/>
      <c r="E488" s="13"/>
      <c r="F488" s="229"/>
      <c r="G488" s="13"/>
      <c r="H488" s="229"/>
      <c r="I488" s="13"/>
      <c r="J488" s="229"/>
      <c r="K488" s="13"/>
      <c r="L488" s="229"/>
      <c r="M488" s="13"/>
      <c r="N488" s="229"/>
      <c r="O488" s="13"/>
      <c r="P488" s="229"/>
      <c r="Q488" s="13"/>
      <c r="R488" s="229"/>
      <c r="S488" s="13"/>
      <c r="T488" s="229"/>
      <c r="U488" s="13"/>
      <c r="V488" s="229"/>
      <c r="W488" s="13"/>
      <c r="X488" s="229"/>
      <c r="Y488" s="13"/>
      <c r="Z488" s="229"/>
      <c r="AA488" s="13"/>
      <c r="AB488" s="229">
        <f>D488+F488+H488+J488+L488+N488+P488+R488+T488+V488+X488+Z488</f>
        <v>0</v>
      </c>
      <c r="AC488" s="228">
        <f t="shared" si="156"/>
        <v>0</v>
      </c>
      <c r="AD488" s="21">
        <v>0</v>
      </c>
      <c r="AE488" s="229"/>
      <c r="AF488" s="20"/>
      <c r="AG488" s="229"/>
      <c r="AH488" s="20"/>
      <c r="AI488" s="229"/>
      <c r="AJ488" s="20"/>
      <c r="AK488" s="229"/>
      <c r="AL488" s="20"/>
      <c r="AM488" s="229"/>
      <c r="AN488" s="20"/>
      <c r="AO488" s="229"/>
      <c r="AP488" s="20"/>
      <c r="AQ488" s="229"/>
      <c r="AR488" s="20"/>
      <c r="AS488" s="229"/>
      <c r="AT488" s="20"/>
      <c r="AU488" s="229"/>
      <c r="AV488" s="20"/>
      <c r="AW488" s="229"/>
      <c r="AX488" s="20"/>
      <c r="AY488" s="229"/>
      <c r="AZ488" s="20"/>
      <c r="BA488" s="229"/>
      <c r="BB488" s="20"/>
      <c r="BC488" s="229">
        <f>AE488+AG488+AI488+AK488+AM488+AO488+AQ488+AS488+AU488+AW488+AY488+BA488</f>
        <v>0</v>
      </c>
      <c r="BD488" s="48">
        <f t="shared" si="157"/>
        <v>0</v>
      </c>
      <c r="BE488" s="19">
        <v>1</v>
      </c>
      <c r="BF488" s="229">
        <f>AB488+BC488</f>
        <v>0</v>
      </c>
      <c r="BG488" s="210">
        <f t="shared" si="158"/>
        <v>0</v>
      </c>
      <c r="BH488" s="210">
        <f t="shared" si="159"/>
        <v>1</v>
      </c>
      <c r="BI488" s="213">
        <f t="shared" si="155"/>
        <v>0</v>
      </c>
      <c r="BJ488" s="141"/>
      <c r="BK488" s="201"/>
      <c r="BL488" s="198"/>
      <c r="BM488" s="198"/>
    </row>
    <row r="489" spans="1:65" s="17" customFormat="1" ht="15.95" customHeight="1">
      <c r="A489" s="123">
        <v>43</v>
      </c>
      <c r="B489" s="9" t="s">
        <v>3085</v>
      </c>
      <c r="C489" s="11" t="s">
        <v>3086</v>
      </c>
      <c r="D489" s="229"/>
      <c r="E489" s="13"/>
      <c r="F489" s="229"/>
      <c r="G489" s="13"/>
      <c r="H489" s="229"/>
      <c r="I489" s="13"/>
      <c r="J489" s="229"/>
      <c r="K489" s="13"/>
      <c r="L489" s="229"/>
      <c r="M489" s="13"/>
      <c r="N489" s="229"/>
      <c r="O489" s="13"/>
      <c r="P489" s="229"/>
      <c r="Q489" s="13"/>
      <c r="R489" s="229"/>
      <c r="S489" s="13"/>
      <c r="T489" s="229"/>
      <c r="U489" s="13"/>
      <c r="V489" s="229"/>
      <c r="W489" s="13"/>
      <c r="X489" s="229"/>
      <c r="Y489" s="13"/>
      <c r="Z489" s="229"/>
      <c r="AA489" s="13"/>
      <c r="AB489" s="229"/>
      <c r="AC489" s="228">
        <f t="shared" si="156"/>
        <v>0</v>
      </c>
      <c r="AD489" s="21">
        <v>0</v>
      </c>
      <c r="AE489" s="229"/>
      <c r="AF489" s="20"/>
      <c r="AG489" s="229"/>
      <c r="AH489" s="20"/>
      <c r="AI489" s="229"/>
      <c r="AJ489" s="20"/>
      <c r="AK489" s="229"/>
      <c r="AL489" s="20"/>
      <c r="AM489" s="229"/>
      <c r="AN489" s="20"/>
      <c r="AO489" s="229"/>
      <c r="AP489" s="20">
        <v>1</v>
      </c>
      <c r="AQ489" s="229"/>
      <c r="AR489" s="20"/>
      <c r="AS489" s="229"/>
      <c r="AT489" s="20"/>
      <c r="AU489" s="229"/>
      <c r="AV489" s="20"/>
      <c r="AW489" s="229"/>
      <c r="AX489" s="20"/>
      <c r="AY489" s="229"/>
      <c r="AZ489" s="20"/>
      <c r="BA489" s="229"/>
      <c r="BB489" s="20"/>
      <c r="BC489" s="229"/>
      <c r="BD489" s="48">
        <f t="shared" si="157"/>
        <v>1</v>
      </c>
      <c r="BE489" s="19">
        <v>0</v>
      </c>
      <c r="BF489" s="229"/>
      <c r="BG489" s="210">
        <f t="shared" si="158"/>
        <v>1</v>
      </c>
      <c r="BH489" s="210">
        <f t="shared" si="159"/>
        <v>0</v>
      </c>
      <c r="BI489" s="213" t="e">
        <f t="shared" si="155"/>
        <v>#DIV/0!</v>
      </c>
      <c r="BJ489" s="141"/>
      <c r="BK489" s="201"/>
      <c r="BL489" s="198"/>
      <c r="BM489" s="198"/>
    </row>
    <row r="490" spans="1:65" s="17" customFormat="1" ht="15.95" customHeight="1">
      <c r="A490" s="123">
        <v>44</v>
      </c>
      <c r="B490" s="9" t="s">
        <v>515</v>
      </c>
      <c r="C490" s="11" t="s">
        <v>516</v>
      </c>
      <c r="D490" s="229"/>
      <c r="E490" s="13"/>
      <c r="F490" s="229"/>
      <c r="G490" s="13"/>
      <c r="H490" s="229"/>
      <c r="I490" s="13"/>
      <c r="J490" s="229"/>
      <c r="K490" s="13"/>
      <c r="L490" s="229"/>
      <c r="M490" s="13"/>
      <c r="N490" s="229"/>
      <c r="O490" s="13"/>
      <c r="P490" s="229"/>
      <c r="Q490" s="13"/>
      <c r="R490" s="229"/>
      <c r="S490" s="13"/>
      <c r="T490" s="229"/>
      <c r="U490" s="13"/>
      <c r="V490" s="229"/>
      <c r="W490" s="13"/>
      <c r="X490" s="229"/>
      <c r="Y490" s="13"/>
      <c r="Z490" s="229"/>
      <c r="AA490" s="13"/>
      <c r="AB490" s="229">
        <f t="shared" ref="AB490:AB515" si="160">D490+F490+H490+J490+L490+N490+P490+R490+T490+V490+X490+Z490</f>
        <v>0</v>
      </c>
      <c r="AC490" s="228">
        <f t="shared" si="156"/>
        <v>0</v>
      </c>
      <c r="AD490" s="21">
        <v>0</v>
      </c>
      <c r="AE490" s="229"/>
      <c r="AF490" s="20"/>
      <c r="AG490" s="229"/>
      <c r="AH490" s="20"/>
      <c r="AI490" s="229"/>
      <c r="AJ490" s="20"/>
      <c r="AK490" s="229"/>
      <c r="AL490" s="20"/>
      <c r="AM490" s="229"/>
      <c r="AN490" s="20"/>
      <c r="AO490" s="229">
        <v>10</v>
      </c>
      <c r="AP490" s="20">
        <v>10</v>
      </c>
      <c r="AQ490" s="229"/>
      <c r="AR490" s="20"/>
      <c r="AS490" s="229"/>
      <c r="AT490" s="20"/>
      <c r="AU490" s="229"/>
      <c r="AV490" s="20">
        <v>3</v>
      </c>
      <c r="AW490" s="229"/>
      <c r="AX490" s="20"/>
      <c r="AY490" s="229"/>
      <c r="AZ490" s="20"/>
      <c r="BA490" s="229"/>
      <c r="BB490" s="20">
        <v>2</v>
      </c>
      <c r="BC490" s="229">
        <f t="shared" ref="BC490:BC515" si="161">AE490+AG490+AI490+AK490+AM490+AO490+AQ490+AS490+AU490+AW490+AY490+BA490</f>
        <v>10</v>
      </c>
      <c r="BD490" s="48">
        <f t="shared" si="157"/>
        <v>15</v>
      </c>
      <c r="BE490" s="19">
        <v>13</v>
      </c>
      <c r="BF490" s="229">
        <f t="shared" ref="BF490:BF515" si="162">AB490+BC490</f>
        <v>10</v>
      </c>
      <c r="BG490" s="210">
        <f t="shared" si="158"/>
        <v>15</v>
      </c>
      <c r="BH490" s="210">
        <f t="shared" si="159"/>
        <v>13</v>
      </c>
      <c r="BI490" s="213">
        <f t="shared" si="155"/>
        <v>115.38461538461537</v>
      </c>
      <c r="BJ490" s="141"/>
      <c r="BK490" s="201"/>
      <c r="BL490" s="198"/>
      <c r="BM490" s="198"/>
    </row>
    <row r="491" spans="1:65" s="17" customFormat="1" ht="15.95" customHeight="1">
      <c r="A491" s="123">
        <v>45</v>
      </c>
      <c r="B491" s="9" t="s">
        <v>67</v>
      </c>
      <c r="C491" s="11" t="s">
        <v>68</v>
      </c>
      <c r="D491" s="229"/>
      <c r="E491" s="13"/>
      <c r="F491" s="229"/>
      <c r="G491" s="13"/>
      <c r="H491" s="229"/>
      <c r="I491" s="13"/>
      <c r="J491" s="229"/>
      <c r="K491" s="13"/>
      <c r="L491" s="229"/>
      <c r="M491" s="13"/>
      <c r="N491" s="229"/>
      <c r="O491" s="13"/>
      <c r="P491" s="229"/>
      <c r="Q491" s="13"/>
      <c r="R491" s="229"/>
      <c r="S491" s="13"/>
      <c r="T491" s="229"/>
      <c r="U491" s="13"/>
      <c r="V491" s="229"/>
      <c r="W491" s="13"/>
      <c r="X491" s="229"/>
      <c r="Y491" s="13"/>
      <c r="Z491" s="229"/>
      <c r="AA491" s="13"/>
      <c r="AB491" s="229">
        <f t="shared" si="160"/>
        <v>0</v>
      </c>
      <c r="AC491" s="228">
        <f t="shared" si="156"/>
        <v>0</v>
      </c>
      <c r="AD491" s="21">
        <v>0</v>
      </c>
      <c r="AE491" s="229"/>
      <c r="AF491" s="20"/>
      <c r="AG491" s="229"/>
      <c r="AH491" s="20"/>
      <c r="AI491" s="229"/>
      <c r="AJ491" s="20"/>
      <c r="AK491" s="229"/>
      <c r="AL491" s="20"/>
      <c r="AM491" s="229"/>
      <c r="AN491" s="20"/>
      <c r="AO491" s="229"/>
      <c r="AP491" s="20"/>
      <c r="AQ491" s="229"/>
      <c r="AR491" s="20"/>
      <c r="AS491" s="229"/>
      <c r="AT491" s="20"/>
      <c r="AU491" s="229"/>
      <c r="AV491" s="20"/>
      <c r="AW491" s="229"/>
      <c r="AX491" s="20"/>
      <c r="AY491" s="229"/>
      <c r="AZ491" s="20"/>
      <c r="BA491" s="229"/>
      <c r="BB491" s="20"/>
      <c r="BC491" s="229">
        <f t="shared" si="161"/>
        <v>0</v>
      </c>
      <c r="BD491" s="48">
        <f t="shared" si="157"/>
        <v>0</v>
      </c>
      <c r="BE491" s="19">
        <v>1</v>
      </c>
      <c r="BF491" s="229">
        <f t="shared" si="162"/>
        <v>0</v>
      </c>
      <c r="BG491" s="210">
        <f t="shared" si="158"/>
        <v>0</v>
      </c>
      <c r="BH491" s="210">
        <f t="shared" si="159"/>
        <v>1</v>
      </c>
      <c r="BI491" s="213">
        <f t="shared" si="155"/>
        <v>0</v>
      </c>
      <c r="BJ491" s="141"/>
      <c r="BK491" s="201"/>
      <c r="BL491" s="198"/>
      <c r="BM491" s="198"/>
    </row>
    <row r="492" spans="1:65" s="17" customFormat="1" ht="15.95" customHeight="1">
      <c r="A492" s="123">
        <v>46</v>
      </c>
      <c r="B492" s="9" t="s">
        <v>2394</v>
      </c>
      <c r="C492" s="11" t="s">
        <v>2395</v>
      </c>
      <c r="D492" s="229"/>
      <c r="E492" s="13"/>
      <c r="F492" s="229"/>
      <c r="G492" s="13"/>
      <c r="H492" s="229"/>
      <c r="I492" s="13"/>
      <c r="J492" s="229"/>
      <c r="K492" s="13"/>
      <c r="L492" s="229"/>
      <c r="M492" s="13"/>
      <c r="N492" s="229"/>
      <c r="O492" s="13"/>
      <c r="P492" s="229"/>
      <c r="Q492" s="13"/>
      <c r="R492" s="229"/>
      <c r="S492" s="13"/>
      <c r="T492" s="229"/>
      <c r="U492" s="13"/>
      <c r="V492" s="229"/>
      <c r="W492" s="13"/>
      <c r="X492" s="229"/>
      <c r="Y492" s="13"/>
      <c r="Z492" s="229"/>
      <c r="AA492" s="13"/>
      <c r="AB492" s="229">
        <f t="shared" si="160"/>
        <v>0</v>
      </c>
      <c r="AC492" s="228">
        <f t="shared" si="156"/>
        <v>0</v>
      </c>
      <c r="AD492" s="19">
        <v>0</v>
      </c>
      <c r="AE492" s="229"/>
      <c r="AF492" s="20"/>
      <c r="AG492" s="229"/>
      <c r="AH492" s="20"/>
      <c r="AI492" s="229"/>
      <c r="AJ492" s="20"/>
      <c r="AK492" s="229"/>
      <c r="AL492" s="20"/>
      <c r="AM492" s="229"/>
      <c r="AN492" s="20"/>
      <c r="AO492" s="229"/>
      <c r="AP492" s="20"/>
      <c r="AQ492" s="229"/>
      <c r="AR492" s="20"/>
      <c r="AS492" s="229"/>
      <c r="AT492" s="20"/>
      <c r="AU492" s="229"/>
      <c r="AV492" s="20"/>
      <c r="AW492" s="229"/>
      <c r="AX492" s="20"/>
      <c r="AY492" s="229"/>
      <c r="AZ492" s="20"/>
      <c r="BA492" s="229"/>
      <c r="BB492" s="20"/>
      <c r="BC492" s="229">
        <f t="shared" si="161"/>
        <v>0</v>
      </c>
      <c r="BD492" s="48">
        <f t="shared" si="157"/>
        <v>0</v>
      </c>
      <c r="BE492" s="19">
        <v>1</v>
      </c>
      <c r="BF492" s="229">
        <f t="shared" si="162"/>
        <v>0</v>
      </c>
      <c r="BG492" s="210">
        <f t="shared" si="158"/>
        <v>0</v>
      </c>
      <c r="BH492" s="210">
        <f t="shared" si="159"/>
        <v>1</v>
      </c>
      <c r="BI492" s="213">
        <f t="shared" si="155"/>
        <v>0</v>
      </c>
      <c r="BJ492" s="141"/>
      <c r="BK492" s="201"/>
      <c r="BL492" s="198"/>
      <c r="BM492" s="198"/>
    </row>
    <row r="493" spans="1:65" s="17" customFormat="1" ht="15.95" customHeight="1">
      <c r="A493" s="123">
        <v>47</v>
      </c>
      <c r="B493" s="9" t="s">
        <v>286</v>
      </c>
      <c r="C493" s="315" t="s">
        <v>2517</v>
      </c>
      <c r="D493" s="229"/>
      <c r="E493" s="13"/>
      <c r="F493" s="229"/>
      <c r="G493" s="13"/>
      <c r="H493" s="229"/>
      <c r="I493" s="13"/>
      <c r="J493" s="229"/>
      <c r="K493" s="13"/>
      <c r="L493" s="229"/>
      <c r="M493" s="13"/>
      <c r="N493" s="229"/>
      <c r="O493" s="13"/>
      <c r="P493" s="229"/>
      <c r="Q493" s="13"/>
      <c r="R493" s="229"/>
      <c r="S493" s="13"/>
      <c r="T493" s="229"/>
      <c r="U493" s="13"/>
      <c r="V493" s="229"/>
      <c r="W493" s="13"/>
      <c r="X493" s="229"/>
      <c r="Y493" s="13"/>
      <c r="Z493" s="229"/>
      <c r="AA493" s="13"/>
      <c r="AB493" s="229">
        <f t="shared" si="160"/>
        <v>0</v>
      </c>
      <c r="AC493" s="228">
        <f t="shared" si="156"/>
        <v>0</v>
      </c>
      <c r="AD493" s="21">
        <v>0</v>
      </c>
      <c r="AE493" s="229"/>
      <c r="AF493" s="20"/>
      <c r="AG493" s="229"/>
      <c r="AH493" s="20"/>
      <c r="AI493" s="229"/>
      <c r="AJ493" s="20"/>
      <c r="AK493" s="229"/>
      <c r="AL493" s="20"/>
      <c r="AM493" s="229"/>
      <c r="AN493" s="20"/>
      <c r="AO493" s="229"/>
      <c r="AP493" s="20"/>
      <c r="AQ493" s="229"/>
      <c r="AR493" s="20"/>
      <c r="AS493" s="229"/>
      <c r="AT493" s="20"/>
      <c r="AU493" s="229"/>
      <c r="AV493" s="20"/>
      <c r="AW493" s="229"/>
      <c r="AX493" s="20"/>
      <c r="AY493" s="229"/>
      <c r="AZ493" s="20"/>
      <c r="BA493" s="229"/>
      <c r="BB493" s="20"/>
      <c r="BC493" s="229">
        <f t="shared" si="161"/>
        <v>0</v>
      </c>
      <c r="BD493" s="48">
        <f t="shared" si="157"/>
        <v>0</v>
      </c>
      <c r="BE493" s="19">
        <v>5</v>
      </c>
      <c r="BF493" s="229">
        <f t="shared" si="162"/>
        <v>0</v>
      </c>
      <c r="BG493" s="210">
        <f t="shared" si="158"/>
        <v>0</v>
      </c>
      <c r="BH493" s="210">
        <f t="shared" si="159"/>
        <v>5</v>
      </c>
      <c r="BI493" s="213">
        <f t="shared" si="155"/>
        <v>0</v>
      </c>
      <c r="BJ493" s="141"/>
      <c r="BK493" s="201"/>
      <c r="BL493" s="198"/>
      <c r="BM493" s="198"/>
    </row>
    <row r="494" spans="1:65" s="17" customFormat="1" ht="15.95" customHeight="1">
      <c r="A494" s="123">
        <v>48</v>
      </c>
      <c r="B494" s="9" t="s">
        <v>237</v>
      </c>
      <c r="C494" s="11" t="s">
        <v>238</v>
      </c>
      <c r="D494" s="229"/>
      <c r="E494" s="13"/>
      <c r="F494" s="229"/>
      <c r="G494" s="13"/>
      <c r="H494" s="229"/>
      <c r="I494" s="13"/>
      <c r="J494" s="229"/>
      <c r="K494" s="13"/>
      <c r="L494" s="229"/>
      <c r="M494" s="13"/>
      <c r="N494" s="229"/>
      <c r="O494" s="13"/>
      <c r="P494" s="229"/>
      <c r="Q494" s="13"/>
      <c r="R494" s="229"/>
      <c r="S494" s="13"/>
      <c r="T494" s="229"/>
      <c r="U494" s="13"/>
      <c r="V494" s="229"/>
      <c r="W494" s="13"/>
      <c r="X494" s="229"/>
      <c r="Y494" s="13"/>
      <c r="Z494" s="229"/>
      <c r="AA494" s="13"/>
      <c r="AB494" s="229">
        <f t="shared" si="160"/>
        <v>0</v>
      </c>
      <c r="AC494" s="228">
        <f t="shared" si="156"/>
        <v>0</v>
      </c>
      <c r="AD494" s="21">
        <v>0</v>
      </c>
      <c r="AE494" s="229"/>
      <c r="AF494" s="20"/>
      <c r="AG494" s="229"/>
      <c r="AH494" s="20"/>
      <c r="AI494" s="229">
        <v>5</v>
      </c>
      <c r="AJ494" s="20">
        <v>5</v>
      </c>
      <c r="AK494" s="229"/>
      <c r="AL494" s="20"/>
      <c r="AM494" s="229"/>
      <c r="AN494" s="20"/>
      <c r="AO494" s="229">
        <v>6</v>
      </c>
      <c r="AP494" s="20">
        <v>6</v>
      </c>
      <c r="AQ494" s="229"/>
      <c r="AR494" s="20"/>
      <c r="AS494" s="229"/>
      <c r="AT494" s="20"/>
      <c r="AU494" s="229"/>
      <c r="AV494" s="20">
        <v>4</v>
      </c>
      <c r="AW494" s="229"/>
      <c r="AX494" s="20"/>
      <c r="AY494" s="229"/>
      <c r="AZ494" s="20"/>
      <c r="BA494" s="229"/>
      <c r="BB494" s="20">
        <v>6</v>
      </c>
      <c r="BC494" s="229">
        <f t="shared" si="161"/>
        <v>11</v>
      </c>
      <c r="BD494" s="48">
        <f t="shared" si="157"/>
        <v>21</v>
      </c>
      <c r="BE494" s="19">
        <v>13</v>
      </c>
      <c r="BF494" s="229">
        <f t="shared" si="162"/>
        <v>11</v>
      </c>
      <c r="BG494" s="210">
        <f t="shared" si="158"/>
        <v>21</v>
      </c>
      <c r="BH494" s="210">
        <f t="shared" si="159"/>
        <v>13</v>
      </c>
      <c r="BI494" s="213">
        <f t="shared" si="155"/>
        <v>161.53846153846155</v>
      </c>
      <c r="BJ494" s="141"/>
      <c r="BK494" s="201"/>
      <c r="BL494" s="198"/>
      <c r="BM494" s="198"/>
    </row>
    <row r="495" spans="1:65" s="17" customFormat="1" ht="15.95" customHeight="1">
      <c r="A495" s="123">
        <v>49</v>
      </c>
      <c r="B495" s="9" t="s">
        <v>2396</v>
      </c>
      <c r="C495" s="11" t="s">
        <v>2397</v>
      </c>
      <c r="D495" s="229"/>
      <c r="E495" s="13"/>
      <c r="F495" s="229"/>
      <c r="G495" s="13"/>
      <c r="H495" s="229"/>
      <c r="I495" s="13"/>
      <c r="J495" s="229"/>
      <c r="K495" s="13"/>
      <c r="L495" s="229"/>
      <c r="M495" s="13"/>
      <c r="N495" s="229"/>
      <c r="O495" s="13"/>
      <c r="P495" s="229"/>
      <c r="Q495" s="13"/>
      <c r="R495" s="229"/>
      <c r="S495" s="13"/>
      <c r="T495" s="229"/>
      <c r="U495" s="13"/>
      <c r="V495" s="229"/>
      <c r="W495" s="13"/>
      <c r="X495" s="229"/>
      <c r="Y495" s="13"/>
      <c r="Z495" s="229"/>
      <c r="AA495" s="13"/>
      <c r="AB495" s="229">
        <f t="shared" si="160"/>
        <v>0</v>
      </c>
      <c r="AC495" s="228">
        <f t="shared" si="156"/>
        <v>0</v>
      </c>
      <c r="AD495" s="21">
        <v>0</v>
      </c>
      <c r="AE495" s="229"/>
      <c r="AF495" s="20"/>
      <c r="AG495" s="229"/>
      <c r="AH495" s="20"/>
      <c r="AI495" s="229"/>
      <c r="AJ495" s="20"/>
      <c r="AK495" s="229"/>
      <c r="AL495" s="20"/>
      <c r="AM495" s="229"/>
      <c r="AN495" s="20"/>
      <c r="AO495" s="229"/>
      <c r="AP495" s="20"/>
      <c r="AQ495" s="229"/>
      <c r="AR495" s="20"/>
      <c r="AS495" s="229"/>
      <c r="AT495" s="20"/>
      <c r="AU495" s="229"/>
      <c r="AV495" s="20"/>
      <c r="AW495" s="229"/>
      <c r="AX495" s="20"/>
      <c r="AY495" s="229"/>
      <c r="AZ495" s="20"/>
      <c r="BA495" s="229"/>
      <c r="BB495" s="20"/>
      <c r="BC495" s="229">
        <f t="shared" si="161"/>
        <v>0</v>
      </c>
      <c r="BD495" s="48">
        <f t="shared" si="157"/>
        <v>0</v>
      </c>
      <c r="BE495" s="19">
        <v>1</v>
      </c>
      <c r="BF495" s="229">
        <f t="shared" si="162"/>
        <v>0</v>
      </c>
      <c r="BG495" s="210">
        <f t="shared" si="158"/>
        <v>0</v>
      </c>
      <c r="BH495" s="210">
        <f t="shared" si="159"/>
        <v>1</v>
      </c>
      <c r="BI495" s="213">
        <f t="shared" si="155"/>
        <v>0</v>
      </c>
      <c r="BJ495" s="141"/>
      <c r="BK495" s="201"/>
      <c r="BL495" s="198"/>
      <c r="BM495" s="198"/>
    </row>
    <row r="496" spans="1:65" s="17" customFormat="1" ht="15.95" customHeight="1">
      <c r="A496" s="123">
        <v>50</v>
      </c>
      <c r="B496" s="9" t="s">
        <v>2223</v>
      </c>
      <c r="C496" s="11" t="s">
        <v>2224</v>
      </c>
      <c r="D496" s="229"/>
      <c r="E496" s="13"/>
      <c r="F496" s="229"/>
      <c r="G496" s="13"/>
      <c r="H496" s="229"/>
      <c r="I496" s="13"/>
      <c r="J496" s="229"/>
      <c r="K496" s="13"/>
      <c r="L496" s="229"/>
      <c r="M496" s="13"/>
      <c r="N496" s="229"/>
      <c r="O496" s="13"/>
      <c r="P496" s="229"/>
      <c r="Q496" s="13"/>
      <c r="R496" s="229"/>
      <c r="S496" s="13"/>
      <c r="T496" s="229"/>
      <c r="U496" s="13"/>
      <c r="V496" s="229"/>
      <c r="W496" s="13"/>
      <c r="X496" s="229"/>
      <c r="Y496" s="13"/>
      <c r="Z496" s="229"/>
      <c r="AA496" s="13"/>
      <c r="AB496" s="229">
        <f t="shared" si="160"/>
        <v>0</v>
      </c>
      <c r="AC496" s="228">
        <f t="shared" si="156"/>
        <v>0</v>
      </c>
      <c r="AD496" s="21">
        <v>0</v>
      </c>
      <c r="AE496" s="229"/>
      <c r="AF496" s="20"/>
      <c r="AG496" s="229"/>
      <c r="AH496" s="20"/>
      <c r="AI496" s="229"/>
      <c r="AJ496" s="20"/>
      <c r="AK496" s="229"/>
      <c r="AL496" s="20"/>
      <c r="AM496" s="229"/>
      <c r="AN496" s="20"/>
      <c r="AO496" s="229">
        <v>1</v>
      </c>
      <c r="AP496" s="20">
        <v>1</v>
      </c>
      <c r="AQ496" s="229"/>
      <c r="AR496" s="20"/>
      <c r="AS496" s="229"/>
      <c r="AT496" s="20"/>
      <c r="AU496" s="229"/>
      <c r="AV496" s="20"/>
      <c r="AW496" s="229"/>
      <c r="AX496" s="20"/>
      <c r="AY496" s="229"/>
      <c r="AZ496" s="20"/>
      <c r="BA496" s="229"/>
      <c r="BB496" s="20">
        <v>1</v>
      </c>
      <c r="BC496" s="229">
        <f t="shared" si="161"/>
        <v>1</v>
      </c>
      <c r="BD496" s="48">
        <f t="shared" si="157"/>
        <v>2</v>
      </c>
      <c r="BE496" s="19">
        <v>5</v>
      </c>
      <c r="BF496" s="229">
        <f t="shared" si="162"/>
        <v>1</v>
      </c>
      <c r="BG496" s="210">
        <f t="shared" si="158"/>
        <v>2</v>
      </c>
      <c r="BH496" s="210">
        <f t="shared" si="159"/>
        <v>5</v>
      </c>
      <c r="BI496" s="213">
        <f t="shared" si="155"/>
        <v>40</v>
      </c>
      <c r="BJ496" s="141"/>
      <c r="BK496" s="201"/>
      <c r="BL496" s="198"/>
      <c r="BM496" s="198"/>
    </row>
    <row r="497" spans="1:65" s="17" customFormat="1" ht="15.95" customHeight="1">
      <c r="A497" s="123">
        <v>51</v>
      </c>
      <c r="B497" s="60" t="s">
        <v>1445</v>
      </c>
      <c r="C497" s="316" t="s">
        <v>2514</v>
      </c>
      <c r="D497" s="229"/>
      <c r="E497" s="13"/>
      <c r="F497" s="229"/>
      <c r="G497" s="13"/>
      <c r="H497" s="229"/>
      <c r="I497" s="13"/>
      <c r="J497" s="229"/>
      <c r="K497" s="13"/>
      <c r="L497" s="229"/>
      <c r="M497" s="13"/>
      <c r="N497" s="229"/>
      <c r="O497" s="13"/>
      <c r="P497" s="229"/>
      <c r="Q497" s="13"/>
      <c r="R497" s="229"/>
      <c r="S497" s="13"/>
      <c r="T497" s="229"/>
      <c r="U497" s="13"/>
      <c r="V497" s="229"/>
      <c r="W497" s="13"/>
      <c r="X497" s="229"/>
      <c r="Y497" s="13"/>
      <c r="Z497" s="229"/>
      <c r="AA497" s="13"/>
      <c r="AB497" s="229">
        <f t="shared" si="160"/>
        <v>0</v>
      </c>
      <c r="AC497" s="228">
        <f t="shared" si="156"/>
        <v>0</v>
      </c>
      <c r="AD497" s="21">
        <v>0</v>
      </c>
      <c r="AE497" s="229"/>
      <c r="AF497" s="20"/>
      <c r="AG497" s="229"/>
      <c r="AH497" s="20"/>
      <c r="AI497" s="229"/>
      <c r="AJ497" s="20"/>
      <c r="AK497" s="229"/>
      <c r="AL497" s="20"/>
      <c r="AM497" s="229"/>
      <c r="AN497" s="20"/>
      <c r="AO497" s="229"/>
      <c r="AP497" s="20"/>
      <c r="AQ497" s="229"/>
      <c r="AR497" s="20"/>
      <c r="AS497" s="229"/>
      <c r="AT497" s="20"/>
      <c r="AU497" s="229"/>
      <c r="AV497" s="20"/>
      <c r="AW497" s="229"/>
      <c r="AX497" s="20"/>
      <c r="AY497" s="229"/>
      <c r="AZ497" s="20"/>
      <c r="BA497" s="229"/>
      <c r="BB497" s="20"/>
      <c r="BC497" s="229">
        <f t="shared" si="161"/>
        <v>0</v>
      </c>
      <c r="BD497" s="48">
        <f t="shared" si="157"/>
        <v>0</v>
      </c>
      <c r="BE497" s="19">
        <v>1</v>
      </c>
      <c r="BF497" s="229">
        <f t="shared" si="162"/>
        <v>0</v>
      </c>
      <c r="BG497" s="210">
        <f t="shared" si="158"/>
        <v>0</v>
      </c>
      <c r="BH497" s="210">
        <f t="shared" si="159"/>
        <v>1</v>
      </c>
      <c r="BI497" s="213">
        <f t="shared" si="155"/>
        <v>0</v>
      </c>
      <c r="BJ497" s="141"/>
      <c r="BK497" s="201"/>
      <c r="BL497" s="198"/>
      <c r="BM497" s="198"/>
    </row>
    <row r="498" spans="1:65" s="17" customFormat="1" ht="15.95" customHeight="1">
      <c r="A498" s="123">
        <v>52</v>
      </c>
      <c r="B498" s="9" t="s">
        <v>287</v>
      </c>
      <c r="C498" s="11" t="s">
        <v>2197</v>
      </c>
      <c r="D498" s="229"/>
      <c r="E498" s="13"/>
      <c r="F498" s="229"/>
      <c r="G498" s="13"/>
      <c r="H498" s="229"/>
      <c r="I498" s="13"/>
      <c r="J498" s="229"/>
      <c r="K498" s="13"/>
      <c r="L498" s="229"/>
      <c r="M498" s="13"/>
      <c r="N498" s="229"/>
      <c r="O498" s="13"/>
      <c r="P498" s="229"/>
      <c r="Q498" s="13"/>
      <c r="R498" s="229"/>
      <c r="S498" s="13"/>
      <c r="T498" s="229"/>
      <c r="U498" s="13"/>
      <c r="V498" s="229"/>
      <c r="W498" s="13"/>
      <c r="X498" s="229"/>
      <c r="Y498" s="13"/>
      <c r="Z498" s="229"/>
      <c r="AA498" s="13"/>
      <c r="AB498" s="229">
        <f t="shared" si="160"/>
        <v>0</v>
      </c>
      <c r="AC498" s="228">
        <f t="shared" si="156"/>
        <v>0</v>
      </c>
      <c r="AD498" s="21">
        <v>0</v>
      </c>
      <c r="AE498" s="229"/>
      <c r="AF498" s="20"/>
      <c r="AG498" s="229"/>
      <c r="AH498" s="20"/>
      <c r="AI498" s="229"/>
      <c r="AJ498" s="20"/>
      <c r="AK498" s="229"/>
      <c r="AL498" s="20"/>
      <c r="AM498" s="229"/>
      <c r="AN498" s="20"/>
      <c r="AO498" s="229"/>
      <c r="AP498" s="20"/>
      <c r="AQ498" s="229"/>
      <c r="AR498" s="20"/>
      <c r="AS498" s="229"/>
      <c r="AT498" s="20"/>
      <c r="AU498" s="229"/>
      <c r="AV498" s="20">
        <v>4</v>
      </c>
      <c r="AW498" s="229"/>
      <c r="AX498" s="20"/>
      <c r="AY498" s="229"/>
      <c r="AZ498" s="20"/>
      <c r="BA498" s="229"/>
      <c r="BB498" s="20">
        <v>1</v>
      </c>
      <c r="BC498" s="229">
        <f t="shared" si="161"/>
        <v>0</v>
      </c>
      <c r="BD498" s="48">
        <f t="shared" si="157"/>
        <v>5</v>
      </c>
      <c r="BE498" s="19">
        <v>19</v>
      </c>
      <c r="BF498" s="229">
        <f t="shared" si="162"/>
        <v>0</v>
      </c>
      <c r="BG498" s="210">
        <f t="shared" si="158"/>
        <v>5</v>
      </c>
      <c r="BH498" s="210">
        <f t="shared" si="159"/>
        <v>19</v>
      </c>
      <c r="BI498" s="213">
        <f t="shared" si="155"/>
        <v>26.315789473684209</v>
      </c>
      <c r="BJ498" s="141"/>
      <c r="BK498" s="201"/>
      <c r="BL498" s="198"/>
      <c r="BM498" s="198"/>
    </row>
    <row r="499" spans="1:65" s="17" customFormat="1" ht="24.75" customHeight="1">
      <c r="A499" s="123">
        <v>53</v>
      </c>
      <c r="B499" s="9" t="s">
        <v>288</v>
      </c>
      <c r="C499" s="10" t="s">
        <v>289</v>
      </c>
      <c r="D499" s="229"/>
      <c r="E499" s="13"/>
      <c r="F499" s="229"/>
      <c r="G499" s="13"/>
      <c r="H499" s="229"/>
      <c r="I499" s="13"/>
      <c r="J499" s="229"/>
      <c r="K499" s="13"/>
      <c r="L499" s="229"/>
      <c r="M499" s="13"/>
      <c r="N499" s="229"/>
      <c r="O499" s="13"/>
      <c r="P499" s="229"/>
      <c r="Q499" s="13"/>
      <c r="R499" s="229"/>
      <c r="S499" s="13"/>
      <c r="T499" s="229"/>
      <c r="U499" s="13"/>
      <c r="V499" s="229"/>
      <c r="W499" s="13"/>
      <c r="X499" s="229"/>
      <c r="Y499" s="13"/>
      <c r="Z499" s="229"/>
      <c r="AA499" s="13"/>
      <c r="AB499" s="229">
        <f t="shared" si="160"/>
        <v>0</v>
      </c>
      <c r="AC499" s="228">
        <f t="shared" si="156"/>
        <v>0</v>
      </c>
      <c r="AD499" s="21">
        <v>0</v>
      </c>
      <c r="AE499" s="229"/>
      <c r="AF499" s="20"/>
      <c r="AG499" s="229"/>
      <c r="AH499" s="20"/>
      <c r="AI499" s="229">
        <v>2</v>
      </c>
      <c r="AJ499" s="20">
        <v>2</v>
      </c>
      <c r="AK499" s="229"/>
      <c r="AL499" s="20"/>
      <c r="AM499" s="229"/>
      <c r="AN499" s="20"/>
      <c r="AO499" s="229">
        <v>1</v>
      </c>
      <c r="AP499" s="20">
        <v>1</v>
      </c>
      <c r="AQ499" s="229"/>
      <c r="AR499" s="20"/>
      <c r="AS499" s="229"/>
      <c r="AT499" s="20"/>
      <c r="AU499" s="229"/>
      <c r="AV499" s="20"/>
      <c r="AW499" s="229"/>
      <c r="AX499" s="20"/>
      <c r="AY499" s="229"/>
      <c r="AZ499" s="20"/>
      <c r="BA499" s="229"/>
      <c r="BB499" s="20"/>
      <c r="BC499" s="229">
        <f t="shared" si="161"/>
        <v>3</v>
      </c>
      <c r="BD499" s="48">
        <f t="shared" si="157"/>
        <v>3</v>
      </c>
      <c r="BE499" s="19">
        <v>4</v>
      </c>
      <c r="BF499" s="229">
        <f t="shared" si="162"/>
        <v>3</v>
      </c>
      <c r="BG499" s="210">
        <f t="shared" si="158"/>
        <v>3</v>
      </c>
      <c r="BH499" s="210">
        <f t="shared" si="159"/>
        <v>4</v>
      </c>
      <c r="BI499" s="213">
        <f t="shared" si="155"/>
        <v>75</v>
      </c>
      <c r="BJ499" s="141"/>
      <c r="BK499" s="201"/>
      <c r="BL499" s="198"/>
      <c r="BM499" s="198"/>
    </row>
    <row r="500" spans="1:65" s="17" customFormat="1" ht="15.95" customHeight="1">
      <c r="A500" s="123">
        <v>54</v>
      </c>
      <c r="B500" s="9" t="s">
        <v>290</v>
      </c>
      <c r="C500" s="11" t="s">
        <v>2512</v>
      </c>
      <c r="D500" s="229"/>
      <c r="E500" s="13"/>
      <c r="F500" s="229"/>
      <c r="G500" s="13"/>
      <c r="H500" s="229"/>
      <c r="I500" s="13"/>
      <c r="J500" s="229"/>
      <c r="K500" s="13"/>
      <c r="L500" s="229"/>
      <c r="M500" s="13"/>
      <c r="N500" s="229"/>
      <c r="O500" s="13"/>
      <c r="P500" s="229"/>
      <c r="Q500" s="13"/>
      <c r="R500" s="229"/>
      <c r="S500" s="13"/>
      <c r="T500" s="229"/>
      <c r="U500" s="13"/>
      <c r="V500" s="229"/>
      <c r="W500" s="13"/>
      <c r="X500" s="229"/>
      <c r="Y500" s="13"/>
      <c r="Z500" s="229"/>
      <c r="AA500" s="13"/>
      <c r="AB500" s="229">
        <f t="shared" si="160"/>
        <v>0</v>
      </c>
      <c r="AC500" s="228">
        <f t="shared" si="156"/>
        <v>0</v>
      </c>
      <c r="AD500" s="21">
        <v>0</v>
      </c>
      <c r="AE500" s="229"/>
      <c r="AF500" s="20"/>
      <c r="AG500" s="229"/>
      <c r="AH500" s="20"/>
      <c r="AI500" s="229"/>
      <c r="AJ500" s="20"/>
      <c r="AK500" s="229"/>
      <c r="AL500" s="20"/>
      <c r="AM500" s="229"/>
      <c r="AN500" s="20"/>
      <c r="AO500" s="229"/>
      <c r="AP500" s="20"/>
      <c r="AQ500" s="229"/>
      <c r="AR500" s="20"/>
      <c r="AS500" s="229"/>
      <c r="AT500" s="20"/>
      <c r="AU500" s="229"/>
      <c r="AV500" s="20"/>
      <c r="AW500" s="229"/>
      <c r="AX500" s="20"/>
      <c r="AY500" s="229"/>
      <c r="AZ500" s="20"/>
      <c r="BA500" s="229"/>
      <c r="BB500" s="20"/>
      <c r="BC500" s="229">
        <f t="shared" si="161"/>
        <v>0</v>
      </c>
      <c r="BD500" s="48">
        <f t="shared" si="157"/>
        <v>0</v>
      </c>
      <c r="BE500" s="19">
        <v>1</v>
      </c>
      <c r="BF500" s="229">
        <f t="shared" si="162"/>
        <v>0</v>
      </c>
      <c r="BG500" s="210">
        <f t="shared" si="158"/>
        <v>0</v>
      </c>
      <c r="BH500" s="210">
        <f t="shared" si="159"/>
        <v>1</v>
      </c>
      <c r="BI500" s="213">
        <f t="shared" si="155"/>
        <v>0</v>
      </c>
      <c r="BJ500" s="141"/>
      <c r="BK500" s="201"/>
      <c r="BL500" s="198"/>
      <c r="BM500" s="198"/>
    </row>
    <row r="501" spans="1:65" s="17" customFormat="1" ht="15.95" customHeight="1">
      <c r="A501" s="123">
        <v>55</v>
      </c>
      <c r="B501" s="9" t="s">
        <v>1730</v>
      </c>
      <c r="C501" s="11" t="s">
        <v>2513</v>
      </c>
      <c r="D501" s="229"/>
      <c r="E501" s="13"/>
      <c r="F501" s="229"/>
      <c r="G501" s="13"/>
      <c r="H501" s="229"/>
      <c r="I501" s="13"/>
      <c r="J501" s="229"/>
      <c r="K501" s="13"/>
      <c r="L501" s="229"/>
      <c r="M501" s="13"/>
      <c r="N501" s="229"/>
      <c r="O501" s="13"/>
      <c r="P501" s="229"/>
      <c r="Q501" s="13"/>
      <c r="R501" s="229"/>
      <c r="S501" s="13"/>
      <c r="T501" s="229"/>
      <c r="U501" s="13"/>
      <c r="V501" s="229"/>
      <c r="W501" s="13"/>
      <c r="X501" s="229"/>
      <c r="Y501" s="13"/>
      <c r="Z501" s="229"/>
      <c r="AA501" s="13"/>
      <c r="AB501" s="229">
        <f t="shared" si="160"/>
        <v>0</v>
      </c>
      <c r="AC501" s="228">
        <f t="shared" si="156"/>
        <v>0</v>
      </c>
      <c r="AD501" s="21">
        <v>0</v>
      </c>
      <c r="AE501" s="229"/>
      <c r="AF501" s="20"/>
      <c r="AG501" s="229"/>
      <c r="AH501" s="20"/>
      <c r="AI501" s="229"/>
      <c r="AJ501" s="20"/>
      <c r="AK501" s="229"/>
      <c r="AL501" s="20"/>
      <c r="AM501" s="229"/>
      <c r="AN501" s="20"/>
      <c r="AO501" s="229"/>
      <c r="AP501" s="20"/>
      <c r="AQ501" s="229"/>
      <c r="AR501" s="20"/>
      <c r="AS501" s="229"/>
      <c r="AT501" s="20"/>
      <c r="AU501" s="229"/>
      <c r="AV501" s="20"/>
      <c r="AW501" s="229"/>
      <c r="AX501" s="20"/>
      <c r="AY501" s="229"/>
      <c r="AZ501" s="20"/>
      <c r="BA501" s="229"/>
      <c r="BB501" s="20"/>
      <c r="BC501" s="229">
        <f t="shared" si="161"/>
        <v>0</v>
      </c>
      <c r="BD501" s="48">
        <f t="shared" si="157"/>
        <v>0</v>
      </c>
      <c r="BE501" s="19">
        <v>1</v>
      </c>
      <c r="BF501" s="229">
        <f t="shared" si="162"/>
        <v>0</v>
      </c>
      <c r="BG501" s="210">
        <f t="shared" si="158"/>
        <v>0</v>
      </c>
      <c r="BH501" s="210">
        <f t="shared" si="159"/>
        <v>1</v>
      </c>
      <c r="BI501" s="213">
        <f t="shared" si="155"/>
        <v>0</v>
      </c>
      <c r="BJ501" s="141"/>
      <c r="BK501" s="201"/>
      <c r="BL501" s="198"/>
      <c r="BM501" s="198"/>
    </row>
    <row r="502" spans="1:65" s="17" customFormat="1" ht="15.95" customHeight="1">
      <c r="A502" s="123">
        <v>56</v>
      </c>
      <c r="B502" s="9" t="s">
        <v>3012</v>
      </c>
      <c r="C502" s="11" t="s">
        <v>3013</v>
      </c>
      <c r="D502" s="229"/>
      <c r="E502" s="13"/>
      <c r="F502" s="229"/>
      <c r="G502" s="13"/>
      <c r="H502" s="229"/>
      <c r="I502" s="13"/>
      <c r="J502" s="229"/>
      <c r="K502" s="13"/>
      <c r="L502" s="229"/>
      <c r="M502" s="13"/>
      <c r="N502" s="229"/>
      <c r="O502" s="13"/>
      <c r="P502" s="229"/>
      <c r="Q502" s="13"/>
      <c r="R502" s="229"/>
      <c r="S502" s="13"/>
      <c r="T502" s="229"/>
      <c r="U502" s="13"/>
      <c r="V502" s="229"/>
      <c r="W502" s="13"/>
      <c r="X502" s="229"/>
      <c r="Y502" s="13"/>
      <c r="Z502" s="229"/>
      <c r="AA502" s="13"/>
      <c r="AB502" s="229">
        <f t="shared" si="160"/>
        <v>0</v>
      </c>
      <c r="AC502" s="228">
        <f t="shared" si="156"/>
        <v>0</v>
      </c>
      <c r="AD502" s="21">
        <v>0</v>
      </c>
      <c r="AE502" s="229"/>
      <c r="AF502" s="20"/>
      <c r="AG502" s="229"/>
      <c r="AH502" s="20"/>
      <c r="AI502" s="229">
        <v>1</v>
      </c>
      <c r="AJ502" s="20">
        <v>1</v>
      </c>
      <c r="AK502" s="229"/>
      <c r="AL502" s="20"/>
      <c r="AM502" s="229"/>
      <c r="AN502" s="20"/>
      <c r="AO502" s="229"/>
      <c r="AP502" s="20"/>
      <c r="AQ502" s="229"/>
      <c r="AR502" s="20"/>
      <c r="AS502" s="229"/>
      <c r="AT502" s="20"/>
      <c r="AU502" s="229"/>
      <c r="AV502" s="20"/>
      <c r="AW502" s="229"/>
      <c r="AX502" s="20"/>
      <c r="AY502" s="229"/>
      <c r="AZ502" s="20"/>
      <c r="BA502" s="229"/>
      <c r="BB502" s="20"/>
      <c r="BC502" s="229">
        <f t="shared" si="161"/>
        <v>1</v>
      </c>
      <c r="BD502" s="48">
        <f t="shared" si="157"/>
        <v>1</v>
      </c>
      <c r="BE502" s="19">
        <v>0</v>
      </c>
      <c r="BF502" s="229">
        <f t="shared" si="162"/>
        <v>1</v>
      </c>
      <c r="BG502" s="210">
        <f t="shared" si="158"/>
        <v>1</v>
      </c>
      <c r="BH502" s="210">
        <f t="shared" si="159"/>
        <v>0</v>
      </c>
      <c r="BI502" s="213" t="e">
        <f t="shared" si="155"/>
        <v>#DIV/0!</v>
      </c>
      <c r="BJ502" s="141"/>
      <c r="BK502" s="201"/>
      <c r="BL502" s="198"/>
      <c r="BM502" s="198"/>
    </row>
    <row r="503" spans="1:65" s="17" customFormat="1" ht="15.95" customHeight="1">
      <c r="A503" s="123">
        <v>57</v>
      </c>
      <c r="B503" s="9" t="s">
        <v>3014</v>
      </c>
      <c r="C503" s="11" t="s">
        <v>3015</v>
      </c>
      <c r="D503" s="229"/>
      <c r="E503" s="13"/>
      <c r="F503" s="229"/>
      <c r="G503" s="13"/>
      <c r="H503" s="229"/>
      <c r="I503" s="13"/>
      <c r="J503" s="229"/>
      <c r="K503" s="13"/>
      <c r="L503" s="229"/>
      <c r="M503" s="13"/>
      <c r="N503" s="229"/>
      <c r="O503" s="13"/>
      <c r="P503" s="229"/>
      <c r="Q503" s="13"/>
      <c r="R503" s="229"/>
      <c r="S503" s="13"/>
      <c r="T503" s="229"/>
      <c r="U503" s="13"/>
      <c r="V503" s="229"/>
      <c r="W503" s="13"/>
      <c r="X503" s="229"/>
      <c r="Y503" s="13"/>
      <c r="Z503" s="229"/>
      <c r="AA503" s="13"/>
      <c r="AB503" s="229">
        <f t="shared" si="160"/>
        <v>0</v>
      </c>
      <c r="AC503" s="228">
        <f t="shared" si="156"/>
        <v>0</v>
      </c>
      <c r="AD503" s="21">
        <v>0</v>
      </c>
      <c r="AE503" s="229"/>
      <c r="AF503" s="20"/>
      <c r="AG503" s="229"/>
      <c r="AH503" s="20"/>
      <c r="AI503" s="229">
        <v>1</v>
      </c>
      <c r="AJ503" s="20">
        <v>1</v>
      </c>
      <c r="AK503" s="229"/>
      <c r="AL503" s="20"/>
      <c r="AM503" s="229"/>
      <c r="AN503" s="20"/>
      <c r="AO503" s="229"/>
      <c r="AP503" s="20"/>
      <c r="AQ503" s="229"/>
      <c r="AR503" s="20"/>
      <c r="AS503" s="229"/>
      <c r="AT503" s="20"/>
      <c r="AU503" s="229"/>
      <c r="AV503" s="20"/>
      <c r="AW503" s="229"/>
      <c r="AX503" s="20"/>
      <c r="AY503" s="229"/>
      <c r="AZ503" s="20"/>
      <c r="BA503" s="229"/>
      <c r="BB503" s="20"/>
      <c r="BC503" s="229">
        <f t="shared" si="161"/>
        <v>1</v>
      </c>
      <c r="BD503" s="48">
        <f t="shared" si="157"/>
        <v>1</v>
      </c>
      <c r="BE503" s="19">
        <v>0</v>
      </c>
      <c r="BF503" s="229">
        <f t="shared" si="162"/>
        <v>1</v>
      </c>
      <c r="BG503" s="210">
        <f t="shared" si="158"/>
        <v>1</v>
      </c>
      <c r="BH503" s="210">
        <f t="shared" si="159"/>
        <v>0</v>
      </c>
      <c r="BI503" s="213" t="e">
        <f t="shared" si="155"/>
        <v>#DIV/0!</v>
      </c>
      <c r="BJ503" s="141"/>
      <c r="BK503" s="201"/>
      <c r="BL503" s="198"/>
      <c r="BM503" s="198"/>
    </row>
    <row r="504" spans="1:65" s="17" customFormat="1" ht="15.95" customHeight="1">
      <c r="A504" s="123">
        <v>58</v>
      </c>
      <c r="B504" s="9" t="s">
        <v>16</v>
      </c>
      <c r="C504" s="11" t="s">
        <v>17</v>
      </c>
      <c r="D504" s="229"/>
      <c r="E504" s="13"/>
      <c r="F504" s="229"/>
      <c r="G504" s="13"/>
      <c r="H504" s="229"/>
      <c r="I504" s="13"/>
      <c r="J504" s="229"/>
      <c r="K504" s="13"/>
      <c r="L504" s="229"/>
      <c r="M504" s="13"/>
      <c r="N504" s="229"/>
      <c r="O504" s="13"/>
      <c r="P504" s="229"/>
      <c r="Q504" s="13"/>
      <c r="R504" s="229"/>
      <c r="S504" s="13"/>
      <c r="T504" s="229"/>
      <c r="U504" s="13"/>
      <c r="V504" s="229"/>
      <c r="W504" s="13"/>
      <c r="X504" s="229"/>
      <c r="Y504" s="13"/>
      <c r="Z504" s="229"/>
      <c r="AA504" s="13"/>
      <c r="AB504" s="229">
        <f t="shared" si="160"/>
        <v>0</v>
      </c>
      <c r="AC504" s="228">
        <f t="shared" si="156"/>
        <v>0</v>
      </c>
      <c r="AD504" s="21">
        <v>0</v>
      </c>
      <c r="AE504" s="229"/>
      <c r="AF504" s="20"/>
      <c r="AG504" s="229"/>
      <c r="AH504" s="20"/>
      <c r="AI504" s="229">
        <f>3+1</f>
        <v>4</v>
      </c>
      <c r="AJ504" s="20">
        <f>3+1</f>
        <v>4</v>
      </c>
      <c r="AK504" s="229"/>
      <c r="AL504" s="20"/>
      <c r="AM504" s="229"/>
      <c r="AN504" s="20"/>
      <c r="AO504" s="229">
        <f>3+1</f>
        <v>4</v>
      </c>
      <c r="AP504" s="20">
        <f>3+2</f>
        <v>5</v>
      </c>
      <c r="AQ504" s="229"/>
      <c r="AR504" s="20"/>
      <c r="AS504" s="229"/>
      <c r="AT504" s="20"/>
      <c r="AU504" s="229"/>
      <c r="AV504" s="20">
        <f>3+1+1</f>
        <v>5</v>
      </c>
      <c r="AW504" s="229"/>
      <c r="AX504" s="20"/>
      <c r="AY504" s="229"/>
      <c r="AZ504" s="20"/>
      <c r="BA504" s="229"/>
      <c r="BB504" s="20"/>
      <c r="BC504" s="229">
        <f t="shared" si="161"/>
        <v>8</v>
      </c>
      <c r="BD504" s="48">
        <f t="shared" si="157"/>
        <v>14</v>
      </c>
      <c r="BE504" s="19">
        <v>0</v>
      </c>
      <c r="BF504" s="229">
        <f t="shared" si="162"/>
        <v>8</v>
      </c>
      <c r="BG504" s="210">
        <f t="shared" si="158"/>
        <v>14</v>
      </c>
      <c r="BH504" s="210">
        <f t="shared" si="159"/>
        <v>0</v>
      </c>
      <c r="BI504" s="213" t="e">
        <f t="shared" si="155"/>
        <v>#DIV/0!</v>
      </c>
      <c r="BJ504" s="141"/>
      <c r="BK504" s="201"/>
      <c r="BL504" s="198"/>
      <c r="BM504" s="198"/>
    </row>
    <row r="505" spans="1:65" s="17" customFormat="1" ht="15.95" customHeight="1">
      <c r="A505" s="123">
        <v>59</v>
      </c>
      <c r="B505" s="9" t="s">
        <v>1695</v>
      </c>
      <c r="C505" s="11" t="s">
        <v>2511</v>
      </c>
      <c r="D505" s="229"/>
      <c r="E505" s="13"/>
      <c r="F505" s="229"/>
      <c r="G505" s="13"/>
      <c r="H505" s="229"/>
      <c r="I505" s="13"/>
      <c r="J505" s="229"/>
      <c r="K505" s="13"/>
      <c r="L505" s="229"/>
      <c r="M505" s="13"/>
      <c r="N505" s="229"/>
      <c r="O505" s="13"/>
      <c r="P505" s="229"/>
      <c r="Q505" s="13"/>
      <c r="R505" s="229"/>
      <c r="S505" s="13"/>
      <c r="T505" s="229"/>
      <c r="U505" s="13"/>
      <c r="V505" s="229"/>
      <c r="W505" s="13"/>
      <c r="X505" s="229"/>
      <c r="Y505" s="13"/>
      <c r="Z505" s="229"/>
      <c r="AA505" s="13"/>
      <c r="AB505" s="229">
        <f t="shared" si="160"/>
        <v>0</v>
      </c>
      <c r="AC505" s="228">
        <f t="shared" si="156"/>
        <v>0</v>
      </c>
      <c r="AD505" s="21">
        <v>0</v>
      </c>
      <c r="AE505" s="229"/>
      <c r="AF505" s="20"/>
      <c r="AG505" s="229"/>
      <c r="AH505" s="20"/>
      <c r="AI505" s="229"/>
      <c r="AJ505" s="20"/>
      <c r="AK505" s="229"/>
      <c r="AL505" s="20"/>
      <c r="AM505" s="229"/>
      <c r="AN505" s="20"/>
      <c r="AO505" s="229"/>
      <c r="AP505" s="20"/>
      <c r="AQ505" s="229"/>
      <c r="AR505" s="20"/>
      <c r="AS505" s="229"/>
      <c r="AT505" s="20"/>
      <c r="AU505" s="229"/>
      <c r="AV505" s="20"/>
      <c r="AW505" s="229"/>
      <c r="AX505" s="20"/>
      <c r="AY505" s="229"/>
      <c r="AZ505" s="20"/>
      <c r="BA505" s="229"/>
      <c r="BB505" s="20"/>
      <c r="BC505" s="229">
        <f t="shared" si="161"/>
        <v>0</v>
      </c>
      <c r="BD505" s="48">
        <f t="shared" si="157"/>
        <v>0</v>
      </c>
      <c r="BE505" s="19">
        <v>1</v>
      </c>
      <c r="BF505" s="229">
        <f t="shared" si="162"/>
        <v>0</v>
      </c>
      <c r="BG505" s="210">
        <f t="shared" si="158"/>
        <v>0</v>
      </c>
      <c r="BH505" s="210">
        <f t="shared" si="159"/>
        <v>1</v>
      </c>
      <c r="BI505" s="213">
        <f t="shared" si="155"/>
        <v>0</v>
      </c>
      <c r="BJ505" s="141"/>
      <c r="BK505" s="201"/>
      <c r="BL505" s="198"/>
      <c r="BM505" s="198"/>
    </row>
    <row r="506" spans="1:65" s="17" customFormat="1" ht="15.95" customHeight="1">
      <c r="A506" s="123">
        <v>60</v>
      </c>
      <c r="B506" s="9" t="s">
        <v>3016</v>
      </c>
      <c r="C506" s="11" t="s">
        <v>3017</v>
      </c>
      <c r="D506" s="229"/>
      <c r="E506" s="13"/>
      <c r="F506" s="229"/>
      <c r="G506" s="13"/>
      <c r="H506" s="229"/>
      <c r="I506" s="13"/>
      <c r="J506" s="229"/>
      <c r="K506" s="13"/>
      <c r="L506" s="229"/>
      <c r="M506" s="13"/>
      <c r="N506" s="229"/>
      <c r="O506" s="13"/>
      <c r="P506" s="229"/>
      <c r="Q506" s="13"/>
      <c r="R506" s="229"/>
      <c r="S506" s="13"/>
      <c r="T506" s="229"/>
      <c r="U506" s="13"/>
      <c r="V506" s="229"/>
      <c r="W506" s="13"/>
      <c r="X506" s="229"/>
      <c r="Y506" s="13"/>
      <c r="Z506" s="229"/>
      <c r="AA506" s="13"/>
      <c r="AB506" s="229">
        <f t="shared" si="160"/>
        <v>0</v>
      </c>
      <c r="AC506" s="228">
        <f t="shared" si="156"/>
        <v>0</v>
      </c>
      <c r="AD506" s="21">
        <v>0</v>
      </c>
      <c r="AE506" s="229"/>
      <c r="AF506" s="20"/>
      <c r="AG506" s="229"/>
      <c r="AH506" s="20"/>
      <c r="AI506" s="229">
        <v>2</v>
      </c>
      <c r="AJ506" s="20">
        <v>2</v>
      </c>
      <c r="AK506" s="229"/>
      <c r="AL506" s="20"/>
      <c r="AM506" s="229"/>
      <c r="AN506" s="20"/>
      <c r="AO506" s="229">
        <v>1</v>
      </c>
      <c r="AP506" s="20">
        <v>1</v>
      </c>
      <c r="AQ506" s="229"/>
      <c r="AR506" s="20"/>
      <c r="AS506" s="229"/>
      <c r="AT506" s="20"/>
      <c r="AU506" s="229"/>
      <c r="AV506" s="20">
        <v>1</v>
      </c>
      <c r="AW506" s="229"/>
      <c r="AX506" s="20"/>
      <c r="AY506" s="229"/>
      <c r="AZ506" s="20"/>
      <c r="BA506" s="229"/>
      <c r="BB506" s="20">
        <v>1</v>
      </c>
      <c r="BC506" s="229">
        <f t="shared" si="161"/>
        <v>3</v>
      </c>
      <c r="BD506" s="48">
        <f t="shared" si="157"/>
        <v>5</v>
      </c>
      <c r="BE506" s="19">
        <v>0</v>
      </c>
      <c r="BF506" s="229">
        <f t="shared" si="162"/>
        <v>3</v>
      </c>
      <c r="BG506" s="210">
        <f t="shared" si="158"/>
        <v>5</v>
      </c>
      <c r="BH506" s="210">
        <f t="shared" si="159"/>
        <v>0</v>
      </c>
      <c r="BI506" s="213" t="e">
        <f t="shared" si="155"/>
        <v>#DIV/0!</v>
      </c>
      <c r="BJ506" s="141"/>
      <c r="BK506" s="201"/>
      <c r="BL506" s="198"/>
      <c r="BM506" s="198"/>
    </row>
    <row r="507" spans="1:65" s="17" customFormat="1" ht="15.95" customHeight="1">
      <c r="A507" s="123">
        <v>61</v>
      </c>
      <c r="B507" s="9" t="s">
        <v>2398</v>
      </c>
      <c r="C507" s="11" t="s">
        <v>1722</v>
      </c>
      <c r="D507" s="229"/>
      <c r="E507" s="13"/>
      <c r="F507" s="229"/>
      <c r="G507" s="13"/>
      <c r="H507" s="229"/>
      <c r="I507" s="13"/>
      <c r="J507" s="229"/>
      <c r="K507" s="13"/>
      <c r="L507" s="229"/>
      <c r="M507" s="13"/>
      <c r="N507" s="229"/>
      <c r="O507" s="13"/>
      <c r="P507" s="229"/>
      <c r="Q507" s="13"/>
      <c r="R507" s="229"/>
      <c r="S507" s="13"/>
      <c r="T507" s="229"/>
      <c r="U507" s="13"/>
      <c r="V507" s="229"/>
      <c r="W507" s="13"/>
      <c r="X507" s="229"/>
      <c r="Y507" s="13"/>
      <c r="Z507" s="229"/>
      <c r="AA507" s="13"/>
      <c r="AB507" s="229">
        <f t="shared" si="160"/>
        <v>0</v>
      </c>
      <c r="AC507" s="228">
        <f t="shared" si="156"/>
        <v>0</v>
      </c>
      <c r="AD507" s="21">
        <v>0</v>
      </c>
      <c r="AE507" s="229"/>
      <c r="AF507" s="20"/>
      <c r="AG507" s="229"/>
      <c r="AH507" s="20"/>
      <c r="AI507" s="229"/>
      <c r="AJ507" s="20"/>
      <c r="AK507" s="229"/>
      <c r="AL507" s="20"/>
      <c r="AM507" s="229"/>
      <c r="AN507" s="20"/>
      <c r="AO507" s="229"/>
      <c r="AP507" s="20"/>
      <c r="AQ507" s="229"/>
      <c r="AR507" s="20"/>
      <c r="AS507" s="229"/>
      <c r="AT507" s="20"/>
      <c r="AU507" s="229"/>
      <c r="AV507" s="20"/>
      <c r="AW507" s="229"/>
      <c r="AX507" s="20"/>
      <c r="AY507" s="229"/>
      <c r="AZ507" s="20"/>
      <c r="BA507" s="229"/>
      <c r="BB507" s="20"/>
      <c r="BC507" s="229">
        <f t="shared" si="161"/>
        <v>0</v>
      </c>
      <c r="BD507" s="48">
        <f t="shared" si="157"/>
        <v>0</v>
      </c>
      <c r="BE507" s="19">
        <v>4</v>
      </c>
      <c r="BF507" s="229">
        <f t="shared" si="162"/>
        <v>0</v>
      </c>
      <c r="BG507" s="210">
        <f t="shared" si="158"/>
        <v>0</v>
      </c>
      <c r="BH507" s="210">
        <f t="shared" si="159"/>
        <v>4</v>
      </c>
      <c r="BI507" s="213">
        <f t="shared" si="155"/>
        <v>0</v>
      </c>
      <c r="BJ507" s="141"/>
      <c r="BK507" s="201"/>
      <c r="BL507" s="198"/>
      <c r="BM507" s="198"/>
    </row>
    <row r="508" spans="1:65" s="17" customFormat="1" ht="21.95" customHeight="1">
      <c r="A508" s="123">
        <v>62</v>
      </c>
      <c r="B508" s="9" t="s">
        <v>1356</v>
      </c>
      <c r="C508" s="10" t="s">
        <v>1357</v>
      </c>
      <c r="D508" s="229"/>
      <c r="E508" s="13"/>
      <c r="F508" s="229"/>
      <c r="G508" s="13"/>
      <c r="H508" s="229"/>
      <c r="I508" s="13"/>
      <c r="J508" s="229"/>
      <c r="K508" s="13"/>
      <c r="L508" s="229"/>
      <c r="M508" s="13"/>
      <c r="N508" s="229"/>
      <c r="O508" s="13"/>
      <c r="P508" s="229"/>
      <c r="Q508" s="13"/>
      <c r="R508" s="229"/>
      <c r="S508" s="13"/>
      <c r="T508" s="229"/>
      <c r="U508" s="13"/>
      <c r="V508" s="229"/>
      <c r="W508" s="13"/>
      <c r="X508" s="229"/>
      <c r="Y508" s="13"/>
      <c r="Z508" s="229"/>
      <c r="AA508" s="13"/>
      <c r="AB508" s="229">
        <f t="shared" si="160"/>
        <v>0</v>
      </c>
      <c r="AC508" s="228">
        <f t="shared" si="156"/>
        <v>0</v>
      </c>
      <c r="AD508" s="21">
        <v>0</v>
      </c>
      <c r="AE508" s="229"/>
      <c r="AF508" s="20"/>
      <c r="AG508" s="229"/>
      <c r="AH508" s="20"/>
      <c r="AI508" s="229">
        <v>3</v>
      </c>
      <c r="AJ508" s="20">
        <v>3</v>
      </c>
      <c r="AK508" s="229"/>
      <c r="AL508" s="20"/>
      <c r="AM508" s="229"/>
      <c r="AN508" s="20"/>
      <c r="AO508" s="229"/>
      <c r="AP508" s="20"/>
      <c r="AQ508" s="229"/>
      <c r="AR508" s="20"/>
      <c r="AS508" s="229"/>
      <c r="AT508" s="20"/>
      <c r="AU508" s="229"/>
      <c r="AV508" s="20">
        <v>1</v>
      </c>
      <c r="AW508" s="229"/>
      <c r="AX508" s="20"/>
      <c r="AY508" s="229"/>
      <c r="AZ508" s="20"/>
      <c r="BA508" s="229"/>
      <c r="BB508" s="20"/>
      <c r="BC508" s="229">
        <f t="shared" si="161"/>
        <v>3</v>
      </c>
      <c r="BD508" s="48">
        <f t="shared" si="157"/>
        <v>4</v>
      </c>
      <c r="BE508" s="19">
        <v>7</v>
      </c>
      <c r="BF508" s="229">
        <f t="shared" si="162"/>
        <v>3</v>
      </c>
      <c r="BG508" s="210">
        <f t="shared" si="158"/>
        <v>4</v>
      </c>
      <c r="BH508" s="210">
        <f t="shared" si="159"/>
        <v>7</v>
      </c>
      <c r="BI508" s="213">
        <f t="shared" si="155"/>
        <v>57.142857142857139</v>
      </c>
      <c r="BJ508" s="141"/>
      <c r="BK508" s="201"/>
      <c r="BL508" s="198"/>
      <c r="BM508" s="198"/>
    </row>
    <row r="509" spans="1:65" s="17" customFormat="1" ht="15.95" customHeight="1">
      <c r="A509" s="123">
        <v>63</v>
      </c>
      <c r="B509" s="9" t="s">
        <v>3018</v>
      </c>
      <c r="C509" s="11" t="s">
        <v>3020</v>
      </c>
      <c r="D509" s="229"/>
      <c r="E509" s="13"/>
      <c r="F509" s="229"/>
      <c r="G509" s="13"/>
      <c r="H509" s="229"/>
      <c r="I509" s="13"/>
      <c r="J509" s="229"/>
      <c r="K509" s="13"/>
      <c r="L509" s="229"/>
      <c r="M509" s="13"/>
      <c r="N509" s="229"/>
      <c r="O509" s="13"/>
      <c r="P509" s="229"/>
      <c r="Q509" s="13"/>
      <c r="R509" s="229"/>
      <c r="S509" s="13"/>
      <c r="T509" s="229"/>
      <c r="U509" s="13"/>
      <c r="V509" s="229"/>
      <c r="W509" s="13"/>
      <c r="X509" s="229"/>
      <c r="Y509" s="13"/>
      <c r="Z509" s="229"/>
      <c r="AA509" s="13"/>
      <c r="AB509" s="229">
        <f t="shared" si="160"/>
        <v>0</v>
      </c>
      <c r="AC509" s="228">
        <f t="shared" si="156"/>
        <v>0</v>
      </c>
      <c r="AD509" s="21">
        <v>0</v>
      </c>
      <c r="AE509" s="229"/>
      <c r="AF509" s="20"/>
      <c r="AG509" s="229"/>
      <c r="AH509" s="20"/>
      <c r="AI509" s="229">
        <v>1</v>
      </c>
      <c r="AJ509" s="20">
        <v>1</v>
      </c>
      <c r="AK509" s="229"/>
      <c r="AL509" s="20"/>
      <c r="AM509" s="229"/>
      <c r="AN509" s="20"/>
      <c r="AO509" s="229"/>
      <c r="AP509" s="20"/>
      <c r="AQ509" s="229"/>
      <c r="AR509" s="20"/>
      <c r="AS509" s="229"/>
      <c r="AT509" s="20"/>
      <c r="AU509" s="229"/>
      <c r="AV509" s="20"/>
      <c r="AW509" s="229"/>
      <c r="AX509" s="20"/>
      <c r="AY509" s="229"/>
      <c r="AZ509" s="20"/>
      <c r="BA509" s="229"/>
      <c r="BB509" s="20"/>
      <c r="BC509" s="229">
        <f t="shared" si="161"/>
        <v>1</v>
      </c>
      <c r="BD509" s="48">
        <f t="shared" si="157"/>
        <v>1</v>
      </c>
      <c r="BE509" s="19">
        <v>0</v>
      </c>
      <c r="BF509" s="229">
        <f t="shared" si="162"/>
        <v>1</v>
      </c>
      <c r="BG509" s="210">
        <f t="shared" si="158"/>
        <v>1</v>
      </c>
      <c r="BH509" s="210">
        <f t="shared" si="159"/>
        <v>0</v>
      </c>
      <c r="BI509" s="213" t="e">
        <f t="shared" si="155"/>
        <v>#DIV/0!</v>
      </c>
      <c r="BJ509" s="141"/>
      <c r="BK509" s="201"/>
      <c r="BL509" s="198"/>
      <c r="BM509" s="198"/>
    </row>
    <row r="510" spans="1:65" s="17" customFormat="1" ht="15.95" customHeight="1">
      <c r="A510" s="123">
        <v>64</v>
      </c>
      <c r="B510" s="9" t="s">
        <v>2700</v>
      </c>
      <c r="C510" s="11" t="s">
        <v>2701</v>
      </c>
      <c r="D510" s="229"/>
      <c r="E510" s="13"/>
      <c r="F510" s="229"/>
      <c r="G510" s="13"/>
      <c r="H510" s="229"/>
      <c r="I510" s="13"/>
      <c r="J510" s="229"/>
      <c r="K510" s="13"/>
      <c r="L510" s="229"/>
      <c r="M510" s="13"/>
      <c r="N510" s="229"/>
      <c r="O510" s="13"/>
      <c r="P510" s="229"/>
      <c r="Q510" s="13"/>
      <c r="R510" s="229"/>
      <c r="S510" s="13"/>
      <c r="T510" s="229"/>
      <c r="U510" s="13"/>
      <c r="V510" s="229"/>
      <c r="W510" s="13"/>
      <c r="X510" s="229"/>
      <c r="Y510" s="13"/>
      <c r="Z510" s="229"/>
      <c r="AA510" s="13"/>
      <c r="AB510" s="229">
        <f t="shared" si="160"/>
        <v>0</v>
      </c>
      <c r="AC510" s="228">
        <f t="shared" si="156"/>
        <v>0</v>
      </c>
      <c r="AD510" s="19">
        <v>0</v>
      </c>
      <c r="AE510" s="229"/>
      <c r="AF510" s="20"/>
      <c r="AG510" s="229"/>
      <c r="AH510" s="20"/>
      <c r="AI510" s="229"/>
      <c r="AJ510" s="20"/>
      <c r="AK510" s="229"/>
      <c r="AL510" s="20"/>
      <c r="AM510" s="229"/>
      <c r="AN510" s="20"/>
      <c r="AO510" s="229"/>
      <c r="AP510" s="20"/>
      <c r="AQ510" s="229"/>
      <c r="AR510" s="20"/>
      <c r="AS510" s="229"/>
      <c r="AT510" s="20"/>
      <c r="AU510" s="229"/>
      <c r="AV510" s="20"/>
      <c r="AW510" s="229"/>
      <c r="AX510" s="20"/>
      <c r="AY510" s="229"/>
      <c r="AZ510" s="20"/>
      <c r="BA510" s="229"/>
      <c r="BB510" s="20"/>
      <c r="BC510" s="229">
        <f t="shared" si="161"/>
        <v>0</v>
      </c>
      <c r="BD510" s="48">
        <f t="shared" si="157"/>
        <v>0</v>
      </c>
      <c r="BE510" s="19">
        <v>3</v>
      </c>
      <c r="BF510" s="229">
        <f t="shared" si="162"/>
        <v>0</v>
      </c>
      <c r="BG510" s="210">
        <f t="shared" si="158"/>
        <v>0</v>
      </c>
      <c r="BH510" s="210">
        <f t="shared" si="159"/>
        <v>3</v>
      </c>
      <c r="BI510" s="213">
        <f t="shared" si="155"/>
        <v>0</v>
      </c>
      <c r="BJ510" s="141"/>
      <c r="BK510" s="201"/>
      <c r="BL510" s="198"/>
      <c r="BM510" s="198"/>
    </row>
    <row r="511" spans="1:65" s="17" customFormat="1" ht="15.95" customHeight="1">
      <c r="A511" s="123">
        <v>65</v>
      </c>
      <c r="B511" s="9" t="s">
        <v>1626</v>
      </c>
      <c r="C511" s="11" t="s">
        <v>1892</v>
      </c>
      <c r="D511" s="229"/>
      <c r="E511" s="13"/>
      <c r="F511" s="229"/>
      <c r="G511" s="13"/>
      <c r="H511" s="229"/>
      <c r="I511" s="13"/>
      <c r="J511" s="229"/>
      <c r="K511" s="13"/>
      <c r="L511" s="229"/>
      <c r="M511" s="13"/>
      <c r="N511" s="229"/>
      <c r="O511" s="13"/>
      <c r="P511" s="229"/>
      <c r="Q511" s="13"/>
      <c r="R511" s="229"/>
      <c r="S511" s="13"/>
      <c r="T511" s="229"/>
      <c r="U511" s="13"/>
      <c r="V511" s="229"/>
      <c r="W511" s="13"/>
      <c r="X511" s="229"/>
      <c r="Y511" s="13"/>
      <c r="Z511" s="229"/>
      <c r="AA511" s="13"/>
      <c r="AB511" s="229">
        <f t="shared" si="160"/>
        <v>0</v>
      </c>
      <c r="AC511" s="228">
        <f t="shared" si="156"/>
        <v>0</v>
      </c>
      <c r="AD511" s="19">
        <v>0</v>
      </c>
      <c r="AE511" s="229"/>
      <c r="AF511" s="20"/>
      <c r="AG511" s="229"/>
      <c r="AH511" s="20"/>
      <c r="AI511" s="229">
        <f>1+2</f>
        <v>3</v>
      </c>
      <c r="AJ511" s="20">
        <f>1+2</f>
        <v>3</v>
      </c>
      <c r="AK511" s="229"/>
      <c r="AL511" s="20"/>
      <c r="AM511" s="229"/>
      <c r="AN511" s="20"/>
      <c r="AO511" s="229">
        <f>2+2+8</f>
        <v>12</v>
      </c>
      <c r="AP511" s="20">
        <f>2+3+13</f>
        <v>18</v>
      </c>
      <c r="AQ511" s="229"/>
      <c r="AR511" s="20"/>
      <c r="AS511" s="229"/>
      <c r="AT511" s="20"/>
      <c r="AU511" s="229"/>
      <c r="AV511" s="20">
        <f>3+4+2+10</f>
        <v>19</v>
      </c>
      <c r="AW511" s="229"/>
      <c r="AX511" s="20"/>
      <c r="AY511" s="229"/>
      <c r="AZ511" s="20"/>
      <c r="BA511" s="229"/>
      <c r="BB511" s="20"/>
      <c r="BC511" s="229">
        <f t="shared" si="161"/>
        <v>15</v>
      </c>
      <c r="BD511" s="48">
        <f t="shared" si="157"/>
        <v>40</v>
      </c>
      <c r="BE511" s="19">
        <v>34</v>
      </c>
      <c r="BF511" s="229">
        <f t="shared" si="162"/>
        <v>15</v>
      </c>
      <c r="BG511" s="210">
        <f t="shared" si="158"/>
        <v>40</v>
      </c>
      <c r="BH511" s="210">
        <f t="shared" si="159"/>
        <v>34</v>
      </c>
      <c r="BI511" s="213">
        <f t="shared" ref="BI511:BI542" si="163">BG511/BH511*100</f>
        <v>117.64705882352942</v>
      </c>
      <c r="BJ511" s="141"/>
      <c r="BK511" s="201"/>
      <c r="BL511" s="198"/>
      <c r="BM511" s="198"/>
    </row>
    <row r="512" spans="1:65" s="17" customFormat="1" ht="15.95" customHeight="1">
      <c r="A512" s="123">
        <v>66</v>
      </c>
      <c r="B512" s="9" t="s">
        <v>1031</v>
      </c>
      <c r="C512" s="11" t="s">
        <v>1032</v>
      </c>
      <c r="D512" s="229"/>
      <c r="E512" s="13"/>
      <c r="F512" s="229"/>
      <c r="G512" s="13"/>
      <c r="H512" s="229"/>
      <c r="I512" s="13"/>
      <c r="J512" s="229"/>
      <c r="K512" s="13"/>
      <c r="L512" s="229"/>
      <c r="M512" s="13"/>
      <c r="N512" s="229"/>
      <c r="O512" s="13"/>
      <c r="P512" s="229"/>
      <c r="Q512" s="13"/>
      <c r="R512" s="229"/>
      <c r="S512" s="13"/>
      <c r="T512" s="229"/>
      <c r="U512" s="13"/>
      <c r="V512" s="229"/>
      <c r="W512" s="13"/>
      <c r="X512" s="229"/>
      <c r="Y512" s="13"/>
      <c r="Z512" s="229"/>
      <c r="AA512" s="13"/>
      <c r="AB512" s="229">
        <f t="shared" si="160"/>
        <v>0</v>
      </c>
      <c r="AC512" s="228">
        <f t="shared" si="156"/>
        <v>0</v>
      </c>
      <c r="AD512" s="19">
        <v>0</v>
      </c>
      <c r="AE512" s="229"/>
      <c r="AF512" s="20"/>
      <c r="AG512" s="229"/>
      <c r="AH512" s="20"/>
      <c r="AI512" s="229">
        <f>1+6</f>
        <v>7</v>
      </c>
      <c r="AJ512" s="20">
        <f>1+7</f>
        <v>8</v>
      </c>
      <c r="AK512" s="229"/>
      <c r="AL512" s="20"/>
      <c r="AM512" s="229"/>
      <c r="AN512" s="20"/>
      <c r="AO512" s="229">
        <v>7</v>
      </c>
      <c r="AP512" s="20">
        <v>7</v>
      </c>
      <c r="AQ512" s="229"/>
      <c r="AR512" s="20"/>
      <c r="AS512" s="229"/>
      <c r="AT512" s="20"/>
      <c r="AU512" s="229"/>
      <c r="AV512" s="20">
        <v>20</v>
      </c>
      <c r="AW512" s="229"/>
      <c r="AX512" s="20"/>
      <c r="AY512" s="229"/>
      <c r="AZ512" s="20"/>
      <c r="BA512" s="229"/>
      <c r="BB512" s="20">
        <v>10</v>
      </c>
      <c r="BC512" s="229">
        <f t="shared" si="161"/>
        <v>14</v>
      </c>
      <c r="BD512" s="48">
        <f t="shared" si="157"/>
        <v>45</v>
      </c>
      <c r="BE512" s="19">
        <v>51</v>
      </c>
      <c r="BF512" s="229">
        <f t="shared" si="162"/>
        <v>14</v>
      </c>
      <c r="BG512" s="210">
        <f t="shared" si="158"/>
        <v>45</v>
      </c>
      <c r="BH512" s="210">
        <f t="shared" si="159"/>
        <v>51</v>
      </c>
      <c r="BI512" s="213">
        <f t="shared" si="163"/>
        <v>88.235294117647058</v>
      </c>
      <c r="BJ512" s="141"/>
      <c r="BK512" s="201"/>
      <c r="BL512" s="198"/>
      <c r="BM512" s="198"/>
    </row>
    <row r="513" spans="1:65" s="17" customFormat="1" ht="15.95" customHeight="1">
      <c r="A513" s="123">
        <v>67</v>
      </c>
      <c r="B513" s="9" t="s">
        <v>1358</v>
      </c>
      <c r="C513" s="11" t="s">
        <v>2509</v>
      </c>
      <c r="D513" s="229"/>
      <c r="E513" s="13"/>
      <c r="F513" s="229"/>
      <c r="G513" s="13"/>
      <c r="H513" s="229"/>
      <c r="I513" s="13"/>
      <c r="J513" s="229"/>
      <c r="K513" s="13"/>
      <c r="L513" s="229"/>
      <c r="M513" s="13"/>
      <c r="N513" s="229"/>
      <c r="O513" s="13"/>
      <c r="P513" s="229"/>
      <c r="Q513" s="13"/>
      <c r="R513" s="229"/>
      <c r="S513" s="13"/>
      <c r="T513" s="229"/>
      <c r="U513" s="13"/>
      <c r="V513" s="229"/>
      <c r="W513" s="13"/>
      <c r="X513" s="229"/>
      <c r="Y513" s="13"/>
      <c r="Z513" s="229"/>
      <c r="AA513" s="13"/>
      <c r="AB513" s="229">
        <f t="shared" si="160"/>
        <v>0</v>
      </c>
      <c r="AC513" s="228">
        <f t="shared" si="156"/>
        <v>0</v>
      </c>
      <c r="AD513" s="19">
        <v>0</v>
      </c>
      <c r="AE513" s="229"/>
      <c r="AF513" s="20"/>
      <c r="AG513" s="229"/>
      <c r="AH513" s="20"/>
      <c r="AI513" s="229">
        <v>1</v>
      </c>
      <c r="AJ513" s="20">
        <v>1</v>
      </c>
      <c r="AK513" s="229"/>
      <c r="AL513" s="20"/>
      <c r="AM513" s="229"/>
      <c r="AN513" s="20"/>
      <c r="AO513" s="229">
        <v>1</v>
      </c>
      <c r="AP513" s="20">
        <v>1</v>
      </c>
      <c r="AQ513" s="229"/>
      <c r="AR513" s="20"/>
      <c r="AS513" s="229"/>
      <c r="AT513" s="20"/>
      <c r="AU513" s="229"/>
      <c r="AV513" s="20">
        <v>1</v>
      </c>
      <c r="AW513" s="229"/>
      <c r="AX513" s="20"/>
      <c r="AY513" s="229"/>
      <c r="AZ513" s="20"/>
      <c r="BA513" s="229"/>
      <c r="BB513" s="20">
        <v>3</v>
      </c>
      <c r="BC513" s="229">
        <f t="shared" si="161"/>
        <v>2</v>
      </c>
      <c r="BD513" s="48">
        <f t="shared" si="157"/>
        <v>6</v>
      </c>
      <c r="BE513" s="19">
        <f>8+1</f>
        <v>9</v>
      </c>
      <c r="BF513" s="229">
        <f t="shared" si="162"/>
        <v>2</v>
      </c>
      <c r="BG513" s="210">
        <f t="shared" si="158"/>
        <v>6</v>
      </c>
      <c r="BH513" s="210">
        <f t="shared" si="159"/>
        <v>9</v>
      </c>
      <c r="BI513" s="213">
        <f t="shared" si="163"/>
        <v>66.666666666666657</v>
      </c>
      <c r="BJ513" s="141"/>
      <c r="BK513" s="201"/>
      <c r="BL513" s="198"/>
      <c r="BM513" s="198"/>
    </row>
    <row r="514" spans="1:65" s="17" customFormat="1" ht="15.95" customHeight="1">
      <c r="A514" s="123">
        <v>68</v>
      </c>
      <c r="B514" s="9" t="s">
        <v>517</v>
      </c>
      <c r="C514" s="11" t="s">
        <v>2510</v>
      </c>
      <c r="D514" s="229"/>
      <c r="E514" s="13"/>
      <c r="F514" s="229"/>
      <c r="G514" s="13"/>
      <c r="H514" s="229"/>
      <c r="I514" s="13"/>
      <c r="J514" s="229"/>
      <c r="K514" s="13"/>
      <c r="L514" s="229"/>
      <c r="M514" s="13"/>
      <c r="N514" s="229"/>
      <c r="O514" s="13"/>
      <c r="P514" s="229"/>
      <c r="Q514" s="13"/>
      <c r="R514" s="229"/>
      <c r="S514" s="13"/>
      <c r="T514" s="229"/>
      <c r="U514" s="13"/>
      <c r="V514" s="229"/>
      <c r="W514" s="13"/>
      <c r="X514" s="229"/>
      <c r="Y514" s="13"/>
      <c r="Z514" s="229"/>
      <c r="AA514" s="13"/>
      <c r="AB514" s="229">
        <f t="shared" si="160"/>
        <v>0</v>
      </c>
      <c r="AC514" s="228">
        <f t="shared" si="156"/>
        <v>0</v>
      </c>
      <c r="AD514" s="21">
        <v>0</v>
      </c>
      <c r="AE514" s="229"/>
      <c r="AF514" s="20"/>
      <c r="AG514" s="229"/>
      <c r="AH514" s="20"/>
      <c r="AI514" s="229">
        <f>1+6</f>
        <v>7</v>
      </c>
      <c r="AJ514" s="20">
        <f>1+6</f>
        <v>7</v>
      </c>
      <c r="AK514" s="229"/>
      <c r="AL514" s="20"/>
      <c r="AM514" s="229"/>
      <c r="AN514" s="20"/>
      <c r="AO514" s="229">
        <v>3</v>
      </c>
      <c r="AP514" s="20">
        <v>3</v>
      </c>
      <c r="AQ514" s="229"/>
      <c r="AR514" s="20"/>
      <c r="AS514" s="229"/>
      <c r="AT514" s="20"/>
      <c r="AU514" s="229"/>
      <c r="AV514" s="20">
        <v>9</v>
      </c>
      <c r="AW514" s="229"/>
      <c r="AX514" s="20"/>
      <c r="AY514" s="229"/>
      <c r="AZ514" s="20"/>
      <c r="BA514" s="229"/>
      <c r="BB514" s="20">
        <v>4</v>
      </c>
      <c r="BC514" s="229">
        <f t="shared" si="161"/>
        <v>10</v>
      </c>
      <c r="BD514" s="48">
        <f t="shared" si="157"/>
        <v>23</v>
      </c>
      <c r="BE514" s="19">
        <v>19</v>
      </c>
      <c r="BF514" s="229">
        <f t="shared" si="162"/>
        <v>10</v>
      </c>
      <c r="BG514" s="210">
        <f t="shared" si="158"/>
        <v>23</v>
      </c>
      <c r="BH514" s="210">
        <f t="shared" si="159"/>
        <v>19</v>
      </c>
      <c r="BI514" s="213">
        <f t="shared" si="163"/>
        <v>121.05263157894737</v>
      </c>
      <c r="BJ514" s="141"/>
      <c r="BK514" s="201"/>
      <c r="BL514" s="198"/>
      <c r="BM514" s="198"/>
    </row>
    <row r="515" spans="1:65" s="17" customFormat="1" ht="21.95" customHeight="1">
      <c r="A515" s="123">
        <v>69</v>
      </c>
      <c r="B515" s="9" t="s">
        <v>1359</v>
      </c>
      <c r="C515" s="10" t="s">
        <v>2508</v>
      </c>
      <c r="D515" s="229"/>
      <c r="E515" s="13"/>
      <c r="F515" s="229"/>
      <c r="G515" s="13"/>
      <c r="H515" s="229"/>
      <c r="I515" s="13"/>
      <c r="J515" s="229"/>
      <c r="K515" s="13"/>
      <c r="L515" s="229"/>
      <c r="M515" s="13"/>
      <c r="N515" s="229"/>
      <c r="O515" s="13"/>
      <c r="P515" s="229"/>
      <c r="Q515" s="13"/>
      <c r="R515" s="229"/>
      <c r="S515" s="13"/>
      <c r="T515" s="229"/>
      <c r="U515" s="13"/>
      <c r="V515" s="229"/>
      <c r="W515" s="13"/>
      <c r="X515" s="229"/>
      <c r="Y515" s="13"/>
      <c r="Z515" s="229"/>
      <c r="AA515" s="13"/>
      <c r="AB515" s="229">
        <f t="shared" si="160"/>
        <v>0</v>
      </c>
      <c r="AC515" s="228">
        <f t="shared" ref="AC515:AC546" si="164">E515+G515+I515+K515+M515+O515+Q515+S515+U515+W515+Y515+AA515</f>
        <v>0</v>
      </c>
      <c r="AD515" s="21">
        <v>0</v>
      </c>
      <c r="AE515" s="229"/>
      <c r="AF515" s="20"/>
      <c r="AG515" s="229"/>
      <c r="AH515" s="20"/>
      <c r="AI515" s="229"/>
      <c r="AJ515" s="20"/>
      <c r="AK515" s="229"/>
      <c r="AL515" s="20"/>
      <c r="AM515" s="229"/>
      <c r="AN515" s="20"/>
      <c r="AO515" s="229">
        <v>3</v>
      </c>
      <c r="AP515" s="20">
        <v>3</v>
      </c>
      <c r="AQ515" s="229"/>
      <c r="AR515" s="20"/>
      <c r="AS515" s="229"/>
      <c r="AT515" s="20"/>
      <c r="AU515" s="229"/>
      <c r="AV515" s="20"/>
      <c r="AW515" s="229"/>
      <c r="AX515" s="20"/>
      <c r="AY515" s="229"/>
      <c r="AZ515" s="20"/>
      <c r="BA515" s="229"/>
      <c r="BB515" s="20">
        <v>1</v>
      </c>
      <c r="BC515" s="229">
        <f t="shared" si="161"/>
        <v>3</v>
      </c>
      <c r="BD515" s="48">
        <f t="shared" ref="BD515:BD546" si="165">AF515+AH515+AJ515+AL515+AN515+AP515+AR515+AT515+AV515+AX515+AZ515+BB515</f>
        <v>4</v>
      </c>
      <c r="BE515" s="19">
        <v>1</v>
      </c>
      <c r="BF515" s="229">
        <f t="shared" si="162"/>
        <v>3</v>
      </c>
      <c r="BG515" s="210">
        <f t="shared" ref="BG515:BG546" si="166">AC515+BD515</f>
        <v>4</v>
      </c>
      <c r="BH515" s="210">
        <f t="shared" ref="BH515:BH546" si="167">AD515+BE515</f>
        <v>1</v>
      </c>
      <c r="BI515" s="213">
        <f t="shared" si="163"/>
        <v>400</v>
      </c>
      <c r="BJ515" s="141"/>
      <c r="BK515" s="201"/>
      <c r="BL515" s="198"/>
      <c r="BM515" s="198"/>
    </row>
    <row r="516" spans="1:65" s="17" customFormat="1" ht="15.95" customHeight="1">
      <c r="A516" s="123">
        <v>70</v>
      </c>
      <c r="B516" s="9" t="s">
        <v>3098</v>
      </c>
      <c r="C516" s="11" t="s">
        <v>518</v>
      </c>
      <c r="D516" s="229"/>
      <c r="E516" s="13"/>
      <c r="F516" s="229"/>
      <c r="G516" s="13"/>
      <c r="H516" s="229"/>
      <c r="I516" s="13"/>
      <c r="J516" s="229"/>
      <c r="K516" s="13"/>
      <c r="L516" s="229"/>
      <c r="M516" s="13"/>
      <c r="N516" s="229"/>
      <c r="O516" s="13"/>
      <c r="P516" s="229"/>
      <c r="Q516" s="13"/>
      <c r="R516" s="229"/>
      <c r="S516" s="13"/>
      <c r="T516" s="229"/>
      <c r="U516" s="13"/>
      <c r="V516" s="229"/>
      <c r="W516" s="13"/>
      <c r="X516" s="229"/>
      <c r="Y516" s="13"/>
      <c r="Z516" s="229"/>
      <c r="AA516" s="13"/>
      <c r="AB516" s="229"/>
      <c r="AC516" s="228">
        <f t="shared" si="164"/>
        <v>0</v>
      </c>
      <c r="AD516" s="21">
        <v>0</v>
      </c>
      <c r="AE516" s="229"/>
      <c r="AF516" s="20"/>
      <c r="AG516" s="229"/>
      <c r="AH516" s="20"/>
      <c r="AI516" s="229"/>
      <c r="AJ516" s="20"/>
      <c r="AK516" s="229"/>
      <c r="AL516" s="20"/>
      <c r="AM516" s="229"/>
      <c r="AN516" s="20"/>
      <c r="AO516" s="229"/>
      <c r="AP516" s="20">
        <v>1</v>
      </c>
      <c r="AQ516" s="229"/>
      <c r="AR516" s="20"/>
      <c r="AS516" s="229"/>
      <c r="AT516" s="20"/>
      <c r="AU516" s="229"/>
      <c r="AV516" s="20"/>
      <c r="AW516" s="229"/>
      <c r="AX516" s="20"/>
      <c r="AY516" s="229"/>
      <c r="AZ516" s="20"/>
      <c r="BA516" s="229"/>
      <c r="BB516" s="20">
        <v>1</v>
      </c>
      <c r="BC516" s="229"/>
      <c r="BD516" s="48">
        <f t="shared" si="165"/>
        <v>2</v>
      </c>
      <c r="BE516" s="19">
        <v>0</v>
      </c>
      <c r="BF516" s="229"/>
      <c r="BG516" s="210">
        <f t="shared" si="166"/>
        <v>2</v>
      </c>
      <c r="BH516" s="210">
        <f t="shared" si="167"/>
        <v>0</v>
      </c>
      <c r="BI516" s="213" t="e">
        <f t="shared" si="163"/>
        <v>#DIV/0!</v>
      </c>
      <c r="BJ516" s="141"/>
      <c r="BK516" s="201"/>
      <c r="BL516" s="198"/>
      <c r="BM516" s="198"/>
    </row>
    <row r="517" spans="1:65" s="17" customFormat="1" ht="15.95" customHeight="1">
      <c r="A517" s="123">
        <v>71</v>
      </c>
      <c r="B517" s="9" t="s">
        <v>2728</v>
      </c>
      <c r="C517" s="11" t="s">
        <v>2729</v>
      </c>
      <c r="D517" s="229"/>
      <c r="E517" s="13"/>
      <c r="F517" s="229"/>
      <c r="G517" s="13"/>
      <c r="H517" s="229"/>
      <c r="I517" s="13"/>
      <c r="J517" s="229"/>
      <c r="K517" s="13"/>
      <c r="L517" s="229"/>
      <c r="M517" s="13"/>
      <c r="N517" s="229"/>
      <c r="O517" s="13"/>
      <c r="P517" s="229"/>
      <c r="Q517" s="13"/>
      <c r="R517" s="229"/>
      <c r="S517" s="13"/>
      <c r="T517" s="229"/>
      <c r="U517" s="13"/>
      <c r="V517" s="229"/>
      <c r="W517" s="13"/>
      <c r="X517" s="229"/>
      <c r="Y517" s="13"/>
      <c r="Z517" s="229"/>
      <c r="AA517" s="13"/>
      <c r="AB517" s="229">
        <f t="shared" ref="AB517:AB553" si="168">D517+F517+H517+J517+L517+N517+P517+R517+T517+V517+X517+Z517</f>
        <v>0</v>
      </c>
      <c r="AC517" s="228">
        <f t="shared" si="164"/>
        <v>0</v>
      </c>
      <c r="AD517" s="21">
        <v>0</v>
      </c>
      <c r="AE517" s="229"/>
      <c r="AF517" s="20"/>
      <c r="AG517" s="229"/>
      <c r="AH517" s="20"/>
      <c r="AI517" s="229"/>
      <c r="AJ517" s="20"/>
      <c r="AK517" s="229"/>
      <c r="AL517" s="20"/>
      <c r="AM517" s="229"/>
      <c r="AN517" s="20"/>
      <c r="AO517" s="229">
        <v>3</v>
      </c>
      <c r="AP517" s="20">
        <v>3</v>
      </c>
      <c r="AQ517" s="229"/>
      <c r="AR517" s="20"/>
      <c r="AS517" s="229"/>
      <c r="AT517" s="20"/>
      <c r="AU517" s="229"/>
      <c r="AV517" s="20"/>
      <c r="AW517" s="229"/>
      <c r="AX517" s="20"/>
      <c r="AY517" s="229"/>
      <c r="AZ517" s="20"/>
      <c r="BA517" s="229"/>
      <c r="BB517" s="20"/>
      <c r="BC517" s="229">
        <f t="shared" ref="BC517:BC553" si="169">AE517+AG517+AI517+AK517+AM517+AO517+AQ517+AS517+AU517+AW517+AY517+BA517</f>
        <v>3</v>
      </c>
      <c r="BD517" s="48">
        <f t="shared" si="165"/>
        <v>3</v>
      </c>
      <c r="BE517" s="19">
        <v>3</v>
      </c>
      <c r="BF517" s="229">
        <f t="shared" ref="BF517:BF537" si="170">AB517+BC517</f>
        <v>3</v>
      </c>
      <c r="BG517" s="210">
        <f t="shared" si="166"/>
        <v>3</v>
      </c>
      <c r="BH517" s="210">
        <f t="shared" si="167"/>
        <v>3</v>
      </c>
      <c r="BI517" s="213">
        <f t="shared" si="163"/>
        <v>100</v>
      </c>
      <c r="BJ517" s="141"/>
      <c r="BK517" s="201"/>
      <c r="BL517" s="198"/>
      <c r="BM517" s="198"/>
    </row>
    <row r="518" spans="1:65" s="17" customFormat="1" ht="15.95" customHeight="1">
      <c r="A518" s="123">
        <v>72</v>
      </c>
      <c r="B518" s="9" t="s">
        <v>291</v>
      </c>
      <c r="C518" s="11" t="s">
        <v>2506</v>
      </c>
      <c r="D518" s="229"/>
      <c r="E518" s="13"/>
      <c r="F518" s="229"/>
      <c r="G518" s="13"/>
      <c r="H518" s="229"/>
      <c r="I518" s="13"/>
      <c r="J518" s="229"/>
      <c r="K518" s="13"/>
      <c r="L518" s="229"/>
      <c r="M518" s="13"/>
      <c r="N518" s="229"/>
      <c r="O518" s="13"/>
      <c r="P518" s="229"/>
      <c r="Q518" s="13"/>
      <c r="R518" s="229"/>
      <c r="S518" s="13"/>
      <c r="T518" s="229"/>
      <c r="U518" s="13"/>
      <c r="V518" s="229"/>
      <c r="W518" s="13"/>
      <c r="X518" s="229"/>
      <c r="Y518" s="13"/>
      <c r="Z518" s="229"/>
      <c r="AA518" s="13"/>
      <c r="AB518" s="229">
        <f t="shared" si="168"/>
        <v>0</v>
      </c>
      <c r="AC518" s="228">
        <f t="shared" si="164"/>
        <v>0</v>
      </c>
      <c r="AD518" s="21">
        <v>0</v>
      </c>
      <c r="AE518" s="229"/>
      <c r="AF518" s="20"/>
      <c r="AG518" s="229"/>
      <c r="AH518" s="20"/>
      <c r="AI518" s="229">
        <f>1+1</f>
        <v>2</v>
      </c>
      <c r="AJ518" s="20">
        <f>2+1</f>
        <v>3</v>
      </c>
      <c r="AK518" s="229"/>
      <c r="AL518" s="20"/>
      <c r="AM518" s="229"/>
      <c r="AN518" s="20"/>
      <c r="AO518" s="229"/>
      <c r="AP518" s="20"/>
      <c r="AQ518" s="229"/>
      <c r="AR518" s="20"/>
      <c r="AS518" s="229"/>
      <c r="AT518" s="20"/>
      <c r="AU518" s="229"/>
      <c r="AV518" s="20"/>
      <c r="AW518" s="229"/>
      <c r="AX518" s="20"/>
      <c r="AY518" s="229"/>
      <c r="AZ518" s="20"/>
      <c r="BA518" s="229"/>
      <c r="BB518" s="20">
        <v>5</v>
      </c>
      <c r="BC518" s="229">
        <f t="shared" si="169"/>
        <v>2</v>
      </c>
      <c r="BD518" s="48">
        <f t="shared" si="165"/>
        <v>8</v>
      </c>
      <c r="BE518" s="19">
        <v>2</v>
      </c>
      <c r="BF518" s="229">
        <f t="shared" si="170"/>
        <v>2</v>
      </c>
      <c r="BG518" s="210">
        <f t="shared" si="166"/>
        <v>8</v>
      </c>
      <c r="BH518" s="210">
        <f t="shared" si="167"/>
        <v>2</v>
      </c>
      <c r="BI518" s="213">
        <f t="shared" si="163"/>
        <v>400</v>
      </c>
      <c r="BJ518" s="141"/>
      <c r="BK518" s="201"/>
      <c r="BL518" s="198"/>
      <c r="BM518" s="198"/>
    </row>
    <row r="519" spans="1:65" s="17" customFormat="1" ht="15.95" customHeight="1">
      <c r="A519" s="123">
        <v>73</v>
      </c>
      <c r="B519" s="9" t="s">
        <v>3030</v>
      </c>
      <c r="C519" s="11" t="s">
        <v>3031</v>
      </c>
      <c r="D519" s="229"/>
      <c r="E519" s="13"/>
      <c r="F519" s="229"/>
      <c r="G519" s="13"/>
      <c r="H519" s="229"/>
      <c r="I519" s="13"/>
      <c r="J519" s="229"/>
      <c r="K519" s="13"/>
      <c r="L519" s="229"/>
      <c r="M519" s="13"/>
      <c r="N519" s="229"/>
      <c r="O519" s="13"/>
      <c r="P519" s="229"/>
      <c r="Q519" s="13"/>
      <c r="R519" s="229"/>
      <c r="S519" s="13"/>
      <c r="T519" s="229"/>
      <c r="U519" s="13"/>
      <c r="V519" s="229"/>
      <c r="W519" s="13"/>
      <c r="X519" s="229"/>
      <c r="Y519" s="13"/>
      <c r="Z519" s="229"/>
      <c r="AA519" s="13"/>
      <c r="AB519" s="229">
        <f t="shared" si="168"/>
        <v>0</v>
      </c>
      <c r="AC519" s="228">
        <f t="shared" si="164"/>
        <v>0</v>
      </c>
      <c r="AD519" s="21">
        <v>0</v>
      </c>
      <c r="AE519" s="229"/>
      <c r="AF519" s="20"/>
      <c r="AG519" s="229"/>
      <c r="AH519" s="20"/>
      <c r="AI519" s="229">
        <v>1</v>
      </c>
      <c r="AJ519" s="20">
        <v>1</v>
      </c>
      <c r="AK519" s="229"/>
      <c r="AL519" s="20"/>
      <c r="AM519" s="229"/>
      <c r="AN519" s="20"/>
      <c r="AO519" s="229"/>
      <c r="AP519" s="20"/>
      <c r="AQ519" s="229"/>
      <c r="AR519" s="20"/>
      <c r="AS519" s="229"/>
      <c r="AT519" s="20"/>
      <c r="AU519" s="229"/>
      <c r="AV519" s="20"/>
      <c r="AW519" s="229"/>
      <c r="AX519" s="20"/>
      <c r="AY519" s="229"/>
      <c r="AZ519" s="20"/>
      <c r="BA519" s="229"/>
      <c r="BB519" s="20">
        <v>2</v>
      </c>
      <c r="BC519" s="229">
        <f t="shared" si="169"/>
        <v>1</v>
      </c>
      <c r="BD519" s="48">
        <f t="shared" si="165"/>
        <v>3</v>
      </c>
      <c r="BE519" s="19">
        <v>0</v>
      </c>
      <c r="BF519" s="229">
        <f t="shared" si="170"/>
        <v>1</v>
      </c>
      <c r="BG519" s="210">
        <f t="shared" si="166"/>
        <v>3</v>
      </c>
      <c r="BH519" s="210">
        <f t="shared" si="167"/>
        <v>0</v>
      </c>
      <c r="BI519" s="213" t="e">
        <f t="shared" si="163"/>
        <v>#DIV/0!</v>
      </c>
      <c r="BJ519" s="141"/>
      <c r="BK519" s="201"/>
      <c r="BL519" s="198"/>
      <c r="BM519" s="198"/>
    </row>
    <row r="520" spans="1:65" s="17" customFormat="1" ht="15.95" customHeight="1">
      <c r="A520" s="123">
        <v>74</v>
      </c>
      <c r="B520" s="9" t="s">
        <v>292</v>
      </c>
      <c r="C520" s="11" t="s">
        <v>293</v>
      </c>
      <c r="D520" s="229"/>
      <c r="E520" s="13"/>
      <c r="F520" s="229"/>
      <c r="G520" s="13"/>
      <c r="H520" s="229"/>
      <c r="I520" s="13"/>
      <c r="J520" s="229"/>
      <c r="K520" s="13"/>
      <c r="L520" s="229"/>
      <c r="M520" s="13"/>
      <c r="N520" s="229"/>
      <c r="O520" s="13"/>
      <c r="P520" s="229"/>
      <c r="Q520" s="13"/>
      <c r="R520" s="229"/>
      <c r="S520" s="13"/>
      <c r="T520" s="229"/>
      <c r="U520" s="13"/>
      <c r="V520" s="229"/>
      <c r="W520" s="13"/>
      <c r="X520" s="229"/>
      <c r="Y520" s="13"/>
      <c r="Z520" s="229"/>
      <c r="AA520" s="13"/>
      <c r="AB520" s="229">
        <f t="shared" si="168"/>
        <v>0</v>
      </c>
      <c r="AC520" s="228">
        <f t="shared" si="164"/>
        <v>0</v>
      </c>
      <c r="AD520" s="21">
        <v>0</v>
      </c>
      <c r="AE520" s="229"/>
      <c r="AF520" s="20"/>
      <c r="AG520" s="229"/>
      <c r="AH520" s="20"/>
      <c r="AI520" s="229">
        <v>1</v>
      </c>
      <c r="AJ520" s="20">
        <v>1</v>
      </c>
      <c r="AK520" s="229"/>
      <c r="AL520" s="20"/>
      <c r="AM520" s="229"/>
      <c r="AN520" s="20"/>
      <c r="AO520" s="229">
        <f>1+1</f>
        <v>2</v>
      </c>
      <c r="AP520" s="20">
        <f>1+1</f>
        <v>2</v>
      </c>
      <c r="AQ520" s="229"/>
      <c r="AR520" s="20"/>
      <c r="AS520" s="229"/>
      <c r="AT520" s="20"/>
      <c r="AU520" s="229"/>
      <c r="AV520" s="20"/>
      <c r="AW520" s="229"/>
      <c r="AX520" s="20"/>
      <c r="AY520" s="229"/>
      <c r="AZ520" s="20"/>
      <c r="BA520" s="229"/>
      <c r="BB520" s="20"/>
      <c r="BC520" s="229">
        <f t="shared" si="169"/>
        <v>3</v>
      </c>
      <c r="BD520" s="48">
        <f t="shared" si="165"/>
        <v>3</v>
      </c>
      <c r="BE520" s="19">
        <v>1</v>
      </c>
      <c r="BF520" s="229">
        <f t="shared" si="170"/>
        <v>3</v>
      </c>
      <c r="BG520" s="210">
        <f t="shared" si="166"/>
        <v>3</v>
      </c>
      <c r="BH520" s="210">
        <f t="shared" si="167"/>
        <v>1</v>
      </c>
      <c r="BI520" s="213">
        <f t="shared" si="163"/>
        <v>300</v>
      </c>
      <c r="BJ520" s="141"/>
      <c r="BK520" s="201"/>
      <c r="BL520" s="198"/>
      <c r="BM520" s="198"/>
    </row>
    <row r="521" spans="1:65" s="17" customFormat="1" ht="15.95" customHeight="1">
      <c r="A521" s="123">
        <v>75</v>
      </c>
      <c r="B521" s="9" t="s">
        <v>2730</v>
      </c>
      <c r="C521" s="11" t="s">
        <v>2731</v>
      </c>
      <c r="D521" s="229"/>
      <c r="E521" s="13"/>
      <c r="F521" s="229"/>
      <c r="G521" s="13"/>
      <c r="H521" s="229"/>
      <c r="I521" s="13"/>
      <c r="J521" s="229"/>
      <c r="K521" s="13"/>
      <c r="L521" s="229"/>
      <c r="M521" s="13"/>
      <c r="N521" s="229"/>
      <c r="O521" s="13"/>
      <c r="P521" s="229"/>
      <c r="Q521" s="13"/>
      <c r="R521" s="229"/>
      <c r="S521" s="13"/>
      <c r="T521" s="229"/>
      <c r="U521" s="13"/>
      <c r="V521" s="229"/>
      <c r="W521" s="13"/>
      <c r="X521" s="229"/>
      <c r="Y521" s="13"/>
      <c r="Z521" s="229"/>
      <c r="AA521" s="13"/>
      <c r="AB521" s="229">
        <f t="shared" si="168"/>
        <v>0</v>
      </c>
      <c r="AC521" s="228">
        <f t="shared" si="164"/>
        <v>0</v>
      </c>
      <c r="AD521" s="21">
        <v>0</v>
      </c>
      <c r="AE521" s="229"/>
      <c r="AF521" s="20"/>
      <c r="AG521" s="229"/>
      <c r="AH521" s="20"/>
      <c r="AI521" s="229"/>
      <c r="AJ521" s="20"/>
      <c r="AK521" s="229"/>
      <c r="AL521" s="20"/>
      <c r="AM521" s="229"/>
      <c r="AN521" s="20"/>
      <c r="AO521" s="229"/>
      <c r="AP521" s="20"/>
      <c r="AQ521" s="229"/>
      <c r="AR521" s="20"/>
      <c r="AS521" s="229"/>
      <c r="AT521" s="20"/>
      <c r="AU521" s="229"/>
      <c r="AV521" s="20"/>
      <c r="AW521" s="229"/>
      <c r="AX521" s="20"/>
      <c r="AY521" s="229"/>
      <c r="AZ521" s="20"/>
      <c r="BA521" s="229"/>
      <c r="BB521" s="20"/>
      <c r="BC521" s="229">
        <f t="shared" si="169"/>
        <v>0</v>
      </c>
      <c r="BD521" s="48">
        <f t="shared" si="165"/>
        <v>0</v>
      </c>
      <c r="BE521" s="19">
        <v>3</v>
      </c>
      <c r="BF521" s="229">
        <f t="shared" si="170"/>
        <v>0</v>
      </c>
      <c r="BG521" s="210">
        <f t="shared" si="166"/>
        <v>0</v>
      </c>
      <c r="BH521" s="210">
        <f t="shared" si="167"/>
        <v>3</v>
      </c>
      <c r="BI521" s="213">
        <f t="shared" si="163"/>
        <v>0</v>
      </c>
      <c r="BJ521" s="141"/>
      <c r="BK521" s="201"/>
      <c r="BL521" s="198"/>
      <c r="BM521" s="198"/>
    </row>
    <row r="522" spans="1:65" s="17" customFormat="1" ht="15.95" customHeight="1">
      <c r="A522" s="123">
        <v>76</v>
      </c>
      <c r="B522" s="9" t="s">
        <v>870</v>
      </c>
      <c r="C522" s="11" t="s">
        <v>2505</v>
      </c>
      <c r="D522" s="229"/>
      <c r="E522" s="13"/>
      <c r="F522" s="229"/>
      <c r="G522" s="13"/>
      <c r="H522" s="229"/>
      <c r="I522" s="13"/>
      <c r="J522" s="229"/>
      <c r="K522" s="13"/>
      <c r="L522" s="229"/>
      <c r="M522" s="13"/>
      <c r="N522" s="229"/>
      <c r="O522" s="13"/>
      <c r="P522" s="229"/>
      <c r="Q522" s="13"/>
      <c r="R522" s="229"/>
      <c r="S522" s="13"/>
      <c r="T522" s="229"/>
      <c r="U522" s="13"/>
      <c r="V522" s="229"/>
      <c r="W522" s="13"/>
      <c r="X522" s="229"/>
      <c r="Y522" s="13"/>
      <c r="Z522" s="229"/>
      <c r="AA522" s="13"/>
      <c r="AB522" s="229">
        <f t="shared" si="168"/>
        <v>0</v>
      </c>
      <c r="AC522" s="228">
        <f t="shared" si="164"/>
        <v>0</v>
      </c>
      <c r="AD522" s="19">
        <v>0</v>
      </c>
      <c r="AE522" s="229"/>
      <c r="AF522" s="20"/>
      <c r="AG522" s="229"/>
      <c r="AH522" s="20"/>
      <c r="AI522" s="229">
        <f>2+13</f>
        <v>15</v>
      </c>
      <c r="AJ522" s="20">
        <f>3+13</f>
        <v>16</v>
      </c>
      <c r="AK522" s="229"/>
      <c r="AL522" s="20"/>
      <c r="AM522" s="229"/>
      <c r="AN522" s="20"/>
      <c r="AO522" s="229">
        <f>1+13</f>
        <v>14</v>
      </c>
      <c r="AP522" s="20">
        <f>1+13</f>
        <v>14</v>
      </c>
      <c r="AQ522" s="229"/>
      <c r="AR522" s="20"/>
      <c r="AS522" s="229"/>
      <c r="AT522" s="20"/>
      <c r="AU522" s="229"/>
      <c r="AV522" s="20">
        <v>13</v>
      </c>
      <c r="AW522" s="229"/>
      <c r="AX522" s="20"/>
      <c r="AY522" s="229"/>
      <c r="AZ522" s="20"/>
      <c r="BA522" s="229"/>
      <c r="BB522" s="20">
        <f>1+13</f>
        <v>14</v>
      </c>
      <c r="BC522" s="229">
        <f t="shared" si="169"/>
        <v>29</v>
      </c>
      <c r="BD522" s="48">
        <f t="shared" si="165"/>
        <v>57</v>
      </c>
      <c r="BE522" s="19">
        <f>13+31</f>
        <v>44</v>
      </c>
      <c r="BF522" s="229">
        <f t="shared" si="170"/>
        <v>29</v>
      </c>
      <c r="BG522" s="210">
        <f t="shared" si="166"/>
        <v>57</v>
      </c>
      <c r="BH522" s="210">
        <f t="shared" si="167"/>
        <v>44</v>
      </c>
      <c r="BI522" s="213">
        <f t="shared" si="163"/>
        <v>129.54545454545453</v>
      </c>
      <c r="BJ522" s="141"/>
      <c r="BK522" s="201"/>
      <c r="BL522" s="198"/>
      <c r="BM522" s="198"/>
    </row>
    <row r="523" spans="1:65" s="17" customFormat="1" ht="15.95" customHeight="1">
      <c r="A523" s="123">
        <v>77</v>
      </c>
      <c r="B523" s="9" t="s">
        <v>1037</v>
      </c>
      <c r="C523" s="11" t="s">
        <v>2503</v>
      </c>
      <c r="D523" s="229"/>
      <c r="E523" s="13"/>
      <c r="F523" s="229"/>
      <c r="G523" s="13"/>
      <c r="H523" s="229"/>
      <c r="I523" s="13"/>
      <c r="J523" s="229"/>
      <c r="K523" s="13"/>
      <c r="L523" s="229"/>
      <c r="M523" s="13"/>
      <c r="N523" s="229"/>
      <c r="O523" s="13"/>
      <c r="P523" s="229"/>
      <c r="Q523" s="13"/>
      <c r="R523" s="229"/>
      <c r="S523" s="13"/>
      <c r="T523" s="229"/>
      <c r="U523" s="13"/>
      <c r="V523" s="229"/>
      <c r="W523" s="13"/>
      <c r="X523" s="229"/>
      <c r="Y523" s="13"/>
      <c r="Z523" s="229"/>
      <c r="AA523" s="13"/>
      <c r="AB523" s="229">
        <f t="shared" si="168"/>
        <v>0</v>
      </c>
      <c r="AC523" s="228">
        <f t="shared" si="164"/>
        <v>0</v>
      </c>
      <c r="AD523" s="19">
        <v>0</v>
      </c>
      <c r="AE523" s="229"/>
      <c r="AF523" s="20"/>
      <c r="AG523" s="229"/>
      <c r="AH523" s="20"/>
      <c r="AI523" s="229">
        <v>3</v>
      </c>
      <c r="AJ523" s="20">
        <v>3</v>
      </c>
      <c r="AK523" s="229"/>
      <c r="AL523" s="20"/>
      <c r="AM523" s="229"/>
      <c r="AN523" s="20"/>
      <c r="AO523" s="229"/>
      <c r="AP523" s="20"/>
      <c r="AQ523" s="229"/>
      <c r="AR523" s="20"/>
      <c r="AS523" s="229"/>
      <c r="AT523" s="20"/>
      <c r="AU523" s="229"/>
      <c r="AV523" s="20">
        <f>1+2</f>
        <v>3</v>
      </c>
      <c r="AW523" s="229"/>
      <c r="AX523" s="20"/>
      <c r="AY523" s="229"/>
      <c r="AZ523" s="20"/>
      <c r="BA523" s="229"/>
      <c r="BB523" s="20">
        <v>3</v>
      </c>
      <c r="BC523" s="229">
        <f t="shared" si="169"/>
        <v>3</v>
      </c>
      <c r="BD523" s="48">
        <f t="shared" si="165"/>
        <v>9</v>
      </c>
      <c r="BE523" s="19">
        <v>1</v>
      </c>
      <c r="BF523" s="229">
        <f t="shared" si="170"/>
        <v>3</v>
      </c>
      <c r="BG523" s="210">
        <f t="shared" si="166"/>
        <v>9</v>
      </c>
      <c r="BH523" s="210">
        <f t="shared" si="167"/>
        <v>1</v>
      </c>
      <c r="BI523" s="213">
        <f t="shared" si="163"/>
        <v>900</v>
      </c>
      <c r="BJ523" s="141"/>
      <c r="BK523" s="201"/>
      <c r="BL523" s="198"/>
      <c r="BM523" s="198"/>
    </row>
    <row r="524" spans="1:65" s="17" customFormat="1" ht="15.95" customHeight="1">
      <c r="A524" s="123">
        <v>78</v>
      </c>
      <c r="B524" s="9" t="s">
        <v>1038</v>
      </c>
      <c r="C524" s="11" t="s">
        <v>2504</v>
      </c>
      <c r="D524" s="229"/>
      <c r="E524" s="13"/>
      <c r="F524" s="229"/>
      <c r="G524" s="13"/>
      <c r="H524" s="229"/>
      <c r="I524" s="13"/>
      <c r="J524" s="229"/>
      <c r="K524" s="13"/>
      <c r="L524" s="229"/>
      <c r="M524" s="13"/>
      <c r="N524" s="229"/>
      <c r="O524" s="13"/>
      <c r="P524" s="229"/>
      <c r="Q524" s="13"/>
      <c r="R524" s="229"/>
      <c r="S524" s="13"/>
      <c r="T524" s="229"/>
      <c r="U524" s="13"/>
      <c r="V524" s="229"/>
      <c r="W524" s="13"/>
      <c r="X524" s="229"/>
      <c r="Y524" s="13"/>
      <c r="Z524" s="229"/>
      <c r="AA524" s="13"/>
      <c r="AB524" s="229">
        <f t="shared" si="168"/>
        <v>0</v>
      </c>
      <c r="AC524" s="228">
        <f t="shared" si="164"/>
        <v>0</v>
      </c>
      <c r="AD524" s="19">
        <v>0</v>
      </c>
      <c r="AE524" s="229"/>
      <c r="AF524" s="20"/>
      <c r="AG524" s="229"/>
      <c r="AH524" s="20"/>
      <c r="AI524" s="229">
        <v>1</v>
      </c>
      <c r="AJ524" s="20">
        <v>1</v>
      </c>
      <c r="AK524" s="229"/>
      <c r="AL524" s="20"/>
      <c r="AM524" s="229"/>
      <c r="AN524" s="20"/>
      <c r="AO524" s="229">
        <v>1</v>
      </c>
      <c r="AP524" s="20">
        <v>1</v>
      </c>
      <c r="AQ524" s="229"/>
      <c r="AR524" s="20"/>
      <c r="AS524" s="229"/>
      <c r="AT524" s="20"/>
      <c r="AU524" s="229"/>
      <c r="AV524" s="20">
        <v>1</v>
      </c>
      <c r="AW524" s="229"/>
      <c r="AX524" s="20"/>
      <c r="AY524" s="229"/>
      <c r="AZ524" s="20"/>
      <c r="BA524" s="229"/>
      <c r="BB524" s="20">
        <v>1</v>
      </c>
      <c r="BC524" s="229">
        <f t="shared" si="169"/>
        <v>2</v>
      </c>
      <c r="BD524" s="48">
        <f t="shared" si="165"/>
        <v>4</v>
      </c>
      <c r="BE524" s="19">
        <v>1</v>
      </c>
      <c r="BF524" s="229">
        <f t="shared" si="170"/>
        <v>2</v>
      </c>
      <c r="BG524" s="210">
        <f t="shared" si="166"/>
        <v>4</v>
      </c>
      <c r="BH524" s="210">
        <f t="shared" si="167"/>
        <v>1</v>
      </c>
      <c r="BI524" s="213">
        <f t="shared" si="163"/>
        <v>400</v>
      </c>
      <c r="BJ524" s="141"/>
      <c r="BK524" s="201"/>
      <c r="BL524" s="198"/>
      <c r="BM524" s="198"/>
    </row>
    <row r="525" spans="1:65" s="17" customFormat="1" ht="15.95" customHeight="1">
      <c r="A525" s="123">
        <v>79</v>
      </c>
      <c r="B525" s="9" t="s">
        <v>294</v>
      </c>
      <c r="C525" s="11" t="s">
        <v>2502</v>
      </c>
      <c r="D525" s="229"/>
      <c r="E525" s="13"/>
      <c r="F525" s="229"/>
      <c r="G525" s="13"/>
      <c r="H525" s="229"/>
      <c r="I525" s="13"/>
      <c r="J525" s="229"/>
      <c r="K525" s="13"/>
      <c r="L525" s="229"/>
      <c r="M525" s="13"/>
      <c r="N525" s="229"/>
      <c r="O525" s="13"/>
      <c r="P525" s="229"/>
      <c r="Q525" s="13"/>
      <c r="R525" s="229"/>
      <c r="S525" s="13"/>
      <c r="T525" s="229"/>
      <c r="U525" s="13"/>
      <c r="V525" s="229"/>
      <c r="W525" s="13"/>
      <c r="X525" s="229"/>
      <c r="Y525" s="13"/>
      <c r="Z525" s="229"/>
      <c r="AA525" s="13"/>
      <c r="AB525" s="229">
        <f t="shared" si="168"/>
        <v>0</v>
      </c>
      <c r="AC525" s="228">
        <f t="shared" si="164"/>
        <v>0</v>
      </c>
      <c r="AD525" s="21">
        <v>0</v>
      </c>
      <c r="AE525" s="229"/>
      <c r="AF525" s="20"/>
      <c r="AG525" s="229"/>
      <c r="AH525" s="20"/>
      <c r="AI525" s="229"/>
      <c r="AJ525" s="20"/>
      <c r="AK525" s="229"/>
      <c r="AL525" s="20"/>
      <c r="AM525" s="229"/>
      <c r="AN525" s="20"/>
      <c r="AO525" s="229"/>
      <c r="AP525" s="20"/>
      <c r="AQ525" s="229"/>
      <c r="AR525" s="20"/>
      <c r="AS525" s="229"/>
      <c r="AT525" s="20"/>
      <c r="AU525" s="229"/>
      <c r="AV525" s="20"/>
      <c r="AW525" s="229"/>
      <c r="AX525" s="20"/>
      <c r="AY525" s="229"/>
      <c r="AZ525" s="20"/>
      <c r="BA525" s="229"/>
      <c r="BB525" s="20"/>
      <c r="BC525" s="229">
        <f t="shared" si="169"/>
        <v>0</v>
      </c>
      <c r="BD525" s="48">
        <f t="shared" si="165"/>
        <v>0</v>
      </c>
      <c r="BE525" s="19">
        <v>1</v>
      </c>
      <c r="BF525" s="229">
        <f t="shared" si="170"/>
        <v>0</v>
      </c>
      <c r="BG525" s="210">
        <f t="shared" si="166"/>
        <v>0</v>
      </c>
      <c r="BH525" s="210">
        <f t="shared" si="167"/>
        <v>1</v>
      </c>
      <c r="BI525" s="213">
        <f t="shared" si="163"/>
        <v>0</v>
      </c>
      <c r="BJ525" s="141"/>
      <c r="BK525" s="201"/>
      <c r="BL525" s="198"/>
      <c r="BM525" s="198"/>
    </row>
    <row r="526" spans="1:65" s="17" customFormat="1" ht="15.95" customHeight="1">
      <c r="A526" s="123">
        <v>80</v>
      </c>
      <c r="B526" s="9" t="s">
        <v>295</v>
      </c>
      <c r="C526" s="11" t="s">
        <v>2501</v>
      </c>
      <c r="D526" s="229"/>
      <c r="E526" s="13"/>
      <c r="F526" s="229"/>
      <c r="G526" s="13"/>
      <c r="H526" s="229"/>
      <c r="I526" s="13"/>
      <c r="J526" s="229"/>
      <c r="K526" s="13"/>
      <c r="L526" s="229"/>
      <c r="M526" s="13"/>
      <c r="N526" s="229"/>
      <c r="O526" s="13"/>
      <c r="P526" s="229"/>
      <c r="Q526" s="13"/>
      <c r="R526" s="229"/>
      <c r="S526" s="13"/>
      <c r="T526" s="229"/>
      <c r="U526" s="13">
        <v>1</v>
      </c>
      <c r="V526" s="229"/>
      <c r="W526" s="13"/>
      <c r="X526" s="229"/>
      <c r="Y526" s="13"/>
      <c r="Z526" s="229"/>
      <c r="AA526" s="13"/>
      <c r="AB526" s="229">
        <f t="shared" si="168"/>
        <v>0</v>
      </c>
      <c r="AC526" s="228">
        <f t="shared" si="164"/>
        <v>1</v>
      </c>
      <c r="AD526" s="19">
        <v>0</v>
      </c>
      <c r="AE526" s="229"/>
      <c r="AF526" s="20"/>
      <c r="AG526" s="229"/>
      <c r="AH526" s="20"/>
      <c r="AI526" s="229">
        <f>1+1+3</f>
        <v>5</v>
      </c>
      <c r="AJ526" s="20">
        <f>1+1+3</f>
        <v>5</v>
      </c>
      <c r="AK526" s="229"/>
      <c r="AL526" s="20"/>
      <c r="AM526" s="229"/>
      <c r="AN526" s="20"/>
      <c r="AO526" s="229">
        <v>1</v>
      </c>
      <c r="AP526" s="20">
        <v>1</v>
      </c>
      <c r="AQ526" s="229"/>
      <c r="AR526" s="20"/>
      <c r="AS526" s="229"/>
      <c r="AT526" s="20"/>
      <c r="AU526" s="229"/>
      <c r="AV526" s="20">
        <f>1+3</f>
        <v>4</v>
      </c>
      <c r="AW526" s="229"/>
      <c r="AX526" s="20"/>
      <c r="AY526" s="229"/>
      <c r="AZ526" s="20"/>
      <c r="BA526" s="229"/>
      <c r="BB526" s="20"/>
      <c r="BC526" s="229">
        <f t="shared" si="169"/>
        <v>6</v>
      </c>
      <c r="BD526" s="48">
        <f t="shared" si="165"/>
        <v>10</v>
      </c>
      <c r="BE526" s="19">
        <v>5</v>
      </c>
      <c r="BF526" s="229">
        <f t="shared" si="170"/>
        <v>6</v>
      </c>
      <c r="BG526" s="210">
        <f t="shared" si="166"/>
        <v>11</v>
      </c>
      <c r="BH526" s="210">
        <f t="shared" si="167"/>
        <v>5</v>
      </c>
      <c r="BI526" s="213">
        <f t="shared" si="163"/>
        <v>220.00000000000003</v>
      </c>
      <c r="BJ526" s="141"/>
      <c r="BK526" s="201"/>
      <c r="BL526" s="198"/>
      <c r="BM526" s="198"/>
    </row>
    <row r="527" spans="1:65" s="17" customFormat="1" ht="15.95" customHeight="1">
      <c r="A527" s="123">
        <v>81</v>
      </c>
      <c r="B527" s="9" t="s">
        <v>296</v>
      </c>
      <c r="C527" s="11" t="s">
        <v>297</v>
      </c>
      <c r="D527" s="229"/>
      <c r="E527" s="13"/>
      <c r="F527" s="229"/>
      <c r="G527" s="13"/>
      <c r="H527" s="229"/>
      <c r="I527" s="13"/>
      <c r="J527" s="229"/>
      <c r="K527" s="13"/>
      <c r="L527" s="229"/>
      <c r="M527" s="13"/>
      <c r="N527" s="229"/>
      <c r="O527" s="13"/>
      <c r="P527" s="229"/>
      <c r="Q527" s="13"/>
      <c r="R527" s="229"/>
      <c r="S527" s="13"/>
      <c r="T527" s="229"/>
      <c r="U527" s="13"/>
      <c r="V527" s="229"/>
      <c r="W527" s="13"/>
      <c r="X527" s="229"/>
      <c r="Y527" s="13"/>
      <c r="Z527" s="229"/>
      <c r="AA527" s="13"/>
      <c r="AB527" s="229">
        <f t="shared" si="168"/>
        <v>0</v>
      </c>
      <c r="AC527" s="228">
        <f t="shared" si="164"/>
        <v>0</v>
      </c>
      <c r="AD527" s="21">
        <v>0</v>
      </c>
      <c r="AE527" s="229"/>
      <c r="AF527" s="20"/>
      <c r="AG527" s="229"/>
      <c r="AH527" s="20"/>
      <c r="AI527" s="229">
        <v>1</v>
      </c>
      <c r="AJ527" s="20">
        <v>1</v>
      </c>
      <c r="AK527" s="229"/>
      <c r="AL527" s="20"/>
      <c r="AM527" s="229"/>
      <c r="AN527" s="20"/>
      <c r="AO527" s="229"/>
      <c r="AP527" s="20"/>
      <c r="AQ527" s="229"/>
      <c r="AR527" s="20"/>
      <c r="AS527" s="229"/>
      <c r="AT527" s="20"/>
      <c r="AU527" s="229"/>
      <c r="AV527" s="20">
        <v>2</v>
      </c>
      <c r="AW527" s="229"/>
      <c r="AX527" s="20"/>
      <c r="AY527" s="229"/>
      <c r="AZ527" s="20"/>
      <c r="BA527" s="229"/>
      <c r="BB527" s="20">
        <f>1+1</f>
        <v>2</v>
      </c>
      <c r="BC527" s="229">
        <f t="shared" si="169"/>
        <v>1</v>
      </c>
      <c r="BD527" s="48">
        <f t="shared" si="165"/>
        <v>5</v>
      </c>
      <c r="BE527" s="19">
        <v>7</v>
      </c>
      <c r="BF527" s="229">
        <f t="shared" si="170"/>
        <v>1</v>
      </c>
      <c r="BG527" s="210">
        <f t="shared" si="166"/>
        <v>5</v>
      </c>
      <c r="BH527" s="210">
        <f t="shared" si="167"/>
        <v>7</v>
      </c>
      <c r="BI527" s="213">
        <f t="shared" si="163"/>
        <v>71.428571428571431</v>
      </c>
      <c r="BJ527" s="141"/>
      <c r="BK527" s="201"/>
      <c r="BL527" s="198"/>
      <c r="BM527" s="198"/>
    </row>
    <row r="528" spans="1:65" s="17" customFormat="1" ht="21.95" customHeight="1">
      <c r="A528" s="123">
        <v>82</v>
      </c>
      <c r="B528" s="9" t="s">
        <v>298</v>
      </c>
      <c r="C528" s="10" t="s">
        <v>299</v>
      </c>
      <c r="D528" s="229"/>
      <c r="E528" s="13"/>
      <c r="F528" s="229"/>
      <c r="G528" s="13"/>
      <c r="H528" s="229"/>
      <c r="I528" s="13"/>
      <c r="J528" s="229"/>
      <c r="K528" s="13"/>
      <c r="L528" s="229"/>
      <c r="M528" s="13"/>
      <c r="N528" s="229"/>
      <c r="O528" s="13"/>
      <c r="P528" s="229"/>
      <c r="Q528" s="13"/>
      <c r="R528" s="229"/>
      <c r="S528" s="13"/>
      <c r="T528" s="229"/>
      <c r="U528" s="13"/>
      <c r="V528" s="229"/>
      <c r="W528" s="13"/>
      <c r="X528" s="229"/>
      <c r="Y528" s="13"/>
      <c r="Z528" s="229"/>
      <c r="AA528" s="13"/>
      <c r="AB528" s="229">
        <f t="shared" si="168"/>
        <v>0</v>
      </c>
      <c r="AC528" s="228">
        <f t="shared" si="164"/>
        <v>0</v>
      </c>
      <c r="AD528" s="21">
        <v>0</v>
      </c>
      <c r="AE528" s="229"/>
      <c r="AF528" s="20"/>
      <c r="AG528" s="229"/>
      <c r="AH528" s="20"/>
      <c r="AI528" s="229">
        <f>1+5</f>
        <v>6</v>
      </c>
      <c r="AJ528" s="20">
        <f>1+5</f>
        <v>6</v>
      </c>
      <c r="AK528" s="229"/>
      <c r="AL528" s="20"/>
      <c r="AM528" s="229"/>
      <c r="AN528" s="20"/>
      <c r="AO528" s="229">
        <v>5</v>
      </c>
      <c r="AP528" s="20">
        <v>5</v>
      </c>
      <c r="AQ528" s="229"/>
      <c r="AR528" s="20"/>
      <c r="AS528" s="229"/>
      <c r="AT528" s="20"/>
      <c r="AU528" s="229"/>
      <c r="AV528" s="20">
        <v>1</v>
      </c>
      <c r="AW528" s="229"/>
      <c r="AX528" s="20"/>
      <c r="AY528" s="229"/>
      <c r="AZ528" s="20"/>
      <c r="BA528" s="229"/>
      <c r="BB528" s="20">
        <v>6</v>
      </c>
      <c r="BC528" s="229">
        <f t="shared" si="169"/>
        <v>11</v>
      </c>
      <c r="BD528" s="48">
        <f t="shared" si="165"/>
        <v>18</v>
      </c>
      <c r="BE528" s="19">
        <v>19</v>
      </c>
      <c r="BF528" s="229">
        <f t="shared" si="170"/>
        <v>11</v>
      </c>
      <c r="BG528" s="210">
        <f t="shared" si="166"/>
        <v>18</v>
      </c>
      <c r="BH528" s="210">
        <f t="shared" si="167"/>
        <v>19</v>
      </c>
      <c r="BI528" s="213">
        <f t="shared" si="163"/>
        <v>94.73684210526315</v>
      </c>
      <c r="BJ528" s="141"/>
      <c r="BK528" s="201"/>
      <c r="BL528" s="198"/>
      <c r="BM528" s="198"/>
    </row>
    <row r="529" spans="1:65" s="17" customFormat="1" ht="15.95" customHeight="1">
      <c r="A529" s="123">
        <v>83</v>
      </c>
      <c r="B529" s="9" t="s">
        <v>519</v>
      </c>
      <c r="C529" s="11" t="s">
        <v>2225</v>
      </c>
      <c r="D529" s="229"/>
      <c r="E529" s="13"/>
      <c r="F529" s="229"/>
      <c r="G529" s="13"/>
      <c r="H529" s="229"/>
      <c r="I529" s="13"/>
      <c r="J529" s="229"/>
      <c r="K529" s="13"/>
      <c r="L529" s="229"/>
      <c r="M529" s="13"/>
      <c r="N529" s="229"/>
      <c r="O529" s="13"/>
      <c r="P529" s="229"/>
      <c r="Q529" s="13"/>
      <c r="R529" s="229"/>
      <c r="S529" s="13"/>
      <c r="T529" s="229"/>
      <c r="U529" s="13"/>
      <c r="V529" s="229"/>
      <c r="W529" s="13"/>
      <c r="X529" s="229"/>
      <c r="Y529" s="13"/>
      <c r="Z529" s="229"/>
      <c r="AA529" s="13"/>
      <c r="AB529" s="229">
        <f t="shared" si="168"/>
        <v>0</v>
      </c>
      <c r="AC529" s="228">
        <f t="shared" si="164"/>
        <v>0</v>
      </c>
      <c r="AD529" s="21">
        <v>0</v>
      </c>
      <c r="AE529" s="229"/>
      <c r="AF529" s="20"/>
      <c r="AG529" s="229"/>
      <c r="AH529" s="20"/>
      <c r="AI529" s="229">
        <v>7</v>
      </c>
      <c r="AJ529" s="20">
        <v>7</v>
      </c>
      <c r="AK529" s="229"/>
      <c r="AL529" s="20"/>
      <c r="AM529" s="229"/>
      <c r="AN529" s="20"/>
      <c r="AO529" s="229">
        <f>5+1</f>
        <v>6</v>
      </c>
      <c r="AP529" s="20">
        <f>6+1</f>
        <v>7</v>
      </c>
      <c r="AQ529" s="229"/>
      <c r="AR529" s="20"/>
      <c r="AS529" s="229"/>
      <c r="AT529" s="20"/>
      <c r="AU529" s="229"/>
      <c r="AV529" s="20">
        <v>4</v>
      </c>
      <c r="AW529" s="229"/>
      <c r="AX529" s="20"/>
      <c r="AY529" s="229"/>
      <c r="AZ529" s="20"/>
      <c r="BA529" s="229"/>
      <c r="BB529" s="20">
        <v>3</v>
      </c>
      <c r="BC529" s="229">
        <f t="shared" si="169"/>
        <v>13</v>
      </c>
      <c r="BD529" s="48">
        <f t="shared" si="165"/>
        <v>21</v>
      </c>
      <c r="BE529" s="19">
        <v>16</v>
      </c>
      <c r="BF529" s="229">
        <f t="shared" si="170"/>
        <v>13</v>
      </c>
      <c r="BG529" s="210">
        <f t="shared" si="166"/>
        <v>21</v>
      </c>
      <c r="BH529" s="210">
        <f t="shared" si="167"/>
        <v>16</v>
      </c>
      <c r="BI529" s="213">
        <f t="shared" si="163"/>
        <v>131.25</v>
      </c>
      <c r="BJ529" s="141"/>
      <c r="BK529" s="201"/>
      <c r="BL529" s="198"/>
      <c r="BM529" s="198"/>
    </row>
    <row r="530" spans="1:65" s="17" customFormat="1" ht="15.95" customHeight="1">
      <c r="A530" s="123">
        <v>84</v>
      </c>
      <c r="B530" s="9" t="s">
        <v>300</v>
      </c>
      <c r="C530" s="11" t="s">
        <v>2499</v>
      </c>
      <c r="D530" s="229"/>
      <c r="E530" s="13"/>
      <c r="F530" s="229"/>
      <c r="G530" s="13"/>
      <c r="H530" s="229"/>
      <c r="I530" s="13"/>
      <c r="J530" s="229"/>
      <c r="K530" s="13"/>
      <c r="L530" s="229"/>
      <c r="M530" s="13"/>
      <c r="N530" s="229"/>
      <c r="O530" s="13"/>
      <c r="P530" s="229"/>
      <c r="Q530" s="13"/>
      <c r="R530" s="229"/>
      <c r="S530" s="13"/>
      <c r="T530" s="229"/>
      <c r="U530" s="13"/>
      <c r="V530" s="229"/>
      <c r="W530" s="13"/>
      <c r="X530" s="229"/>
      <c r="Y530" s="13"/>
      <c r="Z530" s="229"/>
      <c r="AA530" s="13"/>
      <c r="AB530" s="229">
        <f t="shared" si="168"/>
        <v>0</v>
      </c>
      <c r="AC530" s="228">
        <f t="shared" si="164"/>
        <v>0</v>
      </c>
      <c r="AD530" s="21">
        <v>0</v>
      </c>
      <c r="AE530" s="229"/>
      <c r="AF530" s="20"/>
      <c r="AG530" s="229"/>
      <c r="AH530" s="20"/>
      <c r="AI530" s="229">
        <f>1+3</f>
        <v>4</v>
      </c>
      <c r="AJ530" s="20">
        <f>1+3</f>
        <v>4</v>
      </c>
      <c r="AK530" s="229"/>
      <c r="AL530" s="20"/>
      <c r="AM530" s="229"/>
      <c r="AN530" s="20"/>
      <c r="AO530" s="229">
        <v>8</v>
      </c>
      <c r="AP530" s="20">
        <v>8</v>
      </c>
      <c r="AQ530" s="229"/>
      <c r="AR530" s="20"/>
      <c r="AS530" s="229"/>
      <c r="AT530" s="20"/>
      <c r="AU530" s="229"/>
      <c r="AV530" s="20">
        <f>1+10</f>
        <v>11</v>
      </c>
      <c r="AW530" s="229"/>
      <c r="AX530" s="20"/>
      <c r="AY530" s="229"/>
      <c r="AZ530" s="20"/>
      <c r="BA530" s="229"/>
      <c r="BB530" s="20">
        <v>12</v>
      </c>
      <c r="BC530" s="229">
        <f t="shared" si="169"/>
        <v>12</v>
      </c>
      <c r="BD530" s="48">
        <f t="shared" si="165"/>
        <v>35</v>
      </c>
      <c r="BE530" s="19">
        <v>30</v>
      </c>
      <c r="BF530" s="229">
        <f t="shared" si="170"/>
        <v>12</v>
      </c>
      <c r="BG530" s="210">
        <f t="shared" si="166"/>
        <v>35</v>
      </c>
      <c r="BH530" s="210">
        <f t="shared" si="167"/>
        <v>30</v>
      </c>
      <c r="BI530" s="213">
        <f t="shared" si="163"/>
        <v>116.66666666666667</v>
      </c>
      <c r="BJ530" s="141"/>
      <c r="BK530" s="201"/>
      <c r="BL530" s="198"/>
      <c r="BM530" s="198"/>
    </row>
    <row r="531" spans="1:65" s="17" customFormat="1" ht="15.95" customHeight="1">
      <c r="A531" s="123">
        <v>85</v>
      </c>
      <c r="B531" s="9" t="s">
        <v>301</v>
      </c>
      <c r="C531" s="11" t="s">
        <v>2498</v>
      </c>
      <c r="D531" s="229"/>
      <c r="E531" s="13"/>
      <c r="F531" s="229"/>
      <c r="G531" s="13"/>
      <c r="H531" s="229"/>
      <c r="I531" s="13"/>
      <c r="J531" s="229"/>
      <c r="K531" s="13"/>
      <c r="L531" s="229"/>
      <c r="M531" s="13"/>
      <c r="N531" s="229"/>
      <c r="O531" s="13"/>
      <c r="P531" s="229"/>
      <c r="Q531" s="13"/>
      <c r="R531" s="229"/>
      <c r="S531" s="13"/>
      <c r="T531" s="229"/>
      <c r="U531" s="13"/>
      <c r="V531" s="229"/>
      <c r="W531" s="13"/>
      <c r="X531" s="229"/>
      <c r="Y531" s="13"/>
      <c r="Z531" s="229"/>
      <c r="AA531" s="13"/>
      <c r="AB531" s="229">
        <f t="shared" si="168"/>
        <v>0</v>
      </c>
      <c r="AC531" s="228">
        <f t="shared" si="164"/>
        <v>0</v>
      </c>
      <c r="AD531" s="19">
        <v>0</v>
      </c>
      <c r="AE531" s="229"/>
      <c r="AF531" s="20"/>
      <c r="AG531" s="229"/>
      <c r="AH531" s="20"/>
      <c r="AI531" s="229">
        <v>11</v>
      </c>
      <c r="AJ531" s="20">
        <v>12</v>
      </c>
      <c r="AK531" s="229"/>
      <c r="AL531" s="20"/>
      <c r="AM531" s="229"/>
      <c r="AN531" s="20"/>
      <c r="AO531" s="229">
        <f>1+12</f>
        <v>13</v>
      </c>
      <c r="AP531" s="20">
        <f>1+12</f>
        <v>13</v>
      </c>
      <c r="AQ531" s="229"/>
      <c r="AR531" s="20"/>
      <c r="AS531" s="229"/>
      <c r="AT531" s="20"/>
      <c r="AU531" s="229"/>
      <c r="AV531" s="20">
        <v>8</v>
      </c>
      <c r="AW531" s="229"/>
      <c r="AX531" s="20"/>
      <c r="AY531" s="229"/>
      <c r="AZ531" s="20"/>
      <c r="BA531" s="229"/>
      <c r="BB531" s="20">
        <f>1+14</f>
        <v>15</v>
      </c>
      <c r="BC531" s="229">
        <f t="shared" si="169"/>
        <v>24</v>
      </c>
      <c r="BD531" s="48">
        <f t="shared" si="165"/>
        <v>48</v>
      </c>
      <c r="BE531" s="19">
        <f>3+44</f>
        <v>47</v>
      </c>
      <c r="BF531" s="229">
        <f t="shared" si="170"/>
        <v>24</v>
      </c>
      <c r="BG531" s="210">
        <f t="shared" si="166"/>
        <v>48</v>
      </c>
      <c r="BH531" s="210">
        <f t="shared" si="167"/>
        <v>47</v>
      </c>
      <c r="BI531" s="213">
        <f t="shared" si="163"/>
        <v>102.12765957446808</v>
      </c>
      <c r="BJ531" s="141"/>
      <c r="BK531" s="201"/>
      <c r="BL531" s="198"/>
      <c r="BM531" s="198"/>
    </row>
    <row r="532" spans="1:65" s="17" customFormat="1" ht="15.95" customHeight="1">
      <c r="A532" s="123">
        <v>86</v>
      </c>
      <c r="B532" s="9" t="s">
        <v>1040</v>
      </c>
      <c r="C532" s="11" t="s">
        <v>2497</v>
      </c>
      <c r="D532" s="229"/>
      <c r="E532" s="13"/>
      <c r="F532" s="229"/>
      <c r="G532" s="13"/>
      <c r="H532" s="229"/>
      <c r="I532" s="13"/>
      <c r="J532" s="229"/>
      <c r="K532" s="13"/>
      <c r="L532" s="229"/>
      <c r="M532" s="13"/>
      <c r="N532" s="229"/>
      <c r="O532" s="13"/>
      <c r="P532" s="229"/>
      <c r="Q532" s="13"/>
      <c r="R532" s="229"/>
      <c r="S532" s="13"/>
      <c r="T532" s="229"/>
      <c r="U532" s="13"/>
      <c r="V532" s="229"/>
      <c r="W532" s="13"/>
      <c r="X532" s="229"/>
      <c r="Y532" s="13"/>
      <c r="Z532" s="229"/>
      <c r="AA532" s="13"/>
      <c r="AB532" s="229">
        <f t="shared" si="168"/>
        <v>0</v>
      </c>
      <c r="AC532" s="228">
        <f t="shared" si="164"/>
        <v>0</v>
      </c>
      <c r="AD532" s="19">
        <v>0</v>
      </c>
      <c r="AE532" s="229"/>
      <c r="AF532" s="20"/>
      <c r="AG532" s="229"/>
      <c r="AH532" s="20"/>
      <c r="AI532" s="229">
        <v>2</v>
      </c>
      <c r="AJ532" s="20">
        <v>2</v>
      </c>
      <c r="AK532" s="229"/>
      <c r="AL532" s="20"/>
      <c r="AM532" s="229"/>
      <c r="AN532" s="20"/>
      <c r="AO532" s="229">
        <v>4</v>
      </c>
      <c r="AP532" s="20">
        <v>4</v>
      </c>
      <c r="AQ532" s="229"/>
      <c r="AR532" s="20"/>
      <c r="AS532" s="229"/>
      <c r="AT532" s="20"/>
      <c r="AU532" s="229"/>
      <c r="AV532" s="20">
        <v>4</v>
      </c>
      <c r="AW532" s="229"/>
      <c r="AX532" s="20"/>
      <c r="AY532" s="229"/>
      <c r="AZ532" s="20"/>
      <c r="BA532" s="229"/>
      <c r="BB532" s="20">
        <v>1</v>
      </c>
      <c r="BC532" s="229">
        <f t="shared" si="169"/>
        <v>6</v>
      </c>
      <c r="BD532" s="48">
        <f t="shared" si="165"/>
        <v>11</v>
      </c>
      <c r="BE532" s="19">
        <f>1+18</f>
        <v>19</v>
      </c>
      <c r="BF532" s="229">
        <f t="shared" si="170"/>
        <v>6</v>
      </c>
      <c r="BG532" s="210">
        <f t="shared" si="166"/>
        <v>11</v>
      </c>
      <c r="BH532" s="210">
        <f t="shared" si="167"/>
        <v>19</v>
      </c>
      <c r="BI532" s="213">
        <f t="shared" si="163"/>
        <v>57.894736842105267</v>
      </c>
      <c r="BJ532" s="141"/>
      <c r="BK532" s="201"/>
      <c r="BL532" s="198"/>
      <c r="BM532" s="198"/>
    </row>
    <row r="533" spans="1:65" s="17" customFormat="1" ht="15.95" customHeight="1">
      <c r="A533" s="123">
        <v>87</v>
      </c>
      <c r="B533" s="9" t="s">
        <v>302</v>
      </c>
      <c r="C533" s="11" t="s">
        <v>303</v>
      </c>
      <c r="D533" s="229"/>
      <c r="E533" s="13"/>
      <c r="F533" s="229"/>
      <c r="G533" s="13"/>
      <c r="H533" s="229"/>
      <c r="I533" s="13"/>
      <c r="J533" s="229"/>
      <c r="K533" s="13"/>
      <c r="L533" s="229"/>
      <c r="M533" s="13"/>
      <c r="N533" s="229"/>
      <c r="O533" s="13"/>
      <c r="P533" s="229"/>
      <c r="Q533" s="13"/>
      <c r="R533" s="229"/>
      <c r="S533" s="13"/>
      <c r="T533" s="229"/>
      <c r="U533" s="13"/>
      <c r="V533" s="229"/>
      <c r="W533" s="13"/>
      <c r="X533" s="229"/>
      <c r="Y533" s="13"/>
      <c r="Z533" s="229"/>
      <c r="AA533" s="13"/>
      <c r="AB533" s="229">
        <f t="shared" si="168"/>
        <v>0</v>
      </c>
      <c r="AC533" s="228">
        <f t="shared" si="164"/>
        <v>0</v>
      </c>
      <c r="AD533" s="21">
        <v>0</v>
      </c>
      <c r="AE533" s="229"/>
      <c r="AF533" s="20"/>
      <c r="AG533" s="229"/>
      <c r="AH533" s="20"/>
      <c r="AI533" s="229">
        <v>3</v>
      </c>
      <c r="AJ533" s="20">
        <v>3</v>
      </c>
      <c r="AK533" s="229"/>
      <c r="AL533" s="20"/>
      <c r="AM533" s="229"/>
      <c r="AN533" s="20"/>
      <c r="AO533" s="229">
        <f>1+9</f>
        <v>10</v>
      </c>
      <c r="AP533" s="20">
        <f>1+10</f>
        <v>11</v>
      </c>
      <c r="AQ533" s="229"/>
      <c r="AR533" s="20"/>
      <c r="AS533" s="229"/>
      <c r="AT533" s="20"/>
      <c r="AU533" s="229"/>
      <c r="AV533" s="20">
        <v>3</v>
      </c>
      <c r="AW533" s="229"/>
      <c r="AX533" s="20"/>
      <c r="AY533" s="229"/>
      <c r="AZ533" s="20"/>
      <c r="BA533" s="229"/>
      <c r="BB533" s="20">
        <f>2+7</f>
        <v>9</v>
      </c>
      <c r="BC533" s="229">
        <f t="shared" si="169"/>
        <v>13</v>
      </c>
      <c r="BD533" s="48">
        <f t="shared" si="165"/>
        <v>26</v>
      </c>
      <c r="BE533" s="19">
        <v>25</v>
      </c>
      <c r="BF533" s="229">
        <f t="shared" si="170"/>
        <v>13</v>
      </c>
      <c r="BG533" s="210">
        <f t="shared" si="166"/>
        <v>26</v>
      </c>
      <c r="BH533" s="210">
        <f t="shared" si="167"/>
        <v>25</v>
      </c>
      <c r="BI533" s="213">
        <f t="shared" si="163"/>
        <v>104</v>
      </c>
      <c r="BJ533" s="141"/>
      <c r="BK533" s="201"/>
      <c r="BL533" s="198"/>
      <c r="BM533" s="198"/>
    </row>
    <row r="534" spans="1:65" s="17" customFormat="1" ht="15.95" customHeight="1">
      <c r="A534" s="123">
        <v>88</v>
      </c>
      <c r="B534" s="9" t="s">
        <v>2323</v>
      </c>
      <c r="C534" s="11" t="s">
        <v>2496</v>
      </c>
      <c r="D534" s="229"/>
      <c r="E534" s="13"/>
      <c r="F534" s="229"/>
      <c r="G534" s="13"/>
      <c r="H534" s="229"/>
      <c r="I534" s="13"/>
      <c r="J534" s="229"/>
      <c r="K534" s="13"/>
      <c r="L534" s="229"/>
      <c r="M534" s="13"/>
      <c r="N534" s="229"/>
      <c r="O534" s="13"/>
      <c r="P534" s="229"/>
      <c r="Q534" s="13"/>
      <c r="R534" s="229"/>
      <c r="S534" s="13"/>
      <c r="T534" s="229"/>
      <c r="U534" s="13"/>
      <c r="V534" s="229"/>
      <c r="W534" s="13"/>
      <c r="X534" s="229"/>
      <c r="Y534" s="13"/>
      <c r="Z534" s="229"/>
      <c r="AA534" s="13"/>
      <c r="AB534" s="229">
        <f t="shared" si="168"/>
        <v>0</v>
      </c>
      <c r="AC534" s="228">
        <f t="shared" si="164"/>
        <v>0</v>
      </c>
      <c r="AD534" s="19">
        <v>0</v>
      </c>
      <c r="AE534" s="229"/>
      <c r="AF534" s="20"/>
      <c r="AG534" s="229"/>
      <c r="AH534" s="20"/>
      <c r="AI534" s="229"/>
      <c r="AJ534" s="20"/>
      <c r="AK534" s="229"/>
      <c r="AL534" s="20"/>
      <c r="AM534" s="229"/>
      <c r="AN534" s="20"/>
      <c r="AO534" s="229"/>
      <c r="AP534" s="20"/>
      <c r="AQ534" s="229"/>
      <c r="AR534" s="20"/>
      <c r="AS534" s="229"/>
      <c r="AT534" s="20"/>
      <c r="AU534" s="229"/>
      <c r="AV534" s="20"/>
      <c r="AW534" s="229"/>
      <c r="AX534" s="20"/>
      <c r="AY534" s="229"/>
      <c r="AZ534" s="20"/>
      <c r="BA534" s="229"/>
      <c r="BB534" s="20"/>
      <c r="BC534" s="229">
        <f t="shared" si="169"/>
        <v>0</v>
      </c>
      <c r="BD534" s="48">
        <f t="shared" si="165"/>
        <v>0</v>
      </c>
      <c r="BE534" s="19">
        <v>4</v>
      </c>
      <c r="BF534" s="229">
        <f t="shared" si="170"/>
        <v>0</v>
      </c>
      <c r="BG534" s="210">
        <f t="shared" si="166"/>
        <v>0</v>
      </c>
      <c r="BH534" s="210">
        <f t="shared" si="167"/>
        <v>4</v>
      </c>
      <c r="BI534" s="213">
        <f t="shared" si="163"/>
        <v>0</v>
      </c>
      <c r="BJ534" s="141"/>
      <c r="BK534" s="201"/>
      <c r="BL534" s="198"/>
      <c r="BM534" s="198"/>
    </row>
    <row r="535" spans="1:65" s="17" customFormat="1" ht="15.95" customHeight="1">
      <c r="A535" s="123">
        <v>89</v>
      </c>
      <c r="B535" s="9" t="s">
        <v>1619</v>
      </c>
      <c r="C535" s="11" t="s">
        <v>1620</v>
      </c>
      <c r="D535" s="229"/>
      <c r="E535" s="13"/>
      <c r="F535" s="229"/>
      <c r="G535" s="13"/>
      <c r="H535" s="229"/>
      <c r="I535" s="13"/>
      <c r="J535" s="229"/>
      <c r="K535" s="13"/>
      <c r="L535" s="229"/>
      <c r="M535" s="13"/>
      <c r="N535" s="229"/>
      <c r="O535" s="13"/>
      <c r="P535" s="229"/>
      <c r="Q535" s="13"/>
      <c r="R535" s="229"/>
      <c r="S535" s="13"/>
      <c r="T535" s="229"/>
      <c r="U535" s="13"/>
      <c r="V535" s="229"/>
      <c r="W535" s="13"/>
      <c r="X535" s="229"/>
      <c r="Y535" s="13"/>
      <c r="Z535" s="229"/>
      <c r="AA535" s="13"/>
      <c r="AB535" s="229">
        <f t="shared" si="168"/>
        <v>0</v>
      </c>
      <c r="AC535" s="228">
        <f t="shared" si="164"/>
        <v>0</v>
      </c>
      <c r="AD535" s="21">
        <v>0</v>
      </c>
      <c r="AE535" s="229"/>
      <c r="AF535" s="20"/>
      <c r="AG535" s="229"/>
      <c r="AH535" s="20"/>
      <c r="AI535" s="229"/>
      <c r="AJ535" s="20"/>
      <c r="AK535" s="229"/>
      <c r="AL535" s="20"/>
      <c r="AM535" s="229"/>
      <c r="AN535" s="20"/>
      <c r="AO535" s="229"/>
      <c r="AP535" s="20"/>
      <c r="AQ535" s="229"/>
      <c r="AR535" s="20"/>
      <c r="AS535" s="229"/>
      <c r="AT535" s="20"/>
      <c r="AU535" s="229"/>
      <c r="AV535" s="20"/>
      <c r="AW535" s="229"/>
      <c r="AX535" s="20"/>
      <c r="AY535" s="229"/>
      <c r="AZ535" s="20"/>
      <c r="BA535" s="229"/>
      <c r="BB535" s="20"/>
      <c r="BC535" s="229">
        <f t="shared" si="169"/>
        <v>0</v>
      </c>
      <c r="BD535" s="48">
        <f t="shared" si="165"/>
        <v>0</v>
      </c>
      <c r="BE535" s="19">
        <v>1</v>
      </c>
      <c r="BF535" s="229">
        <f t="shared" si="170"/>
        <v>0</v>
      </c>
      <c r="BG535" s="210">
        <f t="shared" si="166"/>
        <v>0</v>
      </c>
      <c r="BH535" s="210">
        <f t="shared" si="167"/>
        <v>1</v>
      </c>
      <c r="BI535" s="213">
        <f t="shared" si="163"/>
        <v>0</v>
      </c>
      <c r="BJ535" s="141"/>
      <c r="BK535" s="201"/>
      <c r="BL535" s="198"/>
      <c r="BM535" s="198"/>
    </row>
    <row r="536" spans="1:65" s="17" customFormat="1" ht="15.95" customHeight="1">
      <c r="A536" s="123">
        <v>90</v>
      </c>
      <c r="B536" s="9" t="s">
        <v>304</v>
      </c>
      <c r="C536" s="11" t="s">
        <v>2494</v>
      </c>
      <c r="D536" s="229"/>
      <c r="E536" s="13"/>
      <c r="F536" s="229"/>
      <c r="G536" s="13"/>
      <c r="H536" s="229"/>
      <c r="I536" s="13"/>
      <c r="J536" s="229"/>
      <c r="K536" s="13"/>
      <c r="L536" s="229"/>
      <c r="M536" s="13"/>
      <c r="N536" s="229"/>
      <c r="O536" s="13"/>
      <c r="P536" s="229"/>
      <c r="Q536" s="13"/>
      <c r="R536" s="229"/>
      <c r="S536" s="13"/>
      <c r="T536" s="229"/>
      <c r="U536" s="13"/>
      <c r="V536" s="229"/>
      <c r="W536" s="13"/>
      <c r="X536" s="229"/>
      <c r="Y536" s="13"/>
      <c r="Z536" s="229"/>
      <c r="AA536" s="13"/>
      <c r="AB536" s="229">
        <f t="shared" si="168"/>
        <v>0</v>
      </c>
      <c r="AC536" s="228">
        <f t="shared" si="164"/>
        <v>0</v>
      </c>
      <c r="AD536" s="21">
        <v>0</v>
      </c>
      <c r="AE536" s="229"/>
      <c r="AF536" s="20"/>
      <c r="AG536" s="229"/>
      <c r="AH536" s="20"/>
      <c r="AI536" s="229">
        <v>3</v>
      </c>
      <c r="AJ536" s="20">
        <v>4</v>
      </c>
      <c r="AK536" s="229"/>
      <c r="AL536" s="20"/>
      <c r="AM536" s="229"/>
      <c r="AN536" s="20"/>
      <c r="AO536" s="229">
        <v>3</v>
      </c>
      <c r="AP536" s="20">
        <v>3</v>
      </c>
      <c r="AQ536" s="229"/>
      <c r="AR536" s="20"/>
      <c r="AS536" s="229"/>
      <c r="AT536" s="20"/>
      <c r="AU536" s="229"/>
      <c r="AV536" s="20">
        <v>6</v>
      </c>
      <c r="AW536" s="229"/>
      <c r="AX536" s="20"/>
      <c r="AY536" s="229"/>
      <c r="AZ536" s="20"/>
      <c r="BA536" s="229"/>
      <c r="BB536" s="20">
        <v>5</v>
      </c>
      <c r="BC536" s="229">
        <f t="shared" si="169"/>
        <v>6</v>
      </c>
      <c r="BD536" s="48">
        <f t="shared" si="165"/>
        <v>18</v>
      </c>
      <c r="BE536" s="19">
        <v>20</v>
      </c>
      <c r="BF536" s="229">
        <f t="shared" si="170"/>
        <v>6</v>
      </c>
      <c r="BG536" s="210">
        <f t="shared" si="166"/>
        <v>18</v>
      </c>
      <c r="BH536" s="210">
        <f t="shared" si="167"/>
        <v>20</v>
      </c>
      <c r="BI536" s="213">
        <f t="shared" si="163"/>
        <v>90</v>
      </c>
      <c r="BJ536" s="141"/>
      <c r="BK536" s="201"/>
      <c r="BL536" s="198"/>
      <c r="BM536" s="198"/>
    </row>
    <row r="537" spans="1:65" s="17" customFormat="1" ht="21.95" customHeight="1">
      <c r="A537" s="123">
        <v>91</v>
      </c>
      <c r="B537" s="9" t="s">
        <v>239</v>
      </c>
      <c r="C537" s="10" t="s">
        <v>240</v>
      </c>
      <c r="D537" s="229"/>
      <c r="E537" s="13"/>
      <c r="F537" s="229"/>
      <c r="G537" s="13"/>
      <c r="H537" s="229"/>
      <c r="I537" s="13"/>
      <c r="J537" s="229"/>
      <c r="K537" s="13"/>
      <c r="L537" s="229"/>
      <c r="M537" s="13"/>
      <c r="N537" s="229"/>
      <c r="O537" s="13"/>
      <c r="P537" s="229"/>
      <c r="Q537" s="13"/>
      <c r="R537" s="229"/>
      <c r="S537" s="13"/>
      <c r="T537" s="229"/>
      <c r="U537" s="13"/>
      <c r="V537" s="229"/>
      <c r="W537" s="13"/>
      <c r="X537" s="229"/>
      <c r="Y537" s="13"/>
      <c r="Z537" s="229"/>
      <c r="AA537" s="13"/>
      <c r="AB537" s="229">
        <f t="shared" si="168"/>
        <v>0</v>
      </c>
      <c r="AC537" s="228">
        <f t="shared" si="164"/>
        <v>0</v>
      </c>
      <c r="AD537" s="21">
        <v>0</v>
      </c>
      <c r="AE537" s="229"/>
      <c r="AF537" s="20"/>
      <c r="AG537" s="229"/>
      <c r="AH537" s="20"/>
      <c r="AI537" s="229">
        <v>1</v>
      </c>
      <c r="AJ537" s="20">
        <v>1</v>
      </c>
      <c r="AK537" s="229"/>
      <c r="AL537" s="20"/>
      <c r="AM537" s="229"/>
      <c r="AN537" s="20"/>
      <c r="AO537" s="229"/>
      <c r="AP537" s="20"/>
      <c r="AQ537" s="229"/>
      <c r="AR537" s="20"/>
      <c r="AS537" s="229"/>
      <c r="AT537" s="20"/>
      <c r="AU537" s="229"/>
      <c r="AV537" s="20"/>
      <c r="AW537" s="229"/>
      <c r="AX537" s="20"/>
      <c r="AY537" s="229"/>
      <c r="AZ537" s="20"/>
      <c r="BA537" s="229"/>
      <c r="BB537" s="20"/>
      <c r="BC537" s="229">
        <f t="shared" si="169"/>
        <v>1</v>
      </c>
      <c r="BD537" s="48">
        <f t="shared" si="165"/>
        <v>1</v>
      </c>
      <c r="BE537" s="19">
        <v>1</v>
      </c>
      <c r="BF537" s="229">
        <f t="shared" si="170"/>
        <v>1</v>
      </c>
      <c r="BG537" s="210">
        <f t="shared" si="166"/>
        <v>1</v>
      </c>
      <c r="BH537" s="210">
        <f t="shared" si="167"/>
        <v>1</v>
      </c>
      <c r="BI537" s="213">
        <f t="shared" si="163"/>
        <v>100</v>
      </c>
      <c r="BJ537" s="141"/>
      <c r="BK537" s="201"/>
      <c r="BL537" s="198"/>
      <c r="BM537" s="198"/>
    </row>
    <row r="538" spans="1:65" s="17" customFormat="1" ht="15.95" customHeight="1">
      <c r="A538" s="123">
        <v>92</v>
      </c>
      <c r="B538" s="9" t="s">
        <v>84</v>
      </c>
      <c r="C538" s="11" t="s">
        <v>2493</v>
      </c>
      <c r="D538" s="229"/>
      <c r="E538" s="13"/>
      <c r="F538" s="229"/>
      <c r="G538" s="13"/>
      <c r="H538" s="229"/>
      <c r="I538" s="13"/>
      <c r="J538" s="229"/>
      <c r="K538" s="13"/>
      <c r="L538" s="229"/>
      <c r="M538" s="13"/>
      <c r="N538" s="229"/>
      <c r="O538" s="13"/>
      <c r="P538" s="229"/>
      <c r="Q538" s="13"/>
      <c r="R538" s="229"/>
      <c r="S538" s="13"/>
      <c r="T538" s="229"/>
      <c r="U538" s="13"/>
      <c r="V538" s="229"/>
      <c r="W538" s="13"/>
      <c r="X538" s="229"/>
      <c r="Y538" s="13"/>
      <c r="Z538" s="229"/>
      <c r="AA538" s="13"/>
      <c r="AB538" s="229">
        <f t="shared" si="168"/>
        <v>0</v>
      </c>
      <c r="AC538" s="228">
        <f t="shared" si="164"/>
        <v>0</v>
      </c>
      <c r="AD538" s="21">
        <v>0</v>
      </c>
      <c r="AE538" s="229"/>
      <c r="AF538" s="20"/>
      <c r="AG538" s="229"/>
      <c r="AH538" s="20"/>
      <c r="AI538" s="229"/>
      <c r="AJ538" s="20"/>
      <c r="AK538" s="229"/>
      <c r="AL538" s="20"/>
      <c r="AM538" s="229"/>
      <c r="AN538" s="20"/>
      <c r="AO538" s="229">
        <v>1</v>
      </c>
      <c r="AP538" s="20">
        <v>1</v>
      </c>
      <c r="AQ538" s="229"/>
      <c r="AR538" s="20"/>
      <c r="AS538" s="229"/>
      <c r="AT538" s="20"/>
      <c r="AU538" s="229"/>
      <c r="AV538" s="20"/>
      <c r="AW538" s="229"/>
      <c r="AX538" s="20"/>
      <c r="AY538" s="229"/>
      <c r="AZ538" s="20"/>
      <c r="BA538" s="229"/>
      <c r="BB538" s="20"/>
      <c r="BC538" s="229">
        <f t="shared" si="169"/>
        <v>1</v>
      </c>
      <c r="BD538" s="48">
        <f t="shared" si="165"/>
        <v>1</v>
      </c>
      <c r="BE538" s="19">
        <v>0</v>
      </c>
      <c r="BF538" s="229"/>
      <c r="BG538" s="210">
        <f t="shared" si="166"/>
        <v>1</v>
      </c>
      <c r="BH538" s="210">
        <f t="shared" si="167"/>
        <v>0</v>
      </c>
      <c r="BI538" s="213" t="e">
        <f t="shared" si="163"/>
        <v>#DIV/0!</v>
      </c>
      <c r="BJ538" s="141"/>
      <c r="BK538" s="201"/>
      <c r="BL538" s="198"/>
      <c r="BM538" s="198"/>
    </row>
    <row r="539" spans="1:65" s="17" customFormat="1" ht="15.95" customHeight="1">
      <c r="A539" s="123">
        <v>93</v>
      </c>
      <c r="B539" s="9" t="s">
        <v>241</v>
      </c>
      <c r="C539" s="11" t="s">
        <v>242</v>
      </c>
      <c r="D539" s="229"/>
      <c r="E539" s="13"/>
      <c r="F539" s="229"/>
      <c r="G539" s="13"/>
      <c r="H539" s="229"/>
      <c r="I539" s="13"/>
      <c r="J539" s="229"/>
      <c r="K539" s="13"/>
      <c r="L539" s="229"/>
      <c r="M539" s="13"/>
      <c r="N539" s="229"/>
      <c r="O539" s="13"/>
      <c r="P539" s="229"/>
      <c r="Q539" s="13"/>
      <c r="R539" s="229"/>
      <c r="S539" s="13"/>
      <c r="T539" s="229"/>
      <c r="U539" s="13"/>
      <c r="V539" s="229"/>
      <c r="W539" s="13"/>
      <c r="X539" s="229"/>
      <c r="Y539" s="13"/>
      <c r="Z539" s="229"/>
      <c r="AA539" s="13"/>
      <c r="AB539" s="229">
        <f t="shared" si="168"/>
        <v>0</v>
      </c>
      <c r="AC539" s="228">
        <f t="shared" si="164"/>
        <v>0</v>
      </c>
      <c r="AD539" s="21">
        <v>0</v>
      </c>
      <c r="AE539" s="229"/>
      <c r="AF539" s="20"/>
      <c r="AG539" s="229"/>
      <c r="AH539" s="20"/>
      <c r="AI539" s="229">
        <v>1</v>
      </c>
      <c r="AJ539" s="20">
        <v>1</v>
      </c>
      <c r="AK539" s="229"/>
      <c r="AL539" s="20"/>
      <c r="AM539" s="229"/>
      <c r="AN539" s="20"/>
      <c r="AO539" s="229">
        <v>1</v>
      </c>
      <c r="AP539" s="20">
        <v>1</v>
      </c>
      <c r="AQ539" s="229"/>
      <c r="AR539" s="20"/>
      <c r="AS539" s="229"/>
      <c r="AT539" s="20"/>
      <c r="AU539" s="229"/>
      <c r="AV539" s="20"/>
      <c r="AW539" s="229"/>
      <c r="AX539" s="20"/>
      <c r="AY539" s="229"/>
      <c r="AZ539" s="20"/>
      <c r="BA539" s="229"/>
      <c r="BB539" s="20"/>
      <c r="BC539" s="229">
        <f t="shared" si="169"/>
        <v>2</v>
      </c>
      <c r="BD539" s="48">
        <f t="shared" si="165"/>
        <v>2</v>
      </c>
      <c r="BE539" s="19">
        <v>1</v>
      </c>
      <c r="BF539" s="229">
        <f t="shared" ref="BF539:BF553" si="171">AB539+BC539</f>
        <v>2</v>
      </c>
      <c r="BG539" s="210">
        <f t="shared" si="166"/>
        <v>2</v>
      </c>
      <c r="BH539" s="210">
        <f t="shared" si="167"/>
        <v>1</v>
      </c>
      <c r="BI539" s="213">
        <f t="shared" si="163"/>
        <v>200</v>
      </c>
      <c r="BJ539" s="141"/>
      <c r="BK539" s="201"/>
      <c r="BL539" s="198"/>
      <c r="BM539" s="198"/>
    </row>
    <row r="540" spans="1:65" s="17" customFormat="1" ht="15.95" customHeight="1">
      <c r="A540" s="123">
        <v>94</v>
      </c>
      <c r="B540" s="9" t="s">
        <v>1851</v>
      </c>
      <c r="C540" s="11" t="s">
        <v>1852</v>
      </c>
      <c r="D540" s="229"/>
      <c r="E540" s="13"/>
      <c r="F540" s="229"/>
      <c r="G540" s="13"/>
      <c r="H540" s="229"/>
      <c r="I540" s="13"/>
      <c r="J540" s="229"/>
      <c r="K540" s="13"/>
      <c r="L540" s="229"/>
      <c r="M540" s="13"/>
      <c r="N540" s="229"/>
      <c r="O540" s="13"/>
      <c r="P540" s="229"/>
      <c r="Q540" s="13"/>
      <c r="R540" s="229"/>
      <c r="S540" s="13"/>
      <c r="T540" s="229"/>
      <c r="U540" s="13"/>
      <c r="V540" s="229"/>
      <c r="W540" s="13"/>
      <c r="X540" s="229"/>
      <c r="Y540" s="13"/>
      <c r="Z540" s="229"/>
      <c r="AA540" s="13"/>
      <c r="AB540" s="229">
        <f t="shared" si="168"/>
        <v>0</v>
      </c>
      <c r="AC540" s="228">
        <f t="shared" si="164"/>
        <v>0</v>
      </c>
      <c r="AD540" s="21">
        <v>0</v>
      </c>
      <c r="AE540" s="229"/>
      <c r="AF540" s="20"/>
      <c r="AG540" s="229"/>
      <c r="AH540" s="20"/>
      <c r="AI540" s="229"/>
      <c r="AJ540" s="20"/>
      <c r="AK540" s="229"/>
      <c r="AL540" s="20"/>
      <c r="AM540" s="229"/>
      <c r="AN540" s="20"/>
      <c r="AO540" s="229"/>
      <c r="AP540" s="20"/>
      <c r="AQ540" s="229"/>
      <c r="AR540" s="20"/>
      <c r="AS540" s="229"/>
      <c r="AT540" s="20"/>
      <c r="AU540" s="229"/>
      <c r="AV540" s="20">
        <v>1</v>
      </c>
      <c r="AW540" s="229"/>
      <c r="AX540" s="20"/>
      <c r="AY540" s="229"/>
      <c r="AZ540" s="20"/>
      <c r="BA540" s="229"/>
      <c r="BB540" s="20">
        <v>1</v>
      </c>
      <c r="BC540" s="229">
        <f t="shared" si="169"/>
        <v>0</v>
      </c>
      <c r="BD540" s="48">
        <f t="shared" si="165"/>
        <v>2</v>
      </c>
      <c r="BE540" s="19">
        <v>5</v>
      </c>
      <c r="BF540" s="229">
        <f t="shared" si="171"/>
        <v>0</v>
      </c>
      <c r="BG540" s="210">
        <f t="shared" si="166"/>
        <v>2</v>
      </c>
      <c r="BH540" s="210">
        <f t="shared" si="167"/>
        <v>5</v>
      </c>
      <c r="BI540" s="213">
        <f t="shared" si="163"/>
        <v>40</v>
      </c>
      <c r="BJ540" s="141"/>
      <c r="BK540" s="201"/>
      <c r="BL540" s="198"/>
      <c r="BM540" s="198"/>
    </row>
    <row r="541" spans="1:65" s="17" customFormat="1" ht="15.95" customHeight="1">
      <c r="A541" s="123">
        <v>95</v>
      </c>
      <c r="B541" s="9" t="s">
        <v>305</v>
      </c>
      <c r="C541" s="11" t="s">
        <v>306</v>
      </c>
      <c r="D541" s="229"/>
      <c r="E541" s="13"/>
      <c r="F541" s="229"/>
      <c r="G541" s="13"/>
      <c r="H541" s="229"/>
      <c r="I541" s="13"/>
      <c r="J541" s="229"/>
      <c r="K541" s="13"/>
      <c r="L541" s="229"/>
      <c r="M541" s="13"/>
      <c r="N541" s="229"/>
      <c r="O541" s="13"/>
      <c r="P541" s="229"/>
      <c r="Q541" s="13"/>
      <c r="R541" s="229"/>
      <c r="S541" s="13"/>
      <c r="T541" s="229"/>
      <c r="U541" s="13"/>
      <c r="V541" s="229"/>
      <c r="W541" s="13"/>
      <c r="X541" s="229"/>
      <c r="Y541" s="13"/>
      <c r="Z541" s="229"/>
      <c r="AA541" s="13"/>
      <c r="AB541" s="229">
        <f t="shared" si="168"/>
        <v>0</v>
      </c>
      <c r="AC541" s="228">
        <f t="shared" si="164"/>
        <v>0</v>
      </c>
      <c r="AD541" s="21">
        <v>0</v>
      </c>
      <c r="AE541" s="229"/>
      <c r="AF541" s="20"/>
      <c r="AG541" s="229"/>
      <c r="AH541" s="20"/>
      <c r="AI541" s="229">
        <v>3</v>
      </c>
      <c r="AJ541" s="20">
        <v>3</v>
      </c>
      <c r="AK541" s="229"/>
      <c r="AL541" s="20"/>
      <c r="AM541" s="229"/>
      <c r="AN541" s="20"/>
      <c r="AO541" s="229"/>
      <c r="AP541" s="20"/>
      <c r="AQ541" s="229"/>
      <c r="AR541" s="20"/>
      <c r="AS541" s="229"/>
      <c r="AT541" s="20"/>
      <c r="AU541" s="229"/>
      <c r="AV541" s="20">
        <v>2</v>
      </c>
      <c r="AW541" s="229"/>
      <c r="AX541" s="20"/>
      <c r="AY541" s="229"/>
      <c r="AZ541" s="20"/>
      <c r="BA541" s="229"/>
      <c r="BB541" s="20">
        <v>2</v>
      </c>
      <c r="BC541" s="229">
        <f t="shared" si="169"/>
        <v>3</v>
      </c>
      <c r="BD541" s="48">
        <f t="shared" si="165"/>
        <v>7</v>
      </c>
      <c r="BE541" s="19">
        <v>3</v>
      </c>
      <c r="BF541" s="229">
        <f t="shared" si="171"/>
        <v>3</v>
      </c>
      <c r="BG541" s="210">
        <f t="shared" si="166"/>
        <v>7</v>
      </c>
      <c r="BH541" s="210">
        <f t="shared" si="167"/>
        <v>3</v>
      </c>
      <c r="BI541" s="213">
        <f t="shared" si="163"/>
        <v>233.33333333333334</v>
      </c>
      <c r="BJ541" s="141"/>
      <c r="BK541" s="201"/>
      <c r="BL541" s="198"/>
      <c r="BM541" s="198"/>
    </row>
    <row r="542" spans="1:65" s="17" customFormat="1" ht="15.95" customHeight="1">
      <c r="A542" s="123">
        <v>96</v>
      </c>
      <c r="B542" s="9" t="s">
        <v>307</v>
      </c>
      <c r="C542" s="11" t="s">
        <v>308</v>
      </c>
      <c r="D542" s="229"/>
      <c r="E542" s="13"/>
      <c r="F542" s="229"/>
      <c r="G542" s="13"/>
      <c r="H542" s="229"/>
      <c r="I542" s="13"/>
      <c r="J542" s="229"/>
      <c r="K542" s="13"/>
      <c r="L542" s="229"/>
      <c r="M542" s="13"/>
      <c r="N542" s="229"/>
      <c r="O542" s="13"/>
      <c r="P542" s="229"/>
      <c r="Q542" s="13"/>
      <c r="R542" s="229"/>
      <c r="S542" s="13"/>
      <c r="T542" s="229"/>
      <c r="U542" s="13"/>
      <c r="V542" s="229"/>
      <c r="W542" s="13"/>
      <c r="X542" s="229"/>
      <c r="Y542" s="13"/>
      <c r="Z542" s="229"/>
      <c r="AA542" s="13"/>
      <c r="AB542" s="229">
        <f t="shared" si="168"/>
        <v>0</v>
      </c>
      <c r="AC542" s="228">
        <f t="shared" si="164"/>
        <v>0</v>
      </c>
      <c r="AD542" s="21">
        <v>0</v>
      </c>
      <c r="AE542" s="229"/>
      <c r="AF542" s="20"/>
      <c r="AG542" s="229"/>
      <c r="AH542" s="20"/>
      <c r="AI542" s="229">
        <f>1+4</f>
        <v>5</v>
      </c>
      <c r="AJ542" s="20">
        <f>1+4</f>
        <v>5</v>
      </c>
      <c r="AK542" s="229"/>
      <c r="AL542" s="20"/>
      <c r="AM542" s="229"/>
      <c r="AN542" s="20"/>
      <c r="AO542" s="229">
        <v>2</v>
      </c>
      <c r="AP542" s="20">
        <v>2</v>
      </c>
      <c r="AQ542" s="229"/>
      <c r="AR542" s="20"/>
      <c r="AS542" s="229"/>
      <c r="AT542" s="20"/>
      <c r="AU542" s="229"/>
      <c r="AV542" s="20">
        <v>2</v>
      </c>
      <c r="AW542" s="229"/>
      <c r="AX542" s="20"/>
      <c r="AY542" s="229"/>
      <c r="AZ542" s="20"/>
      <c r="BA542" s="229"/>
      <c r="BB542" s="20">
        <v>2</v>
      </c>
      <c r="BC542" s="229">
        <f t="shared" si="169"/>
        <v>7</v>
      </c>
      <c r="BD542" s="48">
        <f t="shared" si="165"/>
        <v>11</v>
      </c>
      <c r="BE542" s="19">
        <v>9</v>
      </c>
      <c r="BF542" s="229">
        <f t="shared" si="171"/>
        <v>7</v>
      </c>
      <c r="BG542" s="210">
        <f t="shared" si="166"/>
        <v>11</v>
      </c>
      <c r="BH542" s="210">
        <f t="shared" si="167"/>
        <v>9</v>
      </c>
      <c r="BI542" s="213">
        <f t="shared" si="163"/>
        <v>122.22222222222223</v>
      </c>
      <c r="BJ542" s="141"/>
      <c r="BK542" s="201"/>
      <c r="BL542" s="198"/>
      <c r="BM542" s="198"/>
    </row>
    <row r="543" spans="1:65" s="17" customFormat="1" ht="15.95" customHeight="1">
      <c r="A543" s="123">
        <v>97</v>
      </c>
      <c r="B543" s="9" t="s">
        <v>2702</v>
      </c>
      <c r="C543" s="11" t="s">
        <v>2703</v>
      </c>
      <c r="D543" s="229"/>
      <c r="E543" s="13"/>
      <c r="F543" s="229"/>
      <c r="G543" s="13"/>
      <c r="H543" s="229"/>
      <c r="I543" s="13"/>
      <c r="J543" s="229"/>
      <c r="K543" s="13"/>
      <c r="L543" s="229"/>
      <c r="M543" s="13"/>
      <c r="N543" s="229"/>
      <c r="O543" s="13"/>
      <c r="P543" s="229"/>
      <c r="Q543" s="13"/>
      <c r="R543" s="229"/>
      <c r="S543" s="13"/>
      <c r="T543" s="229"/>
      <c r="U543" s="13"/>
      <c r="V543" s="229"/>
      <c r="W543" s="13"/>
      <c r="X543" s="229"/>
      <c r="Y543" s="13"/>
      <c r="Z543" s="229"/>
      <c r="AA543" s="13"/>
      <c r="AB543" s="229">
        <f t="shared" si="168"/>
        <v>0</v>
      </c>
      <c r="AC543" s="228">
        <f t="shared" si="164"/>
        <v>0</v>
      </c>
      <c r="AD543" s="21">
        <v>0</v>
      </c>
      <c r="AE543" s="229"/>
      <c r="AF543" s="20"/>
      <c r="AG543" s="229"/>
      <c r="AH543" s="20"/>
      <c r="AI543" s="229"/>
      <c r="AJ543" s="20"/>
      <c r="AK543" s="229"/>
      <c r="AL543" s="20"/>
      <c r="AM543" s="229"/>
      <c r="AN543" s="20"/>
      <c r="AO543" s="229"/>
      <c r="AP543" s="20"/>
      <c r="AQ543" s="229"/>
      <c r="AR543" s="20"/>
      <c r="AS543" s="229"/>
      <c r="AT543" s="20"/>
      <c r="AU543" s="229"/>
      <c r="AV543" s="20"/>
      <c r="AW543" s="229"/>
      <c r="AX543" s="20"/>
      <c r="AY543" s="229"/>
      <c r="AZ543" s="20"/>
      <c r="BA543" s="229"/>
      <c r="BB543" s="20"/>
      <c r="BC543" s="229">
        <f t="shared" si="169"/>
        <v>0</v>
      </c>
      <c r="BD543" s="48">
        <f t="shared" si="165"/>
        <v>0</v>
      </c>
      <c r="BE543" s="19">
        <v>3</v>
      </c>
      <c r="BF543" s="229">
        <f t="shared" si="171"/>
        <v>0</v>
      </c>
      <c r="BG543" s="210">
        <f t="shared" si="166"/>
        <v>0</v>
      </c>
      <c r="BH543" s="210">
        <f t="shared" si="167"/>
        <v>3</v>
      </c>
      <c r="BI543" s="213">
        <f t="shared" ref="BI543:BI560" si="172">BG543/BH543*100</f>
        <v>0</v>
      </c>
      <c r="BJ543" s="141"/>
      <c r="BK543" s="201"/>
      <c r="BL543" s="198"/>
      <c r="BM543" s="198"/>
    </row>
    <row r="544" spans="1:65" s="17" customFormat="1" ht="15.95" customHeight="1">
      <c r="A544" s="123">
        <v>98</v>
      </c>
      <c r="B544" s="9" t="s">
        <v>309</v>
      </c>
      <c r="C544" s="11" t="s">
        <v>310</v>
      </c>
      <c r="D544" s="229"/>
      <c r="E544" s="13"/>
      <c r="F544" s="229"/>
      <c r="G544" s="13"/>
      <c r="H544" s="229"/>
      <c r="I544" s="13"/>
      <c r="J544" s="229"/>
      <c r="K544" s="13"/>
      <c r="L544" s="229"/>
      <c r="M544" s="13"/>
      <c r="N544" s="229"/>
      <c r="O544" s="13"/>
      <c r="P544" s="229"/>
      <c r="Q544" s="13"/>
      <c r="R544" s="229"/>
      <c r="S544" s="13"/>
      <c r="T544" s="229"/>
      <c r="U544" s="13"/>
      <c r="V544" s="229"/>
      <c r="W544" s="13"/>
      <c r="X544" s="229"/>
      <c r="Y544" s="13"/>
      <c r="Z544" s="229"/>
      <c r="AA544" s="13"/>
      <c r="AB544" s="229">
        <f t="shared" si="168"/>
        <v>0</v>
      </c>
      <c r="AC544" s="228">
        <f t="shared" si="164"/>
        <v>0</v>
      </c>
      <c r="AD544" s="21">
        <v>0</v>
      </c>
      <c r="AE544" s="229"/>
      <c r="AF544" s="20"/>
      <c r="AG544" s="229"/>
      <c r="AH544" s="20"/>
      <c r="AI544" s="229">
        <v>9</v>
      </c>
      <c r="AJ544" s="20">
        <v>9</v>
      </c>
      <c r="AK544" s="229"/>
      <c r="AL544" s="20"/>
      <c r="AM544" s="229"/>
      <c r="AN544" s="20"/>
      <c r="AO544" s="229">
        <v>7</v>
      </c>
      <c r="AP544" s="20">
        <v>7</v>
      </c>
      <c r="AQ544" s="229"/>
      <c r="AR544" s="20"/>
      <c r="AS544" s="229"/>
      <c r="AT544" s="20"/>
      <c r="AU544" s="229"/>
      <c r="AV544" s="20">
        <v>7</v>
      </c>
      <c r="AW544" s="229"/>
      <c r="AX544" s="20"/>
      <c r="AY544" s="229"/>
      <c r="AZ544" s="20"/>
      <c r="BA544" s="229"/>
      <c r="BB544" s="20">
        <v>7</v>
      </c>
      <c r="BC544" s="229">
        <f t="shared" si="169"/>
        <v>16</v>
      </c>
      <c r="BD544" s="48">
        <f t="shared" si="165"/>
        <v>30</v>
      </c>
      <c r="BE544" s="19">
        <v>47</v>
      </c>
      <c r="BF544" s="229">
        <f t="shared" si="171"/>
        <v>16</v>
      </c>
      <c r="BG544" s="210">
        <f t="shared" si="166"/>
        <v>30</v>
      </c>
      <c r="BH544" s="210">
        <f t="shared" si="167"/>
        <v>47</v>
      </c>
      <c r="BI544" s="213">
        <f t="shared" si="172"/>
        <v>63.829787234042556</v>
      </c>
      <c r="BJ544" s="141"/>
      <c r="BK544" s="201"/>
      <c r="BL544" s="198"/>
      <c r="BM544" s="198"/>
    </row>
    <row r="545" spans="1:65" s="17" customFormat="1" ht="15.95" customHeight="1">
      <c r="A545" s="123">
        <v>99</v>
      </c>
      <c r="B545" s="9" t="s">
        <v>1761</v>
      </c>
      <c r="C545" s="11" t="s">
        <v>1762</v>
      </c>
      <c r="D545" s="229"/>
      <c r="E545" s="13"/>
      <c r="F545" s="229"/>
      <c r="G545" s="13"/>
      <c r="H545" s="229"/>
      <c r="I545" s="13"/>
      <c r="J545" s="229"/>
      <c r="K545" s="13"/>
      <c r="L545" s="229"/>
      <c r="M545" s="13"/>
      <c r="N545" s="229"/>
      <c r="O545" s="13"/>
      <c r="P545" s="229"/>
      <c r="Q545" s="13"/>
      <c r="R545" s="229"/>
      <c r="S545" s="13"/>
      <c r="T545" s="229"/>
      <c r="U545" s="13"/>
      <c r="V545" s="229"/>
      <c r="W545" s="13"/>
      <c r="X545" s="229"/>
      <c r="Y545" s="13"/>
      <c r="Z545" s="229"/>
      <c r="AA545" s="13"/>
      <c r="AB545" s="229">
        <f t="shared" si="168"/>
        <v>0</v>
      </c>
      <c r="AC545" s="228">
        <f t="shared" si="164"/>
        <v>0</v>
      </c>
      <c r="AD545" s="21">
        <v>0</v>
      </c>
      <c r="AE545" s="229"/>
      <c r="AF545" s="20"/>
      <c r="AG545" s="229"/>
      <c r="AH545" s="20"/>
      <c r="AI545" s="229"/>
      <c r="AJ545" s="20"/>
      <c r="AK545" s="229"/>
      <c r="AL545" s="20"/>
      <c r="AM545" s="229"/>
      <c r="AN545" s="20"/>
      <c r="AO545" s="229">
        <v>2</v>
      </c>
      <c r="AP545" s="20">
        <v>2</v>
      </c>
      <c r="AQ545" s="229"/>
      <c r="AR545" s="20"/>
      <c r="AS545" s="229"/>
      <c r="AT545" s="20"/>
      <c r="AU545" s="229"/>
      <c r="AV545" s="20">
        <v>3</v>
      </c>
      <c r="AW545" s="229"/>
      <c r="AX545" s="20"/>
      <c r="AY545" s="229"/>
      <c r="AZ545" s="20"/>
      <c r="BA545" s="229"/>
      <c r="BB545" s="20"/>
      <c r="BC545" s="229">
        <f t="shared" si="169"/>
        <v>2</v>
      </c>
      <c r="BD545" s="48">
        <f t="shared" si="165"/>
        <v>5</v>
      </c>
      <c r="BE545" s="19">
        <v>1</v>
      </c>
      <c r="BF545" s="229">
        <f t="shared" si="171"/>
        <v>2</v>
      </c>
      <c r="BG545" s="210">
        <f t="shared" si="166"/>
        <v>5</v>
      </c>
      <c r="BH545" s="210">
        <f t="shared" si="167"/>
        <v>1</v>
      </c>
      <c r="BI545" s="213">
        <f t="shared" si="172"/>
        <v>500</v>
      </c>
      <c r="BJ545" s="141"/>
      <c r="BK545" s="201"/>
      <c r="BL545" s="198"/>
      <c r="BM545" s="198"/>
    </row>
    <row r="546" spans="1:65" s="17" customFormat="1" ht="15.95" customHeight="1">
      <c r="A546" s="123">
        <v>100</v>
      </c>
      <c r="B546" s="9" t="s">
        <v>311</v>
      </c>
      <c r="C546" s="11" t="s">
        <v>312</v>
      </c>
      <c r="D546" s="229"/>
      <c r="E546" s="13"/>
      <c r="F546" s="229"/>
      <c r="G546" s="13"/>
      <c r="H546" s="229"/>
      <c r="I546" s="13"/>
      <c r="J546" s="229"/>
      <c r="K546" s="13"/>
      <c r="L546" s="229"/>
      <c r="M546" s="13"/>
      <c r="N546" s="229"/>
      <c r="O546" s="13"/>
      <c r="P546" s="229"/>
      <c r="Q546" s="13"/>
      <c r="R546" s="229"/>
      <c r="S546" s="13"/>
      <c r="T546" s="229"/>
      <c r="U546" s="13"/>
      <c r="V546" s="229"/>
      <c r="W546" s="13"/>
      <c r="X546" s="229"/>
      <c r="Y546" s="13"/>
      <c r="Z546" s="229"/>
      <c r="AA546" s="13"/>
      <c r="AB546" s="229">
        <f t="shared" si="168"/>
        <v>0</v>
      </c>
      <c r="AC546" s="228">
        <f t="shared" si="164"/>
        <v>0</v>
      </c>
      <c r="AD546" s="21">
        <v>0</v>
      </c>
      <c r="AE546" s="229"/>
      <c r="AF546" s="20"/>
      <c r="AG546" s="229"/>
      <c r="AH546" s="20"/>
      <c r="AI546" s="229">
        <v>3</v>
      </c>
      <c r="AJ546" s="20">
        <v>3</v>
      </c>
      <c r="AK546" s="229"/>
      <c r="AL546" s="20"/>
      <c r="AM546" s="229"/>
      <c r="AN546" s="20"/>
      <c r="AO546" s="229">
        <v>4</v>
      </c>
      <c r="AP546" s="20">
        <v>4</v>
      </c>
      <c r="AQ546" s="229"/>
      <c r="AR546" s="20"/>
      <c r="AS546" s="229"/>
      <c r="AT546" s="20"/>
      <c r="AU546" s="229"/>
      <c r="AV546" s="20"/>
      <c r="AW546" s="229"/>
      <c r="AX546" s="20"/>
      <c r="AY546" s="229"/>
      <c r="AZ546" s="20"/>
      <c r="BA546" s="229"/>
      <c r="BB546" s="20">
        <f>1+5</f>
        <v>6</v>
      </c>
      <c r="BC546" s="229">
        <f t="shared" si="169"/>
        <v>7</v>
      </c>
      <c r="BD546" s="48">
        <f t="shared" si="165"/>
        <v>13</v>
      </c>
      <c r="BE546" s="19">
        <v>10</v>
      </c>
      <c r="BF546" s="229">
        <f t="shared" si="171"/>
        <v>7</v>
      </c>
      <c r="BG546" s="210">
        <f t="shared" si="166"/>
        <v>13</v>
      </c>
      <c r="BH546" s="210">
        <f t="shared" si="167"/>
        <v>10</v>
      </c>
      <c r="BI546" s="213">
        <f t="shared" si="172"/>
        <v>130</v>
      </c>
      <c r="BJ546" s="141"/>
      <c r="BK546" s="201"/>
      <c r="BL546" s="198"/>
      <c r="BM546" s="198"/>
    </row>
    <row r="547" spans="1:65" s="17" customFormat="1" ht="15.95" customHeight="1">
      <c r="A547" s="123">
        <v>101</v>
      </c>
      <c r="B547" s="9" t="s">
        <v>313</v>
      </c>
      <c r="C547" s="11" t="s">
        <v>314</v>
      </c>
      <c r="D547" s="229"/>
      <c r="E547" s="13"/>
      <c r="F547" s="229"/>
      <c r="G547" s="13"/>
      <c r="H547" s="229"/>
      <c r="I547" s="13"/>
      <c r="J547" s="229"/>
      <c r="K547" s="13"/>
      <c r="L547" s="229"/>
      <c r="M547" s="13"/>
      <c r="N547" s="229"/>
      <c r="O547" s="13"/>
      <c r="P547" s="229"/>
      <c r="Q547" s="13"/>
      <c r="R547" s="229"/>
      <c r="S547" s="13"/>
      <c r="T547" s="229"/>
      <c r="U547" s="13"/>
      <c r="V547" s="229"/>
      <c r="W547" s="13"/>
      <c r="X547" s="229"/>
      <c r="Y547" s="13"/>
      <c r="Z547" s="229"/>
      <c r="AA547" s="13"/>
      <c r="AB547" s="229">
        <f t="shared" si="168"/>
        <v>0</v>
      </c>
      <c r="AC547" s="228">
        <f t="shared" ref="AC547:AC560" si="173">E547+G547+I547+K547+M547+O547+Q547+S547+U547+W547+Y547+AA547</f>
        <v>0</v>
      </c>
      <c r="AD547" s="21">
        <v>0</v>
      </c>
      <c r="AE547" s="229"/>
      <c r="AF547" s="20"/>
      <c r="AG547" s="229"/>
      <c r="AH547" s="20"/>
      <c r="AI547" s="229">
        <v>1</v>
      </c>
      <c r="AJ547" s="20">
        <v>1</v>
      </c>
      <c r="AK547" s="229"/>
      <c r="AL547" s="20"/>
      <c r="AM547" s="229"/>
      <c r="AN547" s="20"/>
      <c r="AO547" s="229">
        <v>1</v>
      </c>
      <c r="AP547" s="20">
        <v>1</v>
      </c>
      <c r="AQ547" s="229"/>
      <c r="AR547" s="20"/>
      <c r="AS547" s="229"/>
      <c r="AT547" s="20"/>
      <c r="AU547" s="229"/>
      <c r="AV547" s="20"/>
      <c r="AW547" s="229"/>
      <c r="AX547" s="20"/>
      <c r="AY547" s="229"/>
      <c r="AZ547" s="20"/>
      <c r="BA547" s="229"/>
      <c r="BB547" s="20">
        <v>1</v>
      </c>
      <c r="BC547" s="229">
        <f t="shared" si="169"/>
        <v>2</v>
      </c>
      <c r="BD547" s="48">
        <f t="shared" ref="BD547:BD560" si="174">AF547+AH547+AJ547+AL547+AN547+AP547+AR547+AT547+AV547+AX547+AZ547+BB547</f>
        <v>3</v>
      </c>
      <c r="BE547" s="19">
        <v>4</v>
      </c>
      <c r="BF547" s="229">
        <f t="shared" si="171"/>
        <v>2</v>
      </c>
      <c r="BG547" s="210">
        <f t="shared" ref="BG547:BG560" si="175">AC547+BD547</f>
        <v>3</v>
      </c>
      <c r="BH547" s="210">
        <f t="shared" ref="BH547:BH560" si="176">AD547+BE547</f>
        <v>4</v>
      </c>
      <c r="BI547" s="213">
        <f t="shared" si="172"/>
        <v>75</v>
      </c>
      <c r="BJ547" s="141"/>
      <c r="BK547" s="201"/>
      <c r="BL547" s="198"/>
      <c r="BM547" s="198"/>
    </row>
    <row r="548" spans="1:65" s="17" customFormat="1" ht="15.95" customHeight="1">
      <c r="A548" s="123">
        <v>102</v>
      </c>
      <c r="B548" s="9" t="s">
        <v>3019</v>
      </c>
      <c r="C548" s="11" t="s">
        <v>3021</v>
      </c>
      <c r="D548" s="229"/>
      <c r="E548" s="13"/>
      <c r="F548" s="229"/>
      <c r="G548" s="13"/>
      <c r="H548" s="229"/>
      <c r="I548" s="13"/>
      <c r="J548" s="229"/>
      <c r="K548" s="13"/>
      <c r="L548" s="229"/>
      <c r="M548" s="13"/>
      <c r="N548" s="229"/>
      <c r="O548" s="13"/>
      <c r="P548" s="229"/>
      <c r="Q548" s="13"/>
      <c r="R548" s="229"/>
      <c r="S548" s="13"/>
      <c r="T548" s="229"/>
      <c r="U548" s="13"/>
      <c r="V548" s="229"/>
      <c r="W548" s="13"/>
      <c r="X548" s="229"/>
      <c r="Y548" s="13"/>
      <c r="Z548" s="229"/>
      <c r="AA548" s="13"/>
      <c r="AB548" s="229">
        <f t="shared" si="168"/>
        <v>0</v>
      </c>
      <c r="AC548" s="228">
        <f t="shared" si="173"/>
        <v>0</v>
      </c>
      <c r="AD548" s="21">
        <v>0</v>
      </c>
      <c r="AE548" s="229"/>
      <c r="AF548" s="20"/>
      <c r="AG548" s="229"/>
      <c r="AH548" s="20"/>
      <c r="AI548" s="229">
        <v>1</v>
      </c>
      <c r="AJ548" s="20">
        <v>1</v>
      </c>
      <c r="AK548" s="229"/>
      <c r="AL548" s="20"/>
      <c r="AM548" s="229"/>
      <c r="AN548" s="20"/>
      <c r="AO548" s="229">
        <v>1</v>
      </c>
      <c r="AP548" s="20">
        <v>1</v>
      </c>
      <c r="AQ548" s="229"/>
      <c r="AR548" s="20"/>
      <c r="AS548" s="229"/>
      <c r="AT548" s="20"/>
      <c r="AU548" s="229"/>
      <c r="AV548" s="20"/>
      <c r="AW548" s="229"/>
      <c r="AX548" s="20"/>
      <c r="AY548" s="229"/>
      <c r="AZ548" s="20"/>
      <c r="BA548" s="229"/>
      <c r="BB548" s="20"/>
      <c r="BC548" s="229">
        <f t="shared" si="169"/>
        <v>2</v>
      </c>
      <c r="BD548" s="48">
        <f t="shared" si="174"/>
        <v>2</v>
      </c>
      <c r="BE548" s="19">
        <v>0</v>
      </c>
      <c r="BF548" s="229">
        <f t="shared" si="171"/>
        <v>2</v>
      </c>
      <c r="BG548" s="210">
        <f t="shared" si="175"/>
        <v>2</v>
      </c>
      <c r="BH548" s="210">
        <f t="shared" si="176"/>
        <v>0</v>
      </c>
      <c r="BI548" s="213" t="e">
        <f t="shared" si="172"/>
        <v>#DIV/0!</v>
      </c>
      <c r="BJ548" s="141"/>
      <c r="BK548" s="201"/>
      <c r="BL548" s="198"/>
      <c r="BM548" s="198"/>
    </row>
    <row r="549" spans="1:65" s="17" customFormat="1" ht="15.95" customHeight="1">
      <c r="A549" s="123">
        <v>103</v>
      </c>
      <c r="B549" s="9" t="s">
        <v>315</v>
      </c>
      <c r="C549" s="11" t="s">
        <v>316</v>
      </c>
      <c r="D549" s="229"/>
      <c r="E549" s="13"/>
      <c r="F549" s="229"/>
      <c r="G549" s="13"/>
      <c r="H549" s="229"/>
      <c r="I549" s="13"/>
      <c r="J549" s="229"/>
      <c r="K549" s="13"/>
      <c r="L549" s="229"/>
      <c r="M549" s="13"/>
      <c r="N549" s="229"/>
      <c r="O549" s="13"/>
      <c r="P549" s="229"/>
      <c r="Q549" s="13"/>
      <c r="R549" s="229"/>
      <c r="S549" s="13"/>
      <c r="T549" s="229"/>
      <c r="U549" s="13"/>
      <c r="V549" s="229"/>
      <c r="W549" s="13"/>
      <c r="X549" s="229"/>
      <c r="Y549" s="13"/>
      <c r="Z549" s="229"/>
      <c r="AA549" s="13"/>
      <c r="AB549" s="229">
        <f t="shared" si="168"/>
        <v>0</v>
      </c>
      <c r="AC549" s="228">
        <f t="shared" si="173"/>
        <v>0</v>
      </c>
      <c r="AD549" s="21">
        <v>0</v>
      </c>
      <c r="AE549" s="229"/>
      <c r="AF549" s="20"/>
      <c r="AG549" s="229"/>
      <c r="AH549" s="20"/>
      <c r="AI549" s="229">
        <v>4</v>
      </c>
      <c r="AJ549" s="20">
        <v>4</v>
      </c>
      <c r="AK549" s="229"/>
      <c r="AL549" s="20"/>
      <c r="AM549" s="229"/>
      <c r="AN549" s="20"/>
      <c r="AO549" s="229">
        <v>4</v>
      </c>
      <c r="AP549" s="20">
        <v>4</v>
      </c>
      <c r="AQ549" s="229"/>
      <c r="AR549" s="20"/>
      <c r="AS549" s="229"/>
      <c r="AT549" s="20"/>
      <c r="AU549" s="229"/>
      <c r="AV549" s="20">
        <v>4</v>
      </c>
      <c r="AW549" s="229"/>
      <c r="AX549" s="20"/>
      <c r="AY549" s="229"/>
      <c r="AZ549" s="20"/>
      <c r="BA549" s="229"/>
      <c r="BB549" s="20">
        <f>5+1</f>
        <v>6</v>
      </c>
      <c r="BC549" s="229">
        <f t="shared" si="169"/>
        <v>8</v>
      </c>
      <c r="BD549" s="48">
        <f t="shared" si="174"/>
        <v>18</v>
      </c>
      <c r="BE549" s="19">
        <v>5</v>
      </c>
      <c r="BF549" s="229">
        <f t="shared" si="171"/>
        <v>8</v>
      </c>
      <c r="BG549" s="210">
        <f t="shared" si="175"/>
        <v>18</v>
      </c>
      <c r="BH549" s="210">
        <f t="shared" si="176"/>
        <v>5</v>
      </c>
      <c r="BI549" s="213">
        <f t="shared" si="172"/>
        <v>360</v>
      </c>
      <c r="BJ549" s="141"/>
      <c r="BK549" s="201"/>
      <c r="BL549" s="198"/>
      <c r="BM549" s="198"/>
    </row>
    <row r="550" spans="1:65" s="17" customFormat="1" ht="15.95" customHeight="1">
      <c r="A550" s="123">
        <v>104</v>
      </c>
      <c r="B550" s="9" t="s">
        <v>1577</v>
      </c>
      <c r="C550" s="11" t="s">
        <v>2317</v>
      </c>
      <c r="D550" s="229"/>
      <c r="E550" s="13"/>
      <c r="F550" s="229"/>
      <c r="G550" s="13"/>
      <c r="H550" s="229"/>
      <c r="I550" s="13"/>
      <c r="J550" s="229"/>
      <c r="K550" s="13"/>
      <c r="L550" s="229"/>
      <c r="M550" s="13"/>
      <c r="N550" s="229"/>
      <c r="O550" s="13"/>
      <c r="P550" s="229"/>
      <c r="Q550" s="13"/>
      <c r="R550" s="229"/>
      <c r="S550" s="13"/>
      <c r="T550" s="229"/>
      <c r="U550" s="13"/>
      <c r="V550" s="229"/>
      <c r="W550" s="13"/>
      <c r="X550" s="229"/>
      <c r="Y550" s="13"/>
      <c r="Z550" s="229"/>
      <c r="AA550" s="13"/>
      <c r="AB550" s="229">
        <f t="shared" si="168"/>
        <v>0</v>
      </c>
      <c r="AC550" s="228">
        <f t="shared" si="173"/>
        <v>0</v>
      </c>
      <c r="AD550" s="21">
        <v>0</v>
      </c>
      <c r="AE550" s="229"/>
      <c r="AF550" s="20"/>
      <c r="AG550" s="229"/>
      <c r="AH550" s="20"/>
      <c r="AI550" s="229"/>
      <c r="AJ550" s="20"/>
      <c r="AK550" s="229"/>
      <c r="AL550" s="20"/>
      <c r="AM550" s="229"/>
      <c r="AN550" s="20"/>
      <c r="AO550" s="229"/>
      <c r="AP550" s="20"/>
      <c r="AQ550" s="229"/>
      <c r="AR550" s="20"/>
      <c r="AS550" s="229"/>
      <c r="AT550" s="20"/>
      <c r="AU550" s="229"/>
      <c r="AV550" s="20"/>
      <c r="AW550" s="229"/>
      <c r="AX550" s="20"/>
      <c r="AY550" s="229"/>
      <c r="AZ550" s="20"/>
      <c r="BA550" s="229"/>
      <c r="BB550" s="20"/>
      <c r="BC550" s="229">
        <f t="shared" si="169"/>
        <v>0</v>
      </c>
      <c r="BD550" s="48">
        <f t="shared" si="174"/>
        <v>0</v>
      </c>
      <c r="BE550" s="19">
        <f>2+1</f>
        <v>3</v>
      </c>
      <c r="BF550" s="229">
        <f t="shared" si="171"/>
        <v>0</v>
      </c>
      <c r="BG550" s="210">
        <f t="shared" si="175"/>
        <v>0</v>
      </c>
      <c r="BH550" s="210">
        <f t="shared" si="176"/>
        <v>3</v>
      </c>
      <c r="BI550" s="213">
        <f t="shared" si="172"/>
        <v>0</v>
      </c>
      <c r="BJ550" s="141"/>
      <c r="BK550" s="201"/>
      <c r="BL550" s="198"/>
      <c r="BM550" s="198"/>
    </row>
    <row r="551" spans="1:65" s="17" customFormat="1" ht="15.95" customHeight="1">
      <c r="A551" s="123">
        <v>105</v>
      </c>
      <c r="B551" s="9" t="s">
        <v>1621</v>
      </c>
      <c r="C551" s="11" t="s">
        <v>1622</v>
      </c>
      <c r="D551" s="229"/>
      <c r="E551" s="13"/>
      <c r="F551" s="229"/>
      <c r="G551" s="13"/>
      <c r="H551" s="229"/>
      <c r="I551" s="13"/>
      <c r="J551" s="229"/>
      <c r="K551" s="13"/>
      <c r="L551" s="229"/>
      <c r="M551" s="13"/>
      <c r="N551" s="229"/>
      <c r="O551" s="13"/>
      <c r="P551" s="229"/>
      <c r="Q551" s="13"/>
      <c r="R551" s="229"/>
      <c r="S551" s="13"/>
      <c r="T551" s="229"/>
      <c r="U551" s="13"/>
      <c r="V551" s="229"/>
      <c r="W551" s="13"/>
      <c r="X551" s="229"/>
      <c r="Y551" s="13"/>
      <c r="Z551" s="229"/>
      <c r="AA551" s="13"/>
      <c r="AB551" s="229">
        <f t="shared" si="168"/>
        <v>0</v>
      </c>
      <c r="AC551" s="228">
        <f t="shared" si="173"/>
        <v>0</v>
      </c>
      <c r="AD551" s="21">
        <v>0</v>
      </c>
      <c r="AE551" s="229"/>
      <c r="AF551" s="20"/>
      <c r="AG551" s="229"/>
      <c r="AH551" s="20"/>
      <c r="AI551" s="229"/>
      <c r="AJ551" s="20"/>
      <c r="AK551" s="229"/>
      <c r="AL551" s="20"/>
      <c r="AM551" s="229"/>
      <c r="AN551" s="20"/>
      <c r="AO551" s="229"/>
      <c r="AP551" s="20"/>
      <c r="AQ551" s="229"/>
      <c r="AR551" s="20"/>
      <c r="AS551" s="229"/>
      <c r="AT551" s="20"/>
      <c r="AU551" s="229"/>
      <c r="AV551" s="20"/>
      <c r="AW551" s="229"/>
      <c r="AX551" s="20"/>
      <c r="AY551" s="229"/>
      <c r="AZ551" s="20"/>
      <c r="BA551" s="229"/>
      <c r="BB551" s="20"/>
      <c r="BC551" s="229">
        <f t="shared" si="169"/>
        <v>0</v>
      </c>
      <c r="BD551" s="48">
        <f t="shared" si="174"/>
        <v>0</v>
      </c>
      <c r="BE551" s="19">
        <v>1</v>
      </c>
      <c r="BF551" s="229">
        <f t="shared" si="171"/>
        <v>0</v>
      </c>
      <c r="BG551" s="210">
        <f t="shared" si="175"/>
        <v>0</v>
      </c>
      <c r="BH551" s="210">
        <f t="shared" si="176"/>
        <v>1</v>
      </c>
      <c r="BI551" s="213">
        <f t="shared" si="172"/>
        <v>0</v>
      </c>
      <c r="BJ551" s="141"/>
      <c r="BK551" s="201"/>
      <c r="BL551" s="198"/>
      <c r="BM551" s="198"/>
    </row>
    <row r="552" spans="1:65" s="17" customFormat="1" ht="15.95" customHeight="1">
      <c r="A552" s="123">
        <v>106</v>
      </c>
      <c r="B552" s="9" t="s">
        <v>317</v>
      </c>
      <c r="C552" s="11" t="s">
        <v>318</v>
      </c>
      <c r="D552" s="229"/>
      <c r="E552" s="13"/>
      <c r="F552" s="229"/>
      <c r="G552" s="13"/>
      <c r="H552" s="229"/>
      <c r="I552" s="13"/>
      <c r="J552" s="229"/>
      <c r="K552" s="13"/>
      <c r="L552" s="229"/>
      <c r="M552" s="13"/>
      <c r="N552" s="229"/>
      <c r="O552" s="13"/>
      <c r="P552" s="229"/>
      <c r="Q552" s="13"/>
      <c r="R552" s="229"/>
      <c r="S552" s="13"/>
      <c r="T552" s="229"/>
      <c r="U552" s="13"/>
      <c r="V552" s="229"/>
      <c r="W552" s="13"/>
      <c r="X552" s="229"/>
      <c r="Y552" s="13"/>
      <c r="Z552" s="229"/>
      <c r="AA552" s="13"/>
      <c r="AB552" s="229">
        <f t="shared" si="168"/>
        <v>0</v>
      </c>
      <c r="AC552" s="228">
        <f t="shared" si="173"/>
        <v>0</v>
      </c>
      <c r="AD552" s="21">
        <v>0</v>
      </c>
      <c r="AE552" s="229"/>
      <c r="AF552" s="20"/>
      <c r="AG552" s="229"/>
      <c r="AH552" s="20"/>
      <c r="AI552" s="229"/>
      <c r="AJ552" s="20"/>
      <c r="AK552" s="229"/>
      <c r="AL552" s="20"/>
      <c r="AM552" s="229"/>
      <c r="AN552" s="20"/>
      <c r="AO552" s="229">
        <f>2+1</f>
        <v>3</v>
      </c>
      <c r="AP552" s="20">
        <f>2+1</f>
        <v>3</v>
      </c>
      <c r="AQ552" s="229"/>
      <c r="AR552" s="20"/>
      <c r="AS552" s="229"/>
      <c r="AT552" s="20"/>
      <c r="AU552" s="229"/>
      <c r="AV552" s="20">
        <v>1</v>
      </c>
      <c r="AW552" s="229"/>
      <c r="AX552" s="20"/>
      <c r="AY552" s="229"/>
      <c r="AZ552" s="20"/>
      <c r="BA552" s="229"/>
      <c r="BB552" s="20"/>
      <c r="BC552" s="229">
        <f t="shared" si="169"/>
        <v>3</v>
      </c>
      <c r="BD552" s="48">
        <f t="shared" si="174"/>
        <v>4</v>
      </c>
      <c r="BE552" s="19">
        <v>3</v>
      </c>
      <c r="BF552" s="229">
        <f t="shared" si="171"/>
        <v>3</v>
      </c>
      <c r="BG552" s="210">
        <f t="shared" si="175"/>
        <v>4</v>
      </c>
      <c r="BH552" s="210">
        <f t="shared" si="176"/>
        <v>3</v>
      </c>
      <c r="BI552" s="213">
        <f t="shared" si="172"/>
        <v>133.33333333333331</v>
      </c>
      <c r="BJ552" s="141"/>
      <c r="BK552" s="201"/>
      <c r="BL552" s="198"/>
      <c r="BM552" s="198"/>
    </row>
    <row r="553" spans="1:65" s="17" customFormat="1" ht="15.95" customHeight="1">
      <c r="A553" s="123">
        <v>107</v>
      </c>
      <c r="B553" s="9" t="s">
        <v>319</v>
      </c>
      <c r="C553" s="11" t="s">
        <v>320</v>
      </c>
      <c r="D553" s="229"/>
      <c r="E553" s="13"/>
      <c r="F553" s="229"/>
      <c r="G553" s="13"/>
      <c r="H553" s="229"/>
      <c r="I553" s="13"/>
      <c r="J553" s="229"/>
      <c r="K553" s="13"/>
      <c r="L553" s="229"/>
      <c r="M553" s="13"/>
      <c r="N553" s="229"/>
      <c r="O553" s="13"/>
      <c r="P553" s="229"/>
      <c r="Q553" s="13"/>
      <c r="R553" s="229"/>
      <c r="S553" s="13"/>
      <c r="T553" s="229"/>
      <c r="U553" s="13"/>
      <c r="V553" s="229"/>
      <c r="W553" s="13"/>
      <c r="X553" s="229"/>
      <c r="Y553" s="13"/>
      <c r="Z553" s="229"/>
      <c r="AA553" s="13"/>
      <c r="AB553" s="229">
        <f t="shared" si="168"/>
        <v>0</v>
      </c>
      <c r="AC553" s="228">
        <f t="shared" si="173"/>
        <v>0</v>
      </c>
      <c r="AD553" s="21">
        <v>0</v>
      </c>
      <c r="AE553" s="229"/>
      <c r="AF553" s="20"/>
      <c r="AG553" s="229"/>
      <c r="AH553" s="20"/>
      <c r="AI553" s="229"/>
      <c r="AJ553" s="20"/>
      <c r="AK553" s="229"/>
      <c r="AL553" s="20"/>
      <c r="AM553" s="229"/>
      <c r="AN553" s="20"/>
      <c r="AO553" s="229"/>
      <c r="AP553" s="20"/>
      <c r="AQ553" s="229"/>
      <c r="AR553" s="20"/>
      <c r="AS553" s="229"/>
      <c r="AT553" s="20"/>
      <c r="AU553" s="229"/>
      <c r="AV553" s="20">
        <v>1</v>
      </c>
      <c r="AW553" s="229"/>
      <c r="AX553" s="20"/>
      <c r="AY553" s="229"/>
      <c r="AZ553" s="20"/>
      <c r="BA553" s="229"/>
      <c r="BB553" s="20"/>
      <c r="BC553" s="229">
        <f t="shared" si="169"/>
        <v>0</v>
      </c>
      <c r="BD553" s="48">
        <f t="shared" si="174"/>
        <v>1</v>
      </c>
      <c r="BE553" s="19">
        <v>1</v>
      </c>
      <c r="BF553" s="229">
        <f t="shared" si="171"/>
        <v>0</v>
      </c>
      <c r="BG553" s="210">
        <f t="shared" si="175"/>
        <v>1</v>
      </c>
      <c r="BH553" s="210">
        <f t="shared" si="176"/>
        <v>1</v>
      </c>
      <c r="BI553" s="213">
        <f t="shared" si="172"/>
        <v>100</v>
      </c>
      <c r="BJ553" s="141"/>
      <c r="BK553" s="201"/>
      <c r="BL553" s="198"/>
      <c r="BM553" s="198"/>
    </row>
    <row r="554" spans="1:65" s="17" customFormat="1" ht="15.95" customHeight="1">
      <c r="A554" s="123">
        <v>108</v>
      </c>
      <c r="B554" s="9" t="s">
        <v>3101</v>
      </c>
      <c r="C554" s="11" t="s">
        <v>3102</v>
      </c>
      <c r="D554" s="229"/>
      <c r="E554" s="13"/>
      <c r="F554" s="229"/>
      <c r="G554" s="13"/>
      <c r="H554" s="229"/>
      <c r="I554" s="13"/>
      <c r="J554" s="229"/>
      <c r="K554" s="13"/>
      <c r="L554" s="229"/>
      <c r="M554" s="13"/>
      <c r="N554" s="229"/>
      <c r="O554" s="13"/>
      <c r="P554" s="229"/>
      <c r="Q554" s="13"/>
      <c r="R554" s="229"/>
      <c r="S554" s="13"/>
      <c r="T554" s="229"/>
      <c r="U554" s="13"/>
      <c r="V554" s="229"/>
      <c r="W554" s="13"/>
      <c r="X554" s="229"/>
      <c r="Y554" s="13"/>
      <c r="Z554" s="229"/>
      <c r="AA554" s="13"/>
      <c r="AB554" s="229"/>
      <c r="AC554" s="228">
        <f t="shared" si="173"/>
        <v>0</v>
      </c>
      <c r="AD554" s="21">
        <v>0</v>
      </c>
      <c r="AE554" s="229"/>
      <c r="AF554" s="20"/>
      <c r="AG554" s="229"/>
      <c r="AH554" s="20"/>
      <c r="AI554" s="229"/>
      <c r="AJ554" s="20"/>
      <c r="AK554" s="229"/>
      <c r="AL554" s="20"/>
      <c r="AM554" s="229"/>
      <c r="AN554" s="20"/>
      <c r="AO554" s="229"/>
      <c r="AP554" s="20">
        <v>1</v>
      </c>
      <c r="AQ554" s="229"/>
      <c r="AR554" s="20"/>
      <c r="AS554" s="229"/>
      <c r="AT554" s="20"/>
      <c r="AU554" s="229"/>
      <c r="AV554" s="20"/>
      <c r="AW554" s="229"/>
      <c r="AX554" s="20"/>
      <c r="AY554" s="229"/>
      <c r="AZ554" s="20"/>
      <c r="BA554" s="229"/>
      <c r="BB554" s="20"/>
      <c r="BC554" s="229"/>
      <c r="BD554" s="48">
        <f t="shared" si="174"/>
        <v>1</v>
      </c>
      <c r="BE554" s="19">
        <v>0</v>
      </c>
      <c r="BF554" s="229"/>
      <c r="BG554" s="210">
        <f t="shared" si="175"/>
        <v>1</v>
      </c>
      <c r="BH554" s="210">
        <f t="shared" si="176"/>
        <v>0</v>
      </c>
      <c r="BI554" s="213" t="e">
        <f t="shared" si="172"/>
        <v>#DIV/0!</v>
      </c>
      <c r="BJ554" s="141"/>
      <c r="BK554" s="201"/>
      <c r="BL554" s="198"/>
      <c r="BM554" s="198"/>
    </row>
    <row r="555" spans="1:65" s="17" customFormat="1" ht="15.95" customHeight="1">
      <c r="A555" s="123">
        <v>109</v>
      </c>
      <c r="B555" s="9" t="s">
        <v>1984</v>
      </c>
      <c r="C555" s="11" t="s">
        <v>1985</v>
      </c>
      <c r="D555" s="229"/>
      <c r="E555" s="13"/>
      <c r="F555" s="229"/>
      <c r="G555" s="13"/>
      <c r="H555" s="229"/>
      <c r="I555" s="13"/>
      <c r="J555" s="229"/>
      <c r="K555" s="13"/>
      <c r="L555" s="229"/>
      <c r="M555" s="13"/>
      <c r="N555" s="229"/>
      <c r="O555" s="13"/>
      <c r="P555" s="229"/>
      <c r="Q555" s="13"/>
      <c r="R555" s="229"/>
      <c r="S555" s="13"/>
      <c r="T555" s="229"/>
      <c r="U555" s="13"/>
      <c r="V555" s="229"/>
      <c r="W555" s="13"/>
      <c r="X555" s="229"/>
      <c r="Y555" s="13"/>
      <c r="Z555" s="229"/>
      <c r="AA555" s="13"/>
      <c r="AB555" s="229">
        <f>D555+F555+H555+J555+L555+N555+P555+R555+T555+V555+X555+Z555</f>
        <v>0</v>
      </c>
      <c r="AC555" s="228">
        <f t="shared" si="173"/>
        <v>0</v>
      </c>
      <c r="AD555" s="19">
        <v>0</v>
      </c>
      <c r="AE555" s="229"/>
      <c r="AF555" s="20"/>
      <c r="AG555" s="229"/>
      <c r="AH555" s="20"/>
      <c r="AI555" s="229"/>
      <c r="AJ555" s="20"/>
      <c r="AK555" s="229"/>
      <c r="AL555" s="20"/>
      <c r="AM555" s="229"/>
      <c r="AN555" s="20"/>
      <c r="AO555" s="229"/>
      <c r="AP555" s="20"/>
      <c r="AQ555" s="229"/>
      <c r="AR555" s="20"/>
      <c r="AS555" s="229"/>
      <c r="AT555" s="20"/>
      <c r="AU555" s="229"/>
      <c r="AV555" s="20"/>
      <c r="AW555" s="229"/>
      <c r="AX555" s="20"/>
      <c r="AY555" s="229"/>
      <c r="AZ555" s="20"/>
      <c r="BA555" s="229"/>
      <c r="BB555" s="20"/>
      <c r="BC555" s="229">
        <f>AE555+AG555+AI555+AK555+AM555+AO555+AQ555+AS555+AU555+AW555+AY555+BA555</f>
        <v>0</v>
      </c>
      <c r="BD555" s="48">
        <f t="shared" si="174"/>
        <v>0</v>
      </c>
      <c r="BE555" s="19">
        <v>1</v>
      </c>
      <c r="BF555" s="229">
        <f>AB555+BC555</f>
        <v>0</v>
      </c>
      <c r="BG555" s="210">
        <f t="shared" si="175"/>
        <v>0</v>
      </c>
      <c r="BH555" s="210">
        <f t="shared" si="176"/>
        <v>1</v>
      </c>
      <c r="BI555" s="213">
        <f t="shared" si="172"/>
        <v>0</v>
      </c>
      <c r="BJ555" s="141"/>
      <c r="BK555" s="201"/>
      <c r="BL555" s="198"/>
      <c r="BM555" s="198"/>
    </row>
    <row r="556" spans="1:65" s="17" customFormat="1" ht="15.95" customHeight="1">
      <c r="A556" s="123">
        <v>110</v>
      </c>
      <c r="B556" s="9" t="s">
        <v>85</v>
      </c>
      <c r="C556" s="11" t="s">
        <v>1931</v>
      </c>
      <c r="D556" s="229"/>
      <c r="E556" s="13"/>
      <c r="F556" s="229"/>
      <c r="G556" s="13"/>
      <c r="H556" s="229"/>
      <c r="I556" s="13"/>
      <c r="J556" s="229"/>
      <c r="K556" s="13"/>
      <c r="L556" s="229"/>
      <c r="M556" s="13"/>
      <c r="N556" s="229"/>
      <c r="O556" s="13"/>
      <c r="P556" s="229"/>
      <c r="Q556" s="13"/>
      <c r="R556" s="229"/>
      <c r="S556" s="13"/>
      <c r="T556" s="229"/>
      <c r="U556" s="13"/>
      <c r="V556" s="229"/>
      <c r="W556" s="13"/>
      <c r="X556" s="229"/>
      <c r="Y556" s="13"/>
      <c r="Z556" s="229"/>
      <c r="AA556" s="13"/>
      <c r="AB556" s="229">
        <f>D556+F556+H556+J556+L556+N556+P556+R556+T556+V556+X556+Z556</f>
        <v>0</v>
      </c>
      <c r="AC556" s="228">
        <f t="shared" si="173"/>
        <v>0</v>
      </c>
      <c r="AD556" s="21">
        <v>0</v>
      </c>
      <c r="AE556" s="229"/>
      <c r="AF556" s="20"/>
      <c r="AG556" s="229"/>
      <c r="AH556" s="20"/>
      <c r="AI556" s="229"/>
      <c r="AJ556" s="20"/>
      <c r="AK556" s="229"/>
      <c r="AL556" s="20"/>
      <c r="AM556" s="229"/>
      <c r="AN556" s="20"/>
      <c r="AO556" s="229">
        <v>2</v>
      </c>
      <c r="AP556" s="20">
        <v>2</v>
      </c>
      <c r="AQ556" s="229"/>
      <c r="AR556" s="20"/>
      <c r="AS556" s="229"/>
      <c r="AT556" s="20"/>
      <c r="AU556" s="229"/>
      <c r="AV556" s="20"/>
      <c r="AW556" s="229"/>
      <c r="AX556" s="20"/>
      <c r="AY556" s="229"/>
      <c r="AZ556" s="20"/>
      <c r="BA556" s="229"/>
      <c r="BB556" s="20"/>
      <c r="BC556" s="229">
        <f>AE556+AG556+AI556+AK556+AM556+AO556+AQ556+AS556+AU556+AW556+AY556+BA556</f>
        <v>2</v>
      </c>
      <c r="BD556" s="48">
        <f t="shared" si="174"/>
        <v>2</v>
      </c>
      <c r="BE556" s="19">
        <v>2</v>
      </c>
      <c r="BF556" s="229">
        <f>AB556+BC556</f>
        <v>2</v>
      </c>
      <c r="BG556" s="210">
        <f t="shared" si="175"/>
        <v>2</v>
      </c>
      <c r="BH556" s="210">
        <f t="shared" si="176"/>
        <v>2</v>
      </c>
      <c r="BI556" s="213">
        <f t="shared" si="172"/>
        <v>100</v>
      </c>
      <c r="BJ556" s="141"/>
      <c r="BK556" s="201"/>
      <c r="BL556" s="198"/>
      <c r="BM556" s="198"/>
    </row>
    <row r="557" spans="1:65" s="17" customFormat="1" ht="15.95" customHeight="1">
      <c r="A557" s="123">
        <v>111</v>
      </c>
      <c r="B557" s="9" t="s">
        <v>2706</v>
      </c>
      <c r="C557" s="11" t="s">
        <v>2707</v>
      </c>
      <c r="D557" s="229"/>
      <c r="E557" s="13"/>
      <c r="F557" s="229"/>
      <c r="G557" s="13"/>
      <c r="H557" s="229"/>
      <c r="I557" s="13"/>
      <c r="J557" s="229"/>
      <c r="K557" s="13"/>
      <c r="L557" s="229"/>
      <c r="M557" s="13"/>
      <c r="N557" s="229"/>
      <c r="O557" s="13"/>
      <c r="P557" s="229"/>
      <c r="Q557" s="13"/>
      <c r="R557" s="229"/>
      <c r="S557" s="13"/>
      <c r="T557" s="229"/>
      <c r="U557" s="13"/>
      <c r="V557" s="229"/>
      <c r="W557" s="13"/>
      <c r="X557" s="229"/>
      <c r="Y557" s="13"/>
      <c r="Z557" s="229"/>
      <c r="AA557" s="13"/>
      <c r="AB557" s="229"/>
      <c r="AC557" s="228">
        <f t="shared" si="173"/>
        <v>0</v>
      </c>
      <c r="AD557" s="21">
        <v>0</v>
      </c>
      <c r="AE557" s="229"/>
      <c r="AF557" s="20"/>
      <c r="AG557" s="229"/>
      <c r="AH557" s="20"/>
      <c r="AI557" s="229"/>
      <c r="AJ557" s="20"/>
      <c r="AK557" s="229"/>
      <c r="AL557" s="20"/>
      <c r="AM557" s="229"/>
      <c r="AN557" s="20"/>
      <c r="AO557" s="229"/>
      <c r="AP557" s="20"/>
      <c r="AQ557" s="229"/>
      <c r="AR557" s="20"/>
      <c r="AS557" s="229"/>
      <c r="AT557" s="20"/>
      <c r="AU557" s="229"/>
      <c r="AV557" s="20">
        <v>1</v>
      </c>
      <c r="AW557" s="229"/>
      <c r="AX557" s="20"/>
      <c r="AY557" s="229"/>
      <c r="AZ557" s="20"/>
      <c r="BA557" s="229"/>
      <c r="BB557" s="20"/>
      <c r="BC557" s="229"/>
      <c r="BD557" s="48">
        <f t="shared" si="174"/>
        <v>1</v>
      </c>
      <c r="BE557" s="19">
        <v>0</v>
      </c>
      <c r="BF557" s="229"/>
      <c r="BG557" s="210">
        <f t="shared" si="175"/>
        <v>1</v>
      </c>
      <c r="BH557" s="210">
        <f t="shared" si="176"/>
        <v>0</v>
      </c>
      <c r="BI557" s="213" t="e">
        <f t="shared" si="172"/>
        <v>#DIV/0!</v>
      </c>
      <c r="BJ557" s="141"/>
      <c r="BK557" s="201"/>
      <c r="BL557" s="198"/>
      <c r="BM557" s="198"/>
    </row>
    <row r="558" spans="1:65" s="17" customFormat="1" ht="15.95" customHeight="1">
      <c r="A558" s="123">
        <v>112</v>
      </c>
      <c r="B558" s="9" t="s">
        <v>265</v>
      </c>
      <c r="C558" s="11" t="s">
        <v>266</v>
      </c>
      <c r="D558" s="229"/>
      <c r="E558" s="13"/>
      <c r="F558" s="229"/>
      <c r="G558" s="13"/>
      <c r="H558" s="229"/>
      <c r="I558" s="13"/>
      <c r="J558" s="229"/>
      <c r="K558" s="13"/>
      <c r="L558" s="229"/>
      <c r="M558" s="13"/>
      <c r="N558" s="229"/>
      <c r="O558" s="13"/>
      <c r="P558" s="229"/>
      <c r="Q558" s="13"/>
      <c r="R558" s="229"/>
      <c r="S558" s="13"/>
      <c r="T558" s="229"/>
      <c r="U558" s="13"/>
      <c r="V558" s="229"/>
      <c r="W558" s="13"/>
      <c r="X558" s="229"/>
      <c r="Y558" s="13"/>
      <c r="Z558" s="229"/>
      <c r="AA558" s="13"/>
      <c r="AB558" s="229"/>
      <c r="AC558" s="228">
        <f t="shared" si="173"/>
        <v>0</v>
      </c>
      <c r="AD558" s="21">
        <v>0</v>
      </c>
      <c r="AE558" s="229"/>
      <c r="AF558" s="20"/>
      <c r="AG558" s="229"/>
      <c r="AH558" s="20"/>
      <c r="AI558" s="229"/>
      <c r="AJ558" s="20"/>
      <c r="AK558" s="229"/>
      <c r="AL558" s="20"/>
      <c r="AM558" s="229"/>
      <c r="AN558" s="20"/>
      <c r="AO558" s="229"/>
      <c r="AP558" s="20"/>
      <c r="AQ558" s="229"/>
      <c r="AR558" s="20"/>
      <c r="AS558" s="229"/>
      <c r="AT558" s="20"/>
      <c r="AU558" s="229"/>
      <c r="AV558" s="20">
        <v>1</v>
      </c>
      <c r="AW558" s="229"/>
      <c r="AX558" s="20"/>
      <c r="AY558" s="229"/>
      <c r="AZ558" s="20"/>
      <c r="BA558" s="229"/>
      <c r="BB558" s="20"/>
      <c r="BC558" s="229"/>
      <c r="BD558" s="48">
        <f t="shared" si="174"/>
        <v>1</v>
      </c>
      <c r="BE558" s="19">
        <v>0</v>
      </c>
      <c r="BF558" s="229"/>
      <c r="BG558" s="210">
        <f t="shared" si="175"/>
        <v>1</v>
      </c>
      <c r="BH558" s="210">
        <f t="shared" si="176"/>
        <v>0</v>
      </c>
      <c r="BI558" s="213" t="e">
        <f t="shared" si="172"/>
        <v>#DIV/0!</v>
      </c>
      <c r="BJ558" s="141"/>
      <c r="BK558" s="201"/>
      <c r="BL558" s="198"/>
      <c r="BM558" s="198"/>
    </row>
    <row r="559" spans="1:65" s="17" customFormat="1" ht="15.95" customHeight="1">
      <c r="A559" s="123">
        <v>113</v>
      </c>
      <c r="B559" s="9" t="s">
        <v>2708</v>
      </c>
      <c r="C559" s="11" t="s">
        <v>2709</v>
      </c>
      <c r="D559" s="229"/>
      <c r="E559" s="13"/>
      <c r="F559" s="229"/>
      <c r="G559" s="13"/>
      <c r="H559" s="229"/>
      <c r="I559" s="13"/>
      <c r="J559" s="229"/>
      <c r="K559" s="13"/>
      <c r="L559" s="229"/>
      <c r="M559" s="13"/>
      <c r="N559" s="229"/>
      <c r="O559" s="13"/>
      <c r="P559" s="229"/>
      <c r="Q559" s="13"/>
      <c r="R559" s="229"/>
      <c r="S559" s="13"/>
      <c r="T559" s="229"/>
      <c r="U559" s="13"/>
      <c r="V559" s="229"/>
      <c r="W559" s="13"/>
      <c r="X559" s="229"/>
      <c r="Y559" s="13"/>
      <c r="Z559" s="229"/>
      <c r="AA559" s="13"/>
      <c r="AB559" s="229">
        <f>D559+F559+H559+J559+L559+N559+P559+R559+T559+V559+X559+Z559</f>
        <v>0</v>
      </c>
      <c r="AC559" s="228">
        <f t="shared" si="173"/>
        <v>0</v>
      </c>
      <c r="AD559" s="21">
        <v>0</v>
      </c>
      <c r="AE559" s="229"/>
      <c r="AF559" s="20"/>
      <c r="AG559" s="229"/>
      <c r="AH559" s="20"/>
      <c r="AI559" s="229"/>
      <c r="AJ559" s="20"/>
      <c r="AK559" s="229"/>
      <c r="AL559" s="20"/>
      <c r="AM559" s="229"/>
      <c r="AN559" s="20"/>
      <c r="AO559" s="229"/>
      <c r="AP559" s="20"/>
      <c r="AQ559" s="229"/>
      <c r="AR559" s="20"/>
      <c r="AS559" s="229"/>
      <c r="AT559" s="20"/>
      <c r="AU559" s="229"/>
      <c r="AV559" s="20"/>
      <c r="AW559" s="229"/>
      <c r="AX559" s="20"/>
      <c r="AY559" s="229"/>
      <c r="AZ559" s="20"/>
      <c r="BA559" s="229"/>
      <c r="BB559" s="20"/>
      <c r="BC559" s="229">
        <f>AE559+AG559+AI559+AK559+AM559+AO559+AQ559+AS559+AU559+AW559+AY559+BA559</f>
        <v>0</v>
      </c>
      <c r="BD559" s="48">
        <f t="shared" si="174"/>
        <v>0</v>
      </c>
      <c r="BE559" s="19">
        <v>3</v>
      </c>
      <c r="BF559" s="229">
        <f>AB559+BC559</f>
        <v>0</v>
      </c>
      <c r="BG559" s="210">
        <f t="shared" si="175"/>
        <v>0</v>
      </c>
      <c r="BH559" s="210">
        <f t="shared" si="176"/>
        <v>3</v>
      </c>
      <c r="BI559" s="213">
        <f t="shared" si="172"/>
        <v>0</v>
      </c>
      <c r="BJ559" s="141"/>
      <c r="BK559" s="201"/>
      <c r="BL559" s="198"/>
      <c r="BM559" s="198"/>
    </row>
    <row r="560" spans="1:65" s="17" customFormat="1" ht="15.95" customHeight="1">
      <c r="A560" s="123">
        <v>114</v>
      </c>
      <c r="B560" s="9" t="s">
        <v>1696</v>
      </c>
      <c r="C560" s="11" t="s">
        <v>1697</v>
      </c>
      <c r="D560" s="229"/>
      <c r="E560" s="13"/>
      <c r="F560" s="229"/>
      <c r="G560" s="13"/>
      <c r="H560" s="229"/>
      <c r="I560" s="13"/>
      <c r="J560" s="229"/>
      <c r="K560" s="13"/>
      <c r="L560" s="229"/>
      <c r="M560" s="13"/>
      <c r="N560" s="229"/>
      <c r="O560" s="13"/>
      <c r="P560" s="229"/>
      <c r="Q560" s="13"/>
      <c r="R560" s="229"/>
      <c r="S560" s="13"/>
      <c r="T560" s="229"/>
      <c r="U560" s="13"/>
      <c r="V560" s="229"/>
      <c r="W560" s="13"/>
      <c r="X560" s="229"/>
      <c r="Y560" s="13"/>
      <c r="Z560" s="229"/>
      <c r="AA560" s="13"/>
      <c r="AB560" s="229">
        <f>D560+F560+H560+J560+L560+N560+P560+R560+T560+V560+X560+Z560</f>
        <v>0</v>
      </c>
      <c r="AC560" s="228">
        <f t="shared" si="173"/>
        <v>0</v>
      </c>
      <c r="AD560" s="21">
        <v>0</v>
      </c>
      <c r="AE560" s="229"/>
      <c r="AF560" s="20"/>
      <c r="AG560" s="229"/>
      <c r="AH560" s="20"/>
      <c r="AI560" s="229"/>
      <c r="AJ560" s="20"/>
      <c r="AK560" s="229"/>
      <c r="AL560" s="20"/>
      <c r="AM560" s="229"/>
      <c r="AN560" s="20"/>
      <c r="AO560" s="229">
        <v>1</v>
      </c>
      <c r="AP560" s="20">
        <v>1</v>
      </c>
      <c r="AQ560" s="229"/>
      <c r="AR560" s="20"/>
      <c r="AS560" s="229"/>
      <c r="AT560" s="20"/>
      <c r="AU560" s="229"/>
      <c r="AV560" s="20"/>
      <c r="AW560" s="229"/>
      <c r="AX560" s="20"/>
      <c r="AY560" s="229"/>
      <c r="AZ560" s="20"/>
      <c r="BA560" s="229"/>
      <c r="BB560" s="20"/>
      <c r="BC560" s="229">
        <f>AE560+AG560+AI560+AK560+AM560+AO560+AQ560+AS560+AU560+AW560+AY560+BA560</f>
        <v>1</v>
      </c>
      <c r="BD560" s="48">
        <f t="shared" si="174"/>
        <v>1</v>
      </c>
      <c r="BE560" s="19">
        <v>1</v>
      </c>
      <c r="BF560" s="229">
        <f>AB560+BC560</f>
        <v>1</v>
      </c>
      <c r="BG560" s="210">
        <f t="shared" si="175"/>
        <v>1</v>
      </c>
      <c r="BH560" s="210">
        <f t="shared" si="176"/>
        <v>1</v>
      </c>
      <c r="BI560" s="213">
        <f t="shared" si="172"/>
        <v>100</v>
      </c>
      <c r="BJ560" s="141"/>
      <c r="BK560" s="201"/>
      <c r="BL560" s="198"/>
      <c r="BM560" s="198"/>
    </row>
    <row r="561" spans="1:65" s="17" customFormat="1" ht="21.95" customHeight="1">
      <c r="A561" s="384" t="s">
        <v>2755</v>
      </c>
      <c r="B561" s="384"/>
      <c r="C561" s="384"/>
      <c r="D561" s="90">
        <f t="shared" ref="D561:F561" si="177">SUM(D562:D626)</f>
        <v>0</v>
      </c>
      <c r="E561" s="90">
        <f t="shared" ref="E561:BE561" si="178">SUM(E562:E626)</f>
        <v>0</v>
      </c>
      <c r="F561" s="90">
        <f t="shared" si="177"/>
        <v>0</v>
      </c>
      <c r="G561" s="90">
        <f t="shared" si="178"/>
        <v>0</v>
      </c>
      <c r="H561" s="90">
        <f t="shared" si="178"/>
        <v>1</v>
      </c>
      <c r="I561" s="90">
        <f t="shared" si="178"/>
        <v>1</v>
      </c>
      <c r="J561" s="90">
        <f t="shared" si="178"/>
        <v>0</v>
      </c>
      <c r="K561" s="90">
        <f t="shared" si="178"/>
        <v>0</v>
      </c>
      <c r="L561" s="90">
        <f t="shared" si="178"/>
        <v>0</v>
      </c>
      <c r="M561" s="90">
        <f t="shared" si="178"/>
        <v>0</v>
      </c>
      <c r="N561" s="90">
        <f t="shared" si="178"/>
        <v>0</v>
      </c>
      <c r="O561" s="90">
        <f t="shared" si="178"/>
        <v>0</v>
      </c>
      <c r="P561" s="90">
        <f t="shared" si="178"/>
        <v>0</v>
      </c>
      <c r="Q561" s="90">
        <f t="shared" si="178"/>
        <v>0</v>
      </c>
      <c r="R561" s="90">
        <f t="shared" si="178"/>
        <v>0</v>
      </c>
      <c r="S561" s="90">
        <f t="shared" si="178"/>
        <v>0</v>
      </c>
      <c r="T561" s="90">
        <f t="shared" si="178"/>
        <v>0</v>
      </c>
      <c r="U561" s="90">
        <f t="shared" si="178"/>
        <v>0</v>
      </c>
      <c r="V561" s="90">
        <f t="shared" si="178"/>
        <v>0</v>
      </c>
      <c r="W561" s="90">
        <f t="shared" si="178"/>
        <v>0</v>
      </c>
      <c r="X561" s="90">
        <f t="shared" si="178"/>
        <v>0</v>
      </c>
      <c r="Y561" s="90">
        <f t="shared" si="178"/>
        <v>0</v>
      </c>
      <c r="Z561" s="90">
        <f t="shared" si="178"/>
        <v>0</v>
      </c>
      <c r="AA561" s="90">
        <f t="shared" si="178"/>
        <v>0</v>
      </c>
      <c r="AB561" s="90">
        <f t="shared" ref="AB561" si="179">D561+F561+H561+J561+L561+N561+P561+R561+T561+V561+X561+Z561</f>
        <v>1</v>
      </c>
      <c r="AC561" s="90">
        <f t="shared" ref="AC561" si="180">E561+G561+I561+K561+M561+O561+Q561+S561+U561+W561+Y561+AA561</f>
        <v>1</v>
      </c>
      <c r="AD561" s="112">
        <f t="shared" si="178"/>
        <v>34</v>
      </c>
      <c r="AE561" s="90">
        <f t="shared" si="178"/>
        <v>0</v>
      </c>
      <c r="AF561" s="91">
        <f t="shared" si="178"/>
        <v>0</v>
      </c>
      <c r="AG561" s="90">
        <f t="shared" si="178"/>
        <v>0</v>
      </c>
      <c r="AH561" s="91">
        <f t="shared" si="178"/>
        <v>0</v>
      </c>
      <c r="AI561" s="90">
        <f t="shared" si="178"/>
        <v>208</v>
      </c>
      <c r="AJ561" s="91">
        <f t="shared" si="178"/>
        <v>212</v>
      </c>
      <c r="AK561" s="90">
        <f t="shared" si="178"/>
        <v>0</v>
      </c>
      <c r="AL561" s="91">
        <f t="shared" si="178"/>
        <v>0</v>
      </c>
      <c r="AM561" s="90">
        <f t="shared" si="178"/>
        <v>0</v>
      </c>
      <c r="AN561" s="91">
        <f t="shared" si="178"/>
        <v>0</v>
      </c>
      <c r="AO561" s="90">
        <f t="shared" si="178"/>
        <v>199</v>
      </c>
      <c r="AP561" s="91">
        <f t="shared" si="178"/>
        <v>213</v>
      </c>
      <c r="AQ561" s="90">
        <f t="shared" si="178"/>
        <v>0</v>
      </c>
      <c r="AR561" s="91">
        <f t="shared" si="178"/>
        <v>0</v>
      </c>
      <c r="AS561" s="90">
        <f t="shared" si="178"/>
        <v>0</v>
      </c>
      <c r="AT561" s="91">
        <f t="shared" si="178"/>
        <v>0</v>
      </c>
      <c r="AU561" s="90">
        <f t="shared" si="178"/>
        <v>0</v>
      </c>
      <c r="AV561" s="91">
        <f t="shared" si="178"/>
        <v>213</v>
      </c>
      <c r="AW561" s="90">
        <f t="shared" si="178"/>
        <v>0</v>
      </c>
      <c r="AX561" s="91">
        <f t="shared" si="178"/>
        <v>0</v>
      </c>
      <c r="AY561" s="90">
        <f t="shared" si="178"/>
        <v>0</v>
      </c>
      <c r="AZ561" s="91">
        <f t="shared" si="178"/>
        <v>0</v>
      </c>
      <c r="BA561" s="90">
        <f t="shared" si="178"/>
        <v>0</v>
      </c>
      <c r="BB561" s="91">
        <f t="shared" si="178"/>
        <v>253</v>
      </c>
      <c r="BC561" s="90">
        <f t="shared" ref="BC561" si="181">AE561+AG561+AI561+AK561+AM561+AO561+AQ561+AS561+AU561+AW561+AY561+BA561</f>
        <v>407</v>
      </c>
      <c r="BD561" s="91">
        <f t="shared" ref="BD561" si="182">AF561+AH561+AJ561+AL561+AN561+AP561+AR561+AT561+AV561+AX561+AZ561+BB561</f>
        <v>891</v>
      </c>
      <c r="BE561" s="91">
        <f t="shared" si="178"/>
        <v>708</v>
      </c>
      <c r="BF561" s="90">
        <f t="shared" ref="BF561" si="183">AB561+BC561</f>
        <v>408</v>
      </c>
      <c r="BG561" s="91">
        <f t="shared" ref="BG561" si="184">AC561+BD561</f>
        <v>892</v>
      </c>
      <c r="BH561" s="91">
        <f t="shared" ref="BH561" si="185">AD561+BE561</f>
        <v>742</v>
      </c>
      <c r="BI561" s="272">
        <f t="shared" ref="BI561" si="186">BG561/BH561*100</f>
        <v>120.21563342318061</v>
      </c>
      <c r="BJ561" s="140">
        <v>742</v>
      </c>
      <c r="BK561" s="203">
        <f>BJ561-BH561</f>
        <v>0</v>
      </c>
      <c r="BL561" s="198"/>
      <c r="BM561" s="198"/>
    </row>
    <row r="562" spans="1:65" s="17" customFormat="1" ht="15.95" customHeight="1">
      <c r="A562" s="123">
        <v>1</v>
      </c>
      <c r="B562" s="9" t="s">
        <v>2910</v>
      </c>
      <c r="C562" s="11" t="s">
        <v>2911</v>
      </c>
      <c r="D562" s="229"/>
      <c r="E562" s="13"/>
      <c r="F562" s="229"/>
      <c r="G562" s="13"/>
      <c r="H562" s="229"/>
      <c r="I562" s="13"/>
      <c r="J562" s="229"/>
      <c r="K562" s="13"/>
      <c r="L562" s="229"/>
      <c r="M562" s="13"/>
      <c r="N562" s="229"/>
      <c r="O562" s="13"/>
      <c r="P562" s="229"/>
      <c r="Q562" s="13"/>
      <c r="R562" s="229"/>
      <c r="S562" s="13"/>
      <c r="T562" s="229"/>
      <c r="U562" s="13"/>
      <c r="V562" s="229"/>
      <c r="W562" s="13"/>
      <c r="X562" s="229"/>
      <c r="Y562" s="13"/>
      <c r="Z562" s="229"/>
      <c r="AA562" s="13"/>
      <c r="AB562" s="229">
        <f t="shared" ref="AB562:AC566" si="187">D562+F562+H562+J562+L562+N562+P562+R562+T562+V562+X562+Z562</f>
        <v>0</v>
      </c>
      <c r="AC562" s="228">
        <f t="shared" si="187"/>
        <v>0</v>
      </c>
      <c r="AD562" s="19">
        <v>0</v>
      </c>
      <c r="AE562" s="229"/>
      <c r="AF562" s="20"/>
      <c r="AG562" s="229"/>
      <c r="AH562" s="20"/>
      <c r="AI562" s="229"/>
      <c r="AJ562" s="20"/>
      <c r="AK562" s="229"/>
      <c r="AL562" s="20"/>
      <c r="AM562" s="229"/>
      <c r="AN562" s="20"/>
      <c r="AO562" s="229">
        <v>1</v>
      </c>
      <c r="AP562" s="20">
        <v>1</v>
      </c>
      <c r="AQ562" s="229"/>
      <c r="AR562" s="20"/>
      <c r="AS562" s="229"/>
      <c r="AT562" s="20"/>
      <c r="AU562" s="229"/>
      <c r="AV562" s="20"/>
      <c r="AW562" s="229"/>
      <c r="AX562" s="20"/>
      <c r="AY562" s="229"/>
      <c r="AZ562" s="20"/>
      <c r="BA562" s="229"/>
      <c r="BB562" s="20">
        <v>1</v>
      </c>
      <c r="BC562" s="229">
        <f t="shared" ref="BC562:BD566" si="188">AE562+AG562+AI562+AK562+AM562+AO562+AQ562+AS562+AU562+AW562+AY562+BA562</f>
        <v>1</v>
      </c>
      <c r="BD562" s="48">
        <f t="shared" si="188"/>
        <v>2</v>
      </c>
      <c r="BE562" s="19">
        <v>0</v>
      </c>
      <c r="BF562" s="229"/>
      <c r="BG562" s="210">
        <f t="shared" ref="BG562:BG597" si="189">AC562+BD562</f>
        <v>2</v>
      </c>
      <c r="BH562" s="210">
        <f t="shared" ref="BH562:BH596" si="190">AD562+BE562</f>
        <v>0</v>
      </c>
      <c r="BI562" s="213" t="e">
        <f t="shared" ref="BI562:BI597" si="191">BG562/BH562*100</f>
        <v>#DIV/0!</v>
      </c>
      <c r="BJ562" s="141"/>
      <c r="BK562" s="201"/>
      <c r="BL562" s="198"/>
      <c r="BM562" s="198"/>
    </row>
    <row r="563" spans="1:65" s="17" customFormat="1" ht="15.95" customHeight="1">
      <c r="A563" s="123">
        <v>2</v>
      </c>
      <c r="B563" s="9" t="s">
        <v>109</v>
      </c>
      <c r="C563" s="11" t="s">
        <v>2264</v>
      </c>
      <c r="D563" s="229"/>
      <c r="E563" s="13"/>
      <c r="F563" s="229"/>
      <c r="G563" s="13"/>
      <c r="H563" s="229"/>
      <c r="I563" s="13"/>
      <c r="J563" s="229"/>
      <c r="K563" s="13"/>
      <c r="L563" s="229"/>
      <c r="M563" s="13"/>
      <c r="N563" s="229"/>
      <c r="O563" s="13"/>
      <c r="P563" s="229"/>
      <c r="Q563" s="13"/>
      <c r="R563" s="229"/>
      <c r="S563" s="13"/>
      <c r="T563" s="229"/>
      <c r="U563" s="13"/>
      <c r="V563" s="229"/>
      <c r="W563" s="13"/>
      <c r="X563" s="229"/>
      <c r="Y563" s="13"/>
      <c r="Z563" s="229"/>
      <c r="AA563" s="13"/>
      <c r="AB563" s="229">
        <f t="shared" si="187"/>
        <v>0</v>
      </c>
      <c r="AC563" s="228">
        <f t="shared" si="187"/>
        <v>0</v>
      </c>
      <c r="AD563" s="19">
        <v>0</v>
      </c>
      <c r="AE563" s="229"/>
      <c r="AF563" s="20"/>
      <c r="AG563" s="229"/>
      <c r="AH563" s="20"/>
      <c r="AI563" s="229">
        <v>1</v>
      </c>
      <c r="AJ563" s="20">
        <v>1</v>
      </c>
      <c r="AK563" s="229"/>
      <c r="AL563" s="20"/>
      <c r="AM563" s="229"/>
      <c r="AN563" s="20"/>
      <c r="AO563" s="229">
        <v>1</v>
      </c>
      <c r="AP563" s="20">
        <v>1</v>
      </c>
      <c r="AQ563" s="229"/>
      <c r="AR563" s="20"/>
      <c r="AS563" s="229"/>
      <c r="AT563" s="20"/>
      <c r="AU563" s="229"/>
      <c r="AV563" s="20"/>
      <c r="AW563" s="229"/>
      <c r="AX563" s="20"/>
      <c r="AY563" s="229"/>
      <c r="AZ563" s="20"/>
      <c r="BA563" s="229"/>
      <c r="BB563" s="20"/>
      <c r="BC563" s="229">
        <f t="shared" si="188"/>
        <v>2</v>
      </c>
      <c r="BD563" s="48">
        <f t="shared" si="188"/>
        <v>2</v>
      </c>
      <c r="BE563" s="19">
        <v>0</v>
      </c>
      <c r="BF563" s="229">
        <f>AB563+BC563</f>
        <v>2</v>
      </c>
      <c r="BG563" s="210">
        <f t="shared" si="189"/>
        <v>2</v>
      </c>
      <c r="BH563" s="210">
        <f t="shared" si="190"/>
        <v>0</v>
      </c>
      <c r="BI563" s="213" t="e">
        <f t="shared" si="191"/>
        <v>#DIV/0!</v>
      </c>
      <c r="BJ563" s="141"/>
      <c r="BK563" s="201"/>
      <c r="BL563" s="198"/>
      <c r="BM563" s="198"/>
    </row>
    <row r="564" spans="1:65" s="17" customFormat="1" ht="15.95" customHeight="1">
      <c r="A564" s="123">
        <v>3</v>
      </c>
      <c r="B564" s="9" t="s">
        <v>852</v>
      </c>
      <c r="C564" s="11" t="s">
        <v>949</v>
      </c>
      <c r="D564" s="229"/>
      <c r="E564" s="13"/>
      <c r="F564" s="229"/>
      <c r="G564" s="13"/>
      <c r="H564" s="229"/>
      <c r="I564" s="13"/>
      <c r="J564" s="229"/>
      <c r="K564" s="13"/>
      <c r="L564" s="229"/>
      <c r="M564" s="13"/>
      <c r="N564" s="229"/>
      <c r="O564" s="13"/>
      <c r="P564" s="229"/>
      <c r="Q564" s="13"/>
      <c r="R564" s="229"/>
      <c r="S564" s="13"/>
      <c r="T564" s="229"/>
      <c r="U564" s="13"/>
      <c r="V564" s="229"/>
      <c r="W564" s="13"/>
      <c r="X564" s="229"/>
      <c r="Y564" s="13"/>
      <c r="Z564" s="229"/>
      <c r="AA564" s="13"/>
      <c r="AB564" s="229">
        <f t="shared" si="187"/>
        <v>0</v>
      </c>
      <c r="AC564" s="228">
        <f t="shared" si="187"/>
        <v>0</v>
      </c>
      <c r="AD564" s="19">
        <v>6</v>
      </c>
      <c r="AE564" s="229"/>
      <c r="AF564" s="20"/>
      <c r="AG564" s="229"/>
      <c r="AH564" s="20"/>
      <c r="AI564" s="229">
        <f>5+1</f>
        <v>6</v>
      </c>
      <c r="AJ564" s="20">
        <f>8+1</f>
        <v>9</v>
      </c>
      <c r="AK564" s="229"/>
      <c r="AL564" s="20"/>
      <c r="AM564" s="229"/>
      <c r="AN564" s="20"/>
      <c r="AO564" s="229">
        <v>2</v>
      </c>
      <c r="AP564" s="20">
        <v>5</v>
      </c>
      <c r="AQ564" s="229"/>
      <c r="AR564" s="20"/>
      <c r="AS564" s="229"/>
      <c r="AT564" s="20"/>
      <c r="AU564" s="229"/>
      <c r="AV564" s="20">
        <f>2+2</f>
        <v>4</v>
      </c>
      <c r="AW564" s="229"/>
      <c r="AX564" s="20"/>
      <c r="AY564" s="229"/>
      <c r="AZ564" s="20"/>
      <c r="BA564" s="229"/>
      <c r="BB564" s="20">
        <f>3+1</f>
        <v>4</v>
      </c>
      <c r="BC564" s="229">
        <f t="shared" si="188"/>
        <v>8</v>
      </c>
      <c r="BD564" s="48">
        <f t="shared" si="188"/>
        <v>22</v>
      </c>
      <c r="BE564" s="19">
        <v>24</v>
      </c>
      <c r="BF564" s="229">
        <f>AB564+BC564</f>
        <v>8</v>
      </c>
      <c r="BG564" s="210">
        <f t="shared" si="189"/>
        <v>22</v>
      </c>
      <c r="BH564" s="210">
        <f t="shared" si="190"/>
        <v>30</v>
      </c>
      <c r="BI564" s="213">
        <f t="shared" si="191"/>
        <v>73.333333333333329</v>
      </c>
      <c r="BJ564" s="141"/>
      <c r="BK564" s="201"/>
      <c r="BL564" s="198"/>
      <c r="BM564" s="198"/>
    </row>
    <row r="565" spans="1:65" s="17" customFormat="1" ht="15.95" customHeight="1">
      <c r="A565" s="123">
        <v>4</v>
      </c>
      <c r="B565" s="9" t="s">
        <v>540</v>
      </c>
      <c r="C565" s="11" t="s">
        <v>1953</v>
      </c>
      <c r="D565" s="229"/>
      <c r="E565" s="13"/>
      <c r="F565" s="229"/>
      <c r="G565" s="13"/>
      <c r="H565" s="229"/>
      <c r="I565" s="13"/>
      <c r="J565" s="229"/>
      <c r="K565" s="13"/>
      <c r="L565" s="229"/>
      <c r="M565" s="13"/>
      <c r="N565" s="229"/>
      <c r="O565" s="13"/>
      <c r="P565" s="229"/>
      <c r="Q565" s="13"/>
      <c r="R565" s="229"/>
      <c r="S565" s="13"/>
      <c r="T565" s="229"/>
      <c r="U565" s="13"/>
      <c r="V565" s="229"/>
      <c r="W565" s="13"/>
      <c r="X565" s="229"/>
      <c r="Y565" s="13"/>
      <c r="Z565" s="229"/>
      <c r="AA565" s="13"/>
      <c r="AB565" s="229">
        <f t="shared" si="187"/>
        <v>0</v>
      </c>
      <c r="AC565" s="228">
        <f t="shared" si="187"/>
        <v>0</v>
      </c>
      <c r="AD565" s="21">
        <v>26</v>
      </c>
      <c r="AE565" s="229"/>
      <c r="AF565" s="20"/>
      <c r="AG565" s="229"/>
      <c r="AH565" s="20"/>
      <c r="AI565" s="229"/>
      <c r="AJ565" s="20"/>
      <c r="AK565" s="229"/>
      <c r="AL565" s="20"/>
      <c r="AM565" s="229"/>
      <c r="AN565" s="20"/>
      <c r="AO565" s="229"/>
      <c r="AP565" s="20"/>
      <c r="AQ565" s="229"/>
      <c r="AR565" s="20"/>
      <c r="AS565" s="229"/>
      <c r="AT565" s="20"/>
      <c r="AU565" s="229"/>
      <c r="AV565" s="20"/>
      <c r="AW565" s="229"/>
      <c r="AX565" s="20"/>
      <c r="AY565" s="229"/>
      <c r="AZ565" s="20"/>
      <c r="BA565" s="229"/>
      <c r="BB565" s="20"/>
      <c r="BC565" s="229">
        <f t="shared" si="188"/>
        <v>0</v>
      </c>
      <c r="BD565" s="48">
        <f t="shared" si="188"/>
        <v>0</v>
      </c>
      <c r="BE565" s="19">
        <v>1</v>
      </c>
      <c r="BF565" s="229">
        <f>AB565+BC565</f>
        <v>0</v>
      </c>
      <c r="BG565" s="210">
        <f t="shared" si="189"/>
        <v>0</v>
      </c>
      <c r="BH565" s="210">
        <f t="shared" si="190"/>
        <v>27</v>
      </c>
      <c r="BI565" s="213">
        <f t="shared" si="191"/>
        <v>0</v>
      </c>
      <c r="BJ565" s="141"/>
      <c r="BK565" s="201"/>
      <c r="BL565" s="198"/>
      <c r="BM565" s="198"/>
    </row>
    <row r="566" spans="1:65" s="17" customFormat="1" ht="15.95" customHeight="1">
      <c r="A566" s="123">
        <v>5</v>
      </c>
      <c r="B566" s="9" t="s">
        <v>472</v>
      </c>
      <c r="C566" s="11" t="s">
        <v>473</v>
      </c>
      <c r="D566" s="229"/>
      <c r="E566" s="13"/>
      <c r="F566" s="229"/>
      <c r="G566" s="13"/>
      <c r="H566" s="229"/>
      <c r="I566" s="13"/>
      <c r="J566" s="229"/>
      <c r="K566" s="13"/>
      <c r="L566" s="229"/>
      <c r="M566" s="13"/>
      <c r="N566" s="229"/>
      <c r="O566" s="13"/>
      <c r="P566" s="229"/>
      <c r="Q566" s="13"/>
      <c r="R566" s="229"/>
      <c r="S566" s="13"/>
      <c r="T566" s="229"/>
      <c r="U566" s="13"/>
      <c r="V566" s="229"/>
      <c r="W566" s="13"/>
      <c r="X566" s="229"/>
      <c r="Y566" s="13"/>
      <c r="Z566" s="229"/>
      <c r="AA566" s="13"/>
      <c r="AB566" s="229">
        <f t="shared" si="187"/>
        <v>0</v>
      </c>
      <c r="AC566" s="228">
        <f t="shared" si="187"/>
        <v>0</v>
      </c>
      <c r="AD566" s="21">
        <v>0</v>
      </c>
      <c r="AE566" s="229"/>
      <c r="AF566" s="20"/>
      <c r="AG566" s="229"/>
      <c r="AH566" s="20"/>
      <c r="AI566" s="229"/>
      <c r="AJ566" s="20"/>
      <c r="AK566" s="229"/>
      <c r="AL566" s="20"/>
      <c r="AM566" s="229"/>
      <c r="AN566" s="20"/>
      <c r="AO566" s="229"/>
      <c r="AP566" s="20"/>
      <c r="AQ566" s="229"/>
      <c r="AR566" s="20"/>
      <c r="AS566" s="229"/>
      <c r="AT566" s="20"/>
      <c r="AU566" s="229"/>
      <c r="AV566" s="20"/>
      <c r="AW566" s="229"/>
      <c r="AX566" s="20"/>
      <c r="AY566" s="229"/>
      <c r="AZ566" s="20"/>
      <c r="BA566" s="229"/>
      <c r="BB566" s="20"/>
      <c r="BC566" s="229">
        <f t="shared" si="188"/>
        <v>0</v>
      </c>
      <c r="BD566" s="48">
        <f t="shared" si="188"/>
        <v>0</v>
      </c>
      <c r="BE566" s="19">
        <v>1</v>
      </c>
      <c r="BF566" s="229">
        <f>AB566+BC566</f>
        <v>0</v>
      </c>
      <c r="BG566" s="210">
        <f t="shared" si="189"/>
        <v>0</v>
      </c>
      <c r="BH566" s="210">
        <f t="shared" si="190"/>
        <v>1</v>
      </c>
      <c r="BI566" s="213">
        <f t="shared" si="191"/>
        <v>0</v>
      </c>
      <c r="BJ566" s="141"/>
      <c r="BK566" s="201"/>
      <c r="BL566" s="198"/>
      <c r="BM566" s="198"/>
    </row>
    <row r="567" spans="1:65" s="17" customFormat="1" ht="15.95" customHeight="1">
      <c r="A567" s="123">
        <v>6</v>
      </c>
      <c r="B567" s="9" t="s">
        <v>410</v>
      </c>
      <c r="C567" s="11" t="s">
        <v>2592</v>
      </c>
      <c r="D567" s="229"/>
      <c r="E567" s="13"/>
      <c r="F567" s="229"/>
      <c r="G567" s="13"/>
      <c r="H567" s="229"/>
      <c r="I567" s="13"/>
      <c r="J567" s="229"/>
      <c r="K567" s="13"/>
      <c r="L567" s="229"/>
      <c r="M567" s="13"/>
      <c r="N567" s="229"/>
      <c r="O567" s="13"/>
      <c r="P567" s="229"/>
      <c r="Q567" s="13"/>
      <c r="R567" s="229"/>
      <c r="S567" s="13"/>
      <c r="T567" s="229"/>
      <c r="U567" s="13"/>
      <c r="V567" s="229"/>
      <c r="W567" s="13"/>
      <c r="X567" s="229"/>
      <c r="Y567" s="13"/>
      <c r="Z567" s="229"/>
      <c r="AA567" s="13"/>
      <c r="AB567" s="229"/>
      <c r="AC567" s="228">
        <f t="shared" ref="AC567:AC598" si="192">E567+G567+I567+K567+M567+O567+Q567+S567+U567+W567+Y567+AA567</f>
        <v>0</v>
      </c>
      <c r="AD567" s="21">
        <v>0</v>
      </c>
      <c r="AE567" s="229"/>
      <c r="AF567" s="20"/>
      <c r="AG567" s="229"/>
      <c r="AH567" s="20"/>
      <c r="AI567" s="229"/>
      <c r="AJ567" s="20"/>
      <c r="AK567" s="229"/>
      <c r="AL567" s="20"/>
      <c r="AM567" s="229"/>
      <c r="AN567" s="20"/>
      <c r="AO567" s="229"/>
      <c r="AP567" s="20"/>
      <c r="AQ567" s="229"/>
      <c r="AR567" s="20"/>
      <c r="AS567" s="229"/>
      <c r="AT567" s="20"/>
      <c r="AU567" s="229"/>
      <c r="AV567" s="20"/>
      <c r="AW567" s="229"/>
      <c r="AX567" s="20"/>
      <c r="AY567" s="229"/>
      <c r="AZ567" s="20"/>
      <c r="BA567" s="229"/>
      <c r="BB567" s="20">
        <v>1</v>
      </c>
      <c r="BC567" s="229"/>
      <c r="BD567" s="48">
        <f t="shared" ref="BD567:BD598" si="193">AF567+AH567+AJ567+AL567+AN567+AP567+AR567+AT567+AV567+AX567+AZ567+BB567</f>
        <v>1</v>
      </c>
      <c r="BE567" s="19">
        <v>0</v>
      </c>
      <c r="BF567" s="229"/>
      <c r="BG567" s="210">
        <f t="shared" si="189"/>
        <v>1</v>
      </c>
      <c r="BH567" s="210">
        <f t="shared" si="190"/>
        <v>0</v>
      </c>
      <c r="BI567" s="213" t="e">
        <f t="shared" si="191"/>
        <v>#DIV/0!</v>
      </c>
      <c r="BJ567" s="141"/>
      <c r="BK567" s="201"/>
      <c r="BL567" s="198"/>
      <c r="BM567" s="198"/>
    </row>
    <row r="568" spans="1:65" s="17" customFormat="1" ht="15.95" customHeight="1">
      <c r="A568" s="123">
        <v>7</v>
      </c>
      <c r="B568" s="321" t="s">
        <v>1456</v>
      </c>
      <c r="C568" s="322" t="s">
        <v>1457</v>
      </c>
      <c r="D568" s="323"/>
      <c r="E568" s="324"/>
      <c r="F568" s="323"/>
      <c r="G568" s="324"/>
      <c r="H568" s="323"/>
      <c r="I568" s="324"/>
      <c r="J568" s="323"/>
      <c r="K568" s="324"/>
      <c r="L568" s="323"/>
      <c r="M568" s="324"/>
      <c r="N568" s="323"/>
      <c r="O568" s="324"/>
      <c r="P568" s="323"/>
      <c r="Q568" s="324"/>
      <c r="R568" s="323"/>
      <c r="S568" s="324"/>
      <c r="T568" s="323"/>
      <c r="U568" s="324"/>
      <c r="V568" s="323"/>
      <c r="W568" s="324"/>
      <c r="X568" s="323"/>
      <c r="Y568" s="324"/>
      <c r="Z568" s="323"/>
      <c r="AA568" s="324"/>
      <c r="AB568" s="323">
        <f t="shared" ref="AB568:AB573" si="194">D568+F568+H568+J568+L568+N568+P568+R568+T568+V568+X568+Z568</f>
        <v>0</v>
      </c>
      <c r="AC568" s="228">
        <f t="shared" si="192"/>
        <v>0</v>
      </c>
      <c r="AD568" s="329">
        <v>0</v>
      </c>
      <c r="AE568" s="323"/>
      <c r="AF568" s="327"/>
      <c r="AG568" s="323"/>
      <c r="AH568" s="327"/>
      <c r="AI568" s="323"/>
      <c r="AJ568" s="327"/>
      <c r="AK568" s="323"/>
      <c r="AL568" s="327"/>
      <c r="AM568" s="323"/>
      <c r="AN568" s="327"/>
      <c r="AO568" s="323"/>
      <c r="AP568" s="327"/>
      <c r="AQ568" s="323"/>
      <c r="AR568" s="327"/>
      <c r="AS568" s="323"/>
      <c r="AT568" s="327"/>
      <c r="AU568" s="323"/>
      <c r="AV568" s="327"/>
      <c r="AW568" s="323"/>
      <c r="AX568" s="327"/>
      <c r="AY568" s="323"/>
      <c r="AZ568" s="327"/>
      <c r="BA568" s="323"/>
      <c r="BB568" s="327"/>
      <c r="BC568" s="323">
        <f t="shared" ref="BC568:BC573" si="195">AE568+AG568+AI568+AK568+AM568+AO568+AQ568+AS568+AU568+AW568+AY568+BA568</f>
        <v>0</v>
      </c>
      <c r="BD568" s="48">
        <f t="shared" si="193"/>
        <v>0</v>
      </c>
      <c r="BE568" s="326">
        <v>1</v>
      </c>
      <c r="BF568" s="323">
        <f t="shared" ref="BF568:BF573" si="196">AB568+BC568</f>
        <v>0</v>
      </c>
      <c r="BG568" s="210">
        <f t="shared" si="189"/>
        <v>0</v>
      </c>
      <c r="BH568" s="210">
        <f t="shared" si="190"/>
        <v>1</v>
      </c>
      <c r="BI568" s="213">
        <f t="shared" si="191"/>
        <v>0</v>
      </c>
      <c r="BJ568" s="141"/>
      <c r="BK568" s="201"/>
      <c r="BL568" s="198"/>
      <c r="BM568" s="198"/>
    </row>
    <row r="569" spans="1:65" s="17" customFormat="1" ht="15.95" customHeight="1">
      <c r="A569" s="123">
        <v>8</v>
      </c>
      <c r="B569" s="9" t="s">
        <v>483</v>
      </c>
      <c r="C569" s="15" t="s">
        <v>2587</v>
      </c>
      <c r="D569" s="229"/>
      <c r="E569" s="13"/>
      <c r="F569" s="229"/>
      <c r="G569" s="13"/>
      <c r="H569" s="229"/>
      <c r="I569" s="13"/>
      <c r="J569" s="229"/>
      <c r="K569" s="13"/>
      <c r="L569" s="229"/>
      <c r="M569" s="13"/>
      <c r="N569" s="229"/>
      <c r="O569" s="13"/>
      <c r="P569" s="229"/>
      <c r="Q569" s="13"/>
      <c r="R569" s="229"/>
      <c r="S569" s="13"/>
      <c r="T569" s="229"/>
      <c r="U569" s="13"/>
      <c r="V569" s="229"/>
      <c r="W569" s="13"/>
      <c r="X569" s="229"/>
      <c r="Y569" s="13"/>
      <c r="Z569" s="229"/>
      <c r="AA569" s="13"/>
      <c r="AB569" s="229">
        <f t="shared" si="194"/>
        <v>0</v>
      </c>
      <c r="AC569" s="228">
        <f t="shared" si="192"/>
        <v>0</v>
      </c>
      <c r="AD569" s="21">
        <v>0</v>
      </c>
      <c r="AE569" s="229"/>
      <c r="AF569" s="20"/>
      <c r="AG569" s="229"/>
      <c r="AH569" s="20"/>
      <c r="AI569" s="229"/>
      <c r="AJ569" s="20"/>
      <c r="AK569" s="229"/>
      <c r="AL569" s="20"/>
      <c r="AM569" s="229"/>
      <c r="AN569" s="20"/>
      <c r="AO569" s="229"/>
      <c r="AP569" s="20"/>
      <c r="AQ569" s="229"/>
      <c r="AR569" s="20"/>
      <c r="AS569" s="229"/>
      <c r="AT569" s="20"/>
      <c r="AU569" s="229"/>
      <c r="AV569" s="20"/>
      <c r="AW569" s="229"/>
      <c r="AX569" s="20"/>
      <c r="AY569" s="229"/>
      <c r="AZ569" s="20"/>
      <c r="BA569" s="229"/>
      <c r="BB569" s="20"/>
      <c r="BC569" s="229">
        <f t="shared" si="195"/>
        <v>0</v>
      </c>
      <c r="BD569" s="48">
        <f t="shared" si="193"/>
        <v>0</v>
      </c>
      <c r="BE569" s="19">
        <v>3</v>
      </c>
      <c r="BF569" s="229">
        <f t="shared" si="196"/>
        <v>0</v>
      </c>
      <c r="BG569" s="210">
        <f t="shared" si="189"/>
        <v>0</v>
      </c>
      <c r="BH569" s="210">
        <f t="shared" si="190"/>
        <v>3</v>
      </c>
      <c r="BI569" s="213">
        <f t="shared" si="191"/>
        <v>0</v>
      </c>
      <c r="BJ569" s="141"/>
      <c r="BK569" s="201"/>
      <c r="BL569" s="198"/>
      <c r="BM569" s="198"/>
    </row>
    <row r="570" spans="1:65" s="17" customFormat="1" ht="15.95" customHeight="1">
      <c r="A570" s="123">
        <v>9</v>
      </c>
      <c r="B570" s="9" t="s">
        <v>476</v>
      </c>
      <c r="C570" s="11" t="s">
        <v>477</v>
      </c>
      <c r="D570" s="229"/>
      <c r="E570" s="13"/>
      <c r="F570" s="229"/>
      <c r="G570" s="13"/>
      <c r="H570" s="229"/>
      <c r="I570" s="13"/>
      <c r="J570" s="229"/>
      <c r="K570" s="13"/>
      <c r="L570" s="229"/>
      <c r="M570" s="13"/>
      <c r="N570" s="229"/>
      <c r="O570" s="13"/>
      <c r="P570" s="229"/>
      <c r="Q570" s="13"/>
      <c r="R570" s="229"/>
      <c r="S570" s="13"/>
      <c r="T570" s="229"/>
      <c r="U570" s="13"/>
      <c r="V570" s="229"/>
      <c r="W570" s="13"/>
      <c r="X570" s="229"/>
      <c r="Y570" s="13"/>
      <c r="Z570" s="229"/>
      <c r="AA570" s="13"/>
      <c r="AB570" s="229">
        <f t="shared" si="194"/>
        <v>0</v>
      </c>
      <c r="AC570" s="228">
        <f t="shared" si="192"/>
        <v>0</v>
      </c>
      <c r="AD570" s="21">
        <v>0</v>
      </c>
      <c r="AE570" s="229"/>
      <c r="AF570" s="20"/>
      <c r="AG570" s="229"/>
      <c r="AH570" s="20"/>
      <c r="AI570" s="229"/>
      <c r="AJ570" s="20"/>
      <c r="AK570" s="229"/>
      <c r="AL570" s="20"/>
      <c r="AM570" s="229"/>
      <c r="AN570" s="20"/>
      <c r="AO570" s="229"/>
      <c r="AP570" s="20"/>
      <c r="AQ570" s="229"/>
      <c r="AR570" s="20"/>
      <c r="AS570" s="229"/>
      <c r="AT570" s="20"/>
      <c r="AU570" s="229"/>
      <c r="AV570" s="20">
        <v>1</v>
      </c>
      <c r="AW570" s="229"/>
      <c r="AX570" s="20"/>
      <c r="AY570" s="229"/>
      <c r="AZ570" s="20"/>
      <c r="BA570" s="229"/>
      <c r="BB570" s="20"/>
      <c r="BC570" s="229">
        <f t="shared" si="195"/>
        <v>0</v>
      </c>
      <c r="BD570" s="48">
        <f t="shared" si="193"/>
        <v>1</v>
      </c>
      <c r="BE570" s="19">
        <v>1</v>
      </c>
      <c r="BF570" s="229">
        <f t="shared" si="196"/>
        <v>0</v>
      </c>
      <c r="BG570" s="210">
        <f t="shared" si="189"/>
        <v>1</v>
      </c>
      <c r="BH570" s="210">
        <f t="shared" si="190"/>
        <v>1</v>
      </c>
      <c r="BI570" s="213">
        <f t="shared" si="191"/>
        <v>100</v>
      </c>
      <c r="BJ570" s="141"/>
      <c r="BK570" s="201"/>
      <c r="BL570" s="198"/>
      <c r="BM570" s="198"/>
    </row>
    <row r="571" spans="1:65" s="17" customFormat="1" ht="15.95" customHeight="1">
      <c r="A571" s="123">
        <v>10</v>
      </c>
      <c r="B571" s="9" t="s">
        <v>190</v>
      </c>
      <c r="C571" s="181" t="s">
        <v>191</v>
      </c>
      <c r="D571" s="229"/>
      <c r="E571" s="13"/>
      <c r="F571" s="229"/>
      <c r="G571" s="13"/>
      <c r="H571" s="229"/>
      <c r="I571" s="13"/>
      <c r="J571" s="229"/>
      <c r="K571" s="13"/>
      <c r="L571" s="229"/>
      <c r="M571" s="13"/>
      <c r="N571" s="229"/>
      <c r="O571" s="13"/>
      <c r="P571" s="229"/>
      <c r="Q571" s="13"/>
      <c r="R571" s="229"/>
      <c r="S571" s="13"/>
      <c r="T571" s="229"/>
      <c r="U571" s="13"/>
      <c r="V571" s="229"/>
      <c r="W571" s="13"/>
      <c r="X571" s="229"/>
      <c r="Y571" s="13"/>
      <c r="Z571" s="229"/>
      <c r="AA571" s="13"/>
      <c r="AB571" s="229">
        <f t="shared" si="194"/>
        <v>0</v>
      </c>
      <c r="AC571" s="228">
        <f t="shared" si="192"/>
        <v>0</v>
      </c>
      <c r="AD571" s="21">
        <v>0</v>
      </c>
      <c r="AE571" s="229"/>
      <c r="AF571" s="20"/>
      <c r="AG571" s="229"/>
      <c r="AH571" s="20"/>
      <c r="AI571" s="229">
        <v>1</v>
      </c>
      <c r="AJ571" s="20">
        <v>1</v>
      </c>
      <c r="AK571" s="229"/>
      <c r="AL571" s="20"/>
      <c r="AM571" s="229"/>
      <c r="AN571" s="20"/>
      <c r="AO571" s="229"/>
      <c r="AP571" s="20"/>
      <c r="AQ571" s="229"/>
      <c r="AR571" s="20"/>
      <c r="AS571" s="229"/>
      <c r="AT571" s="20"/>
      <c r="AU571" s="229"/>
      <c r="AV571" s="20"/>
      <c r="AW571" s="229"/>
      <c r="AX571" s="20"/>
      <c r="AY571" s="229"/>
      <c r="AZ571" s="20"/>
      <c r="BA571" s="229"/>
      <c r="BB571" s="20"/>
      <c r="BC571" s="229">
        <f t="shared" si="195"/>
        <v>1</v>
      </c>
      <c r="BD571" s="48">
        <f t="shared" si="193"/>
        <v>1</v>
      </c>
      <c r="BE571" s="19">
        <v>3</v>
      </c>
      <c r="BF571" s="229">
        <f t="shared" si="196"/>
        <v>1</v>
      </c>
      <c r="BG571" s="210">
        <f t="shared" si="189"/>
        <v>1</v>
      </c>
      <c r="BH571" s="210">
        <f t="shared" si="190"/>
        <v>3</v>
      </c>
      <c r="BI571" s="213">
        <f t="shared" si="191"/>
        <v>33.333333333333329</v>
      </c>
      <c r="BJ571" s="141"/>
      <c r="BK571" s="201"/>
      <c r="BL571" s="198"/>
      <c r="BM571" s="198"/>
    </row>
    <row r="572" spans="1:65" s="17" customFormat="1" ht="15.95" customHeight="1">
      <c r="A572" s="123">
        <v>11</v>
      </c>
      <c r="B572" s="9" t="s">
        <v>192</v>
      </c>
      <c r="C572" s="11" t="s">
        <v>321</v>
      </c>
      <c r="D572" s="229"/>
      <c r="E572" s="13"/>
      <c r="F572" s="229"/>
      <c r="G572" s="13"/>
      <c r="H572" s="229"/>
      <c r="I572" s="13"/>
      <c r="J572" s="229"/>
      <c r="K572" s="13"/>
      <c r="L572" s="229"/>
      <c r="M572" s="13"/>
      <c r="N572" s="229"/>
      <c r="O572" s="13"/>
      <c r="P572" s="229"/>
      <c r="Q572" s="13"/>
      <c r="R572" s="229"/>
      <c r="S572" s="13"/>
      <c r="T572" s="229"/>
      <c r="U572" s="13"/>
      <c r="V572" s="229"/>
      <c r="W572" s="13"/>
      <c r="X572" s="229"/>
      <c r="Y572" s="13"/>
      <c r="Z572" s="229"/>
      <c r="AA572" s="13"/>
      <c r="AB572" s="229">
        <f t="shared" si="194"/>
        <v>0</v>
      </c>
      <c r="AC572" s="228">
        <f t="shared" si="192"/>
        <v>0</v>
      </c>
      <c r="AD572" s="21">
        <v>0</v>
      </c>
      <c r="AE572" s="229"/>
      <c r="AF572" s="20"/>
      <c r="AG572" s="229"/>
      <c r="AH572" s="20"/>
      <c r="AI572" s="229">
        <v>30</v>
      </c>
      <c r="AJ572" s="20">
        <v>31</v>
      </c>
      <c r="AK572" s="229"/>
      <c r="AL572" s="20"/>
      <c r="AM572" s="229"/>
      <c r="AN572" s="20"/>
      <c r="AO572" s="229">
        <v>34</v>
      </c>
      <c r="AP572" s="20">
        <v>35</v>
      </c>
      <c r="AQ572" s="229"/>
      <c r="AR572" s="20"/>
      <c r="AS572" s="229"/>
      <c r="AT572" s="20"/>
      <c r="AU572" s="229"/>
      <c r="AV572" s="20">
        <v>19</v>
      </c>
      <c r="AW572" s="229"/>
      <c r="AX572" s="20"/>
      <c r="AY572" s="229"/>
      <c r="AZ572" s="20"/>
      <c r="BA572" s="229"/>
      <c r="BB572" s="20">
        <v>32</v>
      </c>
      <c r="BC572" s="229">
        <f t="shared" si="195"/>
        <v>64</v>
      </c>
      <c r="BD572" s="48">
        <f t="shared" si="193"/>
        <v>117</v>
      </c>
      <c r="BE572" s="19">
        <v>41</v>
      </c>
      <c r="BF572" s="229">
        <f t="shared" si="196"/>
        <v>64</v>
      </c>
      <c r="BG572" s="210">
        <f t="shared" si="189"/>
        <v>117</v>
      </c>
      <c r="BH572" s="210">
        <f t="shared" si="190"/>
        <v>41</v>
      </c>
      <c r="BI572" s="213">
        <f t="shared" si="191"/>
        <v>285.36585365853659</v>
      </c>
      <c r="BJ572" s="141"/>
      <c r="BK572" s="201"/>
      <c r="BL572" s="198"/>
      <c r="BM572" s="198"/>
    </row>
    <row r="573" spans="1:65" s="17" customFormat="1" ht="15.95" customHeight="1">
      <c r="A573" s="123">
        <v>12</v>
      </c>
      <c r="B573" s="9" t="s">
        <v>415</v>
      </c>
      <c r="C573" s="11" t="s">
        <v>1355</v>
      </c>
      <c r="D573" s="229"/>
      <c r="E573" s="13"/>
      <c r="F573" s="229"/>
      <c r="G573" s="13"/>
      <c r="H573" s="229"/>
      <c r="I573" s="13"/>
      <c r="J573" s="229"/>
      <c r="K573" s="13"/>
      <c r="L573" s="229"/>
      <c r="M573" s="13"/>
      <c r="N573" s="229"/>
      <c r="O573" s="13"/>
      <c r="P573" s="229"/>
      <c r="Q573" s="13"/>
      <c r="R573" s="229"/>
      <c r="S573" s="13"/>
      <c r="T573" s="229"/>
      <c r="U573" s="13"/>
      <c r="V573" s="229"/>
      <c r="W573" s="13"/>
      <c r="X573" s="229"/>
      <c r="Y573" s="13"/>
      <c r="Z573" s="229"/>
      <c r="AA573" s="13"/>
      <c r="AB573" s="229">
        <f t="shared" si="194"/>
        <v>0</v>
      </c>
      <c r="AC573" s="228">
        <f t="shared" si="192"/>
        <v>0</v>
      </c>
      <c r="AD573" s="21">
        <v>0</v>
      </c>
      <c r="AE573" s="229"/>
      <c r="AF573" s="20"/>
      <c r="AG573" s="229"/>
      <c r="AH573" s="20"/>
      <c r="AI573" s="229"/>
      <c r="AJ573" s="20"/>
      <c r="AK573" s="229"/>
      <c r="AL573" s="20"/>
      <c r="AM573" s="229"/>
      <c r="AN573" s="20"/>
      <c r="AO573" s="229">
        <v>1</v>
      </c>
      <c r="AP573" s="20">
        <v>1</v>
      </c>
      <c r="AQ573" s="229"/>
      <c r="AR573" s="20"/>
      <c r="AS573" s="229"/>
      <c r="AT573" s="20"/>
      <c r="AU573" s="229"/>
      <c r="AV573" s="20"/>
      <c r="AW573" s="229"/>
      <c r="AX573" s="20"/>
      <c r="AY573" s="229"/>
      <c r="AZ573" s="20"/>
      <c r="BA573" s="229"/>
      <c r="BB573" s="20"/>
      <c r="BC573" s="229">
        <f t="shared" si="195"/>
        <v>1</v>
      </c>
      <c r="BD573" s="48">
        <f t="shared" si="193"/>
        <v>1</v>
      </c>
      <c r="BE573" s="19">
        <v>5</v>
      </c>
      <c r="BF573" s="229">
        <f t="shared" si="196"/>
        <v>1</v>
      </c>
      <c r="BG573" s="210">
        <f t="shared" si="189"/>
        <v>1</v>
      </c>
      <c r="BH573" s="210">
        <f t="shared" si="190"/>
        <v>5</v>
      </c>
      <c r="BI573" s="213">
        <f t="shared" si="191"/>
        <v>20</v>
      </c>
      <c r="BJ573" s="141"/>
      <c r="BK573" s="201"/>
      <c r="BL573" s="198"/>
      <c r="BM573" s="198"/>
    </row>
    <row r="574" spans="1:65" s="17" customFormat="1" ht="15.95" customHeight="1">
      <c r="A574" s="123">
        <v>13</v>
      </c>
      <c r="B574" s="9" t="s">
        <v>3069</v>
      </c>
      <c r="C574" s="11" t="s">
        <v>3070</v>
      </c>
      <c r="D574" s="229"/>
      <c r="E574" s="13"/>
      <c r="F574" s="229"/>
      <c r="G574" s="13"/>
      <c r="H574" s="229"/>
      <c r="I574" s="13"/>
      <c r="J574" s="229"/>
      <c r="K574" s="13"/>
      <c r="L574" s="229"/>
      <c r="M574" s="13"/>
      <c r="N574" s="229"/>
      <c r="O574" s="13"/>
      <c r="P574" s="229"/>
      <c r="Q574" s="13"/>
      <c r="R574" s="229"/>
      <c r="S574" s="13"/>
      <c r="T574" s="229"/>
      <c r="U574" s="13"/>
      <c r="V574" s="229"/>
      <c r="W574" s="13"/>
      <c r="X574" s="229"/>
      <c r="Y574" s="13"/>
      <c r="Z574" s="229"/>
      <c r="AA574" s="13"/>
      <c r="AB574" s="229"/>
      <c r="AC574" s="228">
        <f t="shared" si="192"/>
        <v>0</v>
      </c>
      <c r="AD574" s="21">
        <v>0</v>
      </c>
      <c r="AE574" s="229"/>
      <c r="AF574" s="20"/>
      <c r="AG574" s="229"/>
      <c r="AH574" s="20"/>
      <c r="AI574" s="229"/>
      <c r="AJ574" s="20"/>
      <c r="AK574" s="229"/>
      <c r="AL574" s="20"/>
      <c r="AM574" s="229"/>
      <c r="AN574" s="20"/>
      <c r="AO574" s="229"/>
      <c r="AP574" s="20">
        <v>1</v>
      </c>
      <c r="AQ574" s="229"/>
      <c r="AR574" s="20"/>
      <c r="AS574" s="229"/>
      <c r="AT574" s="20"/>
      <c r="AU574" s="229"/>
      <c r="AV574" s="20"/>
      <c r="AW574" s="229"/>
      <c r="AX574" s="20"/>
      <c r="AY574" s="229"/>
      <c r="AZ574" s="20"/>
      <c r="BA574" s="229"/>
      <c r="BB574" s="20"/>
      <c r="BC574" s="229"/>
      <c r="BD574" s="48">
        <f t="shared" si="193"/>
        <v>1</v>
      </c>
      <c r="BE574" s="19">
        <v>0</v>
      </c>
      <c r="BF574" s="229"/>
      <c r="BG574" s="210">
        <f t="shared" si="189"/>
        <v>1</v>
      </c>
      <c r="BH574" s="210">
        <f t="shared" si="190"/>
        <v>0</v>
      </c>
      <c r="BI574" s="213" t="e">
        <f t="shared" si="191"/>
        <v>#DIV/0!</v>
      </c>
      <c r="BJ574" s="141"/>
      <c r="BK574" s="201"/>
      <c r="BL574" s="198"/>
      <c r="BM574" s="198"/>
    </row>
    <row r="575" spans="1:65" s="17" customFormat="1" ht="15.95" customHeight="1">
      <c r="A575" s="123">
        <v>14</v>
      </c>
      <c r="B575" s="9" t="s">
        <v>3071</v>
      </c>
      <c r="C575" s="11" t="s">
        <v>3072</v>
      </c>
      <c r="D575" s="229"/>
      <c r="E575" s="13"/>
      <c r="F575" s="229"/>
      <c r="G575" s="13"/>
      <c r="H575" s="229"/>
      <c r="I575" s="13"/>
      <c r="J575" s="229"/>
      <c r="K575" s="13"/>
      <c r="L575" s="229"/>
      <c r="M575" s="13"/>
      <c r="N575" s="229"/>
      <c r="O575" s="13"/>
      <c r="P575" s="229"/>
      <c r="Q575" s="13"/>
      <c r="R575" s="229"/>
      <c r="S575" s="13"/>
      <c r="T575" s="229"/>
      <c r="U575" s="13"/>
      <c r="V575" s="229"/>
      <c r="W575" s="13"/>
      <c r="X575" s="229"/>
      <c r="Y575" s="13"/>
      <c r="Z575" s="229"/>
      <c r="AA575" s="13"/>
      <c r="AB575" s="229"/>
      <c r="AC575" s="228">
        <f t="shared" si="192"/>
        <v>0</v>
      </c>
      <c r="AD575" s="21">
        <v>0</v>
      </c>
      <c r="AE575" s="229"/>
      <c r="AF575" s="20"/>
      <c r="AG575" s="229"/>
      <c r="AH575" s="20"/>
      <c r="AI575" s="229"/>
      <c r="AJ575" s="20"/>
      <c r="AK575" s="229"/>
      <c r="AL575" s="20"/>
      <c r="AM575" s="229"/>
      <c r="AN575" s="20"/>
      <c r="AO575" s="229"/>
      <c r="AP575" s="20">
        <v>1</v>
      </c>
      <c r="AQ575" s="229"/>
      <c r="AR575" s="20"/>
      <c r="AS575" s="229"/>
      <c r="AT575" s="20"/>
      <c r="AU575" s="229"/>
      <c r="AV575" s="20"/>
      <c r="AW575" s="229"/>
      <c r="AX575" s="20"/>
      <c r="AY575" s="229"/>
      <c r="AZ575" s="20"/>
      <c r="BA575" s="229"/>
      <c r="BB575" s="20"/>
      <c r="BC575" s="229"/>
      <c r="BD575" s="48">
        <f t="shared" si="193"/>
        <v>1</v>
      </c>
      <c r="BE575" s="19">
        <v>0</v>
      </c>
      <c r="BF575" s="229"/>
      <c r="BG575" s="210">
        <f t="shared" si="189"/>
        <v>1</v>
      </c>
      <c r="BH575" s="210">
        <f t="shared" si="190"/>
        <v>0</v>
      </c>
      <c r="BI575" s="213" t="e">
        <f t="shared" si="191"/>
        <v>#DIV/0!</v>
      </c>
      <c r="BJ575" s="141"/>
      <c r="BK575" s="201"/>
      <c r="BL575" s="198"/>
      <c r="BM575" s="198"/>
    </row>
    <row r="576" spans="1:65" s="17" customFormat="1" ht="15.95" customHeight="1">
      <c r="A576" s="123">
        <v>15</v>
      </c>
      <c r="B576" s="60" t="s">
        <v>322</v>
      </c>
      <c r="C576" s="106" t="s">
        <v>323</v>
      </c>
      <c r="D576" s="229"/>
      <c r="E576" s="13"/>
      <c r="F576" s="229"/>
      <c r="G576" s="13"/>
      <c r="H576" s="229"/>
      <c r="I576" s="13"/>
      <c r="J576" s="229"/>
      <c r="K576" s="13"/>
      <c r="L576" s="229"/>
      <c r="M576" s="13"/>
      <c r="N576" s="229"/>
      <c r="O576" s="13"/>
      <c r="P576" s="229"/>
      <c r="Q576" s="13"/>
      <c r="R576" s="229"/>
      <c r="S576" s="13"/>
      <c r="T576" s="229"/>
      <c r="U576" s="13"/>
      <c r="V576" s="229"/>
      <c r="W576" s="13"/>
      <c r="X576" s="229"/>
      <c r="Y576" s="13"/>
      <c r="Z576" s="229"/>
      <c r="AA576" s="13"/>
      <c r="AB576" s="229">
        <f t="shared" ref="AB576:AB582" si="197">D576+F576+H576+J576+L576+N576+P576+R576+T576+V576+X576+Z576</f>
        <v>0</v>
      </c>
      <c r="AC576" s="228">
        <f t="shared" si="192"/>
        <v>0</v>
      </c>
      <c r="AD576" s="21">
        <v>0</v>
      </c>
      <c r="AE576" s="229"/>
      <c r="AF576" s="20"/>
      <c r="AG576" s="229"/>
      <c r="AH576" s="20"/>
      <c r="AI576" s="229"/>
      <c r="AJ576" s="20"/>
      <c r="AK576" s="229"/>
      <c r="AL576" s="20"/>
      <c r="AM576" s="229"/>
      <c r="AN576" s="20"/>
      <c r="AO576" s="229"/>
      <c r="AP576" s="20"/>
      <c r="AQ576" s="229"/>
      <c r="AR576" s="20"/>
      <c r="AS576" s="229"/>
      <c r="AT576" s="20"/>
      <c r="AU576" s="229"/>
      <c r="AV576" s="20"/>
      <c r="AW576" s="229"/>
      <c r="AX576" s="20"/>
      <c r="AY576" s="229"/>
      <c r="AZ576" s="20"/>
      <c r="BA576" s="229"/>
      <c r="BB576" s="20"/>
      <c r="BC576" s="229">
        <f t="shared" ref="BC576:BC582" si="198">AE576+AG576+AI576+AK576+AM576+AO576+AQ576+AS576+AU576+AW576+AY576+BA576</f>
        <v>0</v>
      </c>
      <c r="BD576" s="48">
        <f t="shared" si="193"/>
        <v>0</v>
      </c>
      <c r="BE576" s="19">
        <v>0</v>
      </c>
      <c r="BF576" s="229">
        <f t="shared" ref="BF576:BF582" si="199">AB576+BC576</f>
        <v>0</v>
      </c>
      <c r="BG576" s="210">
        <f t="shared" si="189"/>
        <v>0</v>
      </c>
      <c r="BH576" s="210">
        <f t="shared" si="190"/>
        <v>0</v>
      </c>
      <c r="BI576" s="213" t="e">
        <f t="shared" si="191"/>
        <v>#DIV/0!</v>
      </c>
      <c r="BJ576" s="141"/>
      <c r="BK576" s="201"/>
      <c r="BL576" s="198"/>
      <c r="BM576" s="198"/>
    </row>
    <row r="577" spans="1:65" s="17" customFormat="1" ht="21.95" customHeight="1">
      <c r="A577" s="123">
        <v>16</v>
      </c>
      <c r="B577" s="60" t="s">
        <v>326</v>
      </c>
      <c r="C577" s="216" t="s">
        <v>2528</v>
      </c>
      <c r="D577" s="229"/>
      <c r="E577" s="13"/>
      <c r="F577" s="229"/>
      <c r="G577" s="13"/>
      <c r="H577" s="229"/>
      <c r="I577" s="13"/>
      <c r="J577" s="229"/>
      <c r="K577" s="13"/>
      <c r="L577" s="229"/>
      <c r="M577" s="13"/>
      <c r="N577" s="229"/>
      <c r="O577" s="13"/>
      <c r="P577" s="229"/>
      <c r="Q577" s="13"/>
      <c r="R577" s="229"/>
      <c r="S577" s="13"/>
      <c r="T577" s="229"/>
      <c r="U577" s="13"/>
      <c r="V577" s="229"/>
      <c r="W577" s="13"/>
      <c r="X577" s="229"/>
      <c r="Y577" s="13"/>
      <c r="Z577" s="229"/>
      <c r="AA577" s="13"/>
      <c r="AB577" s="229">
        <f t="shared" si="197"/>
        <v>0</v>
      </c>
      <c r="AC577" s="228">
        <f t="shared" si="192"/>
        <v>0</v>
      </c>
      <c r="AD577" s="21">
        <v>0</v>
      </c>
      <c r="AE577" s="229"/>
      <c r="AF577" s="20"/>
      <c r="AG577" s="229"/>
      <c r="AH577" s="20"/>
      <c r="AI577" s="229"/>
      <c r="AJ577" s="20"/>
      <c r="AK577" s="229"/>
      <c r="AL577" s="20"/>
      <c r="AM577" s="229"/>
      <c r="AN577" s="20"/>
      <c r="AO577" s="229"/>
      <c r="AP577" s="20"/>
      <c r="AQ577" s="229"/>
      <c r="AR577" s="20"/>
      <c r="AS577" s="229"/>
      <c r="AT577" s="20"/>
      <c r="AU577" s="229"/>
      <c r="AV577" s="20"/>
      <c r="AW577" s="229"/>
      <c r="AX577" s="20"/>
      <c r="AY577" s="229"/>
      <c r="AZ577" s="20"/>
      <c r="BA577" s="229"/>
      <c r="BB577" s="20"/>
      <c r="BC577" s="229">
        <f t="shared" si="198"/>
        <v>0</v>
      </c>
      <c r="BD577" s="48">
        <f t="shared" si="193"/>
        <v>0</v>
      </c>
      <c r="BE577" s="19">
        <v>10</v>
      </c>
      <c r="BF577" s="229">
        <f t="shared" si="199"/>
        <v>0</v>
      </c>
      <c r="BG577" s="210">
        <f t="shared" si="189"/>
        <v>0</v>
      </c>
      <c r="BH577" s="210">
        <f t="shared" si="190"/>
        <v>10</v>
      </c>
      <c r="BI577" s="213">
        <f t="shared" si="191"/>
        <v>0</v>
      </c>
      <c r="BJ577" s="141"/>
      <c r="BK577" s="201"/>
      <c r="BL577" s="198"/>
      <c r="BM577" s="198"/>
    </row>
    <row r="578" spans="1:65" s="17" customFormat="1" ht="15.95" customHeight="1">
      <c r="A578" s="123">
        <v>17</v>
      </c>
      <c r="B578" s="9" t="s">
        <v>520</v>
      </c>
      <c r="C578" s="15" t="s">
        <v>521</v>
      </c>
      <c r="D578" s="229"/>
      <c r="E578" s="13"/>
      <c r="F578" s="229"/>
      <c r="G578" s="13"/>
      <c r="H578" s="229"/>
      <c r="I578" s="13"/>
      <c r="J578" s="229"/>
      <c r="K578" s="13"/>
      <c r="L578" s="229"/>
      <c r="M578" s="13"/>
      <c r="N578" s="229"/>
      <c r="O578" s="13"/>
      <c r="P578" s="229"/>
      <c r="Q578" s="13"/>
      <c r="R578" s="229"/>
      <c r="S578" s="13"/>
      <c r="T578" s="229"/>
      <c r="U578" s="13"/>
      <c r="V578" s="229"/>
      <c r="W578" s="13"/>
      <c r="X578" s="229"/>
      <c r="Y578" s="13"/>
      <c r="Z578" s="229"/>
      <c r="AA578" s="13"/>
      <c r="AB578" s="229">
        <f t="shared" si="197"/>
        <v>0</v>
      </c>
      <c r="AC578" s="228">
        <f t="shared" si="192"/>
        <v>0</v>
      </c>
      <c r="AD578" s="21">
        <v>0</v>
      </c>
      <c r="AE578" s="229"/>
      <c r="AF578" s="20"/>
      <c r="AG578" s="229"/>
      <c r="AH578" s="20"/>
      <c r="AI578" s="229">
        <v>4</v>
      </c>
      <c r="AJ578" s="20">
        <v>4</v>
      </c>
      <c r="AK578" s="229"/>
      <c r="AL578" s="20"/>
      <c r="AM578" s="229"/>
      <c r="AN578" s="20"/>
      <c r="AO578" s="229">
        <v>6</v>
      </c>
      <c r="AP578" s="20">
        <v>6</v>
      </c>
      <c r="AQ578" s="229"/>
      <c r="AR578" s="20"/>
      <c r="AS578" s="229"/>
      <c r="AT578" s="20"/>
      <c r="AU578" s="229"/>
      <c r="AV578" s="20">
        <v>6</v>
      </c>
      <c r="AW578" s="229"/>
      <c r="AX578" s="20"/>
      <c r="AY578" s="229"/>
      <c r="AZ578" s="20"/>
      <c r="BA578" s="229"/>
      <c r="BB578" s="20">
        <v>6</v>
      </c>
      <c r="BC578" s="229">
        <f t="shared" si="198"/>
        <v>10</v>
      </c>
      <c r="BD578" s="48">
        <f t="shared" si="193"/>
        <v>22</v>
      </c>
      <c r="BE578" s="19">
        <v>8</v>
      </c>
      <c r="BF578" s="229">
        <f t="shared" si="199"/>
        <v>10</v>
      </c>
      <c r="BG578" s="210">
        <f t="shared" si="189"/>
        <v>22</v>
      </c>
      <c r="BH578" s="210">
        <f t="shared" si="190"/>
        <v>8</v>
      </c>
      <c r="BI578" s="213">
        <f t="shared" si="191"/>
        <v>275</v>
      </c>
      <c r="BJ578" s="141"/>
      <c r="BK578" s="201"/>
      <c r="BL578" s="198"/>
      <c r="BM578" s="198"/>
    </row>
    <row r="579" spans="1:65" s="17" customFormat="1" ht="15.95" customHeight="1">
      <c r="A579" s="123">
        <v>18</v>
      </c>
      <c r="B579" s="9" t="s">
        <v>327</v>
      </c>
      <c r="C579" s="11" t="s">
        <v>328</v>
      </c>
      <c r="D579" s="229"/>
      <c r="E579" s="13"/>
      <c r="F579" s="229"/>
      <c r="G579" s="13"/>
      <c r="H579" s="229"/>
      <c r="I579" s="13"/>
      <c r="J579" s="229"/>
      <c r="K579" s="13"/>
      <c r="L579" s="229"/>
      <c r="M579" s="13"/>
      <c r="N579" s="229"/>
      <c r="O579" s="13"/>
      <c r="P579" s="229"/>
      <c r="Q579" s="13"/>
      <c r="R579" s="229"/>
      <c r="S579" s="13"/>
      <c r="T579" s="229"/>
      <c r="U579" s="13"/>
      <c r="V579" s="229"/>
      <c r="W579" s="13"/>
      <c r="X579" s="229"/>
      <c r="Y579" s="13"/>
      <c r="Z579" s="229"/>
      <c r="AA579" s="13"/>
      <c r="AB579" s="229">
        <f t="shared" si="197"/>
        <v>0</v>
      </c>
      <c r="AC579" s="228">
        <f t="shared" si="192"/>
        <v>0</v>
      </c>
      <c r="AD579" s="21">
        <v>0</v>
      </c>
      <c r="AE579" s="229"/>
      <c r="AF579" s="20"/>
      <c r="AG579" s="229"/>
      <c r="AH579" s="20"/>
      <c r="AI579" s="229"/>
      <c r="AJ579" s="20"/>
      <c r="AK579" s="229"/>
      <c r="AL579" s="20"/>
      <c r="AM579" s="229"/>
      <c r="AN579" s="20"/>
      <c r="AO579" s="229">
        <v>1</v>
      </c>
      <c r="AP579" s="20">
        <v>1</v>
      </c>
      <c r="AQ579" s="229"/>
      <c r="AR579" s="20"/>
      <c r="AS579" s="229"/>
      <c r="AT579" s="20"/>
      <c r="AU579" s="229"/>
      <c r="AV579" s="20">
        <v>2</v>
      </c>
      <c r="AW579" s="229"/>
      <c r="AX579" s="20"/>
      <c r="AY579" s="229"/>
      <c r="AZ579" s="20"/>
      <c r="BA579" s="229"/>
      <c r="BB579" s="20">
        <v>5</v>
      </c>
      <c r="BC579" s="229">
        <f t="shared" si="198"/>
        <v>1</v>
      </c>
      <c r="BD579" s="48">
        <f t="shared" si="193"/>
        <v>8</v>
      </c>
      <c r="BE579" s="19">
        <v>11</v>
      </c>
      <c r="BF579" s="229">
        <f t="shared" si="199"/>
        <v>1</v>
      </c>
      <c r="BG579" s="210">
        <f t="shared" si="189"/>
        <v>8</v>
      </c>
      <c r="BH579" s="210">
        <f t="shared" si="190"/>
        <v>11</v>
      </c>
      <c r="BI579" s="213">
        <f t="shared" si="191"/>
        <v>72.727272727272734</v>
      </c>
      <c r="BJ579" s="141"/>
      <c r="BK579" s="201"/>
      <c r="BL579" s="198"/>
      <c r="BM579" s="198"/>
    </row>
    <row r="580" spans="1:65" s="17" customFormat="1" ht="15.95" customHeight="1">
      <c r="A580" s="123">
        <v>19</v>
      </c>
      <c r="B580" s="9" t="s">
        <v>2403</v>
      </c>
      <c r="C580" s="11" t="s">
        <v>2402</v>
      </c>
      <c r="D580" s="229"/>
      <c r="E580" s="13"/>
      <c r="F580" s="229"/>
      <c r="G580" s="13"/>
      <c r="H580" s="229"/>
      <c r="I580" s="13"/>
      <c r="J580" s="229"/>
      <c r="K580" s="13"/>
      <c r="L580" s="229"/>
      <c r="M580" s="13"/>
      <c r="N580" s="229"/>
      <c r="O580" s="13"/>
      <c r="P580" s="229"/>
      <c r="Q580" s="13"/>
      <c r="R580" s="229"/>
      <c r="S580" s="13"/>
      <c r="T580" s="229"/>
      <c r="U580" s="13"/>
      <c r="V580" s="229"/>
      <c r="W580" s="13"/>
      <c r="X580" s="229"/>
      <c r="Y580" s="13"/>
      <c r="Z580" s="229"/>
      <c r="AA580" s="13"/>
      <c r="AB580" s="229">
        <f t="shared" si="197"/>
        <v>0</v>
      </c>
      <c r="AC580" s="228">
        <f t="shared" si="192"/>
        <v>0</v>
      </c>
      <c r="AD580" s="21">
        <v>0</v>
      </c>
      <c r="AE580" s="229"/>
      <c r="AF580" s="20"/>
      <c r="AG580" s="229"/>
      <c r="AH580" s="20"/>
      <c r="AI580" s="229"/>
      <c r="AJ580" s="20"/>
      <c r="AK580" s="229"/>
      <c r="AL580" s="20"/>
      <c r="AM580" s="229"/>
      <c r="AN580" s="20"/>
      <c r="AO580" s="229"/>
      <c r="AP580" s="20"/>
      <c r="AQ580" s="229"/>
      <c r="AR580" s="20"/>
      <c r="AS580" s="229"/>
      <c r="AT580" s="20"/>
      <c r="AU580" s="229"/>
      <c r="AV580" s="20"/>
      <c r="AW580" s="229"/>
      <c r="AX580" s="20"/>
      <c r="AY580" s="229"/>
      <c r="AZ580" s="20"/>
      <c r="BA580" s="229"/>
      <c r="BB580" s="20"/>
      <c r="BC580" s="229">
        <f t="shared" si="198"/>
        <v>0</v>
      </c>
      <c r="BD580" s="48">
        <f t="shared" si="193"/>
        <v>0</v>
      </c>
      <c r="BE580" s="19">
        <v>2</v>
      </c>
      <c r="BF580" s="229">
        <f t="shared" si="199"/>
        <v>0</v>
      </c>
      <c r="BG580" s="210">
        <f t="shared" si="189"/>
        <v>0</v>
      </c>
      <c r="BH580" s="210">
        <f t="shared" si="190"/>
        <v>2</v>
      </c>
      <c r="BI580" s="213">
        <f t="shared" si="191"/>
        <v>0</v>
      </c>
      <c r="BJ580" s="141"/>
      <c r="BK580" s="201"/>
      <c r="BL580" s="198"/>
      <c r="BM580" s="198"/>
    </row>
    <row r="581" spans="1:65" s="17" customFormat="1" ht="15.95" customHeight="1">
      <c r="A581" s="123">
        <v>20</v>
      </c>
      <c r="B581" s="9" t="s">
        <v>1844</v>
      </c>
      <c r="C581" s="11" t="s">
        <v>1845</v>
      </c>
      <c r="D581" s="229"/>
      <c r="E581" s="13"/>
      <c r="F581" s="229"/>
      <c r="G581" s="13"/>
      <c r="H581" s="229"/>
      <c r="I581" s="13"/>
      <c r="J581" s="229"/>
      <c r="K581" s="13"/>
      <c r="L581" s="229"/>
      <c r="M581" s="13"/>
      <c r="N581" s="229"/>
      <c r="O581" s="13"/>
      <c r="P581" s="229"/>
      <c r="Q581" s="13"/>
      <c r="R581" s="229"/>
      <c r="S581" s="13"/>
      <c r="T581" s="229"/>
      <c r="U581" s="13"/>
      <c r="V581" s="229"/>
      <c r="W581" s="13"/>
      <c r="X581" s="229"/>
      <c r="Y581" s="13"/>
      <c r="Z581" s="229"/>
      <c r="AA581" s="13"/>
      <c r="AB581" s="229">
        <f t="shared" si="197"/>
        <v>0</v>
      </c>
      <c r="AC581" s="228">
        <f t="shared" si="192"/>
        <v>0</v>
      </c>
      <c r="AD581" s="21">
        <v>0</v>
      </c>
      <c r="AE581" s="229"/>
      <c r="AF581" s="20"/>
      <c r="AG581" s="229"/>
      <c r="AH581" s="20"/>
      <c r="AI581" s="229">
        <v>2</v>
      </c>
      <c r="AJ581" s="20">
        <v>2</v>
      </c>
      <c r="AK581" s="229"/>
      <c r="AL581" s="20"/>
      <c r="AM581" s="229"/>
      <c r="AN581" s="20"/>
      <c r="AO581" s="229">
        <v>11</v>
      </c>
      <c r="AP581" s="20">
        <v>11</v>
      </c>
      <c r="AQ581" s="229"/>
      <c r="AR581" s="20"/>
      <c r="AS581" s="229"/>
      <c r="AT581" s="20"/>
      <c r="AU581" s="229"/>
      <c r="AV581" s="20">
        <v>5</v>
      </c>
      <c r="AW581" s="229"/>
      <c r="AX581" s="20"/>
      <c r="AY581" s="229"/>
      <c r="AZ581" s="20"/>
      <c r="BA581" s="229"/>
      <c r="BB581" s="20">
        <v>6</v>
      </c>
      <c r="BC581" s="229">
        <f t="shared" si="198"/>
        <v>13</v>
      </c>
      <c r="BD581" s="48">
        <f t="shared" si="193"/>
        <v>24</v>
      </c>
      <c r="BE581" s="19">
        <v>14</v>
      </c>
      <c r="BF581" s="229">
        <f t="shared" si="199"/>
        <v>13</v>
      </c>
      <c r="BG581" s="210">
        <f t="shared" si="189"/>
        <v>24</v>
      </c>
      <c r="BH581" s="210">
        <f t="shared" si="190"/>
        <v>14</v>
      </c>
      <c r="BI581" s="213">
        <f t="shared" si="191"/>
        <v>171.42857142857142</v>
      </c>
      <c r="BJ581" s="141"/>
      <c r="BK581" s="201"/>
      <c r="BL581" s="198"/>
      <c r="BM581" s="198"/>
    </row>
    <row r="582" spans="1:65" s="17" customFormat="1" ht="15.95" customHeight="1">
      <c r="A582" s="123">
        <v>21</v>
      </c>
      <c r="B582" s="9" t="s">
        <v>329</v>
      </c>
      <c r="C582" s="11" t="s">
        <v>330</v>
      </c>
      <c r="D582" s="229"/>
      <c r="E582" s="13"/>
      <c r="F582" s="229"/>
      <c r="G582" s="13"/>
      <c r="H582" s="229"/>
      <c r="I582" s="13"/>
      <c r="J582" s="229"/>
      <c r="K582" s="13"/>
      <c r="L582" s="229"/>
      <c r="M582" s="13"/>
      <c r="N582" s="229"/>
      <c r="O582" s="13"/>
      <c r="P582" s="229"/>
      <c r="Q582" s="13"/>
      <c r="R582" s="229"/>
      <c r="S582" s="13"/>
      <c r="T582" s="229"/>
      <c r="U582" s="13"/>
      <c r="V582" s="229"/>
      <c r="W582" s="13"/>
      <c r="X582" s="229"/>
      <c r="Y582" s="13"/>
      <c r="Z582" s="229"/>
      <c r="AA582" s="13"/>
      <c r="AB582" s="229">
        <f t="shared" si="197"/>
        <v>0</v>
      </c>
      <c r="AC582" s="228">
        <f t="shared" si="192"/>
        <v>0</v>
      </c>
      <c r="AD582" s="21">
        <v>0</v>
      </c>
      <c r="AE582" s="229"/>
      <c r="AF582" s="20"/>
      <c r="AG582" s="229"/>
      <c r="AH582" s="20"/>
      <c r="AI582" s="229">
        <v>8</v>
      </c>
      <c r="AJ582" s="20">
        <v>8</v>
      </c>
      <c r="AK582" s="229"/>
      <c r="AL582" s="20"/>
      <c r="AM582" s="229"/>
      <c r="AN582" s="20"/>
      <c r="AO582" s="229">
        <v>24</v>
      </c>
      <c r="AP582" s="20">
        <v>24</v>
      </c>
      <c r="AQ582" s="229"/>
      <c r="AR582" s="20"/>
      <c r="AS582" s="229"/>
      <c r="AT582" s="20"/>
      <c r="AU582" s="229"/>
      <c r="AV582" s="20">
        <v>19</v>
      </c>
      <c r="AW582" s="229"/>
      <c r="AX582" s="20"/>
      <c r="AY582" s="229"/>
      <c r="AZ582" s="20"/>
      <c r="BA582" s="229"/>
      <c r="BB582" s="20">
        <v>27</v>
      </c>
      <c r="BC582" s="229">
        <f t="shared" si="198"/>
        <v>32</v>
      </c>
      <c r="BD582" s="48">
        <f t="shared" si="193"/>
        <v>78</v>
      </c>
      <c r="BE582" s="19">
        <v>27</v>
      </c>
      <c r="BF582" s="229">
        <f t="shared" si="199"/>
        <v>32</v>
      </c>
      <c r="BG582" s="210">
        <f t="shared" si="189"/>
        <v>78</v>
      </c>
      <c r="BH582" s="210">
        <f t="shared" si="190"/>
        <v>27</v>
      </c>
      <c r="BI582" s="213">
        <f t="shared" si="191"/>
        <v>288.88888888888886</v>
      </c>
      <c r="BJ582" s="141"/>
      <c r="BK582" s="201"/>
      <c r="BL582" s="198"/>
      <c r="BM582" s="198"/>
    </row>
    <row r="583" spans="1:65" s="17" customFormat="1" ht="15.95" customHeight="1">
      <c r="A583" s="123">
        <v>22</v>
      </c>
      <c r="B583" s="9" t="s">
        <v>3105</v>
      </c>
      <c r="C583" s="11" t="s">
        <v>3106</v>
      </c>
      <c r="D583" s="229"/>
      <c r="E583" s="13"/>
      <c r="F583" s="229"/>
      <c r="G583" s="13"/>
      <c r="H583" s="229"/>
      <c r="I583" s="13"/>
      <c r="J583" s="229"/>
      <c r="K583" s="13"/>
      <c r="L583" s="229"/>
      <c r="M583" s="13"/>
      <c r="N583" s="229"/>
      <c r="O583" s="13"/>
      <c r="P583" s="229"/>
      <c r="Q583" s="13"/>
      <c r="R583" s="229"/>
      <c r="S583" s="13"/>
      <c r="T583" s="229"/>
      <c r="U583" s="13"/>
      <c r="V583" s="229"/>
      <c r="W583" s="13"/>
      <c r="X583" s="229"/>
      <c r="Y583" s="13"/>
      <c r="Z583" s="229"/>
      <c r="AA583" s="13"/>
      <c r="AB583" s="229"/>
      <c r="AC583" s="228">
        <f t="shared" si="192"/>
        <v>0</v>
      </c>
      <c r="AD583" s="21">
        <v>0</v>
      </c>
      <c r="AE583" s="229"/>
      <c r="AF583" s="20"/>
      <c r="AG583" s="229"/>
      <c r="AH583" s="20"/>
      <c r="AI583" s="229"/>
      <c r="AJ583" s="20"/>
      <c r="AK583" s="229"/>
      <c r="AL583" s="20"/>
      <c r="AM583" s="229"/>
      <c r="AN583" s="20"/>
      <c r="AO583" s="229"/>
      <c r="AP583" s="20">
        <v>1</v>
      </c>
      <c r="AQ583" s="229"/>
      <c r="AR583" s="20"/>
      <c r="AS583" s="229"/>
      <c r="AT583" s="20"/>
      <c r="AU583" s="229"/>
      <c r="AV583" s="20"/>
      <c r="AW583" s="229"/>
      <c r="AX583" s="20"/>
      <c r="AY583" s="229"/>
      <c r="AZ583" s="20"/>
      <c r="BA583" s="229"/>
      <c r="BB583" s="20"/>
      <c r="BC583" s="229"/>
      <c r="BD583" s="48">
        <f t="shared" si="193"/>
        <v>1</v>
      </c>
      <c r="BE583" s="19">
        <v>0</v>
      </c>
      <c r="BF583" s="229"/>
      <c r="BG583" s="210">
        <f t="shared" si="189"/>
        <v>1</v>
      </c>
      <c r="BH583" s="210">
        <f t="shared" si="190"/>
        <v>0</v>
      </c>
      <c r="BI583" s="213" t="e">
        <f t="shared" si="191"/>
        <v>#DIV/0!</v>
      </c>
      <c r="BJ583" s="141"/>
      <c r="BK583" s="201"/>
      <c r="BL583" s="198"/>
      <c r="BM583" s="198"/>
    </row>
    <row r="584" spans="1:65" s="17" customFormat="1" ht="15.95" customHeight="1">
      <c r="A584" s="123">
        <v>23</v>
      </c>
      <c r="B584" s="9" t="s">
        <v>1609</v>
      </c>
      <c r="C584" s="11" t="s">
        <v>1610</v>
      </c>
      <c r="D584" s="229"/>
      <c r="E584" s="13"/>
      <c r="F584" s="229"/>
      <c r="G584" s="13"/>
      <c r="H584" s="229"/>
      <c r="I584" s="13"/>
      <c r="J584" s="229"/>
      <c r="K584" s="13"/>
      <c r="L584" s="229"/>
      <c r="M584" s="13"/>
      <c r="N584" s="229"/>
      <c r="O584" s="13"/>
      <c r="P584" s="229"/>
      <c r="Q584" s="13"/>
      <c r="R584" s="229"/>
      <c r="S584" s="13"/>
      <c r="T584" s="229"/>
      <c r="U584" s="13"/>
      <c r="V584" s="229"/>
      <c r="W584" s="13"/>
      <c r="X584" s="229"/>
      <c r="Y584" s="13"/>
      <c r="Z584" s="229"/>
      <c r="AA584" s="13"/>
      <c r="AB584" s="229">
        <f t="shared" ref="AB584:AB589" si="200">D584+F584+H584+J584+L584+N584+P584+R584+T584+V584+X584+Z584</f>
        <v>0</v>
      </c>
      <c r="AC584" s="228">
        <f t="shared" si="192"/>
        <v>0</v>
      </c>
      <c r="AD584" s="21">
        <v>0</v>
      </c>
      <c r="AE584" s="229"/>
      <c r="AF584" s="20"/>
      <c r="AG584" s="229"/>
      <c r="AH584" s="20"/>
      <c r="AI584" s="229">
        <v>2</v>
      </c>
      <c r="AJ584" s="20">
        <v>2</v>
      </c>
      <c r="AK584" s="229"/>
      <c r="AL584" s="20"/>
      <c r="AM584" s="229"/>
      <c r="AN584" s="20"/>
      <c r="AO584" s="229">
        <v>3</v>
      </c>
      <c r="AP584" s="20">
        <v>3</v>
      </c>
      <c r="AQ584" s="229"/>
      <c r="AR584" s="20"/>
      <c r="AS584" s="229"/>
      <c r="AT584" s="20"/>
      <c r="AU584" s="229"/>
      <c r="AV584" s="20">
        <v>1</v>
      </c>
      <c r="AW584" s="229"/>
      <c r="AX584" s="20"/>
      <c r="AY584" s="229"/>
      <c r="AZ584" s="20"/>
      <c r="BA584" s="229"/>
      <c r="BB584" s="20"/>
      <c r="BC584" s="229">
        <f t="shared" ref="BC584:BC589" si="201">AE584+AG584+AI584+AK584+AM584+AO584+AQ584+AS584+AU584+AW584+AY584+BA584</f>
        <v>5</v>
      </c>
      <c r="BD584" s="48">
        <f t="shared" si="193"/>
        <v>6</v>
      </c>
      <c r="BE584" s="19">
        <v>17</v>
      </c>
      <c r="BF584" s="229">
        <f t="shared" ref="BF584:BF589" si="202">AB584+BC584</f>
        <v>5</v>
      </c>
      <c r="BG584" s="210">
        <f t="shared" si="189"/>
        <v>6</v>
      </c>
      <c r="BH584" s="210">
        <f t="shared" si="190"/>
        <v>17</v>
      </c>
      <c r="BI584" s="213">
        <f t="shared" si="191"/>
        <v>35.294117647058826</v>
      </c>
      <c r="BJ584" s="141"/>
      <c r="BK584" s="201"/>
      <c r="BL584" s="198"/>
      <c r="BM584" s="198"/>
    </row>
    <row r="585" spans="1:65" s="17" customFormat="1" ht="21.75" customHeight="1">
      <c r="A585" s="123">
        <v>24</v>
      </c>
      <c r="B585" s="9" t="s">
        <v>331</v>
      </c>
      <c r="C585" s="10" t="s">
        <v>332</v>
      </c>
      <c r="D585" s="229"/>
      <c r="E585" s="13"/>
      <c r="F585" s="229"/>
      <c r="G585" s="13"/>
      <c r="H585" s="229"/>
      <c r="I585" s="13"/>
      <c r="J585" s="229"/>
      <c r="K585" s="13"/>
      <c r="L585" s="229"/>
      <c r="M585" s="13"/>
      <c r="N585" s="229"/>
      <c r="O585" s="13"/>
      <c r="P585" s="229"/>
      <c r="Q585" s="13"/>
      <c r="R585" s="229"/>
      <c r="S585" s="13"/>
      <c r="T585" s="229"/>
      <c r="U585" s="13"/>
      <c r="V585" s="229"/>
      <c r="W585" s="13"/>
      <c r="X585" s="229"/>
      <c r="Y585" s="13"/>
      <c r="Z585" s="229"/>
      <c r="AA585" s="13"/>
      <c r="AB585" s="229">
        <f t="shared" si="200"/>
        <v>0</v>
      </c>
      <c r="AC585" s="228">
        <f t="shared" si="192"/>
        <v>0</v>
      </c>
      <c r="AD585" s="21">
        <v>0</v>
      </c>
      <c r="AE585" s="229"/>
      <c r="AF585" s="20"/>
      <c r="AG585" s="229"/>
      <c r="AH585" s="20"/>
      <c r="AI585" s="229">
        <v>4</v>
      </c>
      <c r="AJ585" s="20">
        <v>4</v>
      </c>
      <c r="AK585" s="229"/>
      <c r="AL585" s="20"/>
      <c r="AM585" s="229"/>
      <c r="AN585" s="20"/>
      <c r="AO585" s="229">
        <v>7</v>
      </c>
      <c r="AP585" s="20">
        <v>7</v>
      </c>
      <c r="AQ585" s="229"/>
      <c r="AR585" s="20"/>
      <c r="AS585" s="229"/>
      <c r="AT585" s="20"/>
      <c r="AU585" s="229"/>
      <c r="AV585" s="20">
        <v>3</v>
      </c>
      <c r="AW585" s="229"/>
      <c r="AX585" s="20"/>
      <c r="AY585" s="229"/>
      <c r="AZ585" s="20"/>
      <c r="BA585" s="229"/>
      <c r="BB585" s="20">
        <v>4</v>
      </c>
      <c r="BC585" s="229">
        <f t="shared" si="201"/>
        <v>11</v>
      </c>
      <c r="BD585" s="48">
        <f t="shared" si="193"/>
        <v>18</v>
      </c>
      <c r="BE585" s="19">
        <v>30</v>
      </c>
      <c r="BF585" s="229">
        <f t="shared" si="202"/>
        <v>11</v>
      </c>
      <c r="BG585" s="210">
        <f t="shared" si="189"/>
        <v>18</v>
      </c>
      <c r="BH585" s="210">
        <f t="shared" si="190"/>
        <v>30</v>
      </c>
      <c r="BI585" s="213">
        <f t="shared" si="191"/>
        <v>60</v>
      </c>
      <c r="BJ585" s="141"/>
      <c r="BK585" s="201"/>
      <c r="BL585" s="198"/>
      <c r="BM585" s="198"/>
    </row>
    <row r="586" spans="1:65" s="17" customFormat="1" ht="15.95" customHeight="1">
      <c r="A586" s="123">
        <v>25</v>
      </c>
      <c r="B586" s="9" t="s">
        <v>333</v>
      </c>
      <c r="C586" s="11" t="s">
        <v>2490</v>
      </c>
      <c r="D586" s="229"/>
      <c r="E586" s="13"/>
      <c r="F586" s="229"/>
      <c r="G586" s="13"/>
      <c r="H586" s="229"/>
      <c r="I586" s="13"/>
      <c r="J586" s="229"/>
      <c r="K586" s="13"/>
      <c r="L586" s="229"/>
      <c r="M586" s="13"/>
      <c r="N586" s="229"/>
      <c r="O586" s="13"/>
      <c r="P586" s="229"/>
      <c r="Q586" s="13"/>
      <c r="R586" s="229"/>
      <c r="S586" s="13"/>
      <c r="T586" s="229"/>
      <c r="U586" s="13"/>
      <c r="V586" s="229"/>
      <c r="W586" s="13"/>
      <c r="X586" s="229"/>
      <c r="Y586" s="13"/>
      <c r="Z586" s="229"/>
      <c r="AA586" s="13"/>
      <c r="AB586" s="229">
        <f t="shared" si="200"/>
        <v>0</v>
      </c>
      <c r="AC586" s="228">
        <f t="shared" si="192"/>
        <v>0</v>
      </c>
      <c r="AD586" s="21">
        <v>0</v>
      </c>
      <c r="AE586" s="229"/>
      <c r="AF586" s="20"/>
      <c r="AG586" s="229"/>
      <c r="AH586" s="20"/>
      <c r="AI586" s="229">
        <v>6</v>
      </c>
      <c r="AJ586" s="20">
        <v>6</v>
      </c>
      <c r="AK586" s="229"/>
      <c r="AL586" s="20"/>
      <c r="AM586" s="229"/>
      <c r="AN586" s="20"/>
      <c r="AO586" s="229">
        <v>2</v>
      </c>
      <c r="AP586" s="20">
        <v>2</v>
      </c>
      <c r="AQ586" s="229"/>
      <c r="AR586" s="20"/>
      <c r="AS586" s="229"/>
      <c r="AT586" s="20"/>
      <c r="AU586" s="229"/>
      <c r="AV586" s="20">
        <v>5</v>
      </c>
      <c r="AW586" s="229"/>
      <c r="AX586" s="20"/>
      <c r="AY586" s="229"/>
      <c r="AZ586" s="20"/>
      <c r="BA586" s="229"/>
      <c r="BB586" s="20">
        <v>2</v>
      </c>
      <c r="BC586" s="229">
        <f t="shared" si="201"/>
        <v>8</v>
      </c>
      <c r="BD586" s="48">
        <f t="shared" si="193"/>
        <v>15</v>
      </c>
      <c r="BE586" s="19">
        <v>20</v>
      </c>
      <c r="BF586" s="229">
        <f t="shared" si="202"/>
        <v>8</v>
      </c>
      <c r="BG586" s="210">
        <f t="shared" si="189"/>
        <v>15</v>
      </c>
      <c r="BH586" s="210">
        <f t="shared" si="190"/>
        <v>20</v>
      </c>
      <c r="BI586" s="213">
        <f t="shared" si="191"/>
        <v>75</v>
      </c>
      <c r="BJ586" s="141"/>
      <c r="BK586" s="201"/>
      <c r="BL586" s="198"/>
      <c r="BM586" s="198"/>
    </row>
    <row r="587" spans="1:65" s="17" customFormat="1" ht="15.95" customHeight="1">
      <c r="A587" s="123">
        <v>26</v>
      </c>
      <c r="B587" s="9" t="s">
        <v>3024</v>
      </c>
      <c r="C587" s="11" t="s">
        <v>3025</v>
      </c>
      <c r="D587" s="229"/>
      <c r="E587" s="13"/>
      <c r="F587" s="229"/>
      <c r="G587" s="13"/>
      <c r="H587" s="229"/>
      <c r="I587" s="13"/>
      <c r="J587" s="229"/>
      <c r="K587" s="13"/>
      <c r="L587" s="229"/>
      <c r="M587" s="13"/>
      <c r="N587" s="229"/>
      <c r="O587" s="13"/>
      <c r="P587" s="229"/>
      <c r="Q587" s="13"/>
      <c r="R587" s="229"/>
      <c r="S587" s="13"/>
      <c r="T587" s="229"/>
      <c r="U587" s="13"/>
      <c r="V587" s="229"/>
      <c r="W587" s="13"/>
      <c r="X587" s="229"/>
      <c r="Y587" s="13"/>
      <c r="Z587" s="229"/>
      <c r="AA587" s="13"/>
      <c r="AB587" s="229">
        <f t="shared" si="200"/>
        <v>0</v>
      </c>
      <c r="AC587" s="228">
        <f t="shared" si="192"/>
        <v>0</v>
      </c>
      <c r="AD587" s="21">
        <v>0</v>
      </c>
      <c r="AE587" s="229"/>
      <c r="AF587" s="20"/>
      <c r="AG587" s="229"/>
      <c r="AH587" s="20"/>
      <c r="AI587" s="229">
        <v>1</v>
      </c>
      <c r="AJ587" s="20">
        <v>1</v>
      </c>
      <c r="AK587" s="229"/>
      <c r="AL587" s="20"/>
      <c r="AM587" s="229"/>
      <c r="AN587" s="20"/>
      <c r="AO587" s="229"/>
      <c r="AP587" s="20"/>
      <c r="AQ587" s="229"/>
      <c r="AR587" s="20"/>
      <c r="AS587" s="229"/>
      <c r="AT587" s="20"/>
      <c r="AU587" s="229"/>
      <c r="AV587" s="20">
        <v>1</v>
      </c>
      <c r="AW587" s="229"/>
      <c r="AX587" s="20"/>
      <c r="AY587" s="229"/>
      <c r="AZ587" s="20"/>
      <c r="BA587" s="229"/>
      <c r="BB587" s="20"/>
      <c r="BC587" s="229">
        <f t="shared" si="201"/>
        <v>1</v>
      </c>
      <c r="BD587" s="48">
        <f t="shared" si="193"/>
        <v>2</v>
      </c>
      <c r="BE587" s="19">
        <v>0</v>
      </c>
      <c r="BF587" s="229">
        <f t="shared" si="202"/>
        <v>1</v>
      </c>
      <c r="BG587" s="210">
        <f t="shared" si="189"/>
        <v>2</v>
      </c>
      <c r="BH587" s="210">
        <f t="shared" si="190"/>
        <v>0</v>
      </c>
      <c r="BI587" s="213" t="e">
        <f t="shared" si="191"/>
        <v>#DIV/0!</v>
      </c>
      <c r="BJ587" s="141"/>
      <c r="BK587" s="201"/>
      <c r="BL587" s="198"/>
      <c r="BM587" s="198"/>
    </row>
    <row r="588" spans="1:65" s="17" customFormat="1" ht="15.95" customHeight="1">
      <c r="A588" s="123">
        <v>27</v>
      </c>
      <c r="B588" s="9" t="s">
        <v>2404</v>
      </c>
      <c r="C588" s="11" t="s">
        <v>2405</v>
      </c>
      <c r="D588" s="229"/>
      <c r="E588" s="13"/>
      <c r="F588" s="229"/>
      <c r="G588" s="13"/>
      <c r="H588" s="229"/>
      <c r="I588" s="13"/>
      <c r="J588" s="229"/>
      <c r="K588" s="13"/>
      <c r="L588" s="229"/>
      <c r="M588" s="13"/>
      <c r="N588" s="229"/>
      <c r="O588" s="13"/>
      <c r="P588" s="229"/>
      <c r="Q588" s="13"/>
      <c r="R588" s="229"/>
      <c r="S588" s="13"/>
      <c r="T588" s="229"/>
      <c r="U588" s="13"/>
      <c r="V588" s="229"/>
      <c r="W588" s="13"/>
      <c r="X588" s="229"/>
      <c r="Y588" s="13"/>
      <c r="Z588" s="229"/>
      <c r="AA588" s="13"/>
      <c r="AB588" s="229">
        <f t="shared" si="200"/>
        <v>0</v>
      </c>
      <c r="AC588" s="228">
        <f t="shared" si="192"/>
        <v>0</v>
      </c>
      <c r="AD588" s="21">
        <v>0</v>
      </c>
      <c r="AE588" s="229"/>
      <c r="AF588" s="20"/>
      <c r="AG588" s="229"/>
      <c r="AH588" s="20"/>
      <c r="AI588" s="229"/>
      <c r="AJ588" s="20"/>
      <c r="AK588" s="229"/>
      <c r="AL588" s="20"/>
      <c r="AM588" s="229"/>
      <c r="AN588" s="20"/>
      <c r="AO588" s="229"/>
      <c r="AP588" s="20"/>
      <c r="AQ588" s="229"/>
      <c r="AR588" s="20"/>
      <c r="AS588" s="229"/>
      <c r="AT588" s="20"/>
      <c r="AU588" s="229"/>
      <c r="AV588" s="20"/>
      <c r="AW588" s="229"/>
      <c r="AX588" s="20"/>
      <c r="AY588" s="229"/>
      <c r="AZ588" s="20"/>
      <c r="BA588" s="229"/>
      <c r="BB588" s="20"/>
      <c r="BC588" s="229">
        <f t="shared" si="201"/>
        <v>0</v>
      </c>
      <c r="BD588" s="48">
        <f t="shared" si="193"/>
        <v>0</v>
      </c>
      <c r="BE588" s="19">
        <v>2</v>
      </c>
      <c r="BF588" s="229">
        <f t="shared" si="202"/>
        <v>0</v>
      </c>
      <c r="BG588" s="210">
        <f t="shared" si="189"/>
        <v>0</v>
      </c>
      <c r="BH588" s="210">
        <f t="shared" si="190"/>
        <v>2</v>
      </c>
      <c r="BI588" s="213">
        <f t="shared" si="191"/>
        <v>0</v>
      </c>
      <c r="BJ588" s="141"/>
      <c r="BK588" s="201"/>
      <c r="BL588" s="198"/>
      <c r="BM588" s="198"/>
    </row>
    <row r="589" spans="1:65" s="17" customFormat="1" ht="15.95" customHeight="1">
      <c r="A589" s="123">
        <v>28</v>
      </c>
      <c r="B589" s="9" t="s">
        <v>2226</v>
      </c>
      <c r="C589" s="11" t="s">
        <v>2227</v>
      </c>
      <c r="D589" s="229"/>
      <c r="E589" s="13"/>
      <c r="F589" s="229"/>
      <c r="G589" s="13"/>
      <c r="H589" s="229"/>
      <c r="I589" s="13"/>
      <c r="J589" s="229"/>
      <c r="K589" s="13"/>
      <c r="L589" s="229"/>
      <c r="M589" s="13"/>
      <c r="N589" s="229"/>
      <c r="O589" s="13"/>
      <c r="P589" s="229"/>
      <c r="Q589" s="13"/>
      <c r="R589" s="229"/>
      <c r="S589" s="13"/>
      <c r="T589" s="229"/>
      <c r="U589" s="13"/>
      <c r="V589" s="229"/>
      <c r="W589" s="13"/>
      <c r="X589" s="229"/>
      <c r="Y589" s="13"/>
      <c r="Z589" s="229"/>
      <c r="AA589" s="13"/>
      <c r="AB589" s="229">
        <f t="shared" si="200"/>
        <v>0</v>
      </c>
      <c r="AC589" s="228">
        <f t="shared" si="192"/>
        <v>0</v>
      </c>
      <c r="AD589" s="21">
        <v>0</v>
      </c>
      <c r="AE589" s="229"/>
      <c r="AF589" s="20"/>
      <c r="AG589" s="229"/>
      <c r="AH589" s="20"/>
      <c r="AI589" s="229">
        <v>2</v>
      </c>
      <c r="AJ589" s="20">
        <v>2</v>
      </c>
      <c r="AK589" s="229"/>
      <c r="AL589" s="20"/>
      <c r="AM589" s="229"/>
      <c r="AN589" s="20"/>
      <c r="AO589" s="229"/>
      <c r="AP589" s="20"/>
      <c r="AQ589" s="229"/>
      <c r="AR589" s="20"/>
      <c r="AS589" s="229"/>
      <c r="AT589" s="20"/>
      <c r="AU589" s="229"/>
      <c r="AV589" s="20"/>
      <c r="AW589" s="229"/>
      <c r="AX589" s="20"/>
      <c r="AY589" s="229"/>
      <c r="AZ589" s="20"/>
      <c r="BA589" s="229"/>
      <c r="BB589" s="20"/>
      <c r="BC589" s="229">
        <f t="shared" si="201"/>
        <v>2</v>
      </c>
      <c r="BD589" s="48">
        <f t="shared" si="193"/>
        <v>2</v>
      </c>
      <c r="BE589" s="19">
        <v>2</v>
      </c>
      <c r="BF589" s="229">
        <f t="shared" si="202"/>
        <v>2</v>
      </c>
      <c r="BG589" s="210">
        <f t="shared" si="189"/>
        <v>2</v>
      </c>
      <c r="BH589" s="210">
        <f t="shared" si="190"/>
        <v>2</v>
      </c>
      <c r="BI589" s="213">
        <f t="shared" si="191"/>
        <v>100</v>
      </c>
      <c r="BJ589" s="141"/>
      <c r="BK589" s="201"/>
      <c r="BL589" s="198"/>
      <c r="BM589" s="198"/>
    </row>
    <row r="590" spans="1:65" s="17" customFormat="1" ht="21" customHeight="1">
      <c r="A590" s="123">
        <v>29</v>
      </c>
      <c r="B590" s="9" t="s">
        <v>3107</v>
      </c>
      <c r="C590" s="10" t="s">
        <v>3108</v>
      </c>
      <c r="D590" s="229"/>
      <c r="E590" s="13"/>
      <c r="F590" s="229"/>
      <c r="G590" s="13"/>
      <c r="H590" s="229"/>
      <c r="I590" s="13"/>
      <c r="J590" s="229"/>
      <c r="K590" s="13"/>
      <c r="L590" s="229"/>
      <c r="M590" s="13"/>
      <c r="N590" s="229"/>
      <c r="O590" s="13"/>
      <c r="P590" s="229"/>
      <c r="Q590" s="13"/>
      <c r="R590" s="229"/>
      <c r="S590" s="13"/>
      <c r="T590" s="229"/>
      <c r="U590" s="13"/>
      <c r="V590" s="229"/>
      <c r="W590" s="13"/>
      <c r="X590" s="229"/>
      <c r="Y590" s="13"/>
      <c r="Z590" s="229"/>
      <c r="AA590" s="13"/>
      <c r="AB590" s="229"/>
      <c r="AC590" s="228">
        <f t="shared" si="192"/>
        <v>0</v>
      </c>
      <c r="AD590" s="21">
        <v>0</v>
      </c>
      <c r="AE590" s="229"/>
      <c r="AF590" s="20"/>
      <c r="AG590" s="229"/>
      <c r="AH590" s="20"/>
      <c r="AI590" s="229"/>
      <c r="AJ590" s="20"/>
      <c r="AK590" s="229"/>
      <c r="AL590" s="20"/>
      <c r="AM590" s="229"/>
      <c r="AN590" s="20"/>
      <c r="AO590" s="229"/>
      <c r="AP590" s="20">
        <v>1</v>
      </c>
      <c r="AQ590" s="229"/>
      <c r="AR590" s="20"/>
      <c r="AS590" s="229"/>
      <c r="AT590" s="20"/>
      <c r="AU590" s="229"/>
      <c r="AV590" s="20"/>
      <c r="AW590" s="229"/>
      <c r="AX590" s="20"/>
      <c r="AY590" s="229"/>
      <c r="AZ590" s="20"/>
      <c r="BA590" s="229"/>
      <c r="BB590" s="20">
        <v>1</v>
      </c>
      <c r="BC590" s="229"/>
      <c r="BD590" s="48">
        <f t="shared" si="193"/>
        <v>2</v>
      </c>
      <c r="BE590" s="19">
        <v>0</v>
      </c>
      <c r="BF590" s="229"/>
      <c r="BG590" s="210">
        <f t="shared" si="189"/>
        <v>2</v>
      </c>
      <c r="BH590" s="210">
        <f t="shared" si="190"/>
        <v>0</v>
      </c>
      <c r="BI590" s="213" t="e">
        <f t="shared" si="191"/>
        <v>#DIV/0!</v>
      </c>
      <c r="BJ590" s="141"/>
      <c r="BK590" s="201"/>
      <c r="BL590" s="198"/>
      <c r="BM590" s="198"/>
    </row>
    <row r="591" spans="1:65" s="17" customFormat="1" ht="15.95" customHeight="1">
      <c r="A591" s="123">
        <v>30</v>
      </c>
      <c r="B591" s="9" t="s">
        <v>334</v>
      </c>
      <c r="C591" s="11" t="s">
        <v>335</v>
      </c>
      <c r="D591" s="229"/>
      <c r="E591" s="13"/>
      <c r="F591" s="229"/>
      <c r="G591" s="13"/>
      <c r="H591" s="229"/>
      <c r="I591" s="13"/>
      <c r="J591" s="229"/>
      <c r="K591" s="13"/>
      <c r="L591" s="229"/>
      <c r="M591" s="13"/>
      <c r="N591" s="229"/>
      <c r="O591" s="13"/>
      <c r="P591" s="229"/>
      <c r="Q591" s="13"/>
      <c r="R591" s="229"/>
      <c r="S591" s="13"/>
      <c r="T591" s="229"/>
      <c r="U591" s="13"/>
      <c r="V591" s="229"/>
      <c r="W591" s="13"/>
      <c r="X591" s="229"/>
      <c r="Y591" s="13"/>
      <c r="Z591" s="229"/>
      <c r="AA591" s="13"/>
      <c r="AB591" s="229">
        <f t="shared" ref="AB591:AB596" si="203">D591+F591+H591+J591+L591+N591+P591+R591+T591+V591+X591+Z591</f>
        <v>0</v>
      </c>
      <c r="AC591" s="228">
        <f t="shared" si="192"/>
        <v>0</v>
      </c>
      <c r="AD591" s="21">
        <v>0</v>
      </c>
      <c r="AE591" s="229"/>
      <c r="AF591" s="20"/>
      <c r="AG591" s="229"/>
      <c r="AH591" s="20"/>
      <c r="AI591" s="229">
        <v>4</v>
      </c>
      <c r="AJ591" s="20">
        <v>4</v>
      </c>
      <c r="AK591" s="229"/>
      <c r="AL591" s="20"/>
      <c r="AM591" s="229"/>
      <c r="AN591" s="20"/>
      <c r="AO591" s="229">
        <v>3</v>
      </c>
      <c r="AP591" s="20">
        <v>3</v>
      </c>
      <c r="AQ591" s="229"/>
      <c r="AR591" s="20"/>
      <c r="AS591" s="229"/>
      <c r="AT591" s="20"/>
      <c r="AU591" s="229"/>
      <c r="AV591" s="20">
        <v>3</v>
      </c>
      <c r="AW591" s="229"/>
      <c r="AX591" s="20"/>
      <c r="AY591" s="229"/>
      <c r="AZ591" s="20"/>
      <c r="BA591" s="229"/>
      <c r="BB591" s="20">
        <v>12</v>
      </c>
      <c r="BC591" s="229">
        <f t="shared" ref="BC591:BC596" si="204">AE591+AG591+AI591+AK591+AM591+AO591+AQ591+AS591+AU591+AW591+AY591+BA591</f>
        <v>7</v>
      </c>
      <c r="BD591" s="48">
        <f t="shared" si="193"/>
        <v>22</v>
      </c>
      <c r="BE591" s="19">
        <v>17</v>
      </c>
      <c r="BF591" s="229">
        <f t="shared" ref="BF591:BF596" si="205">AB591+BC591</f>
        <v>7</v>
      </c>
      <c r="BG591" s="210">
        <f t="shared" si="189"/>
        <v>22</v>
      </c>
      <c r="BH591" s="210">
        <f t="shared" si="190"/>
        <v>17</v>
      </c>
      <c r="BI591" s="213">
        <f t="shared" si="191"/>
        <v>129.41176470588235</v>
      </c>
      <c r="BJ591" s="141"/>
      <c r="BK591" s="201"/>
      <c r="BL591" s="198"/>
      <c r="BM591" s="198"/>
    </row>
    <row r="592" spans="1:65" s="17" customFormat="1" ht="15.95" customHeight="1">
      <c r="A592" s="123">
        <v>31</v>
      </c>
      <c r="B592" s="9" t="s">
        <v>336</v>
      </c>
      <c r="C592" s="11" t="s">
        <v>337</v>
      </c>
      <c r="D592" s="229"/>
      <c r="E592" s="13"/>
      <c r="F592" s="229"/>
      <c r="G592" s="13"/>
      <c r="H592" s="229"/>
      <c r="I592" s="13"/>
      <c r="J592" s="229"/>
      <c r="K592" s="13"/>
      <c r="L592" s="229"/>
      <c r="M592" s="13"/>
      <c r="N592" s="229"/>
      <c r="O592" s="13"/>
      <c r="P592" s="229"/>
      <c r="Q592" s="13"/>
      <c r="R592" s="229"/>
      <c r="S592" s="13"/>
      <c r="T592" s="229"/>
      <c r="U592" s="13"/>
      <c r="V592" s="229"/>
      <c r="W592" s="13"/>
      <c r="X592" s="229"/>
      <c r="Y592" s="13"/>
      <c r="Z592" s="229"/>
      <c r="AA592" s="13"/>
      <c r="AB592" s="229">
        <f t="shared" si="203"/>
        <v>0</v>
      </c>
      <c r="AC592" s="228">
        <f t="shared" si="192"/>
        <v>0</v>
      </c>
      <c r="AD592" s="21">
        <v>0</v>
      </c>
      <c r="AE592" s="229"/>
      <c r="AF592" s="20"/>
      <c r="AG592" s="229"/>
      <c r="AH592" s="20"/>
      <c r="AI592" s="229"/>
      <c r="AJ592" s="20"/>
      <c r="AK592" s="229"/>
      <c r="AL592" s="20"/>
      <c r="AM592" s="229"/>
      <c r="AN592" s="20"/>
      <c r="AO592" s="229"/>
      <c r="AP592" s="20"/>
      <c r="AQ592" s="229"/>
      <c r="AR592" s="20"/>
      <c r="AS592" s="229"/>
      <c r="AT592" s="20"/>
      <c r="AU592" s="229"/>
      <c r="AV592" s="20"/>
      <c r="AW592" s="229"/>
      <c r="AX592" s="20"/>
      <c r="AY592" s="229"/>
      <c r="AZ592" s="20"/>
      <c r="BA592" s="229"/>
      <c r="BB592" s="20">
        <v>3</v>
      </c>
      <c r="BC592" s="229">
        <f t="shared" si="204"/>
        <v>0</v>
      </c>
      <c r="BD592" s="48">
        <f t="shared" si="193"/>
        <v>3</v>
      </c>
      <c r="BE592" s="19">
        <v>15</v>
      </c>
      <c r="BF592" s="229">
        <f t="shared" si="205"/>
        <v>0</v>
      </c>
      <c r="BG592" s="210">
        <f t="shared" si="189"/>
        <v>3</v>
      </c>
      <c r="BH592" s="210">
        <f t="shared" si="190"/>
        <v>15</v>
      </c>
      <c r="BI592" s="213">
        <f t="shared" si="191"/>
        <v>20</v>
      </c>
      <c r="BJ592" s="141"/>
      <c r="BK592" s="201"/>
      <c r="BL592" s="198"/>
      <c r="BM592" s="198"/>
    </row>
    <row r="593" spans="1:65" s="17" customFormat="1" ht="15.95" customHeight="1">
      <c r="A593" s="123">
        <v>32</v>
      </c>
      <c r="B593" s="9" t="s">
        <v>267</v>
      </c>
      <c r="C593" s="11" t="s">
        <v>268</v>
      </c>
      <c r="D593" s="229"/>
      <c r="E593" s="13"/>
      <c r="F593" s="229"/>
      <c r="G593" s="13"/>
      <c r="H593" s="229"/>
      <c r="I593" s="13"/>
      <c r="J593" s="229"/>
      <c r="K593" s="13"/>
      <c r="L593" s="229"/>
      <c r="M593" s="13"/>
      <c r="N593" s="229"/>
      <c r="O593" s="13"/>
      <c r="P593" s="229"/>
      <c r="Q593" s="13"/>
      <c r="R593" s="229"/>
      <c r="S593" s="13"/>
      <c r="T593" s="229"/>
      <c r="U593" s="13"/>
      <c r="V593" s="229"/>
      <c r="W593" s="13"/>
      <c r="X593" s="229"/>
      <c r="Y593" s="13"/>
      <c r="Z593" s="229"/>
      <c r="AA593" s="13"/>
      <c r="AB593" s="229">
        <f t="shared" si="203"/>
        <v>0</v>
      </c>
      <c r="AC593" s="228">
        <f t="shared" si="192"/>
        <v>0</v>
      </c>
      <c r="AD593" s="21">
        <v>0</v>
      </c>
      <c r="AE593" s="229"/>
      <c r="AF593" s="20"/>
      <c r="AG593" s="229"/>
      <c r="AH593" s="20"/>
      <c r="AI593" s="229">
        <v>5</v>
      </c>
      <c r="AJ593" s="20">
        <v>5</v>
      </c>
      <c r="AK593" s="229"/>
      <c r="AL593" s="20"/>
      <c r="AM593" s="229"/>
      <c r="AN593" s="20"/>
      <c r="AO593" s="229">
        <v>1</v>
      </c>
      <c r="AP593" s="20">
        <v>1</v>
      </c>
      <c r="AQ593" s="229"/>
      <c r="AR593" s="20"/>
      <c r="AS593" s="229"/>
      <c r="AT593" s="20"/>
      <c r="AU593" s="229"/>
      <c r="AV593" s="20">
        <v>2</v>
      </c>
      <c r="AW593" s="229"/>
      <c r="AX593" s="20"/>
      <c r="AY593" s="229"/>
      <c r="AZ593" s="20"/>
      <c r="BA593" s="229"/>
      <c r="BB593" s="20">
        <v>1</v>
      </c>
      <c r="BC593" s="229">
        <f t="shared" si="204"/>
        <v>6</v>
      </c>
      <c r="BD593" s="48">
        <f t="shared" si="193"/>
        <v>9</v>
      </c>
      <c r="BE593" s="19">
        <v>11</v>
      </c>
      <c r="BF593" s="229">
        <f t="shared" si="205"/>
        <v>6</v>
      </c>
      <c r="BG593" s="210">
        <f t="shared" si="189"/>
        <v>9</v>
      </c>
      <c r="BH593" s="210">
        <f t="shared" si="190"/>
        <v>11</v>
      </c>
      <c r="BI593" s="213">
        <f t="shared" si="191"/>
        <v>81.818181818181827</v>
      </c>
      <c r="BJ593" s="141"/>
      <c r="BK593" s="201"/>
      <c r="BL593" s="198"/>
      <c r="BM593" s="198"/>
    </row>
    <row r="594" spans="1:65" s="17" customFormat="1" ht="15.95" customHeight="1">
      <c r="A594" s="123">
        <v>33</v>
      </c>
      <c r="B594" s="9" t="s">
        <v>2406</v>
      </c>
      <c r="C594" s="11" t="s">
        <v>2407</v>
      </c>
      <c r="D594" s="229"/>
      <c r="E594" s="13"/>
      <c r="F594" s="229"/>
      <c r="G594" s="13"/>
      <c r="H594" s="229"/>
      <c r="I594" s="13"/>
      <c r="J594" s="229"/>
      <c r="K594" s="13"/>
      <c r="L594" s="229"/>
      <c r="M594" s="13"/>
      <c r="N594" s="229"/>
      <c r="O594" s="13"/>
      <c r="P594" s="229"/>
      <c r="Q594" s="13"/>
      <c r="R594" s="229"/>
      <c r="S594" s="13"/>
      <c r="T594" s="229"/>
      <c r="U594" s="13"/>
      <c r="V594" s="229"/>
      <c r="W594" s="13"/>
      <c r="X594" s="229"/>
      <c r="Y594" s="13"/>
      <c r="Z594" s="229"/>
      <c r="AA594" s="13"/>
      <c r="AB594" s="229">
        <f t="shared" si="203"/>
        <v>0</v>
      </c>
      <c r="AC594" s="228">
        <f t="shared" si="192"/>
        <v>0</v>
      </c>
      <c r="AD594" s="21">
        <v>0</v>
      </c>
      <c r="AE594" s="229"/>
      <c r="AF594" s="20"/>
      <c r="AG594" s="229"/>
      <c r="AH594" s="20"/>
      <c r="AI594" s="229"/>
      <c r="AJ594" s="20"/>
      <c r="AK594" s="229"/>
      <c r="AL594" s="20"/>
      <c r="AM594" s="229"/>
      <c r="AN594" s="20"/>
      <c r="AO594" s="229"/>
      <c r="AP594" s="20"/>
      <c r="AQ594" s="229"/>
      <c r="AR594" s="20"/>
      <c r="AS594" s="229"/>
      <c r="AT594" s="20"/>
      <c r="AU594" s="229"/>
      <c r="AV594" s="20"/>
      <c r="AW594" s="229"/>
      <c r="AX594" s="20"/>
      <c r="AY594" s="229"/>
      <c r="AZ594" s="20"/>
      <c r="BA594" s="229"/>
      <c r="BB594" s="20"/>
      <c r="BC594" s="229">
        <f t="shared" si="204"/>
        <v>0</v>
      </c>
      <c r="BD594" s="48">
        <f t="shared" si="193"/>
        <v>0</v>
      </c>
      <c r="BE594" s="19">
        <v>2</v>
      </c>
      <c r="BF594" s="229">
        <f t="shared" si="205"/>
        <v>0</v>
      </c>
      <c r="BG594" s="210">
        <f t="shared" si="189"/>
        <v>0</v>
      </c>
      <c r="BH594" s="210">
        <f t="shared" si="190"/>
        <v>2</v>
      </c>
      <c r="BI594" s="213">
        <f t="shared" si="191"/>
        <v>0</v>
      </c>
      <c r="BJ594" s="141"/>
      <c r="BK594" s="201"/>
      <c r="BL594" s="198"/>
      <c r="BM594" s="198"/>
    </row>
    <row r="595" spans="1:65" s="17" customFormat="1" ht="15.95" customHeight="1">
      <c r="A595" s="123">
        <v>34</v>
      </c>
      <c r="B595" s="9" t="s">
        <v>2228</v>
      </c>
      <c r="C595" s="11" t="s">
        <v>2229</v>
      </c>
      <c r="D595" s="229"/>
      <c r="E595" s="13"/>
      <c r="F595" s="229"/>
      <c r="G595" s="13"/>
      <c r="H595" s="229"/>
      <c r="I595" s="13"/>
      <c r="J595" s="229"/>
      <c r="K595" s="13"/>
      <c r="L595" s="229"/>
      <c r="M595" s="13"/>
      <c r="N595" s="229"/>
      <c r="O595" s="13"/>
      <c r="P595" s="229"/>
      <c r="Q595" s="13"/>
      <c r="R595" s="229"/>
      <c r="S595" s="13"/>
      <c r="T595" s="229"/>
      <c r="U595" s="13"/>
      <c r="V595" s="229"/>
      <c r="W595" s="13"/>
      <c r="X595" s="229"/>
      <c r="Y595" s="13"/>
      <c r="Z595" s="229"/>
      <c r="AA595" s="13"/>
      <c r="AB595" s="229">
        <f t="shared" si="203"/>
        <v>0</v>
      </c>
      <c r="AC595" s="228">
        <f t="shared" si="192"/>
        <v>0</v>
      </c>
      <c r="AD595" s="21">
        <v>0</v>
      </c>
      <c r="AE595" s="229"/>
      <c r="AF595" s="20"/>
      <c r="AG595" s="229"/>
      <c r="AH595" s="20"/>
      <c r="AI595" s="229"/>
      <c r="AJ595" s="20"/>
      <c r="AK595" s="229"/>
      <c r="AL595" s="20"/>
      <c r="AM595" s="229"/>
      <c r="AN595" s="20"/>
      <c r="AO595" s="229"/>
      <c r="AP595" s="20"/>
      <c r="AQ595" s="229"/>
      <c r="AR595" s="20"/>
      <c r="AS595" s="229"/>
      <c r="AT595" s="20"/>
      <c r="AU595" s="229"/>
      <c r="AV595" s="20"/>
      <c r="AW595" s="229"/>
      <c r="AX595" s="20"/>
      <c r="AY595" s="229"/>
      <c r="AZ595" s="20"/>
      <c r="BA595" s="229"/>
      <c r="BB595" s="20"/>
      <c r="BC595" s="229">
        <f t="shared" si="204"/>
        <v>0</v>
      </c>
      <c r="BD595" s="48">
        <f t="shared" si="193"/>
        <v>0</v>
      </c>
      <c r="BE595" s="19">
        <v>3</v>
      </c>
      <c r="BF595" s="229">
        <f t="shared" si="205"/>
        <v>0</v>
      </c>
      <c r="BG595" s="210">
        <f t="shared" si="189"/>
        <v>0</v>
      </c>
      <c r="BH595" s="210">
        <f t="shared" si="190"/>
        <v>3</v>
      </c>
      <c r="BI595" s="213">
        <f t="shared" si="191"/>
        <v>0</v>
      </c>
      <c r="BJ595" s="141"/>
      <c r="BK595" s="201"/>
      <c r="BL595" s="198"/>
      <c r="BM595" s="198"/>
    </row>
    <row r="596" spans="1:65" s="17" customFormat="1" ht="24" customHeight="1">
      <c r="A596" s="123">
        <v>35</v>
      </c>
      <c r="B596" s="9" t="s">
        <v>338</v>
      </c>
      <c r="C596" s="10" t="s">
        <v>2489</v>
      </c>
      <c r="D596" s="229"/>
      <c r="E596" s="13"/>
      <c r="F596" s="229"/>
      <c r="G596" s="13"/>
      <c r="H596" s="229"/>
      <c r="I596" s="13"/>
      <c r="J596" s="229"/>
      <c r="K596" s="13"/>
      <c r="L596" s="229"/>
      <c r="M596" s="13"/>
      <c r="N596" s="229"/>
      <c r="O596" s="13"/>
      <c r="P596" s="229"/>
      <c r="Q596" s="13"/>
      <c r="R596" s="229"/>
      <c r="S596" s="13"/>
      <c r="T596" s="229"/>
      <c r="U596" s="13"/>
      <c r="V596" s="229"/>
      <c r="W596" s="13"/>
      <c r="X596" s="229"/>
      <c r="Y596" s="13"/>
      <c r="Z596" s="229"/>
      <c r="AA596" s="13"/>
      <c r="AB596" s="229">
        <f t="shared" si="203"/>
        <v>0</v>
      </c>
      <c r="AC596" s="228">
        <f t="shared" si="192"/>
        <v>0</v>
      </c>
      <c r="AD596" s="21">
        <v>0</v>
      </c>
      <c r="AE596" s="229"/>
      <c r="AF596" s="20"/>
      <c r="AG596" s="229"/>
      <c r="AH596" s="20"/>
      <c r="AI596" s="229">
        <v>5</v>
      </c>
      <c r="AJ596" s="20">
        <v>5</v>
      </c>
      <c r="AK596" s="229"/>
      <c r="AL596" s="20"/>
      <c r="AM596" s="229"/>
      <c r="AN596" s="20"/>
      <c r="AO596" s="229">
        <v>3</v>
      </c>
      <c r="AP596" s="20">
        <v>4</v>
      </c>
      <c r="AQ596" s="229"/>
      <c r="AR596" s="20"/>
      <c r="AS596" s="229"/>
      <c r="AT596" s="20"/>
      <c r="AU596" s="229"/>
      <c r="AV596" s="20">
        <v>2</v>
      </c>
      <c r="AW596" s="229"/>
      <c r="AX596" s="20"/>
      <c r="AY596" s="229"/>
      <c r="AZ596" s="20"/>
      <c r="BA596" s="229"/>
      <c r="BB596" s="20">
        <v>2</v>
      </c>
      <c r="BC596" s="229">
        <f t="shared" si="204"/>
        <v>8</v>
      </c>
      <c r="BD596" s="48">
        <f t="shared" si="193"/>
        <v>13</v>
      </c>
      <c r="BE596" s="19">
        <v>10</v>
      </c>
      <c r="BF596" s="229">
        <f t="shared" si="205"/>
        <v>8</v>
      </c>
      <c r="BG596" s="210">
        <f t="shared" si="189"/>
        <v>13</v>
      </c>
      <c r="BH596" s="210">
        <f t="shared" si="190"/>
        <v>10</v>
      </c>
      <c r="BI596" s="213">
        <f t="shared" si="191"/>
        <v>130</v>
      </c>
      <c r="BJ596" s="141"/>
      <c r="BK596" s="201"/>
      <c r="BL596" s="198"/>
      <c r="BM596" s="198"/>
    </row>
    <row r="597" spans="1:65" s="17" customFormat="1" ht="15.95" customHeight="1">
      <c r="A597" s="123">
        <v>36</v>
      </c>
      <c r="B597" s="9" t="s">
        <v>3109</v>
      </c>
      <c r="C597" s="11" t="s">
        <v>3110</v>
      </c>
      <c r="D597" s="229"/>
      <c r="E597" s="13"/>
      <c r="F597" s="229"/>
      <c r="G597" s="13"/>
      <c r="H597" s="229"/>
      <c r="I597" s="13"/>
      <c r="J597" s="229"/>
      <c r="K597" s="13"/>
      <c r="L597" s="229"/>
      <c r="M597" s="13"/>
      <c r="N597" s="229"/>
      <c r="O597" s="13"/>
      <c r="P597" s="229"/>
      <c r="Q597" s="13"/>
      <c r="R597" s="229"/>
      <c r="S597" s="13"/>
      <c r="T597" s="229"/>
      <c r="U597" s="13"/>
      <c r="V597" s="229"/>
      <c r="W597" s="13"/>
      <c r="X597" s="229"/>
      <c r="Y597" s="13"/>
      <c r="Z597" s="229"/>
      <c r="AA597" s="13"/>
      <c r="AB597" s="229"/>
      <c r="AC597" s="228">
        <f t="shared" si="192"/>
        <v>0</v>
      </c>
      <c r="AD597" s="21">
        <v>0</v>
      </c>
      <c r="AE597" s="229"/>
      <c r="AF597" s="20"/>
      <c r="AG597" s="229"/>
      <c r="AH597" s="20"/>
      <c r="AI597" s="229"/>
      <c r="AJ597" s="20"/>
      <c r="AK597" s="229"/>
      <c r="AL597" s="20"/>
      <c r="AM597" s="229"/>
      <c r="AN597" s="20"/>
      <c r="AO597" s="229"/>
      <c r="AP597" s="20">
        <v>2</v>
      </c>
      <c r="AQ597" s="229"/>
      <c r="AR597" s="20"/>
      <c r="AS597" s="229"/>
      <c r="AT597" s="20"/>
      <c r="AU597" s="229"/>
      <c r="AV597" s="20"/>
      <c r="AW597" s="229"/>
      <c r="AX597" s="20"/>
      <c r="AY597" s="229"/>
      <c r="AZ597" s="20"/>
      <c r="BA597" s="229"/>
      <c r="BB597" s="20">
        <v>1</v>
      </c>
      <c r="BC597" s="229"/>
      <c r="BD597" s="48">
        <f t="shared" si="193"/>
        <v>3</v>
      </c>
      <c r="BE597" s="19">
        <v>0</v>
      </c>
      <c r="BF597" s="229"/>
      <c r="BG597" s="210">
        <f t="shared" si="189"/>
        <v>3</v>
      </c>
      <c r="BH597" s="210">
        <f t="shared" ref="BH597:BH626" si="206">AD597+BE597</f>
        <v>0</v>
      </c>
      <c r="BI597" s="213" t="e">
        <f t="shared" si="191"/>
        <v>#DIV/0!</v>
      </c>
      <c r="BJ597" s="141"/>
      <c r="BK597" s="201"/>
      <c r="BL597" s="198"/>
      <c r="BM597" s="198"/>
    </row>
    <row r="598" spans="1:65" s="17" customFormat="1" ht="15.95" customHeight="1">
      <c r="A598" s="123">
        <v>37</v>
      </c>
      <c r="B598" s="9" t="s">
        <v>2408</v>
      </c>
      <c r="C598" s="11" t="s">
        <v>2409</v>
      </c>
      <c r="D598" s="229"/>
      <c r="E598" s="13"/>
      <c r="F598" s="229"/>
      <c r="G598" s="13"/>
      <c r="H598" s="229"/>
      <c r="I598" s="13"/>
      <c r="J598" s="229"/>
      <c r="K598" s="13"/>
      <c r="L598" s="229"/>
      <c r="M598" s="13"/>
      <c r="N598" s="229"/>
      <c r="O598" s="13"/>
      <c r="P598" s="229"/>
      <c r="Q598" s="13"/>
      <c r="R598" s="229"/>
      <c r="S598" s="13"/>
      <c r="T598" s="229"/>
      <c r="U598" s="13"/>
      <c r="V598" s="229"/>
      <c r="W598" s="13"/>
      <c r="X598" s="229"/>
      <c r="Y598" s="13"/>
      <c r="Z598" s="229"/>
      <c r="AA598" s="13"/>
      <c r="AB598" s="229">
        <f t="shared" ref="AB598:AB604" si="207">D598+F598+H598+J598+L598+N598+P598+R598+T598+V598+X598+Z598</f>
        <v>0</v>
      </c>
      <c r="AC598" s="228">
        <f t="shared" si="192"/>
        <v>0</v>
      </c>
      <c r="AD598" s="21">
        <v>0</v>
      </c>
      <c r="AE598" s="229"/>
      <c r="AF598" s="20"/>
      <c r="AG598" s="229"/>
      <c r="AH598" s="20"/>
      <c r="AI598" s="229"/>
      <c r="AJ598" s="20"/>
      <c r="AK598" s="229"/>
      <c r="AL598" s="20"/>
      <c r="AM598" s="229"/>
      <c r="AN598" s="20"/>
      <c r="AO598" s="229"/>
      <c r="AP598" s="20"/>
      <c r="AQ598" s="229"/>
      <c r="AR598" s="20"/>
      <c r="AS598" s="229"/>
      <c r="AT598" s="20"/>
      <c r="AU598" s="229"/>
      <c r="AV598" s="20"/>
      <c r="AW598" s="229"/>
      <c r="AX598" s="20"/>
      <c r="AY598" s="229"/>
      <c r="AZ598" s="20"/>
      <c r="BA598" s="229"/>
      <c r="BB598" s="20"/>
      <c r="BC598" s="229">
        <f t="shared" ref="BC598:BC604" si="208">AE598+AG598+AI598+AK598+AM598+AO598+AQ598+AS598+AU598+AW598+AY598+BA598</f>
        <v>0</v>
      </c>
      <c r="BD598" s="48">
        <f t="shared" si="193"/>
        <v>0</v>
      </c>
      <c r="BE598" s="19">
        <v>2</v>
      </c>
      <c r="BF598" s="229">
        <f t="shared" ref="BF598:BG604" si="209">AB598+BC598</f>
        <v>0</v>
      </c>
      <c r="BG598" s="210">
        <f t="shared" si="209"/>
        <v>0</v>
      </c>
      <c r="BH598" s="210">
        <f t="shared" si="206"/>
        <v>2</v>
      </c>
      <c r="BI598" s="213">
        <f t="shared" ref="BI598:BI626" si="210">BG598/BH598*100</f>
        <v>0</v>
      </c>
      <c r="BJ598" s="141"/>
      <c r="BK598" s="201"/>
      <c r="BL598" s="198"/>
      <c r="BM598" s="198"/>
    </row>
    <row r="599" spans="1:65" s="17" customFormat="1" ht="15.95" customHeight="1">
      <c r="A599" s="123">
        <v>38</v>
      </c>
      <c r="B599" s="9" t="s">
        <v>339</v>
      </c>
      <c r="C599" s="11" t="s">
        <v>2488</v>
      </c>
      <c r="D599" s="229"/>
      <c r="E599" s="13"/>
      <c r="F599" s="229"/>
      <c r="G599" s="13"/>
      <c r="H599" s="229"/>
      <c r="I599" s="13"/>
      <c r="J599" s="229"/>
      <c r="K599" s="13"/>
      <c r="L599" s="229"/>
      <c r="M599" s="13"/>
      <c r="N599" s="229"/>
      <c r="O599" s="13"/>
      <c r="P599" s="229"/>
      <c r="Q599" s="13"/>
      <c r="R599" s="229"/>
      <c r="S599" s="13"/>
      <c r="T599" s="229"/>
      <c r="U599" s="13"/>
      <c r="V599" s="229"/>
      <c r="W599" s="13"/>
      <c r="X599" s="229"/>
      <c r="Y599" s="13"/>
      <c r="Z599" s="229"/>
      <c r="AA599" s="13"/>
      <c r="AB599" s="229">
        <f t="shared" si="207"/>
        <v>0</v>
      </c>
      <c r="AC599" s="228">
        <f t="shared" ref="AC599:AC626" si="211">E599+G599+I599+K599+M599+O599+Q599+S599+U599+W599+Y599+AA599</f>
        <v>0</v>
      </c>
      <c r="AD599" s="21">
        <v>0</v>
      </c>
      <c r="AE599" s="229"/>
      <c r="AF599" s="20"/>
      <c r="AG599" s="229"/>
      <c r="AH599" s="20"/>
      <c r="AI599" s="229">
        <v>1</v>
      </c>
      <c r="AJ599" s="20">
        <v>1</v>
      </c>
      <c r="AK599" s="229"/>
      <c r="AL599" s="20"/>
      <c r="AM599" s="229"/>
      <c r="AN599" s="20"/>
      <c r="AO599" s="229">
        <v>1</v>
      </c>
      <c r="AP599" s="20">
        <v>1</v>
      </c>
      <c r="AQ599" s="229"/>
      <c r="AR599" s="20"/>
      <c r="AS599" s="229"/>
      <c r="AT599" s="20"/>
      <c r="AU599" s="229"/>
      <c r="AV599" s="20">
        <v>5</v>
      </c>
      <c r="AW599" s="229"/>
      <c r="AX599" s="20"/>
      <c r="AY599" s="229"/>
      <c r="AZ599" s="20"/>
      <c r="BA599" s="229"/>
      <c r="BB599" s="20"/>
      <c r="BC599" s="229">
        <f t="shared" si="208"/>
        <v>2</v>
      </c>
      <c r="BD599" s="48">
        <f t="shared" ref="BD599:BD626" si="212">AF599+AH599+AJ599+AL599+AN599+AP599+AR599+AT599+AV599+AX599+AZ599+BB599</f>
        <v>7</v>
      </c>
      <c r="BE599" s="19">
        <v>8</v>
      </c>
      <c r="BF599" s="229">
        <f t="shared" si="209"/>
        <v>2</v>
      </c>
      <c r="BG599" s="210">
        <f t="shared" si="209"/>
        <v>7</v>
      </c>
      <c r="BH599" s="210">
        <f t="shared" si="206"/>
        <v>8</v>
      </c>
      <c r="BI599" s="213">
        <f t="shared" si="210"/>
        <v>87.5</v>
      </c>
      <c r="BJ599" s="141"/>
      <c r="BK599" s="201"/>
      <c r="BL599" s="198"/>
      <c r="BM599" s="198"/>
    </row>
    <row r="600" spans="1:65" s="17" customFormat="1" ht="15.95" customHeight="1">
      <c r="A600" s="123">
        <v>39</v>
      </c>
      <c r="B600" s="9" t="s">
        <v>3026</v>
      </c>
      <c r="C600" s="11" t="s">
        <v>3027</v>
      </c>
      <c r="D600" s="229"/>
      <c r="E600" s="13"/>
      <c r="F600" s="229"/>
      <c r="G600" s="13"/>
      <c r="H600" s="229"/>
      <c r="I600" s="13"/>
      <c r="J600" s="229"/>
      <c r="K600" s="13"/>
      <c r="L600" s="229"/>
      <c r="M600" s="13"/>
      <c r="N600" s="229"/>
      <c r="O600" s="13"/>
      <c r="P600" s="229"/>
      <c r="Q600" s="13"/>
      <c r="R600" s="229"/>
      <c r="S600" s="13"/>
      <c r="T600" s="229"/>
      <c r="U600" s="13"/>
      <c r="V600" s="229"/>
      <c r="W600" s="13"/>
      <c r="X600" s="229"/>
      <c r="Y600" s="13"/>
      <c r="Z600" s="229"/>
      <c r="AA600" s="13"/>
      <c r="AB600" s="229">
        <f t="shared" si="207"/>
        <v>0</v>
      </c>
      <c r="AC600" s="228">
        <f t="shared" si="211"/>
        <v>0</v>
      </c>
      <c r="AD600" s="21">
        <v>0</v>
      </c>
      <c r="AE600" s="229"/>
      <c r="AF600" s="20"/>
      <c r="AG600" s="229"/>
      <c r="AH600" s="20"/>
      <c r="AI600" s="229">
        <v>1</v>
      </c>
      <c r="AJ600" s="20">
        <v>1</v>
      </c>
      <c r="AK600" s="229"/>
      <c r="AL600" s="20"/>
      <c r="AM600" s="229"/>
      <c r="AN600" s="20"/>
      <c r="AO600" s="229"/>
      <c r="AP600" s="20"/>
      <c r="AQ600" s="229"/>
      <c r="AR600" s="20"/>
      <c r="AS600" s="229"/>
      <c r="AT600" s="20"/>
      <c r="AU600" s="229"/>
      <c r="AV600" s="20"/>
      <c r="AW600" s="229"/>
      <c r="AX600" s="20"/>
      <c r="AY600" s="229"/>
      <c r="AZ600" s="20"/>
      <c r="BA600" s="229"/>
      <c r="BB600" s="20">
        <v>1</v>
      </c>
      <c r="BC600" s="229">
        <f t="shared" si="208"/>
        <v>1</v>
      </c>
      <c r="BD600" s="48">
        <f t="shared" si="212"/>
        <v>2</v>
      </c>
      <c r="BE600" s="19">
        <v>0</v>
      </c>
      <c r="BF600" s="229">
        <f t="shared" si="209"/>
        <v>1</v>
      </c>
      <c r="BG600" s="210">
        <f t="shared" si="209"/>
        <v>2</v>
      </c>
      <c r="BH600" s="210">
        <f t="shared" si="206"/>
        <v>0</v>
      </c>
      <c r="BI600" s="213" t="e">
        <f t="shared" si="210"/>
        <v>#DIV/0!</v>
      </c>
      <c r="BJ600" s="141"/>
      <c r="BK600" s="201"/>
      <c r="BL600" s="198"/>
      <c r="BM600" s="198"/>
    </row>
    <row r="601" spans="1:65" s="17" customFormat="1" ht="15.95" customHeight="1">
      <c r="A601" s="123">
        <v>40</v>
      </c>
      <c r="B601" s="60" t="s">
        <v>340</v>
      </c>
      <c r="C601" s="106" t="s">
        <v>341</v>
      </c>
      <c r="D601" s="229"/>
      <c r="E601" s="13"/>
      <c r="F601" s="229"/>
      <c r="G601" s="13"/>
      <c r="H601" s="229"/>
      <c r="I601" s="13"/>
      <c r="J601" s="229"/>
      <c r="K601" s="13"/>
      <c r="L601" s="229"/>
      <c r="M601" s="13"/>
      <c r="N601" s="229"/>
      <c r="O601" s="13"/>
      <c r="P601" s="229"/>
      <c r="Q601" s="13"/>
      <c r="R601" s="229"/>
      <c r="S601" s="13"/>
      <c r="T601" s="229"/>
      <c r="U601" s="13"/>
      <c r="V601" s="229"/>
      <c r="W601" s="13"/>
      <c r="X601" s="229"/>
      <c r="Y601" s="13"/>
      <c r="Z601" s="229"/>
      <c r="AA601" s="13"/>
      <c r="AB601" s="229">
        <f t="shared" si="207"/>
        <v>0</v>
      </c>
      <c r="AC601" s="228">
        <f t="shared" si="211"/>
        <v>0</v>
      </c>
      <c r="AD601" s="21">
        <v>0</v>
      </c>
      <c r="AE601" s="229"/>
      <c r="AF601" s="20"/>
      <c r="AG601" s="229"/>
      <c r="AH601" s="20"/>
      <c r="AI601" s="229">
        <v>43</v>
      </c>
      <c r="AJ601" s="20">
        <v>43</v>
      </c>
      <c r="AK601" s="229"/>
      <c r="AL601" s="20"/>
      <c r="AM601" s="229"/>
      <c r="AN601" s="20"/>
      <c r="AO601" s="229">
        <v>35</v>
      </c>
      <c r="AP601" s="20">
        <v>35</v>
      </c>
      <c r="AQ601" s="229"/>
      <c r="AR601" s="20"/>
      <c r="AS601" s="229"/>
      <c r="AT601" s="20"/>
      <c r="AU601" s="229"/>
      <c r="AV601" s="20">
        <v>59</v>
      </c>
      <c r="AW601" s="229"/>
      <c r="AX601" s="20"/>
      <c r="AY601" s="229"/>
      <c r="AZ601" s="20"/>
      <c r="BA601" s="229"/>
      <c r="BB601" s="20">
        <v>54</v>
      </c>
      <c r="BC601" s="229">
        <f t="shared" si="208"/>
        <v>78</v>
      </c>
      <c r="BD601" s="48">
        <f t="shared" si="212"/>
        <v>191</v>
      </c>
      <c r="BE601" s="19">
        <v>140</v>
      </c>
      <c r="BF601" s="229">
        <f t="shared" si="209"/>
        <v>78</v>
      </c>
      <c r="BG601" s="210">
        <f t="shared" si="209"/>
        <v>191</v>
      </c>
      <c r="BH601" s="210">
        <f t="shared" si="206"/>
        <v>140</v>
      </c>
      <c r="BI601" s="213">
        <f t="shared" si="210"/>
        <v>136.42857142857144</v>
      </c>
      <c r="BJ601" s="141"/>
      <c r="BK601" s="201"/>
      <c r="BL601" s="198"/>
      <c r="BM601" s="198"/>
    </row>
    <row r="602" spans="1:65" s="17" customFormat="1" ht="15.95" customHeight="1">
      <c r="A602" s="123">
        <v>41</v>
      </c>
      <c r="B602" s="9" t="s">
        <v>1500</v>
      </c>
      <c r="C602" s="11" t="s">
        <v>1501</v>
      </c>
      <c r="D602" s="229"/>
      <c r="E602" s="13"/>
      <c r="F602" s="229"/>
      <c r="G602" s="13"/>
      <c r="H602" s="229"/>
      <c r="I602" s="13"/>
      <c r="J602" s="229"/>
      <c r="K602" s="13"/>
      <c r="L602" s="229"/>
      <c r="M602" s="13"/>
      <c r="N602" s="229"/>
      <c r="O602" s="13"/>
      <c r="P602" s="229"/>
      <c r="Q602" s="13"/>
      <c r="R602" s="229"/>
      <c r="S602" s="13"/>
      <c r="T602" s="229"/>
      <c r="U602" s="13"/>
      <c r="V602" s="229"/>
      <c r="W602" s="13"/>
      <c r="X602" s="229"/>
      <c r="Y602" s="13"/>
      <c r="Z602" s="229"/>
      <c r="AA602" s="13"/>
      <c r="AB602" s="229">
        <f t="shared" si="207"/>
        <v>0</v>
      </c>
      <c r="AC602" s="228">
        <f t="shared" si="211"/>
        <v>0</v>
      </c>
      <c r="AD602" s="21">
        <v>0</v>
      </c>
      <c r="AE602" s="229"/>
      <c r="AF602" s="20"/>
      <c r="AG602" s="229"/>
      <c r="AH602" s="20"/>
      <c r="AI602" s="229">
        <v>4</v>
      </c>
      <c r="AJ602" s="20">
        <v>4</v>
      </c>
      <c r="AK602" s="229"/>
      <c r="AL602" s="20"/>
      <c r="AM602" s="229"/>
      <c r="AN602" s="20"/>
      <c r="AO602" s="229"/>
      <c r="AP602" s="20"/>
      <c r="AQ602" s="229"/>
      <c r="AR602" s="20"/>
      <c r="AS602" s="229"/>
      <c r="AT602" s="20"/>
      <c r="AU602" s="229"/>
      <c r="AV602" s="20"/>
      <c r="AW602" s="229"/>
      <c r="AX602" s="20"/>
      <c r="AY602" s="229"/>
      <c r="AZ602" s="20"/>
      <c r="BA602" s="229"/>
      <c r="BB602" s="20"/>
      <c r="BC602" s="229">
        <f t="shared" si="208"/>
        <v>4</v>
      </c>
      <c r="BD602" s="48">
        <f t="shared" si="212"/>
        <v>4</v>
      </c>
      <c r="BE602" s="19">
        <v>3</v>
      </c>
      <c r="BF602" s="229">
        <f t="shared" si="209"/>
        <v>4</v>
      </c>
      <c r="BG602" s="210">
        <f t="shared" si="209"/>
        <v>4</v>
      </c>
      <c r="BH602" s="210">
        <f t="shared" si="206"/>
        <v>3</v>
      </c>
      <c r="BI602" s="213">
        <f t="shared" si="210"/>
        <v>133.33333333333331</v>
      </c>
      <c r="BJ602" s="141"/>
      <c r="BK602" s="201"/>
      <c r="BL602" s="198"/>
      <c r="BM602" s="198"/>
    </row>
    <row r="603" spans="1:65" s="17" customFormat="1" ht="15.95" customHeight="1">
      <c r="A603" s="123">
        <v>42</v>
      </c>
      <c r="B603" s="9" t="s">
        <v>342</v>
      </c>
      <c r="C603" s="11" t="s">
        <v>343</v>
      </c>
      <c r="D603" s="229"/>
      <c r="E603" s="13"/>
      <c r="F603" s="229"/>
      <c r="G603" s="13"/>
      <c r="H603" s="229"/>
      <c r="I603" s="13"/>
      <c r="J603" s="229"/>
      <c r="K603" s="13"/>
      <c r="L603" s="229"/>
      <c r="M603" s="13"/>
      <c r="N603" s="229"/>
      <c r="O603" s="13"/>
      <c r="P603" s="229"/>
      <c r="Q603" s="13"/>
      <c r="R603" s="229"/>
      <c r="S603" s="13"/>
      <c r="T603" s="229"/>
      <c r="U603" s="13"/>
      <c r="V603" s="229"/>
      <c r="W603" s="13"/>
      <c r="X603" s="229"/>
      <c r="Y603" s="13"/>
      <c r="Z603" s="229"/>
      <c r="AA603" s="13"/>
      <c r="AB603" s="229">
        <f t="shared" si="207"/>
        <v>0</v>
      </c>
      <c r="AC603" s="228">
        <f t="shared" si="211"/>
        <v>0</v>
      </c>
      <c r="AD603" s="21">
        <v>0</v>
      </c>
      <c r="AE603" s="229"/>
      <c r="AF603" s="20"/>
      <c r="AG603" s="229"/>
      <c r="AH603" s="20"/>
      <c r="AI603" s="229"/>
      <c r="AJ603" s="20"/>
      <c r="AK603" s="229"/>
      <c r="AL603" s="20"/>
      <c r="AM603" s="229"/>
      <c r="AN603" s="20"/>
      <c r="AO603" s="229"/>
      <c r="AP603" s="20"/>
      <c r="AQ603" s="229"/>
      <c r="AR603" s="20"/>
      <c r="AS603" s="229"/>
      <c r="AT603" s="20"/>
      <c r="AU603" s="229"/>
      <c r="AV603" s="20">
        <v>1</v>
      </c>
      <c r="AW603" s="229"/>
      <c r="AX603" s="20"/>
      <c r="AY603" s="229"/>
      <c r="AZ603" s="20"/>
      <c r="BA603" s="229"/>
      <c r="BB603" s="20"/>
      <c r="BC603" s="229">
        <f t="shared" si="208"/>
        <v>0</v>
      </c>
      <c r="BD603" s="48">
        <f t="shared" si="212"/>
        <v>1</v>
      </c>
      <c r="BE603" s="19">
        <v>4</v>
      </c>
      <c r="BF603" s="229">
        <f t="shared" si="209"/>
        <v>0</v>
      </c>
      <c r="BG603" s="210">
        <f t="shared" si="209"/>
        <v>1</v>
      </c>
      <c r="BH603" s="210">
        <f t="shared" si="206"/>
        <v>4</v>
      </c>
      <c r="BI603" s="213">
        <f t="shared" si="210"/>
        <v>25</v>
      </c>
      <c r="BJ603" s="141"/>
      <c r="BK603" s="201"/>
      <c r="BL603" s="198"/>
      <c r="BM603" s="198"/>
    </row>
    <row r="604" spans="1:65" s="17" customFormat="1" ht="15.95" customHeight="1">
      <c r="A604" s="123">
        <v>43</v>
      </c>
      <c r="B604" s="9" t="s">
        <v>344</v>
      </c>
      <c r="C604" s="11" t="s">
        <v>345</v>
      </c>
      <c r="D604" s="229"/>
      <c r="E604" s="13"/>
      <c r="F604" s="229"/>
      <c r="G604" s="13"/>
      <c r="H604" s="229"/>
      <c r="I604" s="13"/>
      <c r="J604" s="229"/>
      <c r="K604" s="13"/>
      <c r="L604" s="229"/>
      <c r="M604" s="13"/>
      <c r="N604" s="229"/>
      <c r="O604" s="13"/>
      <c r="P604" s="229"/>
      <c r="Q604" s="13"/>
      <c r="R604" s="229"/>
      <c r="S604" s="13"/>
      <c r="T604" s="229"/>
      <c r="U604" s="13"/>
      <c r="V604" s="229"/>
      <c r="W604" s="13"/>
      <c r="X604" s="229"/>
      <c r="Y604" s="13"/>
      <c r="Z604" s="229"/>
      <c r="AA604" s="13"/>
      <c r="AB604" s="229">
        <f t="shared" si="207"/>
        <v>0</v>
      </c>
      <c r="AC604" s="228">
        <f t="shared" si="211"/>
        <v>0</v>
      </c>
      <c r="AD604" s="21">
        <v>0</v>
      </c>
      <c r="AE604" s="229"/>
      <c r="AF604" s="20"/>
      <c r="AG604" s="229"/>
      <c r="AH604" s="20"/>
      <c r="AI604" s="229">
        <v>1</v>
      </c>
      <c r="AJ604" s="20">
        <v>1</v>
      </c>
      <c r="AK604" s="229"/>
      <c r="AL604" s="20"/>
      <c r="AM604" s="229"/>
      <c r="AN604" s="20"/>
      <c r="AO604" s="229">
        <v>3</v>
      </c>
      <c r="AP604" s="20">
        <v>3</v>
      </c>
      <c r="AQ604" s="229"/>
      <c r="AR604" s="20"/>
      <c r="AS604" s="229"/>
      <c r="AT604" s="20"/>
      <c r="AU604" s="229"/>
      <c r="AV604" s="20">
        <v>1</v>
      </c>
      <c r="AW604" s="229"/>
      <c r="AX604" s="20"/>
      <c r="AY604" s="229"/>
      <c r="AZ604" s="20"/>
      <c r="BA604" s="229"/>
      <c r="BB604" s="20"/>
      <c r="BC604" s="229">
        <f t="shared" si="208"/>
        <v>4</v>
      </c>
      <c r="BD604" s="48">
        <f t="shared" si="212"/>
        <v>5</v>
      </c>
      <c r="BE604" s="19">
        <v>6</v>
      </c>
      <c r="BF604" s="229">
        <f t="shared" si="209"/>
        <v>4</v>
      </c>
      <c r="BG604" s="210">
        <f t="shared" si="209"/>
        <v>5</v>
      </c>
      <c r="BH604" s="210">
        <f t="shared" si="206"/>
        <v>6</v>
      </c>
      <c r="BI604" s="213">
        <f t="shared" si="210"/>
        <v>83.333333333333343</v>
      </c>
      <c r="BJ604" s="141"/>
      <c r="BK604" s="201"/>
      <c r="BL604" s="198"/>
      <c r="BM604" s="198"/>
    </row>
    <row r="605" spans="1:65" s="17" customFormat="1" ht="15.95" customHeight="1">
      <c r="A605" s="123">
        <v>44</v>
      </c>
      <c r="B605" s="9" t="s">
        <v>3111</v>
      </c>
      <c r="C605" s="11" t="s">
        <v>3112</v>
      </c>
      <c r="D605" s="229"/>
      <c r="E605" s="13"/>
      <c r="F605" s="229"/>
      <c r="G605" s="13"/>
      <c r="H605" s="229"/>
      <c r="I605" s="13"/>
      <c r="J605" s="229"/>
      <c r="K605" s="13"/>
      <c r="L605" s="229"/>
      <c r="M605" s="13"/>
      <c r="N605" s="229"/>
      <c r="O605" s="13"/>
      <c r="P605" s="229"/>
      <c r="Q605" s="13"/>
      <c r="R605" s="229"/>
      <c r="S605" s="13"/>
      <c r="T605" s="229"/>
      <c r="U605" s="13"/>
      <c r="V605" s="229"/>
      <c r="W605" s="13"/>
      <c r="X605" s="229"/>
      <c r="Y605" s="13"/>
      <c r="Z605" s="229"/>
      <c r="AA605" s="13"/>
      <c r="AB605" s="229"/>
      <c r="AC605" s="228">
        <f t="shared" si="211"/>
        <v>0</v>
      </c>
      <c r="AD605" s="21">
        <v>0</v>
      </c>
      <c r="AE605" s="229"/>
      <c r="AF605" s="20"/>
      <c r="AG605" s="229"/>
      <c r="AH605" s="20"/>
      <c r="AI605" s="229"/>
      <c r="AJ605" s="20"/>
      <c r="AK605" s="229"/>
      <c r="AL605" s="20"/>
      <c r="AM605" s="229"/>
      <c r="AN605" s="20"/>
      <c r="AO605" s="229"/>
      <c r="AP605" s="20">
        <v>1</v>
      </c>
      <c r="AQ605" s="229"/>
      <c r="AR605" s="20"/>
      <c r="AS605" s="229"/>
      <c r="AT605" s="20"/>
      <c r="AU605" s="229"/>
      <c r="AV605" s="20"/>
      <c r="AW605" s="229"/>
      <c r="AX605" s="20"/>
      <c r="AY605" s="229"/>
      <c r="AZ605" s="20"/>
      <c r="BA605" s="229"/>
      <c r="BB605" s="20"/>
      <c r="BC605" s="229"/>
      <c r="BD605" s="48">
        <f t="shared" si="212"/>
        <v>1</v>
      </c>
      <c r="BE605" s="19">
        <v>0</v>
      </c>
      <c r="BF605" s="229"/>
      <c r="BG605" s="210">
        <f t="shared" ref="BG605:BG626" si="213">AC605+BD605</f>
        <v>1</v>
      </c>
      <c r="BH605" s="210">
        <f t="shared" si="206"/>
        <v>0</v>
      </c>
      <c r="BI605" s="213" t="e">
        <f t="shared" si="210"/>
        <v>#DIV/0!</v>
      </c>
      <c r="BJ605" s="141"/>
      <c r="BK605" s="201"/>
      <c r="BL605" s="198"/>
      <c r="BM605" s="198"/>
    </row>
    <row r="606" spans="1:65" s="17" customFormat="1" ht="15.95" customHeight="1">
      <c r="A606" s="123">
        <v>45</v>
      </c>
      <c r="B606" s="9" t="s">
        <v>346</v>
      </c>
      <c r="C606" s="11" t="s">
        <v>347</v>
      </c>
      <c r="D606" s="229"/>
      <c r="E606" s="13"/>
      <c r="F606" s="229"/>
      <c r="G606" s="13"/>
      <c r="H606" s="229"/>
      <c r="I606" s="13"/>
      <c r="J606" s="229"/>
      <c r="K606" s="13"/>
      <c r="L606" s="229"/>
      <c r="M606" s="13"/>
      <c r="N606" s="229"/>
      <c r="O606" s="13"/>
      <c r="P606" s="229"/>
      <c r="Q606" s="13"/>
      <c r="R606" s="229"/>
      <c r="S606" s="13"/>
      <c r="T606" s="229"/>
      <c r="U606" s="13"/>
      <c r="V606" s="229"/>
      <c r="W606" s="13"/>
      <c r="X606" s="229"/>
      <c r="Y606" s="13"/>
      <c r="Z606" s="229"/>
      <c r="AA606" s="13"/>
      <c r="AB606" s="229">
        <f>D606+F606+H606+J606+L606+N606+P606+R606+T606+V606+X606+Z606</f>
        <v>0</v>
      </c>
      <c r="AC606" s="228">
        <f t="shared" si="211"/>
        <v>0</v>
      </c>
      <c r="AD606" s="21">
        <v>0</v>
      </c>
      <c r="AE606" s="229"/>
      <c r="AF606" s="20"/>
      <c r="AG606" s="229"/>
      <c r="AH606" s="20"/>
      <c r="AI606" s="229">
        <v>44</v>
      </c>
      <c r="AJ606" s="20">
        <v>44</v>
      </c>
      <c r="AK606" s="229"/>
      <c r="AL606" s="20"/>
      <c r="AM606" s="229"/>
      <c r="AN606" s="20"/>
      <c r="AO606" s="229">
        <v>33</v>
      </c>
      <c r="AP606" s="20">
        <v>33</v>
      </c>
      <c r="AQ606" s="229"/>
      <c r="AR606" s="20"/>
      <c r="AS606" s="229"/>
      <c r="AT606" s="20"/>
      <c r="AU606" s="229"/>
      <c r="AV606" s="20">
        <v>57</v>
      </c>
      <c r="AW606" s="229"/>
      <c r="AX606" s="20"/>
      <c r="AY606" s="229"/>
      <c r="AZ606" s="20"/>
      <c r="BA606" s="229"/>
      <c r="BB606" s="20">
        <v>49</v>
      </c>
      <c r="BC606" s="229">
        <f>AE606+AG606+AI606+AK606+AM606+AO606+AQ606+AS606+AU606+AW606+AY606+BA606</f>
        <v>77</v>
      </c>
      <c r="BD606" s="48">
        <f t="shared" si="212"/>
        <v>183</v>
      </c>
      <c r="BE606" s="19">
        <v>135</v>
      </c>
      <c r="BF606" s="229">
        <f>AB606+BC606</f>
        <v>77</v>
      </c>
      <c r="BG606" s="210">
        <f t="shared" si="213"/>
        <v>183</v>
      </c>
      <c r="BH606" s="210">
        <f t="shared" si="206"/>
        <v>135</v>
      </c>
      <c r="BI606" s="213">
        <f t="shared" si="210"/>
        <v>135.55555555555557</v>
      </c>
      <c r="BJ606" s="141"/>
      <c r="BK606" s="201"/>
      <c r="BL606" s="198"/>
      <c r="BM606" s="198"/>
    </row>
    <row r="607" spans="1:65" s="17" customFormat="1" ht="15.95" customHeight="1">
      <c r="A607" s="123">
        <v>46</v>
      </c>
      <c r="B607" s="9" t="s">
        <v>1927</v>
      </c>
      <c r="C607" s="11" t="s">
        <v>1928</v>
      </c>
      <c r="D607" s="229"/>
      <c r="E607" s="13"/>
      <c r="F607" s="229"/>
      <c r="G607" s="13"/>
      <c r="H607" s="229"/>
      <c r="I607" s="13"/>
      <c r="J607" s="229"/>
      <c r="K607" s="13"/>
      <c r="L607" s="229"/>
      <c r="M607" s="13"/>
      <c r="N607" s="229"/>
      <c r="O607" s="13"/>
      <c r="P607" s="229"/>
      <c r="Q607" s="13"/>
      <c r="R607" s="229"/>
      <c r="S607" s="13"/>
      <c r="T607" s="229"/>
      <c r="U607" s="13"/>
      <c r="V607" s="229"/>
      <c r="W607" s="13"/>
      <c r="X607" s="229"/>
      <c r="Y607" s="13"/>
      <c r="Z607" s="229"/>
      <c r="AA607" s="13"/>
      <c r="AB607" s="229">
        <f>D607+F607+H607+J607+L607+N607+P607+R607+T607+V607+X607+Z607</f>
        <v>0</v>
      </c>
      <c r="AC607" s="228">
        <f t="shared" si="211"/>
        <v>0</v>
      </c>
      <c r="AD607" s="21">
        <v>0</v>
      </c>
      <c r="AE607" s="229"/>
      <c r="AF607" s="20"/>
      <c r="AG607" s="229"/>
      <c r="AH607" s="20"/>
      <c r="AI607" s="229"/>
      <c r="AJ607" s="20"/>
      <c r="AK607" s="229"/>
      <c r="AL607" s="20"/>
      <c r="AM607" s="229"/>
      <c r="AN607" s="20"/>
      <c r="AO607" s="229">
        <v>1</v>
      </c>
      <c r="AP607" s="20">
        <v>1</v>
      </c>
      <c r="AQ607" s="229"/>
      <c r="AR607" s="20"/>
      <c r="AS607" s="229"/>
      <c r="AT607" s="20"/>
      <c r="AU607" s="229"/>
      <c r="AV607" s="20"/>
      <c r="AW607" s="229"/>
      <c r="AX607" s="20"/>
      <c r="AY607" s="229"/>
      <c r="AZ607" s="20"/>
      <c r="BA607" s="229"/>
      <c r="BB607" s="20"/>
      <c r="BC607" s="229">
        <f>AE607+AG607+AI607+AK607+AM607+AO607+AQ607+AS607+AU607+AW607+AY607+BA607</f>
        <v>1</v>
      </c>
      <c r="BD607" s="48">
        <f t="shared" si="212"/>
        <v>1</v>
      </c>
      <c r="BE607" s="19">
        <v>1</v>
      </c>
      <c r="BF607" s="229">
        <f>AB607+BC607</f>
        <v>1</v>
      </c>
      <c r="BG607" s="210">
        <f t="shared" si="213"/>
        <v>1</v>
      </c>
      <c r="BH607" s="210">
        <f t="shared" si="206"/>
        <v>1</v>
      </c>
      <c r="BI607" s="213">
        <f t="shared" si="210"/>
        <v>100</v>
      </c>
      <c r="BJ607" s="141"/>
      <c r="BK607" s="201"/>
      <c r="BL607" s="198"/>
      <c r="BM607" s="198"/>
    </row>
    <row r="608" spans="1:65" s="17" customFormat="1" ht="15.95" customHeight="1">
      <c r="A608" s="123">
        <v>47</v>
      </c>
      <c r="B608" s="9" t="s">
        <v>2410</v>
      </c>
      <c r="C608" s="11" t="s">
        <v>2411</v>
      </c>
      <c r="D608" s="229"/>
      <c r="E608" s="13"/>
      <c r="F608" s="229"/>
      <c r="G608" s="13"/>
      <c r="H608" s="229"/>
      <c r="I608" s="13"/>
      <c r="J608" s="229"/>
      <c r="K608" s="13"/>
      <c r="L608" s="229"/>
      <c r="M608" s="13"/>
      <c r="N608" s="229"/>
      <c r="O608" s="13"/>
      <c r="P608" s="229"/>
      <c r="Q608" s="13"/>
      <c r="R608" s="229"/>
      <c r="S608" s="13"/>
      <c r="T608" s="229"/>
      <c r="U608" s="13"/>
      <c r="V608" s="229"/>
      <c r="W608" s="13"/>
      <c r="X608" s="229"/>
      <c r="Y608" s="13"/>
      <c r="Z608" s="229"/>
      <c r="AA608" s="13"/>
      <c r="AB608" s="229">
        <f>D608+F608+H608+J608+L608+N608+P608+R608+T608+V608+X608+Z608</f>
        <v>0</v>
      </c>
      <c r="AC608" s="228">
        <f t="shared" si="211"/>
        <v>0</v>
      </c>
      <c r="AD608" s="21">
        <v>0</v>
      </c>
      <c r="AE608" s="229"/>
      <c r="AF608" s="20"/>
      <c r="AG608" s="229"/>
      <c r="AH608" s="20"/>
      <c r="AI608" s="229"/>
      <c r="AJ608" s="20"/>
      <c r="AK608" s="229"/>
      <c r="AL608" s="20"/>
      <c r="AM608" s="229"/>
      <c r="AN608" s="20"/>
      <c r="AO608" s="229"/>
      <c r="AP608" s="20"/>
      <c r="AQ608" s="229"/>
      <c r="AR608" s="20"/>
      <c r="AS608" s="229"/>
      <c r="AT608" s="20"/>
      <c r="AU608" s="229"/>
      <c r="AV608" s="20"/>
      <c r="AW608" s="229"/>
      <c r="AX608" s="20"/>
      <c r="AY608" s="229"/>
      <c r="AZ608" s="20"/>
      <c r="BA608" s="229"/>
      <c r="BB608" s="20"/>
      <c r="BC608" s="229">
        <f>AE608+AG608+AI608+AK608+AM608+AO608+AQ608+AS608+AU608+AW608+AY608+BA608</f>
        <v>0</v>
      </c>
      <c r="BD608" s="48">
        <f t="shared" si="212"/>
        <v>0</v>
      </c>
      <c r="BE608" s="19">
        <v>3</v>
      </c>
      <c r="BF608" s="229">
        <f>AB608+BC608</f>
        <v>0</v>
      </c>
      <c r="BG608" s="210">
        <f t="shared" si="213"/>
        <v>0</v>
      </c>
      <c r="BH608" s="210">
        <f t="shared" si="206"/>
        <v>3</v>
      </c>
      <c r="BI608" s="213">
        <f t="shared" si="210"/>
        <v>0</v>
      </c>
      <c r="BJ608" s="141"/>
      <c r="BK608" s="201"/>
      <c r="BL608" s="198"/>
      <c r="BM608" s="198"/>
    </row>
    <row r="609" spans="1:65" s="17" customFormat="1" ht="15.95" customHeight="1">
      <c r="A609" s="123">
        <v>48</v>
      </c>
      <c r="B609" s="9" t="s">
        <v>1543</v>
      </c>
      <c r="C609" s="11" t="s">
        <v>1544</v>
      </c>
      <c r="D609" s="229"/>
      <c r="E609" s="13"/>
      <c r="F609" s="229"/>
      <c r="G609" s="13"/>
      <c r="H609" s="229"/>
      <c r="I609" s="13"/>
      <c r="J609" s="229"/>
      <c r="K609" s="13"/>
      <c r="L609" s="229"/>
      <c r="M609" s="13"/>
      <c r="N609" s="229"/>
      <c r="O609" s="13"/>
      <c r="P609" s="229"/>
      <c r="Q609" s="13"/>
      <c r="R609" s="229"/>
      <c r="S609" s="13"/>
      <c r="T609" s="229"/>
      <c r="U609" s="13"/>
      <c r="V609" s="229"/>
      <c r="W609" s="13"/>
      <c r="X609" s="229"/>
      <c r="Y609" s="13"/>
      <c r="Z609" s="229"/>
      <c r="AA609" s="13"/>
      <c r="AB609" s="229">
        <f>D609+F609+H609+J609+L609+N609+P609+R609+T609+V609+X609+Z609</f>
        <v>0</v>
      </c>
      <c r="AC609" s="228">
        <f t="shared" si="211"/>
        <v>0</v>
      </c>
      <c r="AD609" s="21">
        <v>0</v>
      </c>
      <c r="AE609" s="229"/>
      <c r="AF609" s="20"/>
      <c r="AG609" s="229"/>
      <c r="AH609" s="20"/>
      <c r="AI609" s="229"/>
      <c r="AJ609" s="20"/>
      <c r="AK609" s="229"/>
      <c r="AL609" s="20"/>
      <c r="AM609" s="229"/>
      <c r="AN609" s="20"/>
      <c r="AO609" s="229">
        <v>1</v>
      </c>
      <c r="AP609" s="20">
        <v>1</v>
      </c>
      <c r="AQ609" s="229"/>
      <c r="AR609" s="20"/>
      <c r="AS609" s="229"/>
      <c r="AT609" s="20"/>
      <c r="AU609" s="229"/>
      <c r="AV609" s="20"/>
      <c r="AW609" s="229"/>
      <c r="AX609" s="20"/>
      <c r="AY609" s="229"/>
      <c r="AZ609" s="20"/>
      <c r="BA609" s="229"/>
      <c r="BB609" s="20"/>
      <c r="BC609" s="229">
        <f>AE609+AG609+AI609+AK609+AM609+AO609+AQ609+AS609+AU609+AW609+AY609+BA609</f>
        <v>1</v>
      </c>
      <c r="BD609" s="48">
        <f t="shared" si="212"/>
        <v>1</v>
      </c>
      <c r="BE609" s="19">
        <v>1</v>
      </c>
      <c r="BF609" s="229">
        <f>AB609+BC609</f>
        <v>1</v>
      </c>
      <c r="BG609" s="210">
        <f t="shared" si="213"/>
        <v>1</v>
      </c>
      <c r="BH609" s="210">
        <f t="shared" si="206"/>
        <v>1</v>
      </c>
      <c r="BI609" s="213">
        <f t="shared" si="210"/>
        <v>100</v>
      </c>
      <c r="BJ609" s="141"/>
      <c r="BK609" s="201"/>
      <c r="BL609" s="198"/>
      <c r="BM609" s="198"/>
    </row>
    <row r="610" spans="1:65" s="17" customFormat="1" ht="15.95" customHeight="1">
      <c r="A610" s="123">
        <v>49</v>
      </c>
      <c r="B610" s="9" t="s">
        <v>3113</v>
      </c>
      <c r="C610" s="11" t="s">
        <v>3114</v>
      </c>
      <c r="D610" s="229"/>
      <c r="E610" s="13"/>
      <c r="F610" s="229"/>
      <c r="G610" s="13"/>
      <c r="H610" s="229"/>
      <c r="I610" s="13"/>
      <c r="J610" s="229"/>
      <c r="K610" s="13"/>
      <c r="L610" s="229"/>
      <c r="M610" s="13"/>
      <c r="N610" s="229"/>
      <c r="O610" s="13"/>
      <c r="P610" s="229"/>
      <c r="Q610" s="13"/>
      <c r="R610" s="229"/>
      <c r="S610" s="13"/>
      <c r="T610" s="229"/>
      <c r="U610" s="13"/>
      <c r="V610" s="229"/>
      <c r="W610" s="13"/>
      <c r="X610" s="229"/>
      <c r="Y610" s="13"/>
      <c r="Z610" s="229"/>
      <c r="AA610" s="13"/>
      <c r="AB610" s="229"/>
      <c r="AC610" s="228">
        <f t="shared" si="211"/>
        <v>0</v>
      </c>
      <c r="AD610" s="21">
        <v>0</v>
      </c>
      <c r="AE610" s="229"/>
      <c r="AF610" s="20"/>
      <c r="AG610" s="229"/>
      <c r="AH610" s="20"/>
      <c r="AI610" s="229"/>
      <c r="AJ610" s="20"/>
      <c r="AK610" s="229"/>
      <c r="AL610" s="20"/>
      <c r="AM610" s="229"/>
      <c r="AN610" s="20"/>
      <c r="AO610" s="229"/>
      <c r="AP610" s="20">
        <v>1</v>
      </c>
      <c r="AQ610" s="229"/>
      <c r="AR610" s="20"/>
      <c r="AS610" s="229"/>
      <c r="AT610" s="20"/>
      <c r="AU610" s="229"/>
      <c r="AV610" s="20"/>
      <c r="AW610" s="229"/>
      <c r="AX610" s="20"/>
      <c r="AY610" s="229"/>
      <c r="AZ610" s="20"/>
      <c r="BA610" s="229"/>
      <c r="BB610" s="20"/>
      <c r="BC610" s="229"/>
      <c r="BD610" s="48">
        <f t="shared" si="212"/>
        <v>1</v>
      </c>
      <c r="BE610" s="19">
        <v>0</v>
      </c>
      <c r="BF610" s="229"/>
      <c r="BG610" s="210">
        <f t="shared" si="213"/>
        <v>1</v>
      </c>
      <c r="BH610" s="210">
        <f t="shared" si="206"/>
        <v>0</v>
      </c>
      <c r="BI610" s="213" t="e">
        <f t="shared" si="210"/>
        <v>#DIV/0!</v>
      </c>
      <c r="BJ610" s="141"/>
      <c r="BK610" s="201"/>
      <c r="BL610" s="198"/>
      <c r="BM610" s="198"/>
    </row>
    <row r="611" spans="1:65" s="17" customFormat="1" ht="15.95" customHeight="1">
      <c r="A611" s="123">
        <v>50</v>
      </c>
      <c r="B611" s="9" t="s">
        <v>7</v>
      </c>
      <c r="C611" s="11" t="s">
        <v>8</v>
      </c>
      <c r="D611" s="229"/>
      <c r="E611" s="13"/>
      <c r="F611" s="229"/>
      <c r="G611" s="13"/>
      <c r="H611" s="229"/>
      <c r="I611" s="13"/>
      <c r="J611" s="229"/>
      <c r="K611" s="13"/>
      <c r="L611" s="229"/>
      <c r="M611" s="13"/>
      <c r="N611" s="229"/>
      <c r="O611" s="13"/>
      <c r="P611" s="229"/>
      <c r="Q611" s="13"/>
      <c r="R611" s="229"/>
      <c r="S611" s="13"/>
      <c r="T611" s="229"/>
      <c r="U611" s="13"/>
      <c r="V611" s="229"/>
      <c r="W611" s="13"/>
      <c r="X611" s="229"/>
      <c r="Y611" s="13"/>
      <c r="Z611" s="229"/>
      <c r="AA611" s="13"/>
      <c r="AB611" s="229">
        <f>D611+F611+H611+J611+L611+N611+P611+R611+T611+V611+X611+Z611</f>
        <v>0</v>
      </c>
      <c r="AC611" s="228">
        <f t="shared" si="211"/>
        <v>0</v>
      </c>
      <c r="AD611" s="21">
        <v>0</v>
      </c>
      <c r="AE611" s="229"/>
      <c r="AF611" s="20"/>
      <c r="AG611" s="229"/>
      <c r="AH611" s="20"/>
      <c r="AI611" s="229"/>
      <c r="AJ611" s="20"/>
      <c r="AK611" s="229"/>
      <c r="AL611" s="20"/>
      <c r="AM611" s="229"/>
      <c r="AN611" s="20"/>
      <c r="AO611" s="229"/>
      <c r="AP611" s="20"/>
      <c r="AQ611" s="229"/>
      <c r="AR611" s="20"/>
      <c r="AS611" s="229"/>
      <c r="AT611" s="20"/>
      <c r="AU611" s="229"/>
      <c r="AV611" s="20">
        <v>1</v>
      </c>
      <c r="AW611" s="229"/>
      <c r="AX611" s="20"/>
      <c r="AY611" s="229"/>
      <c r="AZ611" s="20"/>
      <c r="BA611" s="229"/>
      <c r="BB611" s="20"/>
      <c r="BC611" s="229">
        <f>AE611+AG611+AI611+AK611+AM611+AO611+AQ611+AS611+AU611+AW611+AY611+BA611</f>
        <v>0</v>
      </c>
      <c r="BD611" s="48">
        <f t="shared" si="212"/>
        <v>1</v>
      </c>
      <c r="BE611" s="19">
        <v>2</v>
      </c>
      <c r="BF611" s="229">
        <f>AB611+BC611</f>
        <v>0</v>
      </c>
      <c r="BG611" s="210">
        <f t="shared" si="213"/>
        <v>1</v>
      </c>
      <c r="BH611" s="210">
        <f t="shared" si="206"/>
        <v>2</v>
      </c>
      <c r="BI611" s="213">
        <f t="shared" si="210"/>
        <v>50</v>
      </c>
      <c r="BJ611" s="141"/>
      <c r="BK611" s="201"/>
      <c r="BL611" s="198"/>
      <c r="BM611" s="198"/>
    </row>
    <row r="612" spans="1:65" s="17" customFormat="1" ht="15.95" customHeight="1">
      <c r="A612" s="123">
        <v>51</v>
      </c>
      <c r="B612" s="9" t="s">
        <v>20</v>
      </c>
      <c r="C612" s="11" t="s">
        <v>1341</v>
      </c>
      <c r="D612" s="229"/>
      <c r="E612" s="13"/>
      <c r="F612" s="229"/>
      <c r="G612" s="13"/>
      <c r="H612" s="229"/>
      <c r="I612" s="13"/>
      <c r="J612" s="229"/>
      <c r="K612" s="13"/>
      <c r="L612" s="229"/>
      <c r="M612" s="13"/>
      <c r="N612" s="229"/>
      <c r="O612" s="13"/>
      <c r="P612" s="229"/>
      <c r="Q612" s="13"/>
      <c r="R612" s="229"/>
      <c r="S612" s="13"/>
      <c r="T612" s="229"/>
      <c r="U612" s="13"/>
      <c r="V612" s="229"/>
      <c r="W612" s="13"/>
      <c r="X612" s="229"/>
      <c r="Y612" s="13"/>
      <c r="Z612" s="229"/>
      <c r="AA612" s="13"/>
      <c r="AB612" s="229">
        <f>D612+F612+H612+J612+L612+N612+P612+R612+T612+V612+X612+Z612</f>
        <v>0</v>
      </c>
      <c r="AC612" s="228">
        <f t="shared" si="211"/>
        <v>0</v>
      </c>
      <c r="AD612" s="21">
        <v>0</v>
      </c>
      <c r="AE612" s="229"/>
      <c r="AF612" s="20"/>
      <c r="AG612" s="229"/>
      <c r="AH612" s="20"/>
      <c r="AI612" s="229"/>
      <c r="AJ612" s="20"/>
      <c r="AK612" s="229"/>
      <c r="AL612" s="20"/>
      <c r="AM612" s="229"/>
      <c r="AN612" s="20"/>
      <c r="AO612" s="229"/>
      <c r="AP612" s="20"/>
      <c r="AQ612" s="229"/>
      <c r="AR612" s="20"/>
      <c r="AS612" s="229"/>
      <c r="AT612" s="20"/>
      <c r="AU612" s="229"/>
      <c r="AV612" s="20"/>
      <c r="AW612" s="229"/>
      <c r="AX612" s="20"/>
      <c r="AY612" s="229"/>
      <c r="AZ612" s="20"/>
      <c r="BA612" s="229"/>
      <c r="BB612" s="20"/>
      <c r="BC612" s="229">
        <f>AE612+AG612+AI612+AK612+AM612+AO612+AQ612+AS612+AU612+AW612+AY612+BA612</f>
        <v>0</v>
      </c>
      <c r="BD612" s="48">
        <f t="shared" si="212"/>
        <v>0</v>
      </c>
      <c r="BE612" s="19">
        <v>1</v>
      </c>
      <c r="BF612" s="229">
        <f>AB612+BC612</f>
        <v>0</v>
      </c>
      <c r="BG612" s="210">
        <f t="shared" si="213"/>
        <v>0</v>
      </c>
      <c r="BH612" s="210">
        <f t="shared" si="206"/>
        <v>1</v>
      </c>
      <c r="BI612" s="213">
        <f t="shared" si="210"/>
        <v>0</v>
      </c>
      <c r="BJ612" s="141"/>
      <c r="BK612" s="201"/>
      <c r="BL612" s="198"/>
      <c r="BM612" s="198"/>
    </row>
    <row r="613" spans="1:65" s="17" customFormat="1" ht="15.95" customHeight="1">
      <c r="A613" s="123">
        <v>52</v>
      </c>
      <c r="B613" s="9" t="s">
        <v>353</v>
      </c>
      <c r="C613" s="322" t="s">
        <v>3189</v>
      </c>
      <c r="D613" s="323"/>
      <c r="E613" s="324"/>
      <c r="F613" s="323"/>
      <c r="G613" s="324"/>
      <c r="H613" s="323"/>
      <c r="I613" s="324"/>
      <c r="J613" s="323"/>
      <c r="K613" s="324"/>
      <c r="L613" s="323"/>
      <c r="M613" s="324"/>
      <c r="N613" s="323"/>
      <c r="O613" s="324"/>
      <c r="P613" s="323"/>
      <c r="Q613" s="324"/>
      <c r="R613" s="323"/>
      <c r="S613" s="324"/>
      <c r="T613" s="323"/>
      <c r="U613" s="324"/>
      <c r="V613" s="323"/>
      <c r="W613" s="324"/>
      <c r="X613" s="323"/>
      <c r="Y613" s="324"/>
      <c r="Z613" s="323"/>
      <c r="AA613" s="324"/>
      <c r="AB613" s="323"/>
      <c r="AC613" s="228">
        <f t="shared" si="211"/>
        <v>0</v>
      </c>
      <c r="AD613" s="329">
        <v>0</v>
      </c>
      <c r="AE613" s="323"/>
      <c r="AF613" s="327"/>
      <c r="AG613" s="323"/>
      <c r="AH613" s="327"/>
      <c r="AI613" s="323"/>
      <c r="AJ613" s="327"/>
      <c r="AK613" s="323"/>
      <c r="AL613" s="327"/>
      <c r="AM613" s="323"/>
      <c r="AN613" s="327"/>
      <c r="AO613" s="323"/>
      <c r="AP613" s="327"/>
      <c r="AQ613" s="323"/>
      <c r="AR613" s="327"/>
      <c r="AS613" s="323"/>
      <c r="AT613" s="327"/>
      <c r="AU613" s="323"/>
      <c r="AV613" s="327"/>
      <c r="AW613" s="323"/>
      <c r="AX613" s="327"/>
      <c r="AY613" s="323"/>
      <c r="AZ613" s="327"/>
      <c r="BA613" s="323"/>
      <c r="BB613" s="327">
        <v>1</v>
      </c>
      <c r="BC613" s="323"/>
      <c r="BD613" s="48">
        <f t="shared" si="212"/>
        <v>1</v>
      </c>
      <c r="BE613" s="326">
        <v>0</v>
      </c>
      <c r="BF613" s="323"/>
      <c r="BG613" s="210">
        <f t="shared" si="213"/>
        <v>1</v>
      </c>
      <c r="BH613" s="210">
        <f t="shared" si="206"/>
        <v>0</v>
      </c>
      <c r="BI613" s="213" t="e">
        <f t="shared" si="210"/>
        <v>#DIV/0!</v>
      </c>
      <c r="BJ613" s="141"/>
      <c r="BK613" s="201"/>
      <c r="BL613" s="198"/>
      <c r="BM613" s="198"/>
    </row>
    <row r="614" spans="1:65" s="17" customFormat="1" ht="15.95" customHeight="1">
      <c r="A614" s="123">
        <v>53</v>
      </c>
      <c r="B614" s="9" t="s">
        <v>354</v>
      </c>
      <c r="C614" s="11" t="s">
        <v>355</v>
      </c>
      <c r="D614" s="229"/>
      <c r="E614" s="13"/>
      <c r="F614" s="229"/>
      <c r="G614" s="13"/>
      <c r="H614" s="229"/>
      <c r="I614" s="13"/>
      <c r="J614" s="229"/>
      <c r="K614" s="13"/>
      <c r="L614" s="229"/>
      <c r="M614" s="13"/>
      <c r="N614" s="229"/>
      <c r="O614" s="13"/>
      <c r="P614" s="229"/>
      <c r="Q614" s="13"/>
      <c r="R614" s="229"/>
      <c r="S614" s="13"/>
      <c r="T614" s="229"/>
      <c r="U614" s="13"/>
      <c r="V614" s="229"/>
      <c r="W614" s="13"/>
      <c r="X614" s="229"/>
      <c r="Y614" s="13"/>
      <c r="Z614" s="229"/>
      <c r="AA614" s="13"/>
      <c r="AB614" s="229">
        <f>D614+F614+H614+J614+L614+N614+P614+R614+T614+V614+X614+Z614</f>
        <v>0</v>
      </c>
      <c r="AC614" s="228">
        <f t="shared" si="211"/>
        <v>0</v>
      </c>
      <c r="AD614" s="21">
        <v>0</v>
      </c>
      <c r="AE614" s="229"/>
      <c r="AF614" s="20"/>
      <c r="AG614" s="229"/>
      <c r="AH614" s="20"/>
      <c r="AI614" s="229">
        <v>1</v>
      </c>
      <c r="AJ614" s="20">
        <v>1</v>
      </c>
      <c r="AK614" s="229"/>
      <c r="AL614" s="20"/>
      <c r="AM614" s="229"/>
      <c r="AN614" s="20"/>
      <c r="AO614" s="229"/>
      <c r="AP614" s="20"/>
      <c r="AQ614" s="229"/>
      <c r="AR614" s="20"/>
      <c r="AS614" s="229"/>
      <c r="AT614" s="20"/>
      <c r="AU614" s="229"/>
      <c r="AV614" s="20"/>
      <c r="AW614" s="229"/>
      <c r="AX614" s="20"/>
      <c r="AY614" s="229"/>
      <c r="AZ614" s="20"/>
      <c r="BA614" s="229"/>
      <c r="BB614" s="20">
        <v>1</v>
      </c>
      <c r="BC614" s="229">
        <f>AE614+AG614+AI614+AK614+AM614+AO614+AQ614+AS614+AU614+AW614+AY614+BA614</f>
        <v>1</v>
      </c>
      <c r="BD614" s="48">
        <f t="shared" si="212"/>
        <v>2</v>
      </c>
      <c r="BE614" s="19">
        <v>0</v>
      </c>
      <c r="BF614" s="229">
        <f>AB614+BC614</f>
        <v>1</v>
      </c>
      <c r="BG614" s="210">
        <f t="shared" si="213"/>
        <v>2</v>
      </c>
      <c r="BH614" s="210">
        <f t="shared" si="206"/>
        <v>0</v>
      </c>
      <c r="BI614" s="213" t="e">
        <f t="shared" si="210"/>
        <v>#DIV/0!</v>
      </c>
      <c r="BJ614" s="141"/>
      <c r="BK614" s="201"/>
      <c r="BL614" s="198"/>
      <c r="BM614" s="198"/>
    </row>
    <row r="615" spans="1:65" s="17" customFormat="1" ht="23.25" customHeight="1">
      <c r="A615" s="123">
        <v>54</v>
      </c>
      <c r="B615" s="9" t="s">
        <v>369</v>
      </c>
      <c r="C615" s="10" t="s">
        <v>2865</v>
      </c>
      <c r="D615" s="229"/>
      <c r="E615" s="13"/>
      <c r="F615" s="229"/>
      <c r="G615" s="13"/>
      <c r="H615" s="229">
        <v>1</v>
      </c>
      <c r="I615" s="13">
        <v>1</v>
      </c>
      <c r="J615" s="229"/>
      <c r="K615" s="13"/>
      <c r="L615" s="229"/>
      <c r="M615" s="13"/>
      <c r="N615" s="229"/>
      <c r="O615" s="13"/>
      <c r="P615" s="229"/>
      <c r="Q615" s="13"/>
      <c r="R615" s="229"/>
      <c r="S615" s="13"/>
      <c r="T615" s="229"/>
      <c r="U615" s="13"/>
      <c r="V615" s="229"/>
      <c r="W615" s="13"/>
      <c r="X615" s="229"/>
      <c r="Y615" s="13"/>
      <c r="Z615" s="229"/>
      <c r="AA615" s="13"/>
      <c r="AB615" s="229">
        <f>D615+F615+H615+J615+L615+N615+P615+R615+T615+V615+X615+Z615</f>
        <v>1</v>
      </c>
      <c r="AC615" s="228">
        <f t="shared" si="211"/>
        <v>1</v>
      </c>
      <c r="AD615" s="21">
        <v>0</v>
      </c>
      <c r="AE615" s="229"/>
      <c r="AF615" s="20"/>
      <c r="AG615" s="229"/>
      <c r="AH615" s="20"/>
      <c r="AI615" s="229"/>
      <c r="AJ615" s="20"/>
      <c r="AK615" s="229"/>
      <c r="AL615" s="20"/>
      <c r="AM615" s="229"/>
      <c r="AN615" s="20"/>
      <c r="AO615" s="229"/>
      <c r="AP615" s="20"/>
      <c r="AQ615" s="229"/>
      <c r="AR615" s="20"/>
      <c r="AS615" s="229"/>
      <c r="AT615" s="20"/>
      <c r="AU615" s="229"/>
      <c r="AV615" s="20"/>
      <c r="AW615" s="229"/>
      <c r="AX615" s="20"/>
      <c r="AY615" s="229"/>
      <c r="AZ615" s="20"/>
      <c r="BA615" s="229"/>
      <c r="BB615" s="20"/>
      <c r="BC615" s="229">
        <f>AE615+AG615+AI615+AK615+AM615+AO615+AQ615+AS615+AU615+AW615+AY615+BA615</f>
        <v>0</v>
      </c>
      <c r="BD615" s="48">
        <f t="shared" si="212"/>
        <v>0</v>
      </c>
      <c r="BE615" s="19">
        <v>0</v>
      </c>
      <c r="BF615" s="229">
        <f>AB615+BC615</f>
        <v>1</v>
      </c>
      <c r="BG615" s="210">
        <f t="shared" si="213"/>
        <v>1</v>
      </c>
      <c r="BH615" s="210">
        <f t="shared" si="206"/>
        <v>0</v>
      </c>
      <c r="BI615" s="213" t="e">
        <f t="shared" si="210"/>
        <v>#DIV/0!</v>
      </c>
      <c r="BJ615" s="141"/>
      <c r="BK615" s="201"/>
      <c r="BL615" s="198"/>
      <c r="BM615" s="198"/>
    </row>
    <row r="616" spans="1:65" s="17" customFormat="1" ht="15.95" customHeight="1">
      <c r="A616" s="123">
        <v>55</v>
      </c>
      <c r="B616" s="60" t="s">
        <v>272</v>
      </c>
      <c r="C616" s="217" t="s">
        <v>273</v>
      </c>
      <c r="D616" s="229"/>
      <c r="E616" s="13"/>
      <c r="F616" s="229"/>
      <c r="G616" s="13"/>
      <c r="H616" s="229"/>
      <c r="I616" s="13"/>
      <c r="J616" s="229"/>
      <c r="K616" s="13"/>
      <c r="L616" s="229"/>
      <c r="M616" s="13"/>
      <c r="N616" s="229"/>
      <c r="O616" s="13"/>
      <c r="P616" s="229"/>
      <c r="Q616" s="13"/>
      <c r="R616" s="229"/>
      <c r="S616" s="13"/>
      <c r="T616" s="229"/>
      <c r="U616" s="13"/>
      <c r="V616" s="229"/>
      <c r="W616" s="13"/>
      <c r="X616" s="229"/>
      <c r="Y616" s="13"/>
      <c r="Z616" s="229"/>
      <c r="AA616" s="13"/>
      <c r="AB616" s="229">
        <f>D616+F616+H616+J616+L616+N616+P616+R616+T616+V616+X616+Z616</f>
        <v>0</v>
      </c>
      <c r="AC616" s="228">
        <f t="shared" si="211"/>
        <v>0</v>
      </c>
      <c r="AD616" s="21">
        <v>2</v>
      </c>
      <c r="AE616" s="229"/>
      <c r="AF616" s="20"/>
      <c r="AG616" s="229"/>
      <c r="AH616" s="20"/>
      <c r="AI616" s="229">
        <v>6</v>
      </c>
      <c r="AJ616" s="20">
        <v>6</v>
      </c>
      <c r="AK616" s="229"/>
      <c r="AL616" s="20"/>
      <c r="AM616" s="229"/>
      <c r="AN616" s="20"/>
      <c r="AO616" s="229">
        <v>3</v>
      </c>
      <c r="AP616" s="20">
        <v>3</v>
      </c>
      <c r="AQ616" s="229"/>
      <c r="AR616" s="20"/>
      <c r="AS616" s="229"/>
      <c r="AT616" s="20"/>
      <c r="AU616" s="229"/>
      <c r="AV616" s="20">
        <v>2</v>
      </c>
      <c r="AW616" s="229"/>
      <c r="AX616" s="20"/>
      <c r="AY616" s="229"/>
      <c r="AZ616" s="20"/>
      <c r="BA616" s="229"/>
      <c r="BB616" s="20">
        <v>3</v>
      </c>
      <c r="BC616" s="229">
        <f>AE616+AG616+AI616+AK616+AM616+AO616+AQ616+AS616+AU616+AW616+AY616+BA616</f>
        <v>9</v>
      </c>
      <c r="BD616" s="48">
        <f t="shared" si="212"/>
        <v>14</v>
      </c>
      <c r="BE616" s="19">
        <v>32</v>
      </c>
      <c r="BF616" s="229">
        <f>AB616+BC616</f>
        <v>9</v>
      </c>
      <c r="BG616" s="210">
        <f t="shared" si="213"/>
        <v>14</v>
      </c>
      <c r="BH616" s="210">
        <f t="shared" si="206"/>
        <v>34</v>
      </c>
      <c r="BI616" s="213">
        <f t="shared" si="210"/>
        <v>41.17647058823529</v>
      </c>
      <c r="BJ616" s="141"/>
      <c r="BK616" s="201"/>
      <c r="BL616" s="198"/>
      <c r="BM616" s="198"/>
    </row>
    <row r="617" spans="1:65" s="17" customFormat="1" ht="15.95" customHeight="1">
      <c r="A617" s="123">
        <v>56</v>
      </c>
      <c r="B617" s="9" t="s">
        <v>3149</v>
      </c>
      <c r="C617" s="16" t="s">
        <v>3150</v>
      </c>
      <c r="D617" s="229"/>
      <c r="E617" s="13"/>
      <c r="F617" s="229"/>
      <c r="G617" s="13"/>
      <c r="H617" s="229"/>
      <c r="I617" s="13"/>
      <c r="J617" s="229"/>
      <c r="K617" s="13"/>
      <c r="L617" s="229"/>
      <c r="M617" s="13"/>
      <c r="N617" s="229"/>
      <c r="O617" s="13"/>
      <c r="P617" s="229"/>
      <c r="Q617" s="13"/>
      <c r="R617" s="229"/>
      <c r="S617" s="13"/>
      <c r="T617" s="229"/>
      <c r="U617" s="13"/>
      <c r="V617" s="229"/>
      <c r="W617" s="13"/>
      <c r="X617" s="229"/>
      <c r="Y617" s="13"/>
      <c r="Z617" s="229"/>
      <c r="AA617" s="13"/>
      <c r="AB617" s="229"/>
      <c r="AC617" s="228">
        <f t="shared" si="211"/>
        <v>0</v>
      </c>
      <c r="AD617" s="21">
        <v>0</v>
      </c>
      <c r="AE617" s="229"/>
      <c r="AF617" s="20"/>
      <c r="AG617" s="229"/>
      <c r="AH617" s="20"/>
      <c r="AI617" s="229"/>
      <c r="AJ617" s="20"/>
      <c r="AK617" s="229"/>
      <c r="AL617" s="20"/>
      <c r="AM617" s="229"/>
      <c r="AN617" s="20"/>
      <c r="AO617" s="229"/>
      <c r="AP617" s="20">
        <v>1</v>
      </c>
      <c r="AQ617" s="229"/>
      <c r="AR617" s="20"/>
      <c r="AS617" s="229"/>
      <c r="AT617" s="20"/>
      <c r="AU617" s="229"/>
      <c r="AV617" s="20"/>
      <c r="AW617" s="229"/>
      <c r="AX617" s="20"/>
      <c r="AY617" s="229"/>
      <c r="AZ617" s="20"/>
      <c r="BA617" s="229"/>
      <c r="BB617" s="20">
        <v>1</v>
      </c>
      <c r="BC617" s="229"/>
      <c r="BD617" s="48">
        <f t="shared" si="212"/>
        <v>2</v>
      </c>
      <c r="BE617" s="19">
        <v>0</v>
      </c>
      <c r="BF617" s="229"/>
      <c r="BG617" s="210">
        <f t="shared" si="213"/>
        <v>2</v>
      </c>
      <c r="BH617" s="210">
        <f t="shared" si="206"/>
        <v>0</v>
      </c>
      <c r="BI617" s="213" t="e">
        <f t="shared" si="210"/>
        <v>#DIV/0!</v>
      </c>
      <c r="BJ617" s="141"/>
      <c r="BK617" s="201"/>
      <c r="BL617" s="198"/>
      <c r="BM617" s="198"/>
    </row>
    <row r="618" spans="1:65" s="17" customFormat="1" ht="24.75" customHeight="1">
      <c r="A618" s="123">
        <v>57</v>
      </c>
      <c r="B618" s="9" t="s">
        <v>2230</v>
      </c>
      <c r="C618" s="10" t="s">
        <v>2231</v>
      </c>
      <c r="D618" s="229"/>
      <c r="E618" s="13"/>
      <c r="F618" s="229"/>
      <c r="G618" s="13"/>
      <c r="H618" s="229"/>
      <c r="I618" s="13"/>
      <c r="J618" s="229"/>
      <c r="K618" s="13"/>
      <c r="L618" s="229"/>
      <c r="M618" s="13"/>
      <c r="N618" s="229"/>
      <c r="O618" s="13"/>
      <c r="P618" s="229"/>
      <c r="Q618" s="13"/>
      <c r="R618" s="229"/>
      <c r="S618" s="13"/>
      <c r="T618" s="229"/>
      <c r="U618" s="13"/>
      <c r="V618" s="229"/>
      <c r="W618" s="13"/>
      <c r="X618" s="229"/>
      <c r="Y618" s="13"/>
      <c r="Z618" s="229"/>
      <c r="AA618" s="13"/>
      <c r="AB618" s="229">
        <f t="shared" ref="AB618:AB626" si="214">D618+F618+H618+J618+L618+N618+P618+R618+T618+V618+X618+Z618</f>
        <v>0</v>
      </c>
      <c r="AC618" s="228">
        <f t="shared" si="211"/>
        <v>0</v>
      </c>
      <c r="AD618" s="21">
        <v>0</v>
      </c>
      <c r="AE618" s="229"/>
      <c r="AF618" s="20"/>
      <c r="AG618" s="229"/>
      <c r="AH618" s="20"/>
      <c r="AI618" s="229"/>
      <c r="AJ618" s="20"/>
      <c r="AK618" s="229"/>
      <c r="AL618" s="20"/>
      <c r="AM618" s="229"/>
      <c r="AN618" s="20"/>
      <c r="AO618" s="229"/>
      <c r="AP618" s="20"/>
      <c r="AQ618" s="229"/>
      <c r="AR618" s="20"/>
      <c r="AS618" s="229"/>
      <c r="AT618" s="20"/>
      <c r="AU618" s="229"/>
      <c r="AV618" s="20"/>
      <c r="AW618" s="229"/>
      <c r="AX618" s="20"/>
      <c r="AY618" s="229"/>
      <c r="AZ618" s="20"/>
      <c r="BA618" s="229"/>
      <c r="BB618" s="20"/>
      <c r="BC618" s="229">
        <f t="shared" ref="BC618:BC626" si="215">AE618+AG618+AI618+AK618+AM618+AO618+AQ618+AS618+AU618+AW618+AY618+BA618</f>
        <v>0</v>
      </c>
      <c r="BD618" s="48">
        <f t="shared" si="212"/>
        <v>0</v>
      </c>
      <c r="BE618" s="19">
        <v>5</v>
      </c>
      <c r="BF618" s="229">
        <f t="shared" ref="BF618:BF626" si="216">AB618+BC618</f>
        <v>0</v>
      </c>
      <c r="BG618" s="210">
        <f t="shared" si="213"/>
        <v>0</v>
      </c>
      <c r="BH618" s="210">
        <f t="shared" si="206"/>
        <v>5</v>
      </c>
      <c r="BI618" s="213">
        <f t="shared" si="210"/>
        <v>0</v>
      </c>
      <c r="BJ618" s="141"/>
      <c r="BK618" s="201"/>
      <c r="BL618" s="198"/>
      <c r="BM618" s="198"/>
    </row>
    <row r="619" spans="1:65" s="17" customFormat="1" ht="24.75" customHeight="1">
      <c r="A619" s="123">
        <v>58</v>
      </c>
      <c r="B619" s="9" t="s">
        <v>3028</v>
      </c>
      <c r="C619" s="10" t="s">
        <v>3029</v>
      </c>
      <c r="D619" s="229"/>
      <c r="E619" s="13"/>
      <c r="F619" s="229"/>
      <c r="G619" s="13"/>
      <c r="H619" s="229"/>
      <c r="I619" s="13"/>
      <c r="J619" s="229"/>
      <c r="K619" s="13"/>
      <c r="L619" s="229"/>
      <c r="M619" s="13"/>
      <c r="N619" s="229"/>
      <c r="O619" s="13"/>
      <c r="P619" s="229"/>
      <c r="Q619" s="13"/>
      <c r="R619" s="229"/>
      <c r="S619" s="13"/>
      <c r="T619" s="229"/>
      <c r="U619" s="13"/>
      <c r="V619" s="229"/>
      <c r="W619" s="13"/>
      <c r="X619" s="229"/>
      <c r="Y619" s="13"/>
      <c r="Z619" s="229"/>
      <c r="AA619" s="13"/>
      <c r="AB619" s="229">
        <f t="shared" si="214"/>
        <v>0</v>
      </c>
      <c r="AC619" s="228">
        <f t="shared" si="211"/>
        <v>0</v>
      </c>
      <c r="AD619" s="21">
        <v>0</v>
      </c>
      <c r="AE619" s="229"/>
      <c r="AF619" s="20"/>
      <c r="AG619" s="229"/>
      <c r="AH619" s="20"/>
      <c r="AI619" s="229">
        <v>1</v>
      </c>
      <c r="AJ619" s="20">
        <v>1</v>
      </c>
      <c r="AK619" s="229"/>
      <c r="AL619" s="20"/>
      <c r="AM619" s="229"/>
      <c r="AN619" s="20"/>
      <c r="AO619" s="229"/>
      <c r="AP619" s="20"/>
      <c r="AQ619" s="229"/>
      <c r="AR619" s="20"/>
      <c r="AS619" s="229"/>
      <c r="AT619" s="20"/>
      <c r="AU619" s="229"/>
      <c r="AV619" s="20"/>
      <c r="AW619" s="229"/>
      <c r="AX619" s="20"/>
      <c r="AY619" s="229"/>
      <c r="AZ619" s="20"/>
      <c r="BA619" s="229"/>
      <c r="BB619" s="20">
        <v>1</v>
      </c>
      <c r="BC619" s="229">
        <f t="shared" si="215"/>
        <v>1</v>
      </c>
      <c r="BD619" s="48">
        <f t="shared" si="212"/>
        <v>2</v>
      </c>
      <c r="BE619" s="19">
        <v>0</v>
      </c>
      <c r="BF619" s="229">
        <f t="shared" si="216"/>
        <v>1</v>
      </c>
      <c r="BG619" s="210">
        <f t="shared" si="213"/>
        <v>2</v>
      </c>
      <c r="BH619" s="210">
        <f t="shared" si="206"/>
        <v>0</v>
      </c>
      <c r="BI619" s="213" t="e">
        <f t="shared" si="210"/>
        <v>#DIV/0!</v>
      </c>
      <c r="BJ619" s="141"/>
      <c r="BK619" s="201"/>
      <c r="BL619" s="198"/>
      <c r="BM619" s="198"/>
    </row>
    <row r="620" spans="1:65" s="17" customFormat="1" ht="15.95" customHeight="1">
      <c r="A620" s="123">
        <v>59</v>
      </c>
      <c r="B620" s="9" t="s">
        <v>1052</v>
      </c>
      <c r="C620" s="11" t="s">
        <v>1053</v>
      </c>
      <c r="D620" s="229"/>
      <c r="E620" s="13"/>
      <c r="F620" s="229"/>
      <c r="G620" s="13"/>
      <c r="H620" s="229"/>
      <c r="I620" s="13"/>
      <c r="J620" s="229"/>
      <c r="K620" s="13"/>
      <c r="L620" s="229"/>
      <c r="M620" s="13"/>
      <c r="N620" s="229"/>
      <c r="O620" s="13"/>
      <c r="P620" s="229"/>
      <c r="Q620" s="13"/>
      <c r="R620" s="229"/>
      <c r="S620" s="13"/>
      <c r="T620" s="229"/>
      <c r="U620" s="13"/>
      <c r="V620" s="229"/>
      <c r="W620" s="13"/>
      <c r="X620" s="229"/>
      <c r="Y620" s="13"/>
      <c r="Z620" s="229"/>
      <c r="AA620" s="13"/>
      <c r="AB620" s="229">
        <f t="shared" si="214"/>
        <v>0</v>
      </c>
      <c r="AC620" s="228">
        <f t="shared" si="211"/>
        <v>0</v>
      </c>
      <c r="AD620" s="19">
        <v>0</v>
      </c>
      <c r="AE620" s="229"/>
      <c r="AF620" s="20"/>
      <c r="AG620" s="229"/>
      <c r="AH620" s="20"/>
      <c r="AI620" s="229"/>
      <c r="AJ620" s="20"/>
      <c r="AK620" s="229"/>
      <c r="AL620" s="20"/>
      <c r="AM620" s="229"/>
      <c r="AN620" s="20"/>
      <c r="AO620" s="229"/>
      <c r="AP620" s="20"/>
      <c r="AQ620" s="229"/>
      <c r="AR620" s="20"/>
      <c r="AS620" s="229"/>
      <c r="AT620" s="20"/>
      <c r="AU620" s="229"/>
      <c r="AV620" s="20"/>
      <c r="AW620" s="229"/>
      <c r="AX620" s="20"/>
      <c r="AY620" s="229"/>
      <c r="AZ620" s="20"/>
      <c r="BA620" s="229"/>
      <c r="BB620" s="20"/>
      <c r="BC620" s="229">
        <f t="shared" si="215"/>
        <v>0</v>
      </c>
      <c r="BD620" s="48">
        <f t="shared" si="212"/>
        <v>0</v>
      </c>
      <c r="BE620" s="19">
        <v>1</v>
      </c>
      <c r="BF620" s="229">
        <f t="shared" si="216"/>
        <v>0</v>
      </c>
      <c r="BG620" s="210">
        <f t="shared" si="213"/>
        <v>0</v>
      </c>
      <c r="BH620" s="210">
        <f t="shared" si="206"/>
        <v>1</v>
      </c>
      <c r="BI620" s="213">
        <f t="shared" si="210"/>
        <v>0</v>
      </c>
      <c r="BJ620" s="141"/>
      <c r="BK620" s="201"/>
      <c r="BL620" s="198"/>
      <c r="BM620" s="198"/>
    </row>
    <row r="621" spans="1:65" s="17" customFormat="1" ht="15.95" customHeight="1">
      <c r="A621" s="123">
        <v>60</v>
      </c>
      <c r="B621" s="9" t="s">
        <v>348</v>
      </c>
      <c r="C621" s="11" t="s">
        <v>349</v>
      </c>
      <c r="D621" s="229"/>
      <c r="E621" s="13"/>
      <c r="F621" s="229"/>
      <c r="G621" s="13"/>
      <c r="H621" s="229"/>
      <c r="I621" s="13"/>
      <c r="J621" s="229"/>
      <c r="K621" s="13"/>
      <c r="L621" s="229"/>
      <c r="M621" s="13"/>
      <c r="N621" s="229"/>
      <c r="O621" s="13"/>
      <c r="P621" s="229"/>
      <c r="Q621" s="13"/>
      <c r="R621" s="229"/>
      <c r="S621" s="13"/>
      <c r="T621" s="229"/>
      <c r="U621" s="13"/>
      <c r="V621" s="229"/>
      <c r="W621" s="13"/>
      <c r="X621" s="229"/>
      <c r="Y621" s="13"/>
      <c r="Z621" s="229"/>
      <c r="AA621" s="13"/>
      <c r="AB621" s="229">
        <f t="shared" si="214"/>
        <v>0</v>
      </c>
      <c r="AC621" s="228">
        <f t="shared" si="211"/>
        <v>0</v>
      </c>
      <c r="AD621" s="21">
        <v>0</v>
      </c>
      <c r="AE621" s="229"/>
      <c r="AF621" s="20"/>
      <c r="AG621" s="229"/>
      <c r="AH621" s="20"/>
      <c r="AI621" s="229">
        <v>12</v>
      </c>
      <c r="AJ621" s="20">
        <v>12</v>
      </c>
      <c r="AK621" s="229"/>
      <c r="AL621" s="20"/>
      <c r="AM621" s="229"/>
      <c r="AN621" s="20"/>
      <c r="AO621" s="229">
        <v>13</v>
      </c>
      <c r="AP621" s="20">
        <v>13</v>
      </c>
      <c r="AQ621" s="229"/>
      <c r="AR621" s="20"/>
      <c r="AS621" s="229"/>
      <c r="AT621" s="20"/>
      <c r="AU621" s="229"/>
      <c r="AV621" s="20">
        <v>5</v>
      </c>
      <c r="AW621" s="229"/>
      <c r="AX621" s="20"/>
      <c r="AY621" s="229"/>
      <c r="AZ621" s="20"/>
      <c r="BA621" s="229"/>
      <c r="BB621" s="20">
        <v>22</v>
      </c>
      <c r="BC621" s="229">
        <f t="shared" si="215"/>
        <v>25</v>
      </c>
      <c r="BD621" s="48">
        <f t="shared" si="212"/>
        <v>52</v>
      </c>
      <c r="BE621" s="19">
        <v>44</v>
      </c>
      <c r="BF621" s="229">
        <f t="shared" si="216"/>
        <v>25</v>
      </c>
      <c r="BG621" s="210">
        <f t="shared" si="213"/>
        <v>52</v>
      </c>
      <c r="BH621" s="210">
        <f t="shared" si="206"/>
        <v>44</v>
      </c>
      <c r="BI621" s="213">
        <f t="shared" si="210"/>
        <v>118.18181818181819</v>
      </c>
      <c r="BJ621" s="141"/>
      <c r="BK621" s="201"/>
      <c r="BL621" s="198"/>
      <c r="BM621" s="198"/>
    </row>
    <row r="622" spans="1:65" s="17" customFormat="1" ht="15.95" customHeight="1">
      <c r="A622" s="123">
        <v>61</v>
      </c>
      <c r="B622" s="9" t="s">
        <v>350</v>
      </c>
      <c r="C622" s="11" t="s">
        <v>2457</v>
      </c>
      <c r="D622" s="229"/>
      <c r="E622" s="13"/>
      <c r="F622" s="229"/>
      <c r="G622" s="13"/>
      <c r="H622" s="229"/>
      <c r="I622" s="13"/>
      <c r="J622" s="229"/>
      <c r="K622" s="13"/>
      <c r="L622" s="229"/>
      <c r="M622" s="13"/>
      <c r="N622" s="229"/>
      <c r="O622" s="13"/>
      <c r="P622" s="229"/>
      <c r="Q622" s="13"/>
      <c r="R622" s="229"/>
      <c r="S622" s="13"/>
      <c r="T622" s="229"/>
      <c r="U622" s="13"/>
      <c r="V622" s="229"/>
      <c r="W622" s="13"/>
      <c r="X622" s="229"/>
      <c r="Y622" s="13"/>
      <c r="Z622" s="229"/>
      <c r="AA622" s="13"/>
      <c r="AB622" s="229">
        <f t="shared" si="214"/>
        <v>0</v>
      </c>
      <c r="AC622" s="228">
        <f t="shared" si="211"/>
        <v>0</v>
      </c>
      <c r="AD622" s="21">
        <v>0</v>
      </c>
      <c r="AE622" s="229"/>
      <c r="AF622" s="20"/>
      <c r="AG622" s="229"/>
      <c r="AH622" s="20"/>
      <c r="AI622" s="229">
        <v>13</v>
      </c>
      <c r="AJ622" s="20">
        <v>13</v>
      </c>
      <c r="AK622" s="229"/>
      <c r="AL622" s="20"/>
      <c r="AM622" s="229"/>
      <c r="AN622" s="20"/>
      <c r="AO622" s="229">
        <v>9</v>
      </c>
      <c r="AP622" s="20">
        <v>9</v>
      </c>
      <c r="AQ622" s="229"/>
      <c r="AR622" s="20"/>
      <c r="AS622" s="229"/>
      <c r="AT622" s="20"/>
      <c r="AU622" s="229"/>
      <c r="AV622" s="20">
        <v>8</v>
      </c>
      <c r="AW622" s="229"/>
      <c r="AX622" s="20"/>
      <c r="AY622" s="229"/>
      <c r="AZ622" s="20"/>
      <c r="BA622" s="229"/>
      <c r="BB622" s="20">
        <v>10</v>
      </c>
      <c r="BC622" s="229">
        <f t="shared" si="215"/>
        <v>22</v>
      </c>
      <c r="BD622" s="48">
        <f t="shared" si="212"/>
        <v>40</v>
      </c>
      <c r="BE622" s="19">
        <v>33</v>
      </c>
      <c r="BF622" s="229">
        <f t="shared" si="216"/>
        <v>22</v>
      </c>
      <c r="BG622" s="210">
        <f t="shared" si="213"/>
        <v>40</v>
      </c>
      <c r="BH622" s="210">
        <f t="shared" si="206"/>
        <v>33</v>
      </c>
      <c r="BI622" s="213">
        <f t="shared" si="210"/>
        <v>121.21212121212122</v>
      </c>
      <c r="BJ622" s="141"/>
      <c r="BK622" s="201"/>
      <c r="BL622" s="198"/>
      <c r="BM622" s="198"/>
    </row>
    <row r="623" spans="1:65" s="17" customFormat="1" ht="15.95" customHeight="1">
      <c r="A623" s="123">
        <v>62</v>
      </c>
      <c r="B623" s="9" t="s">
        <v>2412</v>
      </c>
      <c r="C623" s="11" t="s">
        <v>2413</v>
      </c>
      <c r="D623" s="229"/>
      <c r="E623" s="13"/>
      <c r="F623" s="229"/>
      <c r="G623" s="13"/>
      <c r="H623" s="229"/>
      <c r="I623" s="13"/>
      <c r="J623" s="229"/>
      <c r="K623" s="13"/>
      <c r="L623" s="229"/>
      <c r="M623" s="13"/>
      <c r="N623" s="229"/>
      <c r="O623" s="13"/>
      <c r="P623" s="229"/>
      <c r="Q623" s="13"/>
      <c r="R623" s="229"/>
      <c r="S623" s="13"/>
      <c r="T623" s="229"/>
      <c r="U623" s="13"/>
      <c r="V623" s="229"/>
      <c r="W623" s="13"/>
      <c r="X623" s="229"/>
      <c r="Y623" s="13"/>
      <c r="Z623" s="229"/>
      <c r="AA623" s="13"/>
      <c r="AB623" s="229">
        <f t="shared" si="214"/>
        <v>0</v>
      </c>
      <c r="AC623" s="228">
        <f t="shared" si="211"/>
        <v>0</v>
      </c>
      <c r="AD623" s="21">
        <v>0</v>
      </c>
      <c r="AE623" s="229"/>
      <c r="AF623" s="20"/>
      <c r="AG623" s="229"/>
      <c r="AH623" s="20"/>
      <c r="AI623" s="229"/>
      <c r="AJ623" s="20"/>
      <c r="AK623" s="229"/>
      <c r="AL623" s="20"/>
      <c r="AM623" s="229"/>
      <c r="AN623" s="20"/>
      <c r="AO623" s="229"/>
      <c r="AP623" s="20"/>
      <c r="AQ623" s="229"/>
      <c r="AR623" s="20"/>
      <c r="AS623" s="229"/>
      <c r="AT623" s="20"/>
      <c r="AU623" s="229"/>
      <c r="AV623" s="20"/>
      <c r="AW623" s="229"/>
      <c r="AX623" s="20"/>
      <c r="AY623" s="229"/>
      <c r="AZ623" s="20"/>
      <c r="BA623" s="229"/>
      <c r="BB623" s="20"/>
      <c r="BC623" s="229">
        <f t="shared" si="215"/>
        <v>0</v>
      </c>
      <c r="BD623" s="48">
        <f t="shared" si="212"/>
        <v>0</v>
      </c>
      <c r="BE623" s="19">
        <v>4</v>
      </c>
      <c r="BF623" s="229">
        <f t="shared" si="216"/>
        <v>0</v>
      </c>
      <c r="BG623" s="210">
        <f t="shared" si="213"/>
        <v>0</v>
      </c>
      <c r="BH623" s="210">
        <f t="shared" si="206"/>
        <v>4</v>
      </c>
      <c r="BI623" s="213">
        <f t="shared" si="210"/>
        <v>0</v>
      </c>
      <c r="BJ623" s="141"/>
      <c r="BK623" s="201"/>
      <c r="BL623" s="198"/>
      <c r="BM623" s="198"/>
    </row>
    <row r="624" spans="1:65" s="17" customFormat="1" ht="15.95" customHeight="1">
      <c r="A624" s="123">
        <v>63</v>
      </c>
      <c r="B624" s="107" t="s">
        <v>1054</v>
      </c>
      <c r="C624" s="108" t="s">
        <v>1055</v>
      </c>
      <c r="D624" s="229"/>
      <c r="E624" s="13"/>
      <c r="F624" s="229"/>
      <c r="G624" s="13"/>
      <c r="H624" s="229"/>
      <c r="I624" s="13"/>
      <c r="J624" s="229"/>
      <c r="K624" s="13"/>
      <c r="L624" s="229"/>
      <c r="M624" s="13"/>
      <c r="N624" s="229"/>
      <c r="O624" s="13"/>
      <c r="P624" s="229"/>
      <c r="Q624" s="13"/>
      <c r="R624" s="229"/>
      <c r="S624" s="13"/>
      <c r="T624" s="229"/>
      <c r="U624" s="13"/>
      <c r="V624" s="229"/>
      <c r="W624" s="13"/>
      <c r="X624" s="229"/>
      <c r="Y624" s="13"/>
      <c r="Z624" s="229"/>
      <c r="AA624" s="13"/>
      <c r="AB624" s="229">
        <f t="shared" si="214"/>
        <v>0</v>
      </c>
      <c r="AC624" s="228">
        <f t="shared" si="211"/>
        <v>0</v>
      </c>
      <c r="AD624" s="21">
        <v>0</v>
      </c>
      <c r="AE624" s="229"/>
      <c r="AF624" s="20"/>
      <c r="AG624" s="229"/>
      <c r="AH624" s="20"/>
      <c r="AI624" s="229"/>
      <c r="AJ624" s="20"/>
      <c r="AK624" s="229"/>
      <c r="AL624" s="20"/>
      <c r="AM624" s="229"/>
      <c r="AN624" s="20"/>
      <c r="AO624" s="229"/>
      <c r="AP624" s="20"/>
      <c r="AQ624" s="229"/>
      <c r="AR624" s="20"/>
      <c r="AS624" s="229"/>
      <c r="AT624" s="20"/>
      <c r="AU624" s="229"/>
      <c r="AV624" s="20"/>
      <c r="AW624" s="229"/>
      <c r="AX624" s="20"/>
      <c r="AY624" s="229"/>
      <c r="AZ624" s="20"/>
      <c r="BA624" s="229"/>
      <c r="BB624" s="20"/>
      <c r="BC624" s="229">
        <f t="shared" si="215"/>
        <v>0</v>
      </c>
      <c r="BD624" s="48">
        <f t="shared" si="212"/>
        <v>0</v>
      </c>
      <c r="BE624" s="19">
        <v>0</v>
      </c>
      <c r="BF624" s="229">
        <f t="shared" si="216"/>
        <v>0</v>
      </c>
      <c r="BG624" s="210">
        <f t="shared" si="213"/>
        <v>0</v>
      </c>
      <c r="BH624" s="210">
        <f t="shared" si="206"/>
        <v>0</v>
      </c>
      <c r="BI624" s="213" t="e">
        <f t="shared" si="210"/>
        <v>#DIV/0!</v>
      </c>
      <c r="BJ624" s="141"/>
      <c r="BK624" s="201"/>
      <c r="BL624" s="198"/>
      <c r="BM624" s="198"/>
    </row>
    <row r="625" spans="1:65" s="17" customFormat="1" ht="15.95" customHeight="1">
      <c r="A625" s="123">
        <v>64</v>
      </c>
      <c r="B625" s="9" t="s">
        <v>1951</v>
      </c>
      <c r="C625" s="11" t="s">
        <v>1952</v>
      </c>
      <c r="D625" s="229"/>
      <c r="E625" s="13"/>
      <c r="F625" s="229"/>
      <c r="G625" s="13"/>
      <c r="H625" s="229"/>
      <c r="I625" s="13"/>
      <c r="J625" s="229"/>
      <c r="K625" s="13"/>
      <c r="L625" s="229"/>
      <c r="M625" s="13"/>
      <c r="N625" s="229"/>
      <c r="O625" s="13"/>
      <c r="P625" s="229"/>
      <c r="Q625" s="13"/>
      <c r="R625" s="229"/>
      <c r="S625" s="13"/>
      <c r="T625" s="229"/>
      <c r="U625" s="13"/>
      <c r="V625" s="229"/>
      <c r="W625" s="13"/>
      <c r="X625" s="229"/>
      <c r="Y625" s="13"/>
      <c r="Z625" s="229"/>
      <c r="AA625" s="13"/>
      <c r="AB625" s="229">
        <f t="shared" si="214"/>
        <v>0</v>
      </c>
      <c r="AC625" s="228">
        <f t="shared" si="211"/>
        <v>0</v>
      </c>
      <c r="AD625" s="21">
        <v>0</v>
      </c>
      <c r="AE625" s="229"/>
      <c r="AF625" s="20"/>
      <c r="AG625" s="229"/>
      <c r="AH625" s="20"/>
      <c r="AI625" s="229"/>
      <c r="AJ625" s="20"/>
      <c r="AK625" s="229"/>
      <c r="AL625" s="20"/>
      <c r="AM625" s="229"/>
      <c r="AN625" s="20"/>
      <c r="AO625" s="229"/>
      <c r="AP625" s="20"/>
      <c r="AQ625" s="229"/>
      <c r="AR625" s="20"/>
      <c r="AS625" s="229"/>
      <c r="AT625" s="20"/>
      <c r="AU625" s="229"/>
      <c r="AV625" s="20">
        <v>1</v>
      </c>
      <c r="AW625" s="229"/>
      <c r="AX625" s="20"/>
      <c r="AY625" s="229"/>
      <c r="AZ625" s="20"/>
      <c r="BA625" s="229"/>
      <c r="BB625" s="20">
        <v>2</v>
      </c>
      <c r="BC625" s="229">
        <f t="shared" si="215"/>
        <v>0</v>
      </c>
      <c r="BD625" s="48">
        <f t="shared" si="212"/>
        <v>3</v>
      </c>
      <c r="BE625" s="19">
        <v>1</v>
      </c>
      <c r="BF625" s="229">
        <f t="shared" si="216"/>
        <v>0</v>
      </c>
      <c r="BG625" s="210">
        <f t="shared" si="213"/>
        <v>3</v>
      </c>
      <c r="BH625" s="210">
        <f t="shared" si="206"/>
        <v>1</v>
      </c>
      <c r="BI625" s="213">
        <f t="shared" si="210"/>
        <v>300</v>
      </c>
      <c r="BJ625" s="141"/>
      <c r="BK625" s="201"/>
      <c r="BL625" s="198"/>
      <c r="BM625" s="198"/>
    </row>
    <row r="626" spans="1:65" s="17" customFormat="1" ht="15.95" customHeight="1">
      <c r="A626" s="123">
        <v>65</v>
      </c>
      <c r="B626" s="9" t="s">
        <v>985</v>
      </c>
      <c r="C626" s="11" t="s">
        <v>986</v>
      </c>
      <c r="D626" s="229"/>
      <c r="E626" s="13"/>
      <c r="F626" s="229"/>
      <c r="G626" s="13"/>
      <c r="H626" s="229"/>
      <c r="I626" s="13"/>
      <c r="J626" s="229"/>
      <c r="K626" s="13"/>
      <c r="L626" s="229"/>
      <c r="M626" s="13"/>
      <c r="N626" s="229"/>
      <c r="O626" s="13"/>
      <c r="P626" s="229"/>
      <c r="Q626" s="13"/>
      <c r="R626" s="229"/>
      <c r="S626" s="13"/>
      <c r="T626" s="229"/>
      <c r="U626" s="13"/>
      <c r="V626" s="229"/>
      <c r="W626" s="13"/>
      <c r="X626" s="229"/>
      <c r="Y626" s="13"/>
      <c r="Z626" s="229"/>
      <c r="AA626" s="13"/>
      <c r="AB626" s="229">
        <f t="shared" si="214"/>
        <v>0</v>
      </c>
      <c r="AC626" s="228">
        <f t="shared" si="211"/>
        <v>0</v>
      </c>
      <c r="AD626" s="19">
        <v>0</v>
      </c>
      <c r="AE626" s="229"/>
      <c r="AF626" s="20"/>
      <c r="AG626" s="229"/>
      <c r="AH626" s="20"/>
      <c r="AI626" s="229"/>
      <c r="AJ626" s="20"/>
      <c r="AK626" s="229"/>
      <c r="AL626" s="20"/>
      <c r="AM626" s="229"/>
      <c r="AN626" s="20"/>
      <c r="AO626" s="229"/>
      <c r="AP626" s="20"/>
      <c r="AQ626" s="229"/>
      <c r="AR626" s="20"/>
      <c r="AS626" s="229"/>
      <c r="AT626" s="20"/>
      <c r="AU626" s="229"/>
      <c r="AV626" s="20"/>
      <c r="AW626" s="229"/>
      <c r="AX626" s="20"/>
      <c r="AY626" s="229"/>
      <c r="AZ626" s="20"/>
      <c r="BA626" s="229"/>
      <c r="BB626" s="20"/>
      <c r="BC626" s="229">
        <f t="shared" si="215"/>
        <v>0</v>
      </c>
      <c r="BD626" s="48">
        <f t="shared" si="212"/>
        <v>0</v>
      </c>
      <c r="BE626" s="19">
        <v>1</v>
      </c>
      <c r="BF626" s="229">
        <f t="shared" si="216"/>
        <v>0</v>
      </c>
      <c r="BG626" s="210">
        <f t="shared" si="213"/>
        <v>0</v>
      </c>
      <c r="BH626" s="210">
        <f t="shared" si="206"/>
        <v>1</v>
      </c>
      <c r="BI626" s="213">
        <f t="shared" si="210"/>
        <v>0</v>
      </c>
      <c r="BJ626" s="141"/>
      <c r="BK626" s="201"/>
      <c r="BL626" s="198"/>
      <c r="BM626" s="198"/>
    </row>
    <row r="627" spans="1:65" s="17" customFormat="1" ht="21.95" customHeight="1">
      <c r="A627" s="354" t="s">
        <v>2756</v>
      </c>
      <c r="B627" s="354"/>
      <c r="C627" s="354"/>
      <c r="D627" s="90">
        <f t="shared" ref="D627:AA627" si="217">SUM(D628:D764)</f>
        <v>0</v>
      </c>
      <c r="E627" s="90">
        <f t="shared" si="217"/>
        <v>0</v>
      </c>
      <c r="F627" s="90">
        <f t="shared" si="217"/>
        <v>0</v>
      </c>
      <c r="G627" s="90">
        <f t="shared" si="217"/>
        <v>0</v>
      </c>
      <c r="H627" s="283">
        <f t="shared" si="217"/>
        <v>39</v>
      </c>
      <c r="I627" s="283">
        <f t="shared" si="217"/>
        <v>39</v>
      </c>
      <c r="J627" s="90">
        <f t="shared" si="217"/>
        <v>0</v>
      </c>
      <c r="K627" s="90">
        <f t="shared" si="217"/>
        <v>0</v>
      </c>
      <c r="L627" s="90">
        <f t="shared" si="217"/>
        <v>0</v>
      </c>
      <c r="M627" s="90">
        <f t="shared" si="217"/>
        <v>0</v>
      </c>
      <c r="N627" s="90">
        <f t="shared" si="217"/>
        <v>0</v>
      </c>
      <c r="O627" s="90">
        <f t="shared" si="217"/>
        <v>0</v>
      </c>
      <c r="P627" s="90">
        <f t="shared" si="217"/>
        <v>0</v>
      </c>
      <c r="Q627" s="90">
        <f t="shared" si="217"/>
        <v>0</v>
      </c>
      <c r="R627" s="90">
        <f t="shared" si="217"/>
        <v>0</v>
      </c>
      <c r="S627" s="90">
        <f t="shared" si="217"/>
        <v>0</v>
      </c>
      <c r="T627" s="90">
        <f t="shared" si="217"/>
        <v>0</v>
      </c>
      <c r="U627" s="90">
        <f t="shared" si="217"/>
        <v>131</v>
      </c>
      <c r="V627" s="90">
        <f t="shared" si="217"/>
        <v>0</v>
      </c>
      <c r="W627" s="90">
        <f t="shared" si="217"/>
        <v>0</v>
      </c>
      <c r="X627" s="90">
        <f t="shared" si="217"/>
        <v>0</v>
      </c>
      <c r="Y627" s="90">
        <f t="shared" si="217"/>
        <v>0</v>
      </c>
      <c r="Z627" s="90">
        <f t="shared" si="217"/>
        <v>0</v>
      </c>
      <c r="AA627" s="90">
        <f t="shared" si="217"/>
        <v>194</v>
      </c>
      <c r="AB627" s="90">
        <f t="shared" ref="AB627" si="218">D627+F627+H627+J627+L627+N627+P627+R627+T627+V627+X627+Z627</f>
        <v>39</v>
      </c>
      <c r="AC627" s="90">
        <f t="shared" ref="AC627" si="219">E627+G627+I627+K627+M627+O627+Q627+S627+U627+W627+Y627+AA627</f>
        <v>364</v>
      </c>
      <c r="AD627" s="112">
        <f t="shared" ref="AD627:BB627" si="220">SUM(AD628:AD764)</f>
        <v>636</v>
      </c>
      <c r="AE627" s="90">
        <f t="shared" si="220"/>
        <v>0</v>
      </c>
      <c r="AF627" s="91">
        <f t="shared" si="220"/>
        <v>0</v>
      </c>
      <c r="AG627" s="90">
        <f t="shared" si="220"/>
        <v>0</v>
      </c>
      <c r="AH627" s="91">
        <f t="shared" si="220"/>
        <v>0</v>
      </c>
      <c r="AI627" s="90">
        <f t="shared" si="220"/>
        <v>219</v>
      </c>
      <c r="AJ627" s="91">
        <f t="shared" si="220"/>
        <v>220</v>
      </c>
      <c r="AK627" s="90">
        <f t="shared" si="220"/>
        <v>0</v>
      </c>
      <c r="AL627" s="91">
        <f t="shared" si="220"/>
        <v>0</v>
      </c>
      <c r="AM627" s="90">
        <f t="shared" si="220"/>
        <v>0</v>
      </c>
      <c r="AN627" s="91">
        <f t="shared" si="220"/>
        <v>0</v>
      </c>
      <c r="AO627" s="90">
        <f t="shared" si="220"/>
        <v>263</v>
      </c>
      <c r="AP627" s="91">
        <f t="shared" si="220"/>
        <v>312</v>
      </c>
      <c r="AQ627" s="90">
        <f t="shared" si="220"/>
        <v>0</v>
      </c>
      <c r="AR627" s="91">
        <f t="shared" si="220"/>
        <v>0</v>
      </c>
      <c r="AS627" s="90">
        <f t="shared" si="220"/>
        <v>0</v>
      </c>
      <c r="AT627" s="91">
        <f t="shared" si="220"/>
        <v>0</v>
      </c>
      <c r="AU627" s="90">
        <f t="shared" si="220"/>
        <v>0</v>
      </c>
      <c r="AV627" s="91">
        <f t="shared" si="220"/>
        <v>168</v>
      </c>
      <c r="AW627" s="90">
        <f t="shared" si="220"/>
        <v>0</v>
      </c>
      <c r="AX627" s="91">
        <f t="shared" si="220"/>
        <v>0</v>
      </c>
      <c r="AY627" s="90">
        <f t="shared" si="220"/>
        <v>0</v>
      </c>
      <c r="AZ627" s="91">
        <f t="shared" si="220"/>
        <v>0</v>
      </c>
      <c r="BA627" s="90">
        <f t="shared" si="220"/>
        <v>0</v>
      </c>
      <c r="BB627" s="91">
        <f t="shared" si="220"/>
        <v>199</v>
      </c>
      <c r="BC627" s="90">
        <f t="shared" ref="BC627" si="221">AE627+AG627+AI627+AK627+AM627+AO627+AQ627+AS627+AU627+AW627+AY627+BA627</f>
        <v>482</v>
      </c>
      <c r="BD627" s="91">
        <f t="shared" ref="BD627" si="222">AF627+AH627+AJ627+AL627+AN627+AP627+AR627+AT627+AV627+AX627+AZ627+BB627</f>
        <v>899</v>
      </c>
      <c r="BE627" s="91">
        <f>SUM(BE628:BE764)</f>
        <v>512</v>
      </c>
      <c r="BF627" s="90">
        <f t="shared" ref="BF627" si="223">AB627+BC627</f>
        <v>521</v>
      </c>
      <c r="BG627" s="91">
        <f t="shared" ref="BG627" si="224">AC627+BD627</f>
        <v>1263</v>
      </c>
      <c r="BH627" s="91">
        <f t="shared" ref="BH627" si="225">AD627+BE627</f>
        <v>1148</v>
      </c>
      <c r="BI627" s="272">
        <f t="shared" ref="BI627" si="226">BG627/BH627*100</f>
        <v>110.01742160278745</v>
      </c>
      <c r="BJ627" s="140">
        <v>3598</v>
      </c>
      <c r="BK627" s="203">
        <f>BJ627-BH627</f>
        <v>2450</v>
      </c>
      <c r="BL627" s="198"/>
      <c r="BM627" s="198"/>
    </row>
    <row r="628" spans="1:65" s="17" customFormat="1" ht="15.95" customHeight="1">
      <c r="A628" s="123">
        <v>1</v>
      </c>
      <c r="B628" s="9" t="s">
        <v>109</v>
      </c>
      <c r="C628" s="11" t="s">
        <v>110</v>
      </c>
      <c r="D628" s="229"/>
      <c r="E628" s="13"/>
      <c r="F628" s="229"/>
      <c r="G628" s="13"/>
      <c r="H628" s="229"/>
      <c r="I628" s="13"/>
      <c r="J628" s="229"/>
      <c r="K628" s="13"/>
      <c r="L628" s="229"/>
      <c r="M628" s="13"/>
      <c r="N628" s="229"/>
      <c r="O628" s="13"/>
      <c r="P628" s="229"/>
      <c r="Q628" s="13"/>
      <c r="R628" s="229"/>
      <c r="S628" s="13"/>
      <c r="T628" s="229"/>
      <c r="U628" s="13">
        <f>16+1</f>
        <v>17</v>
      </c>
      <c r="V628" s="229"/>
      <c r="W628" s="13"/>
      <c r="X628" s="229"/>
      <c r="Y628" s="13"/>
      <c r="Z628" s="229"/>
      <c r="AA628" s="13">
        <v>1</v>
      </c>
      <c r="AB628" s="229">
        <f t="shared" ref="AB628:AC633" si="227">D628+F628+H628+J628+L628+N628+P628+R628+T628+V628+X628+Z628</f>
        <v>0</v>
      </c>
      <c r="AC628" s="228">
        <f t="shared" si="227"/>
        <v>18</v>
      </c>
      <c r="AD628" s="21">
        <f>1+5</f>
        <v>6</v>
      </c>
      <c r="AE628" s="229"/>
      <c r="AF628" s="20"/>
      <c r="AG628" s="229"/>
      <c r="AH628" s="20"/>
      <c r="AI628" s="229"/>
      <c r="AJ628" s="20"/>
      <c r="AK628" s="229"/>
      <c r="AL628" s="20"/>
      <c r="AM628" s="229"/>
      <c r="AN628" s="20"/>
      <c r="AO628" s="229"/>
      <c r="AP628" s="20"/>
      <c r="AQ628" s="229"/>
      <c r="AR628" s="20"/>
      <c r="AS628" s="229"/>
      <c r="AT628" s="20"/>
      <c r="AU628" s="229"/>
      <c r="AV628" s="20"/>
      <c r="AW628" s="229"/>
      <c r="AX628" s="20"/>
      <c r="AY628" s="229"/>
      <c r="AZ628" s="20"/>
      <c r="BA628" s="229"/>
      <c r="BB628" s="20">
        <v>1</v>
      </c>
      <c r="BC628" s="229">
        <f t="shared" ref="BC628:BD633" si="228">AE628+AG628+AI628+AK628+AM628+AO628+AQ628+AS628+AU628+AW628+AY628+BA628</f>
        <v>0</v>
      </c>
      <c r="BD628" s="48">
        <f t="shared" si="228"/>
        <v>1</v>
      </c>
      <c r="BE628" s="19">
        <f>2+2</f>
        <v>4</v>
      </c>
      <c r="BF628" s="229">
        <f t="shared" ref="BF628:BH632" si="229">AB628+BC628</f>
        <v>0</v>
      </c>
      <c r="BG628" s="210">
        <f t="shared" si="229"/>
        <v>19</v>
      </c>
      <c r="BH628" s="210">
        <f t="shared" si="229"/>
        <v>10</v>
      </c>
      <c r="BI628" s="213">
        <f t="shared" ref="BI628:BI659" si="230">BG628/BH628*100</f>
        <v>190</v>
      </c>
      <c r="BJ628" s="141">
        <f>BJ627-BH627</f>
        <v>2450</v>
      </c>
      <c r="BK628" s="201"/>
      <c r="BL628" s="198"/>
      <c r="BM628" s="198"/>
    </row>
    <row r="629" spans="1:65" s="17" customFormat="1" ht="15.95" customHeight="1">
      <c r="A629" s="123">
        <v>2</v>
      </c>
      <c r="B629" s="9" t="s">
        <v>111</v>
      </c>
      <c r="C629" s="109" t="s">
        <v>1362</v>
      </c>
      <c r="D629" s="229"/>
      <c r="E629" s="13"/>
      <c r="F629" s="229"/>
      <c r="G629" s="13"/>
      <c r="H629" s="229"/>
      <c r="I629" s="13"/>
      <c r="J629" s="229"/>
      <c r="K629" s="13"/>
      <c r="L629" s="229"/>
      <c r="M629" s="13"/>
      <c r="N629" s="229"/>
      <c r="O629" s="13"/>
      <c r="P629" s="229"/>
      <c r="Q629" s="13"/>
      <c r="R629" s="229"/>
      <c r="S629" s="13"/>
      <c r="T629" s="229"/>
      <c r="U629" s="13"/>
      <c r="V629" s="229"/>
      <c r="W629" s="13"/>
      <c r="X629" s="229"/>
      <c r="Y629" s="13"/>
      <c r="Z629" s="229"/>
      <c r="AA629" s="13"/>
      <c r="AB629" s="229">
        <f t="shared" si="227"/>
        <v>0</v>
      </c>
      <c r="AC629" s="228">
        <f t="shared" si="227"/>
        <v>0</v>
      </c>
      <c r="AD629" s="21">
        <v>0</v>
      </c>
      <c r="AE629" s="229"/>
      <c r="AF629" s="20"/>
      <c r="AG629" s="229"/>
      <c r="AH629" s="20"/>
      <c r="AI629" s="229"/>
      <c r="AJ629" s="20"/>
      <c r="AK629" s="229"/>
      <c r="AL629" s="20"/>
      <c r="AM629" s="229"/>
      <c r="AN629" s="20"/>
      <c r="AO629" s="229">
        <v>1</v>
      </c>
      <c r="AP629" s="20">
        <v>1</v>
      </c>
      <c r="AQ629" s="229"/>
      <c r="AR629" s="20"/>
      <c r="AS629" s="229"/>
      <c r="AT629" s="20"/>
      <c r="AU629" s="229"/>
      <c r="AV629" s="20">
        <v>1</v>
      </c>
      <c r="AW629" s="229"/>
      <c r="AX629" s="20"/>
      <c r="AY629" s="229"/>
      <c r="AZ629" s="20"/>
      <c r="BA629" s="229"/>
      <c r="BB629" s="20">
        <v>2</v>
      </c>
      <c r="BC629" s="229">
        <f t="shared" si="228"/>
        <v>1</v>
      </c>
      <c r="BD629" s="48">
        <f t="shared" si="228"/>
        <v>4</v>
      </c>
      <c r="BE629" s="19">
        <f>2+2</f>
        <v>4</v>
      </c>
      <c r="BF629" s="229">
        <f t="shared" si="229"/>
        <v>1</v>
      </c>
      <c r="BG629" s="210">
        <f t="shared" si="229"/>
        <v>4</v>
      </c>
      <c r="BH629" s="210">
        <f t="shared" si="229"/>
        <v>4</v>
      </c>
      <c r="BI629" s="213">
        <f t="shared" si="230"/>
        <v>100</v>
      </c>
      <c r="BJ629" s="141"/>
      <c r="BK629" s="201"/>
      <c r="BL629" s="198"/>
      <c r="BM629" s="198"/>
    </row>
    <row r="630" spans="1:65" s="17" customFormat="1" ht="15.95" customHeight="1">
      <c r="A630" s="123">
        <v>3</v>
      </c>
      <c r="B630" s="9" t="s">
        <v>852</v>
      </c>
      <c r="C630" s="11" t="s">
        <v>949</v>
      </c>
      <c r="D630" s="229"/>
      <c r="E630" s="13"/>
      <c r="F630" s="229"/>
      <c r="G630" s="13"/>
      <c r="H630" s="229"/>
      <c r="I630" s="13"/>
      <c r="J630" s="229"/>
      <c r="K630" s="13"/>
      <c r="L630" s="229"/>
      <c r="M630" s="13"/>
      <c r="N630" s="229"/>
      <c r="O630" s="13"/>
      <c r="P630" s="229"/>
      <c r="Q630" s="13"/>
      <c r="R630" s="229"/>
      <c r="S630" s="13"/>
      <c r="T630" s="229"/>
      <c r="U630" s="13"/>
      <c r="V630" s="229"/>
      <c r="W630" s="13"/>
      <c r="X630" s="229"/>
      <c r="Y630" s="13"/>
      <c r="Z630" s="229"/>
      <c r="AA630" s="13"/>
      <c r="AB630" s="229">
        <f t="shared" si="227"/>
        <v>0</v>
      </c>
      <c r="AC630" s="228">
        <f t="shared" si="227"/>
        <v>0</v>
      </c>
      <c r="AD630" s="19">
        <v>2</v>
      </c>
      <c r="AE630" s="229"/>
      <c r="AF630" s="20"/>
      <c r="AG630" s="229"/>
      <c r="AH630" s="20"/>
      <c r="AI630" s="229"/>
      <c r="AJ630" s="20"/>
      <c r="AK630" s="229"/>
      <c r="AL630" s="20"/>
      <c r="AM630" s="229"/>
      <c r="AN630" s="20"/>
      <c r="AO630" s="229"/>
      <c r="AP630" s="20"/>
      <c r="AQ630" s="229"/>
      <c r="AR630" s="20"/>
      <c r="AS630" s="229"/>
      <c r="AT630" s="20"/>
      <c r="AU630" s="229"/>
      <c r="AV630" s="20"/>
      <c r="AW630" s="229"/>
      <c r="AX630" s="20"/>
      <c r="AY630" s="229"/>
      <c r="AZ630" s="20"/>
      <c r="BA630" s="229"/>
      <c r="BB630" s="20"/>
      <c r="BC630" s="229">
        <f t="shared" si="228"/>
        <v>0</v>
      </c>
      <c r="BD630" s="48">
        <f t="shared" si="228"/>
        <v>0</v>
      </c>
      <c r="BE630" s="19">
        <v>0</v>
      </c>
      <c r="BF630" s="229">
        <f t="shared" si="229"/>
        <v>0</v>
      </c>
      <c r="BG630" s="210">
        <f t="shared" si="229"/>
        <v>0</v>
      </c>
      <c r="BH630" s="210">
        <f t="shared" si="229"/>
        <v>2</v>
      </c>
      <c r="BI630" s="213">
        <f t="shared" si="230"/>
        <v>0</v>
      </c>
      <c r="BJ630" s="141"/>
      <c r="BK630" s="201"/>
      <c r="BL630" s="198"/>
      <c r="BM630" s="198"/>
    </row>
    <row r="631" spans="1:65" s="17" customFormat="1" ht="15.95" customHeight="1">
      <c r="A631" s="123">
        <v>4</v>
      </c>
      <c r="B631" s="9" t="s">
        <v>540</v>
      </c>
      <c r="C631" s="11" t="s">
        <v>1953</v>
      </c>
      <c r="D631" s="229"/>
      <c r="E631" s="13"/>
      <c r="F631" s="229"/>
      <c r="G631" s="13"/>
      <c r="H631" s="229"/>
      <c r="I631" s="13"/>
      <c r="J631" s="229"/>
      <c r="K631" s="13"/>
      <c r="L631" s="229"/>
      <c r="M631" s="13"/>
      <c r="N631" s="229"/>
      <c r="O631" s="13"/>
      <c r="P631" s="229"/>
      <c r="Q631" s="13"/>
      <c r="R631" s="229"/>
      <c r="S631" s="13"/>
      <c r="T631" s="229"/>
      <c r="U631" s="13"/>
      <c r="V631" s="229"/>
      <c r="W631" s="13"/>
      <c r="X631" s="229"/>
      <c r="Y631" s="13"/>
      <c r="Z631" s="229"/>
      <c r="AA631" s="13"/>
      <c r="AB631" s="229">
        <f t="shared" si="227"/>
        <v>0</v>
      </c>
      <c r="AC631" s="228">
        <f t="shared" si="227"/>
        <v>0</v>
      </c>
      <c r="AD631" s="21">
        <v>5</v>
      </c>
      <c r="AE631" s="229"/>
      <c r="AF631" s="20"/>
      <c r="AG631" s="229"/>
      <c r="AH631" s="20"/>
      <c r="AI631" s="229"/>
      <c r="AJ631" s="20"/>
      <c r="AK631" s="229"/>
      <c r="AL631" s="20"/>
      <c r="AM631" s="229"/>
      <c r="AN631" s="20"/>
      <c r="AO631" s="229"/>
      <c r="AP631" s="20"/>
      <c r="AQ631" s="229"/>
      <c r="AR631" s="20"/>
      <c r="AS631" s="229"/>
      <c r="AT631" s="20"/>
      <c r="AU631" s="229"/>
      <c r="AV631" s="20"/>
      <c r="AW631" s="229"/>
      <c r="AX631" s="20"/>
      <c r="AY631" s="229"/>
      <c r="AZ631" s="20"/>
      <c r="BA631" s="229"/>
      <c r="BB631" s="20"/>
      <c r="BC631" s="229">
        <f t="shared" si="228"/>
        <v>0</v>
      </c>
      <c r="BD631" s="48">
        <f t="shared" si="228"/>
        <v>0</v>
      </c>
      <c r="BE631" s="19">
        <v>1</v>
      </c>
      <c r="BF631" s="229">
        <f t="shared" si="229"/>
        <v>0</v>
      </c>
      <c r="BG631" s="210">
        <f t="shared" si="229"/>
        <v>0</v>
      </c>
      <c r="BH631" s="210">
        <f t="shared" si="229"/>
        <v>6</v>
      </c>
      <c r="BI631" s="213">
        <f t="shared" si="230"/>
        <v>0</v>
      </c>
      <c r="BJ631" s="141"/>
      <c r="BK631" s="201"/>
      <c r="BL631" s="198"/>
      <c r="BM631" s="198"/>
    </row>
    <row r="632" spans="1:65" s="17" customFormat="1" ht="15.95" customHeight="1">
      <c r="A632" s="123">
        <v>5</v>
      </c>
      <c r="B632" s="9" t="s">
        <v>950</v>
      </c>
      <c r="C632" s="11" t="s">
        <v>951</v>
      </c>
      <c r="D632" s="229"/>
      <c r="E632" s="13"/>
      <c r="F632" s="229"/>
      <c r="G632" s="13"/>
      <c r="H632" s="229"/>
      <c r="I632" s="13"/>
      <c r="J632" s="229"/>
      <c r="K632" s="13"/>
      <c r="L632" s="229"/>
      <c r="M632" s="13"/>
      <c r="N632" s="229"/>
      <c r="O632" s="13"/>
      <c r="P632" s="229"/>
      <c r="Q632" s="13"/>
      <c r="R632" s="229"/>
      <c r="S632" s="13"/>
      <c r="T632" s="229"/>
      <c r="U632" s="13"/>
      <c r="V632" s="229"/>
      <c r="W632" s="13"/>
      <c r="X632" s="229"/>
      <c r="Y632" s="13"/>
      <c r="Z632" s="229"/>
      <c r="AA632" s="13"/>
      <c r="AB632" s="229">
        <f t="shared" si="227"/>
        <v>0</v>
      </c>
      <c r="AC632" s="228">
        <f t="shared" si="227"/>
        <v>0</v>
      </c>
      <c r="AD632" s="19">
        <v>0</v>
      </c>
      <c r="AE632" s="229"/>
      <c r="AF632" s="20"/>
      <c r="AG632" s="229"/>
      <c r="AH632" s="20"/>
      <c r="AI632" s="229"/>
      <c r="AJ632" s="20"/>
      <c r="AK632" s="229"/>
      <c r="AL632" s="20"/>
      <c r="AM632" s="229"/>
      <c r="AN632" s="20"/>
      <c r="AO632" s="229">
        <v>1</v>
      </c>
      <c r="AP632" s="20">
        <v>1</v>
      </c>
      <c r="AQ632" s="229"/>
      <c r="AR632" s="20"/>
      <c r="AS632" s="229"/>
      <c r="AT632" s="20"/>
      <c r="AU632" s="229"/>
      <c r="AV632" s="20"/>
      <c r="AW632" s="229"/>
      <c r="AX632" s="20"/>
      <c r="AY632" s="229"/>
      <c r="AZ632" s="20"/>
      <c r="BA632" s="229"/>
      <c r="BB632" s="20"/>
      <c r="BC632" s="229">
        <f t="shared" si="228"/>
        <v>1</v>
      </c>
      <c r="BD632" s="48">
        <f t="shared" si="228"/>
        <v>1</v>
      </c>
      <c r="BE632" s="19">
        <v>2</v>
      </c>
      <c r="BF632" s="229">
        <f t="shared" si="229"/>
        <v>1</v>
      </c>
      <c r="BG632" s="210">
        <f t="shared" si="229"/>
        <v>1</v>
      </c>
      <c r="BH632" s="210">
        <f t="shared" si="229"/>
        <v>2</v>
      </c>
      <c r="BI632" s="213">
        <f t="shared" si="230"/>
        <v>50</v>
      </c>
      <c r="BJ632" s="141"/>
      <c r="BK632" s="201"/>
      <c r="BL632" s="198"/>
      <c r="BM632" s="198"/>
    </row>
    <row r="633" spans="1:65" s="17" customFormat="1" ht="15.95" customHeight="1">
      <c r="A633" s="123">
        <v>6</v>
      </c>
      <c r="B633" s="9" t="s">
        <v>496</v>
      </c>
      <c r="C633" s="181" t="s">
        <v>497</v>
      </c>
      <c r="D633" s="229"/>
      <c r="E633" s="13"/>
      <c r="F633" s="229"/>
      <c r="G633" s="13"/>
      <c r="H633" s="229"/>
      <c r="I633" s="13"/>
      <c r="J633" s="229"/>
      <c r="K633" s="13"/>
      <c r="L633" s="229"/>
      <c r="M633" s="13"/>
      <c r="N633" s="229"/>
      <c r="O633" s="13"/>
      <c r="P633" s="229"/>
      <c r="Q633" s="13"/>
      <c r="R633" s="229"/>
      <c r="S633" s="13"/>
      <c r="T633" s="229"/>
      <c r="U633" s="13"/>
      <c r="V633" s="229"/>
      <c r="W633" s="13"/>
      <c r="X633" s="229"/>
      <c r="Y633" s="13"/>
      <c r="Z633" s="229"/>
      <c r="AA633" s="13"/>
      <c r="AB633" s="229">
        <f t="shared" si="227"/>
        <v>0</v>
      </c>
      <c r="AC633" s="228">
        <f t="shared" si="227"/>
        <v>0</v>
      </c>
      <c r="AD633" s="19">
        <v>0</v>
      </c>
      <c r="AE633" s="229"/>
      <c r="AF633" s="20"/>
      <c r="AG633" s="229"/>
      <c r="AH633" s="20"/>
      <c r="AI633" s="229"/>
      <c r="AJ633" s="20"/>
      <c r="AK633" s="229"/>
      <c r="AL633" s="20"/>
      <c r="AM633" s="229"/>
      <c r="AN633" s="20"/>
      <c r="AO633" s="229">
        <v>1</v>
      </c>
      <c r="AP633" s="20">
        <v>1</v>
      </c>
      <c r="AQ633" s="229"/>
      <c r="AR633" s="20"/>
      <c r="AS633" s="229"/>
      <c r="AT633" s="20"/>
      <c r="AU633" s="229"/>
      <c r="AV633" s="20"/>
      <c r="AW633" s="229"/>
      <c r="AX633" s="20"/>
      <c r="AY633" s="229"/>
      <c r="AZ633" s="20"/>
      <c r="BA633" s="229"/>
      <c r="BB633" s="20"/>
      <c r="BC633" s="229">
        <f t="shared" si="228"/>
        <v>1</v>
      </c>
      <c r="BD633" s="48">
        <f t="shared" si="228"/>
        <v>1</v>
      </c>
      <c r="BE633" s="19">
        <v>0</v>
      </c>
      <c r="BF633" s="229"/>
      <c r="BG633" s="210">
        <f t="shared" ref="BG633:BG664" si="231">AC633+BD633</f>
        <v>1</v>
      </c>
      <c r="BH633" s="210">
        <f t="shared" ref="BH633:BH664" si="232">AD633+BE633</f>
        <v>0</v>
      </c>
      <c r="BI633" s="213" t="e">
        <f t="shared" si="230"/>
        <v>#DIV/0!</v>
      </c>
      <c r="BJ633" s="141"/>
      <c r="BK633" s="201"/>
      <c r="BL633" s="198"/>
      <c r="BM633" s="198"/>
    </row>
    <row r="634" spans="1:65" s="17" customFormat="1" ht="15.95" customHeight="1">
      <c r="A634" s="123">
        <v>7</v>
      </c>
      <c r="B634" s="9" t="s">
        <v>472</v>
      </c>
      <c r="C634" s="189" t="s">
        <v>473</v>
      </c>
      <c r="D634" s="323"/>
      <c r="E634" s="324"/>
      <c r="F634" s="323"/>
      <c r="G634" s="324"/>
      <c r="H634" s="323"/>
      <c r="I634" s="324"/>
      <c r="J634" s="323"/>
      <c r="K634" s="324"/>
      <c r="L634" s="323"/>
      <c r="M634" s="324"/>
      <c r="N634" s="323"/>
      <c r="O634" s="324"/>
      <c r="P634" s="323"/>
      <c r="Q634" s="324"/>
      <c r="R634" s="323"/>
      <c r="S634" s="324"/>
      <c r="T634" s="323"/>
      <c r="U634" s="324"/>
      <c r="V634" s="323"/>
      <c r="W634" s="324"/>
      <c r="X634" s="323"/>
      <c r="Y634" s="324"/>
      <c r="Z634" s="323"/>
      <c r="AA634" s="324"/>
      <c r="AB634" s="323"/>
      <c r="AC634" s="228">
        <f t="shared" ref="AC634:AC665" si="233">E634+G634+I634+K634+M634+O634+Q634+S634+U634+W634+Y634+AA634</f>
        <v>0</v>
      </c>
      <c r="AD634" s="326">
        <v>0</v>
      </c>
      <c r="AE634" s="323"/>
      <c r="AF634" s="327"/>
      <c r="AG634" s="323"/>
      <c r="AH634" s="327"/>
      <c r="AI634" s="323"/>
      <c r="AJ634" s="327"/>
      <c r="AK634" s="323"/>
      <c r="AL634" s="327"/>
      <c r="AM634" s="323"/>
      <c r="AN634" s="327"/>
      <c r="AO634" s="323"/>
      <c r="AP634" s="327"/>
      <c r="AQ634" s="323"/>
      <c r="AR634" s="327"/>
      <c r="AS634" s="323"/>
      <c r="AT634" s="327"/>
      <c r="AU634" s="323"/>
      <c r="AV634" s="327"/>
      <c r="AW634" s="323"/>
      <c r="AX634" s="327"/>
      <c r="AY634" s="323"/>
      <c r="AZ634" s="327"/>
      <c r="BA634" s="323"/>
      <c r="BB634" s="327">
        <v>1</v>
      </c>
      <c r="BC634" s="323"/>
      <c r="BD634" s="48">
        <f t="shared" ref="BD634:BD665" si="234">AF634+AH634+AJ634+AL634+AN634+AP634+AR634+AT634+AV634+AX634+AZ634+BB634</f>
        <v>1</v>
      </c>
      <c r="BE634" s="326">
        <v>0</v>
      </c>
      <c r="BF634" s="323"/>
      <c r="BG634" s="210">
        <f t="shared" si="231"/>
        <v>1</v>
      </c>
      <c r="BH634" s="210">
        <f t="shared" si="232"/>
        <v>0</v>
      </c>
      <c r="BI634" s="213" t="e">
        <f t="shared" si="230"/>
        <v>#DIV/0!</v>
      </c>
      <c r="BJ634" s="141"/>
      <c r="BK634" s="201"/>
      <c r="BL634" s="198"/>
      <c r="BM634" s="198"/>
    </row>
    <row r="635" spans="1:65" s="17" customFormat="1" ht="15.95" customHeight="1">
      <c r="A635" s="123">
        <v>8</v>
      </c>
      <c r="B635" s="9" t="s">
        <v>952</v>
      </c>
      <c r="C635" s="11" t="s">
        <v>953</v>
      </c>
      <c r="D635" s="229"/>
      <c r="E635" s="13"/>
      <c r="F635" s="229"/>
      <c r="G635" s="13"/>
      <c r="H635" s="229">
        <v>8</v>
      </c>
      <c r="I635" s="13">
        <v>8</v>
      </c>
      <c r="J635" s="229"/>
      <c r="K635" s="13"/>
      <c r="L635" s="229"/>
      <c r="M635" s="13"/>
      <c r="N635" s="229"/>
      <c r="O635" s="13"/>
      <c r="P635" s="229"/>
      <c r="Q635" s="13"/>
      <c r="R635" s="229"/>
      <c r="S635" s="13"/>
      <c r="T635" s="229"/>
      <c r="U635" s="13">
        <v>13</v>
      </c>
      <c r="V635" s="229"/>
      <c r="W635" s="13"/>
      <c r="X635" s="229"/>
      <c r="Y635" s="13"/>
      <c r="Z635" s="229"/>
      <c r="AA635" s="13">
        <v>20</v>
      </c>
      <c r="AB635" s="229">
        <f t="shared" ref="AB635:AB640" si="235">D635+F635+H635+J635+L635+N635+P635+R635+T635+V635+X635+Z635</f>
        <v>8</v>
      </c>
      <c r="AC635" s="228">
        <f t="shared" si="233"/>
        <v>41</v>
      </c>
      <c r="AD635" s="19">
        <v>44</v>
      </c>
      <c r="AE635" s="229"/>
      <c r="AF635" s="20"/>
      <c r="AG635" s="229"/>
      <c r="AH635" s="20"/>
      <c r="AI635" s="229"/>
      <c r="AJ635" s="20"/>
      <c r="AK635" s="229"/>
      <c r="AL635" s="20"/>
      <c r="AM635" s="229"/>
      <c r="AN635" s="20"/>
      <c r="AO635" s="229"/>
      <c r="AP635" s="20"/>
      <c r="AQ635" s="229"/>
      <c r="AR635" s="20"/>
      <c r="AS635" s="229"/>
      <c r="AT635" s="20"/>
      <c r="AU635" s="229"/>
      <c r="AV635" s="20"/>
      <c r="AW635" s="229"/>
      <c r="AX635" s="20"/>
      <c r="AY635" s="229"/>
      <c r="AZ635" s="20"/>
      <c r="BA635" s="229"/>
      <c r="BB635" s="20"/>
      <c r="BC635" s="229">
        <f t="shared" ref="BC635:BC640" si="236">AE635+AG635+AI635+AK635+AM635+AO635+AQ635+AS635+AU635+AW635+AY635+BA635</f>
        <v>0</v>
      </c>
      <c r="BD635" s="48">
        <f t="shared" si="234"/>
        <v>0</v>
      </c>
      <c r="BE635" s="19">
        <v>0</v>
      </c>
      <c r="BF635" s="229">
        <f t="shared" ref="BF635:BF640" si="237">AB635+BC635</f>
        <v>8</v>
      </c>
      <c r="BG635" s="210">
        <f t="shared" si="231"/>
        <v>41</v>
      </c>
      <c r="BH635" s="210">
        <f t="shared" si="232"/>
        <v>44</v>
      </c>
      <c r="BI635" s="213">
        <f t="shared" si="230"/>
        <v>93.181818181818173</v>
      </c>
      <c r="BJ635" s="141"/>
      <c r="BK635" s="201"/>
      <c r="BL635" s="198"/>
      <c r="BM635" s="198"/>
    </row>
    <row r="636" spans="1:65" s="17" customFormat="1" ht="15.95" customHeight="1">
      <c r="A636" s="123">
        <v>9</v>
      </c>
      <c r="B636" s="9" t="s">
        <v>351</v>
      </c>
      <c r="C636" s="11" t="s">
        <v>352</v>
      </c>
      <c r="D636" s="229"/>
      <c r="E636" s="13"/>
      <c r="F636" s="229"/>
      <c r="G636" s="13"/>
      <c r="H636" s="229"/>
      <c r="I636" s="13"/>
      <c r="J636" s="229"/>
      <c r="K636" s="13"/>
      <c r="L636" s="229"/>
      <c r="M636" s="13"/>
      <c r="N636" s="229"/>
      <c r="O636" s="13"/>
      <c r="P636" s="229"/>
      <c r="Q636" s="13"/>
      <c r="R636" s="229"/>
      <c r="S636" s="13"/>
      <c r="T636" s="229"/>
      <c r="U636" s="13"/>
      <c r="V636" s="229"/>
      <c r="W636" s="13"/>
      <c r="X636" s="229"/>
      <c r="Y636" s="13"/>
      <c r="Z636" s="229"/>
      <c r="AA636" s="13"/>
      <c r="AB636" s="229">
        <f t="shared" si="235"/>
        <v>0</v>
      </c>
      <c r="AC636" s="228">
        <f t="shared" si="233"/>
        <v>0</v>
      </c>
      <c r="AD636" s="21">
        <v>0</v>
      </c>
      <c r="AE636" s="229"/>
      <c r="AF636" s="20"/>
      <c r="AG636" s="229"/>
      <c r="AH636" s="20"/>
      <c r="AI636" s="229">
        <v>1</v>
      </c>
      <c r="AJ636" s="20">
        <v>1</v>
      </c>
      <c r="AK636" s="229"/>
      <c r="AL636" s="20"/>
      <c r="AM636" s="229"/>
      <c r="AN636" s="20"/>
      <c r="AO636" s="229"/>
      <c r="AP636" s="20"/>
      <c r="AQ636" s="229"/>
      <c r="AR636" s="20"/>
      <c r="AS636" s="229"/>
      <c r="AT636" s="20"/>
      <c r="AU636" s="229"/>
      <c r="AV636" s="20"/>
      <c r="AW636" s="229"/>
      <c r="AX636" s="20"/>
      <c r="AY636" s="229"/>
      <c r="AZ636" s="20"/>
      <c r="BA636" s="229"/>
      <c r="BB636" s="20"/>
      <c r="BC636" s="229">
        <f t="shared" si="236"/>
        <v>1</v>
      </c>
      <c r="BD636" s="48">
        <f t="shared" si="234"/>
        <v>1</v>
      </c>
      <c r="BE636" s="19">
        <v>1</v>
      </c>
      <c r="BF636" s="229">
        <f t="shared" si="237"/>
        <v>1</v>
      </c>
      <c r="BG636" s="210">
        <f t="shared" si="231"/>
        <v>1</v>
      </c>
      <c r="BH636" s="210">
        <f t="shared" si="232"/>
        <v>1</v>
      </c>
      <c r="BI636" s="213">
        <f t="shared" si="230"/>
        <v>100</v>
      </c>
      <c r="BJ636" s="141"/>
      <c r="BK636" s="201"/>
      <c r="BL636" s="198"/>
      <c r="BM636" s="198"/>
    </row>
    <row r="637" spans="1:65" s="17" customFormat="1" ht="15.95" customHeight="1">
      <c r="A637" s="123">
        <v>10</v>
      </c>
      <c r="B637" s="9" t="s">
        <v>18</v>
      </c>
      <c r="C637" s="12" t="s">
        <v>1728</v>
      </c>
      <c r="D637" s="229"/>
      <c r="E637" s="13"/>
      <c r="F637" s="229"/>
      <c r="G637" s="13"/>
      <c r="H637" s="229"/>
      <c r="I637" s="13"/>
      <c r="J637" s="229"/>
      <c r="K637" s="13"/>
      <c r="L637" s="229"/>
      <c r="M637" s="13"/>
      <c r="N637" s="229"/>
      <c r="O637" s="13"/>
      <c r="P637" s="229"/>
      <c r="Q637" s="13"/>
      <c r="R637" s="229"/>
      <c r="S637" s="13"/>
      <c r="T637" s="229"/>
      <c r="U637" s="13"/>
      <c r="V637" s="229"/>
      <c r="W637" s="13"/>
      <c r="X637" s="229"/>
      <c r="Y637" s="13"/>
      <c r="Z637" s="229"/>
      <c r="AA637" s="13"/>
      <c r="AB637" s="229">
        <f t="shared" si="235"/>
        <v>0</v>
      </c>
      <c r="AC637" s="228">
        <f t="shared" si="233"/>
        <v>0</v>
      </c>
      <c r="AD637" s="21">
        <v>0</v>
      </c>
      <c r="AE637" s="229"/>
      <c r="AF637" s="20"/>
      <c r="AG637" s="229"/>
      <c r="AH637" s="20"/>
      <c r="AI637" s="229">
        <v>8</v>
      </c>
      <c r="AJ637" s="20">
        <v>8</v>
      </c>
      <c r="AK637" s="229"/>
      <c r="AL637" s="20"/>
      <c r="AM637" s="229"/>
      <c r="AN637" s="20"/>
      <c r="AO637" s="229"/>
      <c r="AP637" s="20"/>
      <c r="AQ637" s="229"/>
      <c r="AR637" s="20"/>
      <c r="AS637" s="229"/>
      <c r="AT637" s="20"/>
      <c r="AU637" s="229"/>
      <c r="AV637" s="20">
        <v>5</v>
      </c>
      <c r="AW637" s="229"/>
      <c r="AX637" s="20"/>
      <c r="AY637" s="229"/>
      <c r="AZ637" s="20"/>
      <c r="BA637" s="229"/>
      <c r="BB637" s="20">
        <v>2</v>
      </c>
      <c r="BC637" s="229">
        <f t="shared" si="236"/>
        <v>8</v>
      </c>
      <c r="BD637" s="48">
        <f t="shared" si="234"/>
        <v>15</v>
      </c>
      <c r="BE637" s="19">
        <v>8</v>
      </c>
      <c r="BF637" s="229">
        <f t="shared" si="237"/>
        <v>8</v>
      </c>
      <c r="BG637" s="210">
        <f t="shared" si="231"/>
        <v>15</v>
      </c>
      <c r="BH637" s="210">
        <f t="shared" si="232"/>
        <v>8</v>
      </c>
      <c r="BI637" s="213">
        <f t="shared" si="230"/>
        <v>187.5</v>
      </c>
      <c r="BJ637" s="141"/>
      <c r="BK637" s="201"/>
      <c r="BL637" s="198"/>
      <c r="BM637" s="198"/>
    </row>
    <row r="638" spans="1:65" s="17" customFormat="1" ht="15.95" customHeight="1">
      <c r="A638" s="123">
        <v>11</v>
      </c>
      <c r="B638" s="9" t="s">
        <v>474</v>
      </c>
      <c r="C638" s="11" t="s">
        <v>475</v>
      </c>
      <c r="D638" s="229"/>
      <c r="E638" s="13"/>
      <c r="F638" s="229"/>
      <c r="G638" s="13"/>
      <c r="H638" s="229"/>
      <c r="I638" s="13"/>
      <c r="J638" s="229"/>
      <c r="K638" s="13"/>
      <c r="L638" s="229"/>
      <c r="M638" s="13"/>
      <c r="N638" s="229"/>
      <c r="O638" s="13"/>
      <c r="P638" s="229"/>
      <c r="Q638" s="13"/>
      <c r="R638" s="229"/>
      <c r="S638" s="13"/>
      <c r="T638" s="229"/>
      <c r="U638" s="13"/>
      <c r="V638" s="229"/>
      <c r="W638" s="13"/>
      <c r="X638" s="229"/>
      <c r="Y638" s="13"/>
      <c r="Z638" s="229"/>
      <c r="AA638" s="13"/>
      <c r="AB638" s="229">
        <f t="shared" si="235"/>
        <v>0</v>
      </c>
      <c r="AC638" s="228">
        <f t="shared" si="233"/>
        <v>0</v>
      </c>
      <c r="AD638" s="21">
        <v>5</v>
      </c>
      <c r="AE638" s="229"/>
      <c r="AF638" s="20"/>
      <c r="AG638" s="229"/>
      <c r="AH638" s="20"/>
      <c r="AI638" s="229"/>
      <c r="AJ638" s="20"/>
      <c r="AK638" s="229"/>
      <c r="AL638" s="20"/>
      <c r="AM638" s="229"/>
      <c r="AN638" s="20"/>
      <c r="AO638" s="229"/>
      <c r="AP638" s="20"/>
      <c r="AQ638" s="229"/>
      <c r="AR638" s="20"/>
      <c r="AS638" s="229"/>
      <c r="AT638" s="20"/>
      <c r="AU638" s="229"/>
      <c r="AV638" s="20"/>
      <c r="AW638" s="229"/>
      <c r="AX638" s="20"/>
      <c r="AY638" s="229"/>
      <c r="AZ638" s="20"/>
      <c r="BA638" s="229"/>
      <c r="BB638" s="20"/>
      <c r="BC638" s="229">
        <f t="shared" si="236"/>
        <v>0</v>
      </c>
      <c r="BD638" s="48">
        <f t="shared" si="234"/>
        <v>0</v>
      </c>
      <c r="BE638" s="19">
        <v>4</v>
      </c>
      <c r="BF638" s="229">
        <f t="shared" si="237"/>
        <v>0</v>
      </c>
      <c r="BG638" s="210">
        <f t="shared" si="231"/>
        <v>0</v>
      </c>
      <c r="BH638" s="210">
        <f t="shared" si="232"/>
        <v>9</v>
      </c>
      <c r="BI638" s="213">
        <f t="shared" si="230"/>
        <v>0</v>
      </c>
      <c r="BJ638" s="141"/>
      <c r="BK638" s="201"/>
      <c r="BL638" s="198"/>
      <c r="BM638" s="198"/>
    </row>
    <row r="639" spans="1:65" s="17" customFormat="1" ht="15.95" customHeight="1">
      <c r="A639" s="123">
        <v>12</v>
      </c>
      <c r="B639" s="9" t="s">
        <v>954</v>
      </c>
      <c r="C639" s="11" t="s">
        <v>2415</v>
      </c>
      <c r="D639" s="229"/>
      <c r="E639" s="13"/>
      <c r="F639" s="229"/>
      <c r="G639" s="13"/>
      <c r="H639" s="229"/>
      <c r="I639" s="13"/>
      <c r="J639" s="229"/>
      <c r="K639" s="13"/>
      <c r="L639" s="229"/>
      <c r="M639" s="13"/>
      <c r="N639" s="229"/>
      <c r="O639" s="13"/>
      <c r="P639" s="229"/>
      <c r="Q639" s="13"/>
      <c r="R639" s="229"/>
      <c r="S639" s="13"/>
      <c r="T639" s="229"/>
      <c r="U639" s="13"/>
      <c r="V639" s="229"/>
      <c r="W639" s="13"/>
      <c r="X639" s="229"/>
      <c r="Y639" s="13"/>
      <c r="Z639" s="229"/>
      <c r="AA639" s="13"/>
      <c r="AB639" s="229">
        <f t="shared" si="235"/>
        <v>0</v>
      </c>
      <c r="AC639" s="228">
        <f t="shared" si="233"/>
        <v>0</v>
      </c>
      <c r="AD639" s="21">
        <v>0</v>
      </c>
      <c r="AE639" s="229"/>
      <c r="AF639" s="20"/>
      <c r="AG639" s="229"/>
      <c r="AH639" s="20"/>
      <c r="AI639" s="229">
        <v>4</v>
      </c>
      <c r="AJ639" s="20">
        <v>4</v>
      </c>
      <c r="AK639" s="229"/>
      <c r="AL639" s="20"/>
      <c r="AM639" s="229"/>
      <c r="AN639" s="20"/>
      <c r="AO639" s="229"/>
      <c r="AP639" s="20"/>
      <c r="AQ639" s="229"/>
      <c r="AR639" s="20"/>
      <c r="AS639" s="229"/>
      <c r="AT639" s="20"/>
      <c r="AU639" s="229"/>
      <c r="AV639" s="20"/>
      <c r="AW639" s="229"/>
      <c r="AX639" s="20"/>
      <c r="AY639" s="229"/>
      <c r="AZ639" s="20"/>
      <c r="BA639" s="229"/>
      <c r="BB639" s="20"/>
      <c r="BC639" s="229">
        <f t="shared" si="236"/>
        <v>4</v>
      </c>
      <c r="BD639" s="48">
        <f t="shared" si="234"/>
        <v>4</v>
      </c>
      <c r="BE639" s="19">
        <f>1+2</f>
        <v>3</v>
      </c>
      <c r="BF639" s="229">
        <f t="shared" si="237"/>
        <v>4</v>
      </c>
      <c r="BG639" s="210">
        <f t="shared" si="231"/>
        <v>4</v>
      </c>
      <c r="BH639" s="210">
        <f t="shared" si="232"/>
        <v>3</v>
      </c>
      <c r="BI639" s="213">
        <f t="shared" si="230"/>
        <v>133.33333333333331</v>
      </c>
      <c r="BJ639" s="141"/>
      <c r="BK639" s="201"/>
      <c r="BL639" s="198"/>
      <c r="BM639" s="198"/>
    </row>
    <row r="640" spans="1:65" s="17" customFormat="1" ht="15.95" customHeight="1">
      <c r="A640" s="123">
        <v>13</v>
      </c>
      <c r="B640" s="9" t="s">
        <v>541</v>
      </c>
      <c r="C640" s="310" t="s">
        <v>542</v>
      </c>
      <c r="D640" s="229"/>
      <c r="E640" s="13"/>
      <c r="F640" s="229"/>
      <c r="G640" s="13"/>
      <c r="H640" s="229"/>
      <c r="I640" s="13"/>
      <c r="J640" s="229"/>
      <c r="K640" s="13"/>
      <c r="L640" s="229"/>
      <c r="M640" s="13"/>
      <c r="N640" s="229"/>
      <c r="O640" s="13"/>
      <c r="P640" s="229"/>
      <c r="Q640" s="13"/>
      <c r="R640" s="229"/>
      <c r="S640" s="13"/>
      <c r="T640" s="229"/>
      <c r="U640" s="13"/>
      <c r="V640" s="229"/>
      <c r="W640" s="13"/>
      <c r="X640" s="229"/>
      <c r="Y640" s="13"/>
      <c r="Z640" s="229"/>
      <c r="AA640" s="13"/>
      <c r="AB640" s="229">
        <f t="shared" si="235"/>
        <v>0</v>
      </c>
      <c r="AC640" s="228">
        <f t="shared" si="233"/>
        <v>0</v>
      </c>
      <c r="AD640" s="21">
        <v>0</v>
      </c>
      <c r="AE640" s="229"/>
      <c r="AF640" s="20"/>
      <c r="AG640" s="229"/>
      <c r="AH640" s="20"/>
      <c r="AI640" s="229">
        <v>3</v>
      </c>
      <c r="AJ640" s="20">
        <v>3</v>
      </c>
      <c r="AK640" s="229"/>
      <c r="AL640" s="20"/>
      <c r="AM640" s="229"/>
      <c r="AN640" s="20"/>
      <c r="AO640" s="229"/>
      <c r="AP640" s="20"/>
      <c r="AQ640" s="229"/>
      <c r="AR640" s="20"/>
      <c r="AS640" s="229"/>
      <c r="AT640" s="20"/>
      <c r="AU640" s="229"/>
      <c r="AV640" s="20"/>
      <c r="AW640" s="229"/>
      <c r="AX640" s="20"/>
      <c r="AY640" s="229"/>
      <c r="AZ640" s="20"/>
      <c r="BA640" s="229"/>
      <c r="BB640" s="20"/>
      <c r="BC640" s="229">
        <f t="shared" si="236"/>
        <v>3</v>
      </c>
      <c r="BD640" s="48">
        <f t="shared" si="234"/>
        <v>3</v>
      </c>
      <c r="BE640" s="19">
        <v>4</v>
      </c>
      <c r="BF640" s="229">
        <f t="shared" si="237"/>
        <v>3</v>
      </c>
      <c r="BG640" s="210">
        <f t="shared" si="231"/>
        <v>3</v>
      </c>
      <c r="BH640" s="210">
        <f t="shared" si="232"/>
        <v>4</v>
      </c>
      <c r="BI640" s="213">
        <f t="shared" si="230"/>
        <v>75</v>
      </c>
      <c r="BJ640" s="141"/>
      <c r="BK640" s="201"/>
      <c r="BL640" s="198"/>
      <c r="BM640" s="198"/>
    </row>
    <row r="641" spans="1:65" s="17" customFormat="1" ht="15.95" customHeight="1">
      <c r="A641" s="123">
        <v>14</v>
      </c>
      <c r="B641" s="9" t="s">
        <v>3060</v>
      </c>
      <c r="C641" s="11" t="s">
        <v>3061</v>
      </c>
      <c r="D641" s="229"/>
      <c r="E641" s="13"/>
      <c r="F641" s="229"/>
      <c r="G641" s="13"/>
      <c r="H641" s="229"/>
      <c r="I641" s="13"/>
      <c r="J641" s="229"/>
      <c r="K641" s="13"/>
      <c r="L641" s="229"/>
      <c r="M641" s="13"/>
      <c r="N641" s="229"/>
      <c r="O641" s="13"/>
      <c r="P641" s="229"/>
      <c r="Q641" s="13"/>
      <c r="R641" s="229"/>
      <c r="S641" s="13"/>
      <c r="T641" s="229"/>
      <c r="U641" s="13"/>
      <c r="V641" s="229"/>
      <c r="W641" s="13"/>
      <c r="X641" s="229"/>
      <c r="Y641" s="13"/>
      <c r="Z641" s="229"/>
      <c r="AA641" s="13"/>
      <c r="AB641" s="229"/>
      <c r="AC641" s="228">
        <f t="shared" si="233"/>
        <v>0</v>
      </c>
      <c r="AD641" s="21">
        <v>0</v>
      </c>
      <c r="AE641" s="229"/>
      <c r="AF641" s="20"/>
      <c r="AG641" s="229"/>
      <c r="AH641" s="20"/>
      <c r="AI641" s="229"/>
      <c r="AJ641" s="20"/>
      <c r="AK641" s="229"/>
      <c r="AL641" s="20"/>
      <c r="AM641" s="229"/>
      <c r="AN641" s="20"/>
      <c r="AO641" s="229"/>
      <c r="AP641" s="20">
        <v>1</v>
      </c>
      <c r="AQ641" s="229"/>
      <c r="AR641" s="20"/>
      <c r="AS641" s="229"/>
      <c r="AT641" s="20"/>
      <c r="AU641" s="229"/>
      <c r="AV641" s="20"/>
      <c r="AW641" s="229"/>
      <c r="AX641" s="20"/>
      <c r="AY641" s="229"/>
      <c r="AZ641" s="20"/>
      <c r="BA641" s="229"/>
      <c r="BB641" s="20"/>
      <c r="BC641" s="229"/>
      <c r="BD641" s="48">
        <f t="shared" si="234"/>
        <v>1</v>
      </c>
      <c r="BE641" s="19">
        <v>0</v>
      </c>
      <c r="BF641" s="229"/>
      <c r="BG641" s="210">
        <f t="shared" si="231"/>
        <v>1</v>
      </c>
      <c r="BH641" s="210">
        <f t="shared" si="232"/>
        <v>0</v>
      </c>
      <c r="BI641" s="213" t="e">
        <f t="shared" si="230"/>
        <v>#DIV/0!</v>
      </c>
      <c r="BJ641" s="141"/>
      <c r="BK641" s="201"/>
      <c r="BL641" s="198"/>
      <c r="BM641" s="198"/>
    </row>
    <row r="642" spans="1:65" s="17" customFormat="1" ht="15.95" customHeight="1">
      <c r="A642" s="123">
        <v>15</v>
      </c>
      <c r="B642" s="9" t="s">
        <v>125</v>
      </c>
      <c r="C642" s="189" t="s">
        <v>126</v>
      </c>
      <c r="D642" s="229"/>
      <c r="E642" s="13"/>
      <c r="F642" s="229"/>
      <c r="G642" s="13"/>
      <c r="H642" s="229"/>
      <c r="I642" s="13"/>
      <c r="J642" s="229"/>
      <c r="K642" s="13"/>
      <c r="L642" s="229"/>
      <c r="M642" s="13"/>
      <c r="N642" s="229"/>
      <c r="O642" s="13"/>
      <c r="P642" s="229"/>
      <c r="Q642" s="13"/>
      <c r="R642" s="229"/>
      <c r="S642" s="13"/>
      <c r="T642" s="229"/>
      <c r="U642" s="13"/>
      <c r="V642" s="229"/>
      <c r="W642" s="13"/>
      <c r="X642" s="229"/>
      <c r="Y642" s="13"/>
      <c r="Z642" s="229"/>
      <c r="AA642" s="13"/>
      <c r="AB642" s="229"/>
      <c r="AC642" s="228">
        <f t="shared" si="233"/>
        <v>0</v>
      </c>
      <c r="AD642" s="21">
        <v>0</v>
      </c>
      <c r="AE642" s="229"/>
      <c r="AF642" s="20"/>
      <c r="AG642" s="229"/>
      <c r="AH642" s="20"/>
      <c r="AI642" s="229"/>
      <c r="AJ642" s="20"/>
      <c r="AK642" s="229"/>
      <c r="AL642" s="20"/>
      <c r="AM642" s="229"/>
      <c r="AN642" s="20"/>
      <c r="AO642" s="229"/>
      <c r="AP642" s="20"/>
      <c r="AQ642" s="229"/>
      <c r="AR642" s="20"/>
      <c r="AS642" s="229"/>
      <c r="AT642" s="20"/>
      <c r="AU642" s="229"/>
      <c r="AV642" s="20">
        <v>1</v>
      </c>
      <c r="AW642" s="229"/>
      <c r="AX642" s="20"/>
      <c r="AY642" s="229"/>
      <c r="AZ642" s="20"/>
      <c r="BA642" s="229"/>
      <c r="BB642" s="20"/>
      <c r="BC642" s="229"/>
      <c r="BD642" s="48">
        <f t="shared" si="234"/>
        <v>1</v>
      </c>
      <c r="BE642" s="19">
        <v>0</v>
      </c>
      <c r="BF642" s="229"/>
      <c r="BG642" s="210">
        <f t="shared" si="231"/>
        <v>1</v>
      </c>
      <c r="BH642" s="210">
        <f t="shared" si="232"/>
        <v>0</v>
      </c>
      <c r="BI642" s="213" t="e">
        <f t="shared" si="230"/>
        <v>#DIV/0!</v>
      </c>
      <c r="BJ642" s="141"/>
      <c r="BK642" s="201"/>
      <c r="BL642" s="198"/>
      <c r="BM642" s="198"/>
    </row>
    <row r="643" spans="1:65" s="17" customFormat="1" ht="15.95" customHeight="1">
      <c r="A643" s="123">
        <v>16</v>
      </c>
      <c r="B643" s="9" t="s">
        <v>483</v>
      </c>
      <c r="C643" s="11" t="s">
        <v>2587</v>
      </c>
      <c r="D643" s="229"/>
      <c r="E643" s="13"/>
      <c r="F643" s="229"/>
      <c r="G643" s="13"/>
      <c r="H643" s="229"/>
      <c r="I643" s="13"/>
      <c r="J643" s="229"/>
      <c r="K643" s="13"/>
      <c r="L643" s="229"/>
      <c r="M643" s="13"/>
      <c r="N643" s="229"/>
      <c r="O643" s="13"/>
      <c r="P643" s="229"/>
      <c r="Q643" s="13"/>
      <c r="R643" s="229"/>
      <c r="S643" s="13"/>
      <c r="T643" s="229"/>
      <c r="U643" s="13"/>
      <c r="V643" s="229"/>
      <c r="W643" s="13"/>
      <c r="X643" s="229"/>
      <c r="Y643" s="13"/>
      <c r="Z643" s="229"/>
      <c r="AA643" s="13"/>
      <c r="AB643" s="229"/>
      <c r="AC643" s="228">
        <f t="shared" si="233"/>
        <v>0</v>
      </c>
      <c r="AD643" s="21">
        <v>0</v>
      </c>
      <c r="AE643" s="229"/>
      <c r="AF643" s="20"/>
      <c r="AG643" s="229"/>
      <c r="AH643" s="20"/>
      <c r="AI643" s="229"/>
      <c r="AJ643" s="20"/>
      <c r="AK643" s="229"/>
      <c r="AL643" s="20"/>
      <c r="AM643" s="229"/>
      <c r="AN643" s="20"/>
      <c r="AO643" s="229"/>
      <c r="AP643" s="20"/>
      <c r="AQ643" s="229"/>
      <c r="AR643" s="20"/>
      <c r="AS643" s="229"/>
      <c r="AT643" s="20"/>
      <c r="AU643" s="229"/>
      <c r="AV643" s="20">
        <v>1</v>
      </c>
      <c r="AW643" s="229"/>
      <c r="AX643" s="20"/>
      <c r="AY643" s="229"/>
      <c r="AZ643" s="20"/>
      <c r="BA643" s="229"/>
      <c r="BB643" s="20"/>
      <c r="BC643" s="229"/>
      <c r="BD643" s="48">
        <f t="shared" si="234"/>
        <v>1</v>
      </c>
      <c r="BE643" s="19">
        <v>0</v>
      </c>
      <c r="BF643" s="229"/>
      <c r="BG643" s="210">
        <f t="shared" si="231"/>
        <v>1</v>
      </c>
      <c r="BH643" s="210">
        <f t="shared" si="232"/>
        <v>0</v>
      </c>
      <c r="BI643" s="213" t="e">
        <f t="shared" si="230"/>
        <v>#DIV/0!</v>
      </c>
      <c r="BJ643" s="141"/>
      <c r="BK643" s="201"/>
      <c r="BL643" s="198"/>
      <c r="BM643" s="198"/>
    </row>
    <row r="644" spans="1:65" s="17" customFormat="1" ht="15.95" customHeight="1">
      <c r="A644" s="123">
        <v>17</v>
      </c>
      <c r="B644" s="9" t="s">
        <v>190</v>
      </c>
      <c r="C644" s="11" t="s">
        <v>191</v>
      </c>
      <c r="D644" s="229"/>
      <c r="E644" s="13"/>
      <c r="F644" s="229"/>
      <c r="G644" s="13"/>
      <c r="H644" s="229"/>
      <c r="I644" s="13"/>
      <c r="J644" s="229"/>
      <c r="K644" s="13"/>
      <c r="L644" s="229"/>
      <c r="M644" s="13"/>
      <c r="N644" s="229"/>
      <c r="O644" s="13"/>
      <c r="P644" s="229"/>
      <c r="Q644" s="13"/>
      <c r="R644" s="229"/>
      <c r="S644" s="13"/>
      <c r="T644" s="229"/>
      <c r="U644" s="13"/>
      <c r="V644" s="229"/>
      <c r="W644" s="13"/>
      <c r="X644" s="229"/>
      <c r="Y644" s="13"/>
      <c r="Z644" s="229"/>
      <c r="AA644" s="13"/>
      <c r="AB644" s="229">
        <f>D644+F644+H644+J644+L644+N644+P644+R644+T644+V644+X644+Z644</f>
        <v>0</v>
      </c>
      <c r="AC644" s="228">
        <f t="shared" si="233"/>
        <v>0</v>
      </c>
      <c r="AD644" s="21">
        <v>0</v>
      </c>
      <c r="AE644" s="229"/>
      <c r="AF644" s="20"/>
      <c r="AG644" s="229"/>
      <c r="AH644" s="20"/>
      <c r="AI644" s="229"/>
      <c r="AJ644" s="20"/>
      <c r="AK644" s="229"/>
      <c r="AL644" s="20"/>
      <c r="AM644" s="229"/>
      <c r="AN644" s="20"/>
      <c r="AO644" s="229">
        <v>3</v>
      </c>
      <c r="AP644" s="20">
        <v>3</v>
      </c>
      <c r="AQ644" s="229"/>
      <c r="AR644" s="20"/>
      <c r="AS644" s="229"/>
      <c r="AT644" s="20"/>
      <c r="AU644" s="229"/>
      <c r="AV644" s="20"/>
      <c r="AW644" s="229"/>
      <c r="AX644" s="20"/>
      <c r="AY644" s="229"/>
      <c r="AZ644" s="20"/>
      <c r="BA644" s="229"/>
      <c r="BB644" s="20"/>
      <c r="BC644" s="229">
        <f>AE644+AG644+AI644+AK644+AM644+AO644+AQ644+AS644+AU644+AW644+AY644+BA644</f>
        <v>3</v>
      </c>
      <c r="BD644" s="48">
        <f t="shared" si="234"/>
        <v>3</v>
      </c>
      <c r="BE644" s="19">
        <v>1</v>
      </c>
      <c r="BF644" s="229">
        <f>AB644+BC644</f>
        <v>3</v>
      </c>
      <c r="BG644" s="210">
        <f t="shared" si="231"/>
        <v>3</v>
      </c>
      <c r="BH644" s="210">
        <f t="shared" si="232"/>
        <v>1</v>
      </c>
      <c r="BI644" s="213">
        <f t="shared" si="230"/>
        <v>300</v>
      </c>
      <c r="BJ644" s="141"/>
      <c r="BK644" s="201"/>
      <c r="BL644" s="198"/>
      <c r="BM644" s="198"/>
    </row>
    <row r="645" spans="1:65" s="17" customFormat="1" ht="15.95" customHeight="1">
      <c r="A645" s="123">
        <v>18</v>
      </c>
      <c r="B645" s="9" t="s">
        <v>194</v>
      </c>
      <c r="C645" s="11" t="s">
        <v>195</v>
      </c>
      <c r="D645" s="229"/>
      <c r="E645" s="13"/>
      <c r="F645" s="229"/>
      <c r="G645" s="13"/>
      <c r="H645" s="229"/>
      <c r="I645" s="13"/>
      <c r="J645" s="229"/>
      <c r="K645" s="13"/>
      <c r="L645" s="229"/>
      <c r="M645" s="13"/>
      <c r="N645" s="229"/>
      <c r="O645" s="13"/>
      <c r="P645" s="229"/>
      <c r="Q645" s="13"/>
      <c r="R645" s="229"/>
      <c r="S645" s="13"/>
      <c r="T645" s="229"/>
      <c r="U645" s="13"/>
      <c r="V645" s="229"/>
      <c r="W645" s="13"/>
      <c r="X645" s="229"/>
      <c r="Y645" s="13"/>
      <c r="Z645" s="229"/>
      <c r="AA645" s="13"/>
      <c r="AB645" s="229">
        <f>D645+F645+H645+J645+L645+N645+P645+R645+T645+V645+X645+Z645</f>
        <v>0</v>
      </c>
      <c r="AC645" s="228">
        <f t="shared" si="233"/>
        <v>0</v>
      </c>
      <c r="AD645" s="21">
        <v>0</v>
      </c>
      <c r="AE645" s="229"/>
      <c r="AF645" s="20"/>
      <c r="AG645" s="229"/>
      <c r="AH645" s="20"/>
      <c r="AI645" s="229">
        <v>4</v>
      </c>
      <c r="AJ645" s="20">
        <v>4</v>
      </c>
      <c r="AK645" s="229"/>
      <c r="AL645" s="20"/>
      <c r="AM645" s="229"/>
      <c r="AN645" s="20"/>
      <c r="AO645" s="229">
        <v>5</v>
      </c>
      <c r="AP645" s="20">
        <v>5</v>
      </c>
      <c r="AQ645" s="229"/>
      <c r="AR645" s="20"/>
      <c r="AS645" s="229"/>
      <c r="AT645" s="20"/>
      <c r="AU645" s="229"/>
      <c r="AV645" s="20">
        <v>3</v>
      </c>
      <c r="AW645" s="229"/>
      <c r="AX645" s="20"/>
      <c r="AY645" s="229"/>
      <c r="AZ645" s="20"/>
      <c r="BA645" s="229"/>
      <c r="BB645" s="20">
        <v>1</v>
      </c>
      <c r="BC645" s="229">
        <f>AE645+AG645+AI645+AK645+AM645+AO645+AQ645+AS645+AU645+AW645+AY645+BA645</f>
        <v>9</v>
      </c>
      <c r="BD645" s="48">
        <f t="shared" si="234"/>
        <v>13</v>
      </c>
      <c r="BE645" s="19">
        <v>2</v>
      </c>
      <c r="BF645" s="229">
        <f>AB645+BC645</f>
        <v>9</v>
      </c>
      <c r="BG645" s="210">
        <f t="shared" si="231"/>
        <v>13</v>
      </c>
      <c r="BH645" s="210">
        <f t="shared" si="232"/>
        <v>2</v>
      </c>
      <c r="BI645" s="213">
        <f t="shared" si="230"/>
        <v>650</v>
      </c>
      <c r="BJ645" s="141"/>
      <c r="BK645" s="201"/>
      <c r="BL645" s="198"/>
      <c r="BM645" s="198"/>
    </row>
    <row r="646" spans="1:65" s="17" customFormat="1" ht="15.95" customHeight="1">
      <c r="A646" s="123">
        <v>19</v>
      </c>
      <c r="B646" s="9" t="s">
        <v>249</v>
      </c>
      <c r="C646" s="11" t="s">
        <v>250</v>
      </c>
      <c r="D646" s="229"/>
      <c r="E646" s="13"/>
      <c r="F646" s="229"/>
      <c r="G646" s="13"/>
      <c r="H646" s="229"/>
      <c r="I646" s="13"/>
      <c r="J646" s="229"/>
      <c r="K646" s="13"/>
      <c r="L646" s="229"/>
      <c r="M646" s="13"/>
      <c r="N646" s="229"/>
      <c r="O646" s="13"/>
      <c r="P646" s="229"/>
      <c r="Q646" s="13"/>
      <c r="R646" s="229"/>
      <c r="S646" s="13"/>
      <c r="T646" s="229"/>
      <c r="U646" s="13"/>
      <c r="V646" s="229"/>
      <c r="W646" s="13"/>
      <c r="X646" s="229"/>
      <c r="Y646" s="13"/>
      <c r="Z646" s="229"/>
      <c r="AA646" s="13"/>
      <c r="AB646" s="229"/>
      <c r="AC646" s="228">
        <f t="shared" si="233"/>
        <v>0</v>
      </c>
      <c r="AD646" s="21">
        <v>0</v>
      </c>
      <c r="AE646" s="229"/>
      <c r="AF646" s="20"/>
      <c r="AG646" s="229"/>
      <c r="AH646" s="20"/>
      <c r="AI646" s="229"/>
      <c r="AJ646" s="20"/>
      <c r="AK646" s="229"/>
      <c r="AL646" s="20"/>
      <c r="AM646" s="229"/>
      <c r="AN646" s="20"/>
      <c r="AO646" s="229"/>
      <c r="AP646" s="20"/>
      <c r="AQ646" s="229"/>
      <c r="AR646" s="20"/>
      <c r="AS646" s="229"/>
      <c r="AT646" s="20"/>
      <c r="AU646" s="229"/>
      <c r="AV646" s="20">
        <v>1</v>
      </c>
      <c r="AW646" s="229"/>
      <c r="AX646" s="20"/>
      <c r="AY646" s="229"/>
      <c r="AZ646" s="20"/>
      <c r="BA646" s="229"/>
      <c r="BB646" s="20">
        <v>1</v>
      </c>
      <c r="BC646" s="229"/>
      <c r="BD646" s="48">
        <f t="shared" si="234"/>
        <v>2</v>
      </c>
      <c r="BE646" s="19">
        <v>0</v>
      </c>
      <c r="BF646" s="229"/>
      <c r="BG646" s="210">
        <f t="shared" si="231"/>
        <v>2</v>
      </c>
      <c r="BH646" s="210">
        <f t="shared" si="232"/>
        <v>0</v>
      </c>
      <c r="BI646" s="213" t="e">
        <f t="shared" si="230"/>
        <v>#DIV/0!</v>
      </c>
      <c r="BJ646" s="141"/>
      <c r="BK646" s="201"/>
      <c r="BL646" s="198"/>
      <c r="BM646" s="198"/>
    </row>
    <row r="647" spans="1:65" s="17" customFormat="1" ht="15.95" customHeight="1">
      <c r="A647" s="123">
        <v>20</v>
      </c>
      <c r="B647" s="9" t="s">
        <v>3119</v>
      </c>
      <c r="C647" s="11" t="s">
        <v>3120</v>
      </c>
      <c r="D647" s="229"/>
      <c r="E647" s="13"/>
      <c r="F647" s="229"/>
      <c r="G647" s="13"/>
      <c r="H647" s="229"/>
      <c r="I647" s="13"/>
      <c r="J647" s="229"/>
      <c r="K647" s="13"/>
      <c r="L647" s="229"/>
      <c r="M647" s="13"/>
      <c r="N647" s="229"/>
      <c r="O647" s="13"/>
      <c r="P647" s="229"/>
      <c r="Q647" s="13"/>
      <c r="R647" s="229"/>
      <c r="S647" s="13"/>
      <c r="T647" s="229"/>
      <c r="U647" s="13"/>
      <c r="V647" s="229"/>
      <c r="W647" s="13"/>
      <c r="X647" s="229"/>
      <c r="Y647" s="13"/>
      <c r="Z647" s="229"/>
      <c r="AA647" s="13"/>
      <c r="AB647" s="229"/>
      <c r="AC647" s="228">
        <f t="shared" si="233"/>
        <v>0</v>
      </c>
      <c r="AD647" s="21">
        <v>0</v>
      </c>
      <c r="AE647" s="229"/>
      <c r="AF647" s="20"/>
      <c r="AG647" s="229"/>
      <c r="AH647" s="20"/>
      <c r="AI647" s="229"/>
      <c r="AJ647" s="20"/>
      <c r="AK647" s="229"/>
      <c r="AL647" s="20"/>
      <c r="AM647" s="229"/>
      <c r="AN647" s="20"/>
      <c r="AO647" s="229"/>
      <c r="AP647" s="20">
        <v>1</v>
      </c>
      <c r="AQ647" s="229"/>
      <c r="AR647" s="20"/>
      <c r="AS647" s="229"/>
      <c r="AT647" s="20"/>
      <c r="AU647" s="229"/>
      <c r="AV647" s="20"/>
      <c r="AW647" s="229"/>
      <c r="AX647" s="20"/>
      <c r="AY647" s="229"/>
      <c r="AZ647" s="20"/>
      <c r="BA647" s="229"/>
      <c r="BB647" s="20"/>
      <c r="BC647" s="229"/>
      <c r="BD647" s="48">
        <f t="shared" si="234"/>
        <v>1</v>
      </c>
      <c r="BE647" s="19">
        <v>0</v>
      </c>
      <c r="BF647" s="229"/>
      <c r="BG647" s="210">
        <f t="shared" si="231"/>
        <v>1</v>
      </c>
      <c r="BH647" s="210">
        <f t="shared" si="232"/>
        <v>0</v>
      </c>
      <c r="BI647" s="213" t="e">
        <f t="shared" si="230"/>
        <v>#DIV/0!</v>
      </c>
      <c r="BJ647" s="141"/>
      <c r="BK647" s="201"/>
      <c r="BL647" s="198"/>
      <c r="BM647" s="198"/>
    </row>
    <row r="648" spans="1:65" s="17" customFormat="1" ht="22.5" customHeight="1">
      <c r="A648" s="123">
        <v>21</v>
      </c>
      <c r="B648" s="9" t="s">
        <v>3121</v>
      </c>
      <c r="C648" s="10" t="s">
        <v>3122</v>
      </c>
      <c r="D648" s="229"/>
      <c r="E648" s="13"/>
      <c r="F648" s="229"/>
      <c r="G648" s="13"/>
      <c r="H648" s="229"/>
      <c r="I648" s="13"/>
      <c r="J648" s="229"/>
      <c r="K648" s="13"/>
      <c r="L648" s="229"/>
      <c r="M648" s="13"/>
      <c r="N648" s="229"/>
      <c r="O648" s="13"/>
      <c r="P648" s="229"/>
      <c r="Q648" s="13"/>
      <c r="R648" s="229"/>
      <c r="S648" s="13"/>
      <c r="T648" s="229"/>
      <c r="U648" s="13"/>
      <c r="V648" s="229"/>
      <c r="W648" s="13"/>
      <c r="X648" s="229"/>
      <c r="Y648" s="13"/>
      <c r="Z648" s="229"/>
      <c r="AA648" s="13"/>
      <c r="AB648" s="229"/>
      <c r="AC648" s="228">
        <f t="shared" si="233"/>
        <v>0</v>
      </c>
      <c r="AD648" s="21">
        <v>0</v>
      </c>
      <c r="AE648" s="229"/>
      <c r="AF648" s="20"/>
      <c r="AG648" s="229"/>
      <c r="AH648" s="20"/>
      <c r="AI648" s="229"/>
      <c r="AJ648" s="20"/>
      <c r="AK648" s="229"/>
      <c r="AL648" s="20"/>
      <c r="AM648" s="229"/>
      <c r="AN648" s="20"/>
      <c r="AO648" s="229"/>
      <c r="AP648" s="20">
        <v>1</v>
      </c>
      <c r="AQ648" s="229"/>
      <c r="AR648" s="20"/>
      <c r="AS648" s="229"/>
      <c r="AT648" s="20"/>
      <c r="AU648" s="229"/>
      <c r="AV648" s="20"/>
      <c r="AW648" s="229"/>
      <c r="AX648" s="20"/>
      <c r="AY648" s="229"/>
      <c r="AZ648" s="20"/>
      <c r="BA648" s="229"/>
      <c r="BB648" s="20"/>
      <c r="BC648" s="229"/>
      <c r="BD648" s="48">
        <f t="shared" si="234"/>
        <v>1</v>
      </c>
      <c r="BE648" s="19">
        <v>0</v>
      </c>
      <c r="BF648" s="229"/>
      <c r="BG648" s="210">
        <f t="shared" si="231"/>
        <v>1</v>
      </c>
      <c r="BH648" s="210">
        <f t="shared" si="232"/>
        <v>0</v>
      </c>
      <c r="BI648" s="213" t="e">
        <f t="shared" si="230"/>
        <v>#DIV/0!</v>
      </c>
      <c r="BJ648" s="141"/>
      <c r="BK648" s="201"/>
      <c r="BL648" s="198"/>
      <c r="BM648" s="198"/>
    </row>
    <row r="649" spans="1:65" s="17" customFormat="1" ht="15.95" customHeight="1">
      <c r="A649" s="123">
        <v>22</v>
      </c>
      <c r="B649" s="9" t="s">
        <v>522</v>
      </c>
      <c r="C649" s="11" t="s">
        <v>523</v>
      </c>
      <c r="D649" s="229"/>
      <c r="E649" s="13"/>
      <c r="F649" s="229"/>
      <c r="G649" s="13"/>
      <c r="H649" s="229"/>
      <c r="I649" s="13"/>
      <c r="J649" s="229"/>
      <c r="K649" s="13"/>
      <c r="L649" s="229"/>
      <c r="M649" s="13"/>
      <c r="N649" s="229"/>
      <c r="O649" s="13"/>
      <c r="P649" s="229"/>
      <c r="Q649" s="13"/>
      <c r="R649" s="229"/>
      <c r="S649" s="13"/>
      <c r="T649" s="229"/>
      <c r="U649" s="13"/>
      <c r="V649" s="229"/>
      <c r="W649" s="13"/>
      <c r="X649" s="229"/>
      <c r="Y649" s="13"/>
      <c r="Z649" s="229"/>
      <c r="AA649" s="13"/>
      <c r="AB649" s="229">
        <f t="shared" ref="AB649:AB657" si="238">D649+F649+H649+J649+L649+N649+P649+R649+T649+V649+X649+Z649</f>
        <v>0</v>
      </c>
      <c r="AC649" s="228">
        <f t="shared" si="233"/>
        <v>0</v>
      </c>
      <c r="AD649" s="21">
        <v>0</v>
      </c>
      <c r="AE649" s="229"/>
      <c r="AF649" s="20"/>
      <c r="AG649" s="229"/>
      <c r="AH649" s="20"/>
      <c r="AI649" s="229"/>
      <c r="AJ649" s="20"/>
      <c r="AK649" s="229"/>
      <c r="AL649" s="20"/>
      <c r="AM649" s="229"/>
      <c r="AN649" s="20"/>
      <c r="AO649" s="229">
        <v>1</v>
      </c>
      <c r="AP649" s="20">
        <v>1</v>
      </c>
      <c r="AQ649" s="229"/>
      <c r="AR649" s="20"/>
      <c r="AS649" s="229"/>
      <c r="AT649" s="20"/>
      <c r="AU649" s="229"/>
      <c r="AV649" s="20"/>
      <c r="AW649" s="229"/>
      <c r="AX649" s="20"/>
      <c r="AY649" s="229"/>
      <c r="AZ649" s="20"/>
      <c r="BA649" s="229"/>
      <c r="BB649" s="20"/>
      <c r="BC649" s="229">
        <f t="shared" ref="BC649:BC657" si="239">AE649+AG649+AI649+AK649+AM649+AO649+AQ649+AS649+AU649+AW649+AY649+BA649</f>
        <v>1</v>
      </c>
      <c r="BD649" s="48">
        <f t="shared" si="234"/>
        <v>1</v>
      </c>
      <c r="BE649" s="19">
        <v>1</v>
      </c>
      <c r="BF649" s="229">
        <f t="shared" ref="BF649:BF657" si="240">AB649+BC649</f>
        <v>1</v>
      </c>
      <c r="BG649" s="210">
        <f t="shared" si="231"/>
        <v>1</v>
      </c>
      <c r="BH649" s="210">
        <f t="shared" si="232"/>
        <v>1</v>
      </c>
      <c r="BI649" s="213">
        <f t="shared" si="230"/>
        <v>100</v>
      </c>
      <c r="BJ649" s="141"/>
      <c r="BK649" s="201"/>
      <c r="BL649" s="198"/>
      <c r="BM649" s="198"/>
    </row>
    <row r="650" spans="1:65" s="17" customFormat="1" ht="15.95" customHeight="1">
      <c r="A650" s="123">
        <v>23</v>
      </c>
      <c r="B650" s="9" t="s">
        <v>2870</v>
      </c>
      <c r="C650" s="11" t="s">
        <v>2871</v>
      </c>
      <c r="D650" s="229"/>
      <c r="E650" s="13"/>
      <c r="F650" s="229"/>
      <c r="G650" s="13"/>
      <c r="H650" s="229"/>
      <c r="I650" s="13"/>
      <c r="J650" s="229"/>
      <c r="K650" s="13"/>
      <c r="L650" s="229"/>
      <c r="M650" s="13"/>
      <c r="N650" s="229"/>
      <c r="O650" s="13"/>
      <c r="P650" s="229"/>
      <c r="Q650" s="13"/>
      <c r="R650" s="229"/>
      <c r="S650" s="13"/>
      <c r="T650" s="229"/>
      <c r="U650" s="13"/>
      <c r="V650" s="229"/>
      <c r="W650" s="13"/>
      <c r="X650" s="229"/>
      <c r="Y650" s="13"/>
      <c r="Z650" s="229"/>
      <c r="AA650" s="13"/>
      <c r="AB650" s="229">
        <f t="shared" si="238"/>
        <v>0</v>
      </c>
      <c r="AC650" s="228">
        <f t="shared" si="233"/>
        <v>0</v>
      </c>
      <c r="AD650" s="21">
        <v>0</v>
      </c>
      <c r="AE650" s="229"/>
      <c r="AF650" s="20"/>
      <c r="AG650" s="229"/>
      <c r="AH650" s="20"/>
      <c r="AI650" s="229">
        <v>1</v>
      </c>
      <c r="AJ650" s="20">
        <v>1</v>
      </c>
      <c r="AK650" s="229"/>
      <c r="AL650" s="20"/>
      <c r="AM650" s="229"/>
      <c r="AN650" s="20"/>
      <c r="AO650" s="229"/>
      <c r="AP650" s="20"/>
      <c r="AQ650" s="229"/>
      <c r="AR650" s="20"/>
      <c r="AS650" s="229"/>
      <c r="AT650" s="20"/>
      <c r="AU650" s="229"/>
      <c r="AV650" s="20"/>
      <c r="AW650" s="229"/>
      <c r="AX650" s="20"/>
      <c r="AY650" s="229"/>
      <c r="AZ650" s="20"/>
      <c r="BA650" s="229"/>
      <c r="BB650" s="20"/>
      <c r="BC650" s="229">
        <f t="shared" si="239"/>
        <v>1</v>
      </c>
      <c r="BD650" s="48">
        <f t="shared" si="234"/>
        <v>1</v>
      </c>
      <c r="BE650" s="19">
        <v>0</v>
      </c>
      <c r="BF650" s="229">
        <f t="shared" si="240"/>
        <v>1</v>
      </c>
      <c r="BG650" s="210">
        <f t="shared" si="231"/>
        <v>1</v>
      </c>
      <c r="BH650" s="210">
        <f t="shared" si="232"/>
        <v>0</v>
      </c>
      <c r="BI650" s="213" t="e">
        <f t="shared" si="230"/>
        <v>#DIV/0!</v>
      </c>
      <c r="BJ650" s="141"/>
      <c r="BK650" s="201"/>
      <c r="BL650" s="198"/>
      <c r="BM650" s="198"/>
    </row>
    <row r="651" spans="1:65" s="17" customFormat="1" ht="21.95" customHeight="1">
      <c r="A651" s="123">
        <v>24</v>
      </c>
      <c r="B651" s="9" t="s">
        <v>1846</v>
      </c>
      <c r="C651" s="10" t="s">
        <v>2477</v>
      </c>
      <c r="D651" s="229"/>
      <c r="E651" s="13"/>
      <c r="F651" s="229"/>
      <c r="G651" s="13"/>
      <c r="H651" s="229"/>
      <c r="I651" s="13"/>
      <c r="J651" s="229"/>
      <c r="K651" s="13"/>
      <c r="L651" s="229"/>
      <c r="M651" s="13"/>
      <c r="N651" s="229"/>
      <c r="O651" s="13"/>
      <c r="P651" s="229"/>
      <c r="Q651" s="13"/>
      <c r="R651" s="229"/>
      <c r="S651" s="13"/>
      <c r="T651" s="229"/>
      <c r="U651" s="13"/>
      <c r="V651" s="229"/>
      <c r="W651" s="13"/>
      <c r="X651" s="229"/>
      <c r="Y651" s="13"/>
      <c r="Z651" s="229"/>
      <c r="AA651" s="13"/>
      <c r="AB651" s="229">
        <f t="shared" si="238"/>
        <v>0</v>
      </c>
      <c r="AC651" s="228">
        <f t="shared" si="233"/>
        <v>0</v>
      </c>
      <c r="AD651" s="21">
        <v>0</v>
      </c>
      <c r="AE651" s="229"/>
      <c r="AF651" s="20"/>
      <c r="AG651" s="229"/>
      <c r="AH651" s="20"/>
      <c r="AI651" s="229"/>
      <c r="AJ651" s="20"/>
      <c r="AK651" s="229"/>
      <c r="AL651" s="20"/>
      <c r="AM651" s="229"/>
      <c r="AN651" s="20"/>
      <c r="AO651" s="229"/>
      <c r="AP651" s="20"/>
      <c r="AQ651" s="229"/>
      <c r="AR651" s="20"/>
      <c r="AS651" s="229"/>
      <c r="AT651" s="20"/>
      <c r="AU651" s="229"/>
      <c r="AV651" s="20"/>
      <c r="AW651" s="229"/>
      <c r="AX651" s="20"/>
      <c r="AY651" s="229"/>
      <c r="AZ651" s="20"/>
      <c r="BA651" s="229"/>
      <c r="BB651" s="20">
        <v>1</v>
      </c>
      <c r="BC651" s="229">
        <f t="shared" si="239"/>
        <v>0</v>
      </c>
      <c r="BD651" s="48">
        <f t="shared" si="234"/>
        <v>1</v>
      </c>
      <c r="BE651" s="19">
        <v>1</v>
      </c>
      <c r="BF651" s="229">
        <f t="shared" si="240"/>
        <v>0</v>
      </c>
      <c r="BG651" s="210">
        <f t="shared" si="231"/>
        <v>1</v>
      </c>
      <c r="BH651" s="210">
        <f t="shared" si="232"/>
        <v>1</v>
      </c>
      <c r="BI651" s="213">
        <f t="shared" si="230"/>
        <v>100</v>
      </c>
      <c r="BJ651" s="141"/>
      <c r="BK651" s="201"/>
      <c r="BL651" s="198"/>
      <c r="BM651" s="198"/>
    </row>
    <row r="652" spans="1:65" s="17" customFormat="1" ht="21.95" customHeight="1">
      <c r="A652" s="123">
        <v>25</v>
      </c>
      <c r="B652" s="9" t="s">
        <v>1684</v>
      </c>
      <c r="C652" s="10" t="s">
        <v>2476</v>
      </c>
      <c r="D652" s="229"/>
      <c r="E652" s="13"/>
      <c r="F652" s="229"/>
      <c r="G652" s="13"/>
      <c r="H652" s="229"/>
      <c r="I652" s="13"/>
      <c r="J652" s="229"/>
      <c r="K652" s="13"/>
      <c r="L652" s="229"/>
      <c r="M652" s="13"/>
      <c r="N652" s="229"/>
      <c r="O652" s="13"/>
      <c r="P652" s="229"/>
      <c r="Q652" s="13"/>
      <c r="R652" s="229"/>
      <c r="S652" s="13"/>
      <c r="T652" s="229"/>
      <c r="U652" s="13"/>
      <c r="V652" s="229"/>
      <c r="W652" s="13"/>
      <c r="X652" s="229"/>
      <c r="Y652" s="13"/>
      <c r="Z652" s="229"/>
      <c r="AA652" s="13"/>
      <c r="AB652" s="229">
        <f t="shared" si="238"/>
        <v>0</v>
      </c>
      <c r="AC652" s="228">
        <f t="shared" si="233"/>
        <v>0</v>
      </c>
      <c r="AD652" s="19">
        <v>0</v>
      </c>
      <c r="AE652" s="229"/>
      <c r="AF652" s="20"/>
      <c r="AG652" s="229"/>
      <c r="AH652" s="20"/>
      <c r="AI652" s="229"/>
      <c r="AJ652" s="20"/>
      <c r="AK652" s="229"/>
      <c r="AL652" s="20"/>
      <c r="AM652" s="229"/>
      <c r="AN652" s="20"/>
      <c r="AO652" s="229"/>
      <c r="AP652" s="20"/>
      <c r="AQ652" s="229"/>
      <c r="AR652" s="20"/>
      <c r="AS652" s="229"/>
      <c r="AT652" s="20"/>
      <c r="AU652" s="229"/>
      <c r="AV652" s="20"/>
      <c r="AW652" s="229"/>
      <c r="AX652" s="20"/>
      <c r="AY652" s="229"/>
      <c r="AZ652" s="20"/>
      <c r="BA652" s="229"/>
      <c r="BB652" s="20"/>
      <c r="BC652" s="229">
        <f t="shared" si="239"/>
        <v>0</v>
      </c>
      <c r="BD652" s="48">
        <f t="shared" si="234"/>
        <v>0</v>
      </c>
      <c r="BE652" s="19">
        <v>1</v>
      </c>
      <c r="BF652" s="229">
        <f t="shared" si="240"/>
        <v>0</v>
      </c>
      <c r="BG652" s="210">
        <f t="shared" si="231"/>
        <v>0</v>
      </c>
      <c r="BH652" s="210">
        <f t="shared" si="232"/>
        <v>1</v>
      </c>
      <c r="BI652" s="213">
        <f t="shared" si="230"/>
        <v>0</v>
      </c>
      <c r="BJ652" s="141"/>
      <c r="BK652" s="201"/>
      <c r="BL652" s="198"/>
      <c r="BM652" s="198"/>
    </row>
    <row r="653" spans="1:65" s="17" customFormat="1" ht="15.95" customHeight="1">
      <c r="A653" s="123">
        <v>26</v>
      </c>
      <c r="B653" s="9" t="s">
        <v>2090</v>
      </c>
      <c r="C653" s="11" t="s">
        <v>2091</v>
      </c>
      <c r="D653" s="229"/>
      <c r="E653" s="13"/>
      <c r="F653" s="229"/>
      <c r="G653" s="13"/>
      <c r="H653" s="229"/>
      <c r="I653" s="13"/>
      <c r="J653" s="229"/>
      <c r="K653" s="13"/>
      <c r="L653" s="229"/>
      <c r="M653" s="13"/>
      <c r="N653" s="229"/>
      <c r="O653" s="13"/>
      <c r="P653" s="229"/>
      <c r="Q653" s="13"/>
      <c r="R653" s="229"/>
      <c r="S653" s="13"/>
      <c r="T653" s="229"/>
      <c r="U653" s="13"/>
      <c r="V653" s="229"/>
      <c r="W653" s="13"/>
      <c r="X653" s="229"/>
      <c r="Y653" s="13"/>
      <c r="Z653" s="229"/>
      <c r="AA653" s="13"/>
      <c r="AB653" s="229">
        <f t="shared" si="238"/>
        <v>0</v>
      </c>
      <c r="AC653" s="228">
        <f t="shared" si="233"/>
        <v>0</v>
      </c>
      <c r="AD653" s="21">
        <v>0</v>
      </c>
      <c r="AE653" s="229"/>
      <c r="AF653" s="20"/>
      <c r="AG653" s="229"/>
      <c r="AH653" s="20"/>
      <c r="AI653" s="229"/>
      <c r="AJ653" s="20"/>
      <c r="AK653" s="229"/>
      <c r="AL653" s="20"/>
      <c r="AM653" s="229"/>
      <c r="AN653" s="20"/>
      <c r="AO653" s="229"/>
      <c r="AP653" s="20"/>
      <c r="AQ653" s="229"/>
      <c r="AR653" s="20"/>
      <c r="AS653" s="229"/>
      <c r="AT653" s="20"/>
      <c r="AU653" s="229"/>
      <c r="AV653" s="20"/>
      <c r="AW653" s="229"/>
      <c r="AX653" s="20"/>
      <c r="AY653" s="229"/>
      <c r="AZ653" s="20"/>
      <c r="BA653" s="229"/>
      <c r="BB653" s="20"/>
      <c r="BC653" s="229">
        <f t="shared" si="239"/>
        <v>0</v>
      </c>
      <c r="BD653" s="48">
        <f t="shared" si="234"/>
        <v>0</v>
      </c>
      <c r="BE653" s="19">
        <v>1</v>
      </c>
      <c r="BF653" s="229">
        <f t="shared" si="240"/>
        <v>0</v>
      </c>
      <c r="BG653" s="210">
        <f t="shared" si="231"/>
        <v>0</v>
      </c>
      <c r="BH653" s="210">
        <f t="shared" si="232"/>
        <v>1</v>
      </c>
      <c r="BI653" s="213">
        <f t="shared" si="230"/>
        <v>0</v>
      </c>
      <c r="BJ653" s="141"/>
      <c r="BK653" s="201"/>
      <c r="BL653" s="198"/>
      <c r="BM653" s="198"/>
    </row>
    <row r="654" spans="1:65" s="17" customFormat="1" ht="15.95" customHeight="1">
      <c r="A654" s="123">
        <v>27</v>
      </c>
      <c r="B654" s="9" t="s">
        <v>1346</v>
      </c>
      <c r="C654" s="11" t="s">
        <v>1347</v>
      </c>
      <c r="D654" s="229"/>
      <c r="E654" s="13"/>
      <c r="F654" s="229"/>
      <c r="G654" s="13"/>
      <c r="H654" s="229"/>
      <c r="I654" s="13"/>
      <c r="J654" s="229"/>
      <c r="K654" s="13"/>
      <c r="L654" s="229"/>
      <c r="M654" s="13"/>
      <c r="N654" s="229"/>
      <c r="O654" s="13"/>
      <c r="P654" s="229"/>
      <c r="Q654" s="13"/>
      <c r="R654" s="229"/>
      <c r="S654" s="13"/>
      <c r="T654" s="229"/>
      <c r="U654" s="13"/>
      <c r="V654" s="229"/>
      <c r="W654" s="13"/>
      <c r="X654" s="229"/>
      <c r="Y654" s="13"/>
      <c r="Z654" s="229"/>
      <c r="AA654" s="13"/>
      <c r="AB654" s="229">
        <f t="shared" si="238"/>
        <v>0</v>
      </c>
      <c r="AC654" s="228">
        <f t="shared" si="233"/>
        <v>0</v>
      </c>
      <c r="AD654" s="21">
        <v>0</v>
      </c>
      <c r="AE654" s="229"/>
      <c r="AF654" s="20"/>
      <c r="AG654" s="229"/>
      <c r="AH654" s="20"/>
      <c r="AI654" s="229"/>
      <c r="AJ654" s="20"/>
      <c r="AK654" s="229"/>
      <c r="AL654" s="20"/>
      <c r="AM654" s="229"/>
      <c r="AN654" s="20"/>
      <c r="AO654" s="229"/>
      <c r="AP654" s="20"/>
      <c r="AQ654" s="229"/>
      <c r="AR654" s="20"/>
      <c r="AS654" s="229"/>
      <c r="AT654" s="20"/>
      <c r="AU654" s="229"/>
      <c r="AV654" s="20"/>
      <c r="AW654" s="229"/>
      <c r="AX654" s="20"/>
      <c r="AY654" s="229"/>
      <c r="AZ654" s="20"/>
      <c r="BA654" s="229"/>
      <c r="BB654" s="20"/>
      <c r="BC654" s="229">
        <f t="shared" si="239"/>
        <v>0</v>
      </c>
      <c r="BD654" s="48">
        <f t="shared" si="234"/>
        <v>0</v>
      </c>
      <c r="BE654" s="19">
        <v>1</v>
      </c>
      <c r="BF654" s="229">
        <f t="shared" si="240"/>
        <v>0</v>
      </c>
      <c r="BG654" s="210">
        <f t="shared" si="231"/>
        <v>0</v>
      </c>
      <c r="BH654" s="210">
        <f t="shared" si="232"/>
        <v>1</v>
      </c>
      <c r="BI654" s="213">
        <f t="shared" si="230"/>
        <v>0</v>
      </c>
      <c r="BJ654" s="141"/>
      <c r="BK654" s="201"/>
      <c r="BL654" s="198"/>
      <c r="BM654" s="198"/>
    </row>
    <row r="655" spans="1:65" s="17" customFormat="1" ht="15.95" customHeight="1">
      <c r="A655" s="123">
        <v>28</v>
      </c>
      <c r="B655" s="9" t="s">
        <v>2872</v>
      </c>
      <c r="C655" s="11" t="s">
        <v>2873</v>
      </c>
      <c r="D655" s="229"/>
      <c r="E655" s="13"/>
      <c r="F655" s="229"/>
      <c r="G655" s="13"/>
      <c r="H655" s="229"/>
      <c r="I655" s="13"/>
      <c r="J655" s="229"/>
      <c r="K655" s="13"/>
      <c r="L655" s="229"/>
      <c r="M655" s="13"/>
      <c r="N655" s="229"/>
      <c r="O655" s="13"/>
      <c r="P655" s="229"/>
      <c r="Q655" s="13"/>
      <c r="R655" s="229"/>
      <c r="S655" s="13"/>
      <c r="T655" s="229"/>
      <c r="U655" s="13"/>
      <c r="V655" s="229"/>
      <c r="W655" s="13"/>
      <c r="X655" s="229"/>
      <c r="Y655" s="13"/>
      <c r="Z655" s="229"/>
      <c r="AA655" s="13"/>
      <c r="AB655" s="229">
        <f t="shared" si="238"/>
        <v>0</v>
      </c>
      <c r="AC655" s="228">
        <f t="shared" si="233"/>
        <v>0</v>
      </c>
      <c r="AD655" s="21">
        <v>0</v>
      </c>
      <c r="AE655" s="229"/>
      <c r="AF655" s="20"/>
      <c r="AG655" s="229"/>
      <c r="AH655" s="20"/>
      <c r="AI655" s="229">
        <v>1</v>
      </c>
      <c r="AJ655" s="13">
        <v>1</v>
      </c>
      <c r="AK655" s="229"/>
      <c r="AL655" s="20"/>
      <c r="AM655" s="229"/>
      <c r="AN655" s="20"/>
      <c r="AO655" s="229"/>
      <c r="AP655" s="20"/>
      <c r="AQ655" s="229"/>
      <c r="AR655" s="20"/>
      <c r="AS655" s="229"/>
      <c r="AT655" s="20"/>
      <c r="AU655" s="229"/>
      <c r="AV655" s="20"/>
      <c r="AW655" s="229"/>
      <c r="AX655" s="20"/>
      <c r="AY655" s="229"/>
      <c r="AZ655" s="20"/>
      <c r="BA655" s="229"/>
      <c r="BB655" s="20"/>
      <c r="BC655" s="229">
        <f t="shared" si="239"/>
        <v>1</v>
      </c>
      <c r="BD655" s="48">
        <f t="shared" si="234"/>
        <v>1</v>
      </c>
      <c r="BE655" s="19">
        <v>0</v>
      </c>
      <c r="BF655" s="229">
        <f t="shared" si="240"/>
        <v>1</v>
      </c>
      <c r="BG655" s="210">
        <f t="shared" si="231"/>
        <v>1</v>
      </c>
      <c r="BH655" s="210">
        <f t="shared" si="232"/>
        <v>0</v>
      </c>
      <c r="BI655" s="213" t="e">
        <f t="shared" si="230"/>
        <v>#DIV/0!</v>
      </c>
      <c r="BJ655" s="141"/>
      <c r="BK655" s="201"/>
      <c r="BL655" s="198"/>
      <c r="BM655" s="198"/>
    </row>
    <row r="656" spans="1:65" s="17" customFormat="1" ht="15.95" customHeight="1">
      <c r="A656" s="123">
        <v>29</v>
      </c>
      <c r="B656" s="9" t="s">
        <v>2041</v>
      </c>
      <c r="C656" s="11" t="s">
        <v>2042</v>
      </c>
      <c r="D656" s="229"/>
      <c r="E656" s="13"/>
      <c r="F656" s="229"/>
      <c r="G656" s="13"/>
      <c r="H656" s="229"/>
      <c r="I656" s="13"/>
      <c r="J656" s="229"/>
      <c r="K656" s="13"/>
      <c r="L656" s="229"/>
      <c r="M656" s="13"/>
      <c r="N656" s="229"/>
      <c r="O656" s="13"/>
      <c r="P656" s="229"/>
      <c r="Q656" s="13"/>
      <c r="R656" s="229"/>
      <c r="S656" s="13"/>
      <c r="T656" s="229"/>
      <c r="U656" s="13"/>
      <c r="V656" s="229"/>
      <c r="W656" s="13"/>
      <c r="X656" s="229"/>
      <c r="Y656" s="13"/>
      <c r="Z656" s="229"/>
      <c r="AA656" s="13"/>
      <c r="AB656" s="229">
        <f t="shared" si="238"/>
        <v>0</v>
      </c>
      <c r="AC656" s="228">
        <f t="shared" si="233"/>
        <v>0</v>
      </c>
      <c r="AD656" s="21">
        <v>3</v>
      </c>
      <c r="AE656" s="229"/>
      <c r="AF656" s="20"/>
      <c r="AG656" s="229"/>
      <c r="AH656" s="20"/>
      <c r="AI656" s="229"/>
      <c r="AJ656" s="20"/>
      <c r="AK656" s="229"/>
      <c r="AL656" s="20"/>
      <c r="AM656" s="229"/>
      <c r="AN656" s="20"/>
      <c r="AO656" s="229">
        <v>1</v>
      </c>
      <c r="AP656" s="20">
        <v>1</v>
      </c>
      <c r="AQ656" s="229"/>
      <c r="AR656" s="20"/>
      <c r="AS656" s="229"/>
      <c r="AT656" s="20"/>
      <c r="AU656" s="229"/>
      <c r="AV656" s="20"/>
      <c r="AW656" s="229"/>
      <c r="AX656" s="20"/>
      <c r="AY656" s="229"/>
      <c r="AZ656" s="20"/>
      <c r="BA656" s="229"/>
      <c r="BB656" s="20">
        <v>1</v>
      </c>
      <c r="BC656" s="229">
        <f t="shared" si="239"/>
        <v>1</v>
      </c>
      <c r="BD656" s="48">
        <f t="shared" si="234"/>
        <v>2</v>
      </c>
      <c r="BE656" s="19">
        <v>1</v>
      </c>
      <c r="BF656" s="229">
        <f t="shared" si="240"/>
        <v>1</v>
      </c>
      <c r="BG656" s="210">
        <f t="shared" si="231"/>
        <v>2</v>
      </c>
      <c r="BH656" s="210">
        <f t="shared" si="232"/>
        <v>4</v>
      </c>
      <c r="BI656" s="213">
        <f t="shared" si="230"/>
        <v>50</v>
      </c>
      <c r="BJ656" s="141"/>
      <c r="BK656" s="201"/>
      <c r="BL656" s="198"/>
      <c r="BM656" s="198"/>
    </row>
    <row r="657" spans="1:65" s="17" customFormat="1" ht="15.95" customHeight="1">
      <c r="A657" s="123">
        <v>30</v>
      </c>
      <c r="B657" s="9" t="s">
        <v>1908</v>
      </c>
      <c r="C657" s="11" t="s">
        <v>2114</v>
      </c>
      <c r="D657" s="229"/>
      <c r="E657" s="13"/>
      <c r="F657" s="229"/>
      <c r="G657" s="13"/>
      <c r="H657" s="229"/>
      <c r="I657" s="13"/>
      <c r="J657" s="229"/>
      <c r="K657" s="13"/>
      <c r="L657" s="229"/>
      <c r="M657" s="13"/>
      <c r="N657" s="229"/>
      <c r="O657" s="13"/>
      <c r="P657" s="229"/>
      <c r="Q657" s="13"/>
      <c r="R657" s="229"/>
      <c r="S657" s="13"/>
      <c r="T657" s="229"/>
      <c r="U657" s="13"/>
      <c r="V657" s="229"/>
      <c r="W657" s="13"/>
      <c r="X657" s="229"/>
      <c r="Y657" s="13"/>
      <c r="Z657" s="229"/>
      <c r="AA657" s="13"/>
      <c r="AB657" s="229">
        <f t="shared" si="238"/>
        <v>0</v>
      </c>
      <c r="AC657" s="228">
        <f t="shared" si="233"/>
        <v>0</v>
      </c>
      <c r="AD657" s="19">
        <v>0</v>
      </c>
      <c r="AE657" s="229"/>
      <c r="AF657" s="20"/>
      <c r="AG657" s="229"/>
      <c r="AH657" s="20"/>
      <c r="AI657" s="229"/>
      <c r="AJ657" s="20"/>
      <c r="AK657" s="229"/>
      <c r="AL657" s="20"/>
      <c r="AM657" s="229"/>
      <c r="AN657" s="20"/>
      <c r="AO657" s="229"/>
      <c r="AP657" s="20"/>
      <c r="AQ657" s="229"/>
      <c r="AR657" s="20"/>
      <c r="AS657" s="229"/>
      <c r="AT657" s="20"/>
      <c r="AU657" s="229"/>
      <c r="AV657" s="20"/>
      <c r="AW657" s="229"/>
      <c r="AX657" s="20"/>
      <c r="AY657" s="229"/>
      <c r="AZ657" s="20"/>
      <c r="BA657" s="229"/>
      <c r="BB657" s="20"/>
      <c r="BC657" s="229">
        <f t="shared" si="239"/>
        <v>0</v>
      </c>
      <c r="BD657" s="48">
        <f t="shared" si="234"/>
        <v>0</v>
      </c>
      <c r="BE657" s="19">
        <v>3</v>
      </c>
      <c r="BF657" s="229">
        <f t="shared" si="240"/>
        <v>0</v>
      </c>
      <c r="BG657" s="210">
        <f t="shared" si="231"/>
        <v>0</v>
      </c>
      <c r="BH657" s="210">
        <f t="shared" si="232"/>
        <v>3</v>
      </c>
      <c r="BI657" s="213">
        <f t="shared" si="230"/>
        <v>0</v>
      </c>
      <c r="BJ657" s="141"/>
      <c r="BK657" s="201"/>
      <c r="BL657" s="198"/>
      <c r="BM657" s="198"/>
    </row>
    <row r="658" spans="1:65" s="17" customFormat="1" ht="21.75" customHeight="1">
      <c r="A658" s="123">
        <v>31</v>
      </c>
      <c r="B658" s="9" t="s">
        <v>3125</v>
      </c>
      <c r="C658" s="10" t="s">
        <v>3126</v>
      </c>
      <c r="D658" s="229"/>
      <c r="E658" s="13"/>
      <c r="F658" s="229"/>
      <c r="G658" s="13"/>
      <c r="H658" s="229"/>
      <c r="I658" s="13"/>
      <c r="J658" s="229"/>
      <c r="K658" s="13"/>
      <c r="L658" s="229"/>
      <c r="M658" s="13"/>
      <c r="N658" s="229"/>
      <c r="O658" s="13"/>
      <c r="P658" s="229"/>
      <c r="Q658" s="13"/>
      <c r="R658" s="229"/>
      <c r="S658" s="13"/>
      <c r="T658" s="229"/>
      <c r="U658" s="13"/>
      <c r="V658" s="229"/>
      <c r="W658" s="13"/>
      <c r="X658" s="229"/>
      <c r="Y658" s="13"/>
      <c r="Z658" s="229"/>
      <c r="AA658" s="13"/>
      <c r="AB658" s="229"/>
      <c r="AC658" s="228">
        <f t="shared" si="233"/>
        <v>0</v>
      </c>
      <c r="AD658" s="19">
        <v>0</v>
      </c>
      <c r="AE658" s="229"/>
      <c r="AF658" s="20"/>
      <c r="AG658" s="229"/>
      <c r="AH658" s="20"/>
      <c r="AI658" s="229"/>
      <c r="AJ658" s="20"/>
      <c r="AK658" s="229"/>
      <c r="AL658" s="20"/>
      <c r="AM658" s="229"/>
      <c r="AN658" s="20"/>
      <c r="AO658" s="229"/>
      <c r="AP658" s="20">
        <v>1</v>
      </c>
      <c r="AQ658" s="229"/>
      <c r="AR658" s="20"/>
      <c r="AS658" s="229"/>
      <c r="AT658" s="20"/>
      <c r="AU658" s="229"/>
      <c r="AV658" s="20"/>
      <c r="AW658" s="229"/>
      <c r="AX658" s="20"/>
      <c r="AY658" s="229"/>
      <c r="AZ658" s="20"/>
      <c r="BA658" s="229"/>
      <c r="BB658" s="20"/>
      <c r="BC658" s="229"/>
      <c r="BD658" s="48">
        <f t="shared" si="234"/>
        <v>1</v>
      </c>
      <c r="BE658" s="19">
        <v>0</v>
      </c>
      <c r="BF658" s="229"/>
      <c r="BG658" s="210">
        <f t="shared" si="231"/>
        <v>1</v>
      </c>
      <c r="BH658" s="210">
        <f t="shared" si="232"/>
        <v>0</v>
      </c>
      <c r="BI658" s="213" t="e">
        <f t="shared" si="230"/>
        <v>#DIV/0!</v>
      </c>
      <c r="BJ658" s="141"/>
      <c r="BK658" s="201"/>
      <c r="BL658" s="198"/>
      <c r="BM658" s="198"/>
    </row>
    <row r="659" spans="1:65" s="17" customFormat="1" ht="15.95" customHeight="1">
      <c r="A659" s="123">
        <v>32</v>
      </c>
      <c r="B659" s="9" t="s">
        <v>2255</v>
      </c>
      <c r="C659" s="11" t="s">
        <v>2092</v>
      </c>
      <c r="D659" s="229"/>
      <c r="E659" s="13"/>
      <c r="F659" s="229"/>
      <c r="G659" s="13"/>
      <c r="H659" s="229"/>
      <c r="I659" s="13"/>
      <c r="J659" s="229"/>
      <c r="K659" s="13"/>
      <c r="L659" s="229"/>
      <c r="M659" s="13"/>
      <c r="N659" s="229"/>
      <c r="O659" s="13"/>
      <c r="P659" s="229"/>
      <c r="Q659" s="13"/>
      <c r="R659" s="229"/>
      <c r="S659" s="13"/>
      <c r="T659" s="229"/>
      <c r="U659" s="13"/>
      <c r="V659" s="229"/>
      <c r="W659" s="13"/>
      <c r="X659" s="229"/>
      <c r="Y659" s="13"/>
      <c r="Z659" s="229"/>
      <c r="AA659" s="13"/>
      <c r="AB659" s="229">
        <f>D659+F659+H659+J659+L659+N659+P659+R659+T659+V659+X659+Z659</f>
        <v>0</v>
      </c>
      <c r="AC659" s="228">
        <f t="shared" si="233"/>
        <v>0</v>
      </c>
      <c r="AD659" s="21">
        <v>0</v>
      </c>
      <c r="AE659" s="229"/>
      <c r="AF659" s="20"/>
      <c r="AG659" s="229"/>
      <c r="AH659" s="20"/>
      <c r="AI659" s="229"/>
      <c r="AJ659" s="20"/>
      <c r="AK659" s="229"/>
      <c r="AL659" s="20"/>
      <c r="AM659" s="229"/>
      <c r="AN659" s="20"/>
      <c r="AO659" s="229"/>
      <c r="AP659" s="20"/>
      <c r="AQ659" s="229"/>
      <c r="AR659" s="20"/>
      <c r="AS659" s="229"/>
      <c r="AT659" s="20"/>
      <c r="AU659" s="229"/>
      <c r="AV659" s="20"/>
      <c r="AW659" s="229"/>
      <c r="AX659" s="20"/>
      <c r="AY659" s="229"/>
      <c r="AZ659" s="20"/>
      <c r="BA659" s="229"/>
      <c r="BB659" s="20"/>
      <c r="BC659" s="229">
        <f>AE659+AG659+AI659+AK659+AM659+AO659+AQ659+AS659+AU659+AW659+AY659+BA659</f>
        <v>0</v>
      </c>
      <c r="BD659" s="48">
        <f t="shared" si="234"/>
        <v>0</v>
      </c>
      <c r="BE659" s="19">
        <f>1+1</f>
        <v>2</v>
      </c>
      <c r="BF659" s="229">
        <f>AB659+BC659</f>
        <v>0</v>
      </c>
      <c r="BG659" s="210">
        <f t="shared" si="231"/>
        <v>0</v>
      </c>
      <c r="BH659" s="210">
        <f t="shared" si="232"/>
        <v>2</v>
      </c>
      <c r="BI659" s="213">
        <f t="shared" si="230"/>
        <v>0</v>
      </c>
      <c r="BJ659" s="141"/>
      <c r="BK659" s="201"/>
      <c r="BL659" s="198"/>
      <c r="BM659" s="198"/>
    </row>
    <row r="660" spans="1:65" s="17" customFormat="1" ht="15.95" customHeight="1">
      <c r="A660" s="123">
        <v>33</v>
      </c>
      <c r="B660" s="9" t="s">
        <v>3127</v>
      </c>
      <c r="C660" s="11" t="s">
        <v>3128</v>
      </c>
      <c r="D660" s="229"/>
      <c r="E660" s="13"/>
      <c r="F660" s="229"/>
      <c r="G660" s="13"/>
      <c r="H660" s="229"/>
      <c r="I660" s="13"/>
      <c r="J660" s="229"/>
      <c r="K660" s="13"/>
      <c r="L660" s="229"/>
      <c r="M660" s="13"/>
      <c r="N660" s="229"/>
      <c r="O660" s="13"/>
      <c r="P660" s="229"/>
      <c r="Q660" s="13"/>
      <c r="R660" s="229"/>
      <c r="S660" s="13"/>
      <c r="T660" s="229"/>
      <c r="U660" s="13"/>
      <c r="V660" s="229"/>
      <c r="W660" s="13"/>
      <c r="X660" s="229"/>
      <c r="Y660" s="13"/>
      <c r="Z660" s="229"/>
      <c r="AA660" s="13"/>
      <c r="AB660" s="229"/>
      <c r="AC660" s="228">
        <f t="shared" si="233"/>
        <v>0</v>
      </c>
      <c r="AD660" s="19">
        <v>0</v>
      </c>
      <c r="AE660" s="229"/>
      <c r="AF660" s="20"/>
      <c r="AG660" s="229"/>
      <c r="AH660" s="20"/>
      <c r="AI660" s="229"/>
      <c r="AJ660" s="20"/>
      <c r="AK660" s="229"/>
      <c r="AL660" s="20"/>
      <c r="AM660" s="229"/>
      <c r="AN660" s="20"/>
      <c r="AO660" s="229"/>
      <c r="AP660" s="20">
        <v>1</v>
      </c>
      <c r="AQ660" s="229"/>
      <c r="AR660" s="20"/>
      <c r="AS660" s="229"/>
      <c r="AT660" s="20"/>
      <c r="AU660" s="229"/>
      <c r="AV660" s="20"/>
      <c r="AW660" s="229"/>
      <c r="AX660" s="20"/>
      <c r="AY660" s="229"/>
      <c r="AZ660" s="20"/>
      <c r="BA660" s="229"/>
      <c r="BB660" s="20"/>
      <c r="BC660" s="229"/>
      <c r="BD660" s="48">
        <f t="shared" si="234"/>
        <v>1</v>
      </c>
      <c r="BE660" s="19">
        <v>0</v>
      </c>
      <c r="BF660" s="229"/>
      <c r="BG660" s="210">
        <f t="shared" si="231"/>
        <v>1</v>
      </c>
      <c r="BH660" s="210">
        <f t="shared" si="232"/>
        <v>0</v>
      </c>
      <c r="BI660" s="213" t="e">
        <f t="shared" ref="BI660:BI691" si="241">BG660/BH660*100</f>
        <v>#DIV/0!</v>
      </c>
      <c r="BJ660" s="141"/>
      <c r="BK660" s="201"/>
      <c r="BL660" s="198"/>
      <c r="BM660" s="198"/>
    </row>
    <row r="661" spans="1:65" s="17" customFormat="1" ht="21.95" customHeight="1">
      <c r="A661" s="123">
        <v>34</v>
      </c>
      <c r="B661" s="9" t="s">
        <v>3129</v>
      </c>
      <c r="C661" s="10" t="s">
        <v>3130</v>
      </c>
      <c r="D661" s="229"/>
      <c r="E661" s="13"/>
      <c r="F661" s="229"/>
      <c r="G661" s="13"/>
      <c r="H661" s="229"/>
      <c r="I661" s="13"/>
      <c r="J661" s="229"/>
      <c r="K661" s="13"/>
      <c r="L661" s="229"/>
      <c r="M661" s="13"/>
      <c r="N661" s="229"/>
      <c r="O661" s="13"/>
      <c r="P661" s="229"/>
      <c r="Q661" s="13"/>
      <c r="R661" s="229"/>
      <c r="S661" s="13"/>
      <c r="T661" s="229"/>
      <c r="U661" s="13"/>
      <c r="V661" s="229"/>
      <c r="W661" s="13"/>
      <c r="X661" s="229"/>
      <c r="Y661" s="13"/>
      <c r="Z661" s="229"/>
      <c r="AA661" s="13"/>
      <c r="AB661" s="229"/>
      <c r="AC661" s="228">
        <f t="shared" si="233"/>
        <v>0</v>
      </c>
      <c r="AD661" s="19">
        <v>0</v>
      </c>
      <c r="AE661" s="229"/>
      <c r="AF661" s="20"/>
      <c r="AG661" s="229"/>
      <c r="AH661" s="20"/>
      <c r="AI661" s="229"/>
      <c r="AJ661" s="20"/>
      <c r="AK661" s="229"/>
      <c r="AL661" s="20"/>
      <c r="AM661" s="229"/>
      <c r="AN661" s="20"/>
      <c r="AO661" s="229"/>
      <c r="AP661" s="20">
        <v>1</v>
      </c>
      <c r="AQ661" s="229"/>
      <c r="AR661" s="20"/>
      <c r="AS661" s="229"/>
      <c r="AT661" s="20"/>
      <c r="AU661" s="229"/>
      <c r="AV661" s="20"/>
      <c r="AW661" s="229"/>
      <c r="AX661" s="20"/>
      <c r="AY661" s="229"/>
      <c r="AZ661" s="20"/>
      <c r="BA661" s="229"/>
      <c r="BB661" s="20"/>
      <c r="BC661" s="229"/>
      <c r="BD661" s="48">
        <f t="shared" si="234"/>
        <v>1</v>
      </c>
      <c r="BE661" s="19">
        <v>0</v>
      </c>
      <c r="BF661" s="229"/>
      <c r="BG661" s="210">
        <f t="shared" si="231"/>
        <v>1</v>
      </c>
      <c r="BH661" s="210">
        <f t="shared" si="232"/>
        <v>0</v>
      </c>
      <c r="BI661" s="213" t="e">
        <f t="shared" si="241"/>
        <v>#DIV/0!</v>
      </c>
      <c r="BJ661" s="141"/>
      <c r="BK661" s="201"/>
      <c r="BL661" s="198"/>
      <c r="BM661" s="198"/>
    </row>
    <row r="662" spans="1:65" s="17" customFormat="1" ht="15.95" customHeight="1">
      <c r="A662" s="123">
        <v>35</v>
      </c>
      <c r="B662" s="9" t="s">
        <v>1914</v>
      </c>
      <c r="C662" s="11" t="s">
        <v>2093</v>
      </c>
      <c r="D662" s="229"/>
      <c r="E662" s="13"/>
      <c r="F662" s="229"/>
      <c r="G662" s="13"/>
      <c r="H662" s="229"/>
      <c r="I662" s="13"/>
      <c r="J662" s="229"/>
      <c r="K662" s="13"/>
      <c r="L662" s="229"/>
      <c r="M662" s="13"/>
      <c r="N662" s="229"/>
      <c r="O662" s="13"/>
      <c r="P662" s="229"/>
      <c r="Q662" s="13"/>
      <c r="R662" s="229"/>
      <c r="S662" s="13"/>
      <c r="T662" s="229"/>
      <c r="U662" s="13"/>
      <c r="V662" s="229"/>
      <c r="W662" s="13"/>
      <c r="X662" s="229"/>
      <c r="Y662" s="13"/>
      <c r="Z662" s="229"/>
      <c r="AA662" s="13"/>
      <c r="AB662" s="229">
        <f t="shared" ref="AB662:AB668" si="242">D662+F662+H662+J662+L662+N662+P662+R662+T662+V662+X662+Z662</f>
        <v>0</v>
      </c>
      <c r="AC662" s="228">
        <f t="shared" si="233"/>
        <v>0</v>
      </c>
      <c r="AD662" s="19">
        <v>0</v>
      </c>
      <c r="AE662" s="229"/>
      <c r="AF662" s="20"/>
      <c r="AG662" s="229"/>
      <c r="AH662" s="20"/>
      <c r="AI662" s="229"/>
      <c r="AJ662" s="20"/>
      <c r="AK662" s="229"/>
      <c r="AL662" s="20"/>
      <c r="AM662" s="229"/>
      <c r="AN662" s="20"/>
      <c r="AO662" s="229"/>
      <c r="AP662" s="20"/>
      <c r="AQ662" s="229"/>
      <c r="AR662" s="20"/>
      <c r="AS662" s="229"/>
      <c r="AT662" s="20"/>
      <c r="AU662" s="229"/>
      <c r="AV662" s="20"/>
      <c r="AW662" s="229"/>
      <c r="AX662" s="20"/>
      <c r="AY662" s="229"/>
      <c r="AZ662" s="20"/>
      <c r="BA662" s="229"/>
      <c r="BB662" s="20"/>
      <c r="BC662" s="229">
        <f t="shared" ref="BC662:BC668" si="243">AE662+AG662+AI662+AK662+AM662+AO662+AQ662+AS662+AU662+AW662+AY662+BA662</f>
        <v>0</v>
      </c>
      <c r="BD662" s="48">
        <f t="shared" si="234"/>
        <v>0</v>
      </c>
      <c r="BE662" s="19">
        <v>5</v>
      </c>
      <c r="BF662" s="229">
        <f t="shared" ref="BF662:BF668" si="244">AB662+BC662</f>
        <v>0</v>
      </c>
      <c r="BG662" s="210">
        <f t="shared" si="231"/>
        <v>0</v>
      </c>
      <c r="BH662" s="210">
        <f t="shared" si="232"/>
        <v>5</v>
      </c>
      <c r="BI662" s="213">
        <f t="shared" si="241"/>
        <v>0</v>
      </c>
      <c r="BJ662" s="141"/>
      <c r="BK662" s="201"/>
      <c r="BL662" s="198"/>
      <c r="BM662" s="198"/>
    </row>
    <row r="663" spans="1:65" s="17" customFormat="1" ht="15.95" customHeight="1">
      <c r="A663" s="123">
        <v>36</v>
      </c>
      <c r="B663" s="9" t="s">
        <v>1992</v>
      </c>
      <c r="C663" s="11" t="s">
        <v>2256</v>
      </c>
      <c r="D663" s="230"/>
      <c r="E663" s="166"/>
      <c r="F663" s="230"/>
      <c r="G663" s="166"/>
      <c r="H663" s="230"/>
      <c r="I663" s="166"/>
      <c r="J663" s="230"/>
      <c r="K663" s="166"/>
      <c r="L663" s="230"/>
      <c r="M663" s="166"/>
      <c r="N663" s="230"/>
      <c r="O663" s="166"/>
      <c r="P663" s="230"/>
      <c r="Q663" s="166"/>
      <c r="R663" s="230"/>
      <c r="S663" s="166"/>
      <c r="T663" s="230"/>
      <c r="U663" s="166"/>
      <c r="V663" s="230"/>
      <c r="W663" s="166"/>
      <c r="X663" s="230"/>
      <c r="Y663" s="166"/>
      <c r="Z663" s="230"/>
      <c r="AA663" s="166"/>
      <c r="AB663" s="229">
        <f t="shared" si="242"/>
        <v>0</v>
      </c>
      <c r="AC663" s="228">
        <f t="shared" si="233"/>
        <v>0</v>
      </c>
      <c r="AD663" s="167">
        <v>0</v>
      </c>
      <c r="AE663" s="230"/>
      <c r="AF663" s="168"/>
      <c r="AG663" s="230"/>
      <c r="AH663" s="168"/>
      <c r="AI663" s="230"/>
      <c r="AJ663" s="168"/>
      <c r="AK663" s="230"/>
      <c r="AL663" s="168"/>
      <c r="AM663" s="230"/>
      <c r="AN663" s="168"/>
      <c r="AO663" s="230"/>
      <c r="AP663" s="168"/>
      <c r="AQ663" s="230"/>
      <c r="AR663" s="168"/>
      <c r="AS663" s="230"/>
      <c r="AT663" s="168"/>
      <c r="AU663" s="230"/>
      <c r="AV663" s="168"/>
      <c r="AW663" s="230"/>
      <c r="AX663" s="168"/>
      <c r="AY663" s="230"/>
      <c r="AZ663" s="168"/>
      <c r="BA663" s="230"/>
      <c r="BB663" s="168"/>
      <c r="BC663" s="229">
        <f t="shared" si="243"/>
        <v>0</v>
      </c>
      <c r="BD663" s="48">
        <f t="shared" si="234"/>
        <v>0</v>
      </c>
      <c r="BE663" s="169">
        <v>1</v>
      </c>
      <c r="BF663" s="229">
        <f t="shared" si="244"/>
        <v>0</v>
      </c>
      <c r="BG663" s="210">
        <f t="shared" si="231"/>
        <v>0</v>
      </c>
      <c r="BH663" s="214">
        <f t="shared" si="232"/>
        <v>1</v>
      </c>
      <c r="BI663" s="213">
        <f t="shared" si="241"/>
        <v>0</v>
      </c>
      <c r="BJ663" s="170"/>
      <c r="BK663" s="204"/>
      <c r="BL663" s="198"/>
      <c r="BM663" s="198"/>
    </row>
    <row r="664" spans="1:65" s="17" customFormat="1" ht="15.95" customHeight="1">
      <c r="A664" s="123">
        <v>37</v>
      </c>
      <c r="B664" s="9" t="s">
        <v>2875</v>
      </c>
      <c r="C664" s="11" t="s">
        <v>2876</v>
      </c>
      <c r="D664" s="230"/>
      <c r="E664" s="166"/>
      <c r="F664" s="230"/>
      <c r="G664" s="166"/>
      <c r="H664" s="230"/>
      <c r="I664" s="166"/>
      <c r="J664" s="230"/>
      <c r="K664" s="166"/>
      <c r="L664" s="230"/>
      <c r="M664" s="166"/>
      <c r="N664" s="230"/>
      <c r="O664" s="166"/>
      <c r="P664" s="230"/>
      <c r="Q664" s="166"/>
      <c r="R664" s="230"/>
      <c r="S664" s="166"/>
      <c r="T664" s="230"/>
      <c r="U664" s="166"/>
      <c r="V664" s="230"/>
      <c r="W664" s="166"/>
      <c r="X664" s="230"/>
      <c r="Y664" s="166"/>
      <c r="Z664" s="230"/>
      <c r="AA664" s="166"/>
      <c r="AB664" s="229">
        <f t="shared" si="242"/>
        <v>0</v>
      </c>
      <c r="AC664" s="228">
        <f t="shared" si="233"/>
        <v>0</v>
      </c>
      <c r="AD664" s="167">
        <v>0</v>
      </c>
      <c r="AE664" s="230"/>
      <c r="AF664" s="168"/>
      <c r="AG664" s="230"/>
      <c r="AH664" s="168"/>
      <c r="AI664" s="230">
        <v>2</v>
      </c>
      <c r="AJ664" s="166">
        <v>2</v>
      </c>
      <c r="AK664" s="230"/>
      <c r="AL664" s="168"/>
      <c r="AM664" s="230"/>
      <c r="AN664" s="168"/>
      <c r="AO664" s="230">
        <v>1</v>
      </c>
      <c r="AP664" s="168">
        <v>1</v>
      </c>
      <c r="AQ664" s="230"/>
      <c r="AR664" s="168"/>
      <c r="AS664" s="230"/>
      <c r="AT664" s="168"/>
      <c r="AU664" s="230"/>
      <c r="AV664" s="168"/>
      <c r="AW664" s="230"/>
      <c r="AX664" s="168"/>
      <c r="AY664" s="230"/>
      <c r="AZ664" s="168"/>
      <c r="BA664" s="230"/>
      <c r="BB664" s="168"/>
      <c r="BC664" s="229">
        <f t="shared" si="243"/>
        <v>3</v>
      </c>
      <c r="BD664" s="48">
        <f t="shared" si="234"/>
        <v>3</v>
      </c>
      <c r="BE664" s="169">
        <v>0</v>
      </c>
      <c r="BF664" s="229">
        <f t="shared" si="244"/>
        <v>3</v>
      </c>
      <c r="BG664" s="210">
        <f t="shared" si="231"/>
        <v>3</v>
      </c>
      <c r="BH664" s="214">
        <f t="shared" si="232"/>
        <v>0</v>
      </c>
      <c r="BI664" s="213" t="e">
        <f t="shared" si="241"/>
        <v>#DIV/0!</v>
      </c>
      <c r="BJ664" s="170"/>
      <c r="BK664" s="204"/>
      <c r="BL664" s="198"/>
      <c r="BM664" s="198"/>
    </row>
    <row r="665" spans="1:65" s="17" customFormat="1" ht="15.95" customHeight="1">
      <c r="A665" s="123">
        <v>38</v>
      </c>
      <c r="B665" s="9" t="s">
        <v>2874</v>
      </c>
      <c r="C665" s="11" t="s">
        <v>2877</v>
      </c>
      <c r="D665" s="230"/>
      <c r="E665" s="166"/>
      <c r="F665" s="230"/>
      <c r="G665" s="166"/>
      <c r="H665" s="230"/>
      <c r="I665" s="166"/>
      <c r="J665" s="230"/>
      <c r="K665" s="166"/>
      <c r="L665" s="230"/>
      <c r="M665" s="166"/>
      <c r="N665" s="230"/>
      <c r="O665" s="166"/>
      <c r="P665" s="230"/>
      <c r="Q665" s="166"/>
      <c r="R665" s="230"/>
      <c r="S665" s="166"/>
      <c r="T665" s="230"/>
      <c r="U665" s="166"/>
      <c r="V665" s="230"/>
      <c r="W665" s="166"/>
      <c r="X665" s="230"/>
      <c r="Y665" s="166"/>
      <c r="Z665" s="230"/>
      <c r="AA665" s="166"/>
      <c r="AB665" s="229">
        <f t="shared" si="242"/>
        <v>0</v>
      </c>
      <c r="AC665" s="228">
        <f t="shared" si="233"/>
        <v>0</v>
      </c>
      <c r="AD665" s="167">
        <v>0</v>
      </c>
      <c r="AE665" s="230"/>
      <c r="AF665" s="168"/>
      <c r="AG665" s="230"/>
      <c r="AH665" s="168"/>
      <c r="AI665" s="230">
        <v>1</v>
      </c>
      <c r="AJ665" s="166">
        <v>1</v>
      </c>
      <c r="AK665" s="230"/>
      <c r="AL665" s="168"/>
      <c r="AM665" s="230"/>
      <c r="AN665" s="168"/>
      <c r="AO665" s="230"/>
      <c r="AP665" s="168"/>
      <c r="AQ665" s="230"/>
      <c r="AR665" s="168"/>
      <c r="AS665" s="230"/>
      <c r="AT665" s="168"/>
      <c r="AU665" s="230"/>
      <c r="AV665" s="168"/>
      <c r="AW665" s="230"/>
      <c r="AX665" s="168"/>
      <c r="AY665" s="230"/>
      <c r="AZ665" s="168"/>
      <c r="BA665" s="230"/>
      <c r="BB665" s="168"/>
      <c r="BC665" s="229">
        <f t="shared" si="243"/>
        <v>1</v>
      </c>
      <c r="BD665" s="48">
        <f t="shared" si="234"/>
        <v>1</v>
      </c>
      <c r="BE665" s="169">
        <v>0</v>
      </c>
      <c r="BF665" s="229">
        <f t="shared" si="244"/>
        <v>1</v>
      </c>
      <c r="BG665" s="210">
        <f t="shared" ref="BG665:BG696" si="245">AC665+BD665</f>
        <v>1</v>
      </c>
      <c r="BH665" s="214">
        <f t="shared" ref="BH665:BH696" si="246">AD665+BE665</f>
        <v>0</v>
      </c>
      <c r="BI665" s="213" t="e">
        <f t="shared" si="241"/>
        <v>#DIV/0!</v>
      </c>
      <c r="BJ665" s="170"/>
      <c r="BK665" s="204"/>
      <c r="BL665" s="198"/>
      <c r="BM665" s="198"/>
    </row>
    <row r="666" spans="1:65" s="17" customFormat="1" ht="20.100000000000001" customHeight="1">
      <c r="A666" s="123">
        <v>39</v>
      </c>
      <c r="B666" s="9" t="s">
        <v>1516</v>
      </c>
      <c r="C666" s="10" t="s">
        <v>1517</v>
      </c>
      <c r="D666" s="229"/>
      <c r="E666" s="13"/>
      <c r="F666" s="229"/>
      <c r="G666" s="13"/>
      <c r="H666" s="229"/>
      <c r="I666" s="13"/>
      <c r="J666" s="229"/>
      <c r="K666" s="13"/>
      <c r="L666" s="229"/>
      <c r="M666" s="13"/>
      <c r="N666" s="229"/>
      <c r="O666" s="13"/>
      <c r="P666" s="229"/>
      <c r="Q666" s="13"/>
      <c r="R666" s="229"/>
      <c r="S666" s="13"/>
      <c r="T666" s="229"/>
      <c r="U666" s="13"/>
      <c r="V666" s="229"/>
      <c r="W666" s="13"/>
      <c r="X666" s="229"/>
      <c r="Y666" s="13"/>
      <c r="Z666" s="229"/>
      <c r="AA666" s="13"/>
      <c r="AB666" s="229">
        <f t="shared" si="242"/>
        <v>0</v>
      </c>
      <c r="AC666" s="228">
        <f t="shared" ref="AC666:AC697" si="247">E666+G666+I666+K666+M666+O666+Q666+S666+U666+W666+Y666+AA666</f>
        <v>0</v>
      </c>
      <c r="AD666" s="21">
        <v>0</v>
      </c>
      <c r="AE666" s="229"/>
      <c r="AF666" s="20"/>
      <c r="AG666" s="229"/>
      <c r="AH666" s="20"/>
      <c r="AI666" s="229">
        <v>1</v>
      </c>
      <c r="AJ666" s="20">
        <v>1</v>
      </c>
      <c r="AK666" s="229"/>
      <c r="AL666" s="20"/>
      <c r="AM666" s="229"/>
      <c r="AN666" s="20"/>
      <c r="AO666" s="229">
        <v>1</v>
      </c>
      <c r="AP666" s="20">
        <v>1</v>
      </c>
      <c r="AQ666" s="229"/>
      <c r="AR666" s="20"/>
      <c r="AS666" s="229"/>
      <c r="AT666" s="20"/>
      <c r="AU666" s="229"/>
      <c r="AV666" s="20"/>
      <c r="AW666" s="229"/>
      <c r="AX666" s="20"/>
      <c r="AY666" s="229"/>
      <c r="AZ666" s="20"/>
      <c r="BA666" s="229"/>
      <c r="BB666" s="20"/>
      <c r="BC666" s="229">
        <f t="shared" si="243"/>
        <v>2</v>
      </c>
      <c r="BD666" s="48">
        <f t="shared" ref="BD666:BD697" si="248">AF666+AH666+AJ666+AL666+AN666+AP666+AR666+AT666+AV666+AX666+AZ666+BB666</f>
        <v>2</v>
      </c>
      <c r="BE666" s="19">
        <v>1</v>
      </c>
      <c r="BF666" s="229">
        <f t="shared" si="244"/>
        <v>2</v>
      </c>
      <c r="BG666" s="210">
        <f t="shared" si="245"/>
        <v>2</v>
      </c>
      <c r="BH666" s="210">
        <f t="shared" si="246"/>
        <v>1</v>
      </c>
      <c r="BI666" s="213">
        <f t="shared" si="241"/>
        <v>200</v>
      </c>
      <c r="BJ666" s="141"/>
      <c r="BK666" s="201"/>
      <c r="BL666" s="198"/>
      <c r="BM666" s="198"/>
    </row>
    <row r="667" spans="1:65" s="17" customFormat="1" ht="15.95" customHeight="1">
      <c r="A667" s="123">
        <v>40</v>
      </c>
      <c r="B667" s="9" t="s">
        <v>353</v>
      </c>
      <c r="C667" s="11" t="s">
        <v>2475</v>
      </c>
      <c r="D667" s="229"/>
      <c r="E667" s="13"/>
      <c r="F667" s="229"/>
      <c r="G667" s="13"/>
      <c r="H667" s="229"/>
      <c r="I667" s="13"/>
      <c r="J667" s="229"/>
      <c r="K667" s="13"/>
      <c r="L667" s="229"/>
      <c r="M667" s="13"/>
      <c r="N667" s="229"/>
      <c r="O667" s="13"/>
      <c r="P667" s="229"/>
      <c r="Q667" s="13"/>
      <c r="R667" s="229"/>
      <c r="S667" s="13"/>
      <c r="T667" s="229"/>
      <c r="U667" s="13"/>
      <c r="V667" s="229"/>
      <c r="W667" s="13"/>
      <c r="X667" s="229"/>
      <c r="Y667" s="13"/>
      <c r="Z667" s="229"/>
      <c r="AA667" s="13"/>
      <c r="AB667" s="229">
        <f t="shared" si="242"/>
        <v>0</v>
      </c>
      <c r="AC667" s="228">
        <f t="shared" si="247"/>
        <v>0</v>
      </c>
      <c r="AD667" s="21">
        <v>0</v>
      </c>
      <c r="AE667" s="229"/>
      <c r="AF667" s="20"/>
      <c r="AG667" s="229"/>
      <c r="AH667" s="20"/>
      <c r="AI667" s="229">
        <v>3</v>
      </c>
      <c r="AJ667" s="20">
        <v>3</v>
      </c>
      <c r="AK667" s="229"/>
      <c r="AL667" s="20"/>
      <c r="AM667" s="229"/>
      <c r="AN667" s="20"/>
      <c r="AO667" s="229">
        <v>2</v>
      </c>
      <c r="AP667" s="20">
        <v>2</v>
      </c>
      <c r="AQ667" s="229"/>
      <c r="AR667" s="20"/>
      <c r="AS667" s="229"/>
      <c r="AT667" s="20"/>
      <c r="AU667" s="229"/>
      <c r="AV667" s="20">
        <v>2</v>
      </c>
      <c r="AW667" s="229"/>
      <c r="AX667" s="20"/>
      <c r="AY667" s="229"/>
      <c r="AZ667" s="20"/>
      <c r="BA667" s="229"/>
      <c r="BB667" s="20"/>
      <c r="BC667" s="229">
        <f t="shared" si="243"/>
        <v>5</v>
      </c>
      <c r="BD667" s="48">
        <f t="shared" si="248"/>
        <v>7</v>
      </c>
      <c r="BE667" s="19">
        <v>2</v>
      </c>
      <c r="BF667" s="229">
        <f t="shared" si="244"/>
        <v>5</v>
      </c>
      <c r="BG667" s="210">
        <f t="shared" si="245"/>
        <v>7</v>
      </c>
      <c r="BH667" s="210">
        <f t="shared" si="246"/>
        <v>2</v>
      </c>
      <c r="BI667" s="213">
        <f t="shared" si="241"/>
        <v>350</v>
      </c>
      <c r="BJ667" s="141"/>
      <c r="BK667" s="201"/>
      <c r="BL667" s="198"/>
      <c r="BM667" s="198"/>
    </row>
    <row r="668" spans="1:65" s="17" customFormat="1" ht="15.95" customHeight="1">
      <c r="A668" s="123">
        <v>41</v>
      </c>
      <c r="B668" s="9" t="s">
        <v>354</v>
      </c>
      <c r="C668" s="11" t="s">
        <v>355</v>
      </c>
      <c r="D668" s="229"/>
      <c r="E668" s="13"/>
      <c r="F668" s="229"/>
      <c r="G668" s="13"/>
      <c r="H668" s="229"/>
      <c r="I668" s="13"/>
      <c r="J668" s="229"/>
      <c r="K668" s="13"/>
      <c r="L668" s="229"/>
      <c r="M668" s="13"/>
      <c r="N668" s="229"/>
      <c r="O668" s="13"/>
      <c r="P668" s="229"/>
      <c r="Q668" s="13"/>
      <c r="R668" s="229"/>
      <c r="S668" s="13"/>
      <c r="T668" s="229"/>
      <c r="U668" s="13"/>
      <c r="V668" s="229"/>
      <c r="W668" s="13"/>
      <c r="X668" s="229"/>
      <c r="Y668" s="13"/>
      <c r="Z668" s="229"/>
      <c r="AA668" s="13"/>
      <c r="AB668" s="229">
        <f t="shared" si="242"/>
        <v>0</v>
      </c>
      <c r="AC668" s="228">
        <f t="shared" si="247"/>
        <v>0</v>
      </c>
      <c r="AD668" s="21">
        <v>0</v>
      </c>
      <c r="AE668" s="229"/>
      <c r="AF668" s="20"/>
      <c r="AG668" s="229"/>
      <c r="AH668" s="20"/>
      <c r="AI668" s="229">
        <v>1</v>
      </c>
      <c r="AJ668" s="20">
        <v>1</v>
      </c>
      <c r="AK668" s="229"/>
      <c r="AL668" s="20"/>
      <c r="AM668" s="229"/>
      <c r="AN668" s="20"/>
      <c r="AO668" s="229">
        <v>2</v>
      </c>
      <c r="AP668" s="20">
        <v>2</v>
      </c>
      <c r="AQ668" s="229"/>
      <c r="AR668" s="20"/>
      <c r="AS668" s="229"/>
      <c r="AT668" s="20"/>
      <c r="AU668" s="229"/>
      <c r="AV668" s="20">
        <v>2</v>
      </c>
      <c r="AW668" s="229"/>
      <c r="AX668" s="20"/>
      <c r="AY668" s="229"/>
      <c r="AZ668" s="20"/>
      <c r="BA668" s="229"/>
      <c r="BB668" s="20">
        <v>1</v>
      </c>
      <c r="BC668" s="229">
        <f t="shared" si="243"/>
        <v>3</v>
      </c>
      <c r="BD668" s="48">
        <f t="shared" si="248"/>
        <v>6</v>
      </c>
      <c r="BE668" s="19">
        <v>1</v>
      </c>
      <c r="BF668" s="229">
        <f t="shared" si="244"/>
        <v>3</v>
      </c>
      <c r="BG668" s="210">
        <f t="shared" si="245"/>
        <v>6</v>
      </c>
      <c r="BH668" s="210">
        <f t="shared" si="246"/>
        <v>1</v>
      </c>
      <c r="BI668" s="213">
        <f t="shared" si="241"/>
        <v>600</v>
      </c>
      <c r="BJ668" s="141"/>
      <c r="BK668" s="201"/>
      <c r="BL668" s="198"/>
      <c r="BM668" s="198"/>
    </row>
    <row r="669" spans="1:65" s="17" customFormat="1" ht="21.95" customHeight="1">
      <c r="A669" s="123">
        <v>42</v>
      </c>
      <c r="B669" s="9" t="s">
        <v>3131</v>
      </c>
      <c r="C669" s="10" t="s">
        <v>3132</v>
      </c>
      <c r="D669" s="229"/>
      <c r="E669" s="13"/>
      <c r="F669" s="229"/>
      <c r="G669" s="13"/>
      <c r="H669" s="229"/>
      <c r="I669" s="13"/>
      <c r="J669" s="229"/>
      <c r="K669" s="13"/>
      <c r="L669" s="229"/>
      <c r="M669" s="13"/>
      <c r="N669" s="229"/>
      <c r="O669" s="13"/>
      <c r="P669" s="229"/>
      <c r="Q669" s="13"/>
      <c r="R669" s="229"/>
      <c r="S669" s="13"/>
      <c r="T669" s="229"/>
      <c r="U669" s="13"/>
      <c r="V669" s="229"/>
      <c r="W669" s="13"/>
      <c r="X669" s="229"/>
      <c r="Y669" s="13"/>
      <c r="Z669" s="229"/>
      <c r="AA669" s="13"/>
      <c r="AB669" s="229"/>
      <c r="AC669" s="228">
        <f t="shared" si="247"/>
        <v>0</v>
      </c>
      <c r="AD669" s="19">
        <v>0</v>
      </c>
      <c r="AE669" s="229"/>
      <c r="AF669" s="20"/>
      <c r="AG669" s="229"/>
      <c r="AH669" s="20"/>
      <c r="AI669" s="229"/>
      <c r="AJ669" s="20"/>
      <c r="AK669" s="229"/>
      <c r="AL669" s="20"/>
      <c r="AM669" s="229"/>
      <c r="AN669" s="20"/>
      <c r="AO669" s="229"/>
      <c r="AP669" s="20">
        <v>1</v>
      </c>
      <c r="AQ669" s="229"/>
      <c r="AR669" s="20"/>
      <c r="AS669" s="229"/>
      <c r="AT669" s="20"/>
      <c r="AU669" s="229"/>
      <c r="AV669" s="20">
        <v>1</v>
      </c>
      <c r="AW669" s="229"/>
      <c r="AX669" s="20"/>
      <c r="AY669" s="229"/>
      <c r="AZ669" s="20"/>
      <c r="BA669" s="229"/>
      <c r="BB669" s="20"/>
      <c r="BC669" s="229"/>
      <c r="BD669" s="48">
        <f t="shared" si="248"/>
        <v>2</v>
      </c>
      <c r="BE669" s="19">
        <v>0</v>
      </c>
      <c r="BF669" s="229"/>
      <c r="BG669" s="210">
        <f t="shared" si="245"/>
        <v>2</v>
      </c>
      <c r="BH669" s="210">
        <f t="shared" si="246"/>
        <v>0</v>
      </c>
      <c r="BI669" s="213" t="e">
        <f t="shared" si="241"/>
        <v>#DIV/0!</v>
      </c>
      <c r="BJ669" s="141"/>
      <c r="BK669" s="201"/>
      <c r="BL669" s="198"/>
      <c r="BM669" s="198"/>
    </row>
    <row r="670" spans="1:65" s="17" customFormat="1" ht="21.95" customHeight="1">
      <c r="A670" s="123">
        <v>43</v>
      </c>
      <c r="B670" s="9" t="s">
        <v>2878</v>
      </c>
      <c r="C670" s="10" t="s">
        <v>2879</v>
      </c>
      <c r="D670" s="229"/>
      <c r="E670" s="13"/>
      <c r="F670" s="229"/>
      <c r="G670" s="13"/>
      <c r="H670" s="229"/>
      <c r="I670" s="13"/>
      <c r="J670" s="229"/>
      <c r="K670" s="13"/>
      <c r="L670" s="229"/>
      <c r="M670" s="13"/>
      <c r="N670" s="229"/>
      <c r="O670" s="13"/>
      <c r="P670" s="229"/>
      <c r="Q670" s="13"/>
      <c r="R670" s="229"/>
      <c r="S670" s="13"/>
      <c r="T670" s="229"/>
      <c r="U670" s="13"/>
      <c r="V670" s="229"/>
      <c r="W670" s="13"/>
      <c r="X670" s="229"/>
      <c r="Y670" s="13"/>
      <c r="Z670" s="229"/>
      <c r="AA670" s="13"/>
      <c r="AB670" s="229">
        <f>D670+F670+H670+J670+L670+N670+P670+R670+T670+V670+X670+Z670</f>
        <v>0</v>
      </c>
      <c r="AC670" s="228">
        <f t="shared" si="247"/>
        <v>0</v>
      </c>
      <c r="AD670" s="21">
        <v>0</v>
      </c>
      <c r="AE670" s="229"/>
      <c r="AF670" s="20"/>
      <c r="AG670" s="229"/>
      <c r="AH670" s="20"/>
      <c r="AI670" s="229">
        <v>1</v>
      </c>
      <c r="AJ670" s="13">
        <v>1</v>
      </c>
      <c r="AK670" s="229"/>
      <c r="AL670" s="20"/>
      <c r="AM670" s="229"/>
      <c r="AN670" s="20"/>
      <c r="AO670" s="229"/>
      <c r="AP670" s="20"/>
      <c r="AQ670" s="229"/>
      <c r="AR670" s="20"/>
      <c r="AS670" s="229"/>
      <c r="AT670" s="20"/>
      <c r="AU670" s="229"/>
      <c r="AV670" s="20"/>
      <c r="AW670" s="229"/>
      <c r="AX670" s="20"/>
      <c r="AY670" s="229"/>
      <c r="AZ670" s="20"/>
      <c r="BA670" s="229"/>
      <c r="BB670" s="20"/>
      <c r="BC670" s="229">
        <f>AE670+AG670+AI670+AK670+AM670+AO670+AQ670+AS670+AU670+AW670+AY670+BA670</f>
        <v>1</v>
      </c>
      <c r="BD670" s="48">
        <f t="shared" si="248"/>
        <v>1</v>
      </c>
      <c r="BE670" s="19">
        <v>0</v>
      </c>
      <c r="BF670" s="229">
        <f>AB670+BC670</f>
        <v>1</v>
      </c>
      <c r="BG670" s="210">
        <f t="shared" si="245"/>
        <v>1</v>
      </c>
      <c r="BH670" s="210">
        <f t="shared" si="246"/>
        <v>0</v>
      </c>
      <c r="BI670" s="213" t="e">
        <f t="shared" si="241"/>
        <v>#DIV/0!</v>
      </c>
      <c r="BJ670" s="141"/>
      <c r="BK670" s="201"/>
      <c r="BL670" s="198"/>
      <c r="BM670" s="198"/>
    </row>
    <row r="671" spans="1:65" s="17" customFormat="1" ht="15.95" customHeight="1">
      <c r="A671" s="123">
        <v>44</v>
      </c>
      <c r="B671" s="9" t="s">
        <v>356</v>
      </c>
      <c r="C671" s="181" t="s">
        <v>357</v>
      </c>
      <c r="D671" s="229"/>
      <c r="E671" s="13"/>
      <c r="F671" s="229"/>
      <c r="G671" s="13"/>
      <c r="H671" s="229"/>
      <c r="I671" s="13"/>
      <c r="J671" s="229"/>
      <c r="K671" s="13"/>
      <c r="L671" s="229"/>
      <c r="M671" s="13"/>
      <c r="N671" s="229"/>
      <c r="O671" s="13"/>
      <c r="P671" s="229"/>
      <c r="Q671" s="13"/>
      <c r="R671" s="229"/>
      <c r="S671" s="13"/>
      <c r="T671" s="229"/>
      <c r="U671" s="13"/>
      <c r="V671" s="229"/>
      <c r="W671" s="13"/>
      <c r="X671" s="229"/>
      <c r="Y671" s="13"/>
      <c r="Z671" s="229"/>
      <c r="AA671" s="13"/>
      <c r="AB671" s="229">
        <f>D671+F671+H671+J671+L671+N671+P671+R671+T671+V671+X671+Z671</f>
        <v>0</v>
      </c>
      <c r="AC671" s="228">
        <f t="shared" si="247"/>
        <v>0</v>
      </c>
      <c r="AD671" s="21">
        <v>0</v>
      </c>
      <c r="AE671" s="229"/>
      <c r="AF671" s="20"/>
      <c r="AG671" s="229"/>
      <c r="AH671" s="20"/>
      <c r="AI671" s="229">
        <v>2</v>
      </c>
      <c r="AJ671" s="20">
        <v>2</v>
      </c>
      <c r="AK671" s="229"/>
      <c r="AL671" s="20"/>
      <c r="AM671" s="229"/>
      <c r="AN671" s="20"/>
      <c r="AO671" s="229">
        <v>4</v>
      </c>
      <c r="AP671" s="20">
        <v>4</v>
      </c>
      <c r="AQ671" s="229"/>
      <c r="AR671" s="20"/>
      <c r="AS671" s="229"/>
      <c r="AT671" s="20"/>
      <c r="AU671" s="229"/>
      <c r="AV671" s="20">
        <v>3</v>
      </c>
      <c r="AW671" s="229"/>
      <c r="AX671" s="20"/>
      <c r="AY671" s="229"/>
      <c r="AZ671" s="20"/>
      <c r="BA671" s="229"/>
      <c r="BB671" s="20">
        <v>2</v>
      </c>
      <c r="BC671" s="229">
        <f>AE671+AG671+AI671+AK671+AM671+AO671+AQ671+AS671+AU671+AW671+AY671+BA671</f>
        <v>6</v>
      </c>
      <c r="BD671" s="48">
        <f t="shared" si="248"/>
        <v>11</v>
      </c>
      <c r="BE671" s="19">
        <v>4</v>
      </c>
      <c r="BF671" s="229">
        <f>AB671+BC671</f>
        <v>6</v>
      </c>
      <c r="BG671" s="210">
        <f t="shared" si="245"/>
        <v>11</v>
      </c>
      <c r="BH671" s="210">
        <f t="shared" si="246"/>
        <v>4</v>
      </c>
      <c r="BI671" s="213">
        <f t="shared" si="241"/>
        <v>275</v>
      </c>
      <c r="BJ671" s="141"/>
      <c r="BK671" s="201"/>
      <c r="BL671" s="198"/>
      <c r="BM671" s="198"/>
    </row>
    <row r="672" spans="1:65" s="17" customFormat="1" ht="15.95" customHeight="1">
      <c r="A672" s="123">
        <v>45</v>
      </c>
      <c r="B672" s="9" t="s">
        <v>3133</v>
      </c>
      <c r="C672" s="189" t="s">
        <v>3134</v>
      </c>
      <c r="D672" s="229"/>
      <c r="E672" s="13"/>
      <c r="F672" s="229"/>
      <c r="G672" s="13"/>
      <c r="H672" s="229"/>
      <c r="I672" s="13"/>
      <c r="J672" s="229"/>
      <c r="K672" s="13"/>
      <c r="L672" s="229"/>
      <c r="M672" s="13"/>
      <c r="N672" s="229"/>
      <c r="O672" s="13"/>
      <c r="P672" s="229"/>
      <c r="Q672" s="13"/>
      <c r="R672" s="229"/>
      <c r="S672" s="13"/>
      <c r="T672" s="229"/>
      <c r="U672" s="13"/>
      <c r="V672" s="229"/>
      <c r="W672" s="13"/>
      <c r="X672" s="229"/>
      <c r="Y672" s="13"/>
      <c r="Z672" s="229"/>
      <c r="AA672" s="13"/>
      <c r="AB672" s="229"/>
      <c r="AC672" s="228">
        <f t="shared" si="247"/>
        <v>0</v>
      </c>
      <c r="AD672" s="21">
        <v>0</v>
      </c>
      <c r="AE672" s="229"/>
      <c r="AF672" s="20"/>
      <c r="AG672" s="229"/>
      <c r="AH672" s="20"/>
      <c r="AI672" s="229"/>
      <c r="AJ672" s="20"/>
      <c r="AK672" s="229"/>
      <c r="AL672" s="20"/>
      <c r="AM672" s="229"/>
      <c r="AN672" s="20"/>
      <c r="AO672" s="229"/>
      <c r="AP672" s="20">
        <v>1</v>
      </c>
      <c r="AQ672" s="229"/>
      <c r="AR672" s="20"/>
      <c r="AS672" s="229"/>
      <c r="AT672" s="20"/>
      <c r="AU672" s="229"/>
      <c r="AV672" s="20">
        <v>1</v>
      </c>
      <c r="AW672" s="229"/>
      <c r="AX672" s="20"/>
      <c r="AY672" s="229"/>
      <c r="AZ672" s="20"/>
      <c r="BA672" s="229"/>
      <c r="BB672" s="20">
        <v>1</v>
      </c>
      <c r="BC672" s="229"/>
      <c r="BD672" s="48">
        <f t="shared" si="248"/>
        <v>3</v>
      </c>
      <c r="BE672" s="19">
        <v>0</v>
      </c>
      <c r="BF672" s="229"/>
      <c r="BG672" s="210">
        <f t="shared" si="245"/>
        <v>3</v>
      </c>
      <c r="BH672" s="210">
        <f t="shared" si="246"/>
        <v>0</v>
      </c>
      <c r="BI672" s="213" t="e">
        <f t="shared" si="241"/>
        <v>#DIV/0!</v>
      </c>
      <c r="BJ672" s="141"/>
      <c r="BK672" s="201"/>
      <c r="BL672" s="198"/>
      <c r="BM672" s="198"/>
    </row>
    <row r="673" spans="1:65" s="17" customFormat="1" ht="21.95" customHeight="1">
      <c r="A673" s="123">
        <v>46</v>
      </c>
      <c r="B673" s="9" t="s">
        <v>2291</v>
      </c>
      <c r="C673" s="10" t="s">
        <v>2292</v>
      </c>
      <c r="D673" s="229"/>
      <c r="E673" s="13"/>
      <c r="F673" s="229"/>
      <c r="G673" s="13"/>
      <c r="H673" s="229"/>
      <c r="I673" s="13"/>
      <c r="J673" s="229"/>
      <c r="K673" s="13"/>
      <c r="L673" s="229"/>
      <c r="M673" s="13"/>
      <c r="N673" s="229"/>
      <c r="O673" s="13"/>
      <c r="P673" s="229"/>
      <c r="Q673" s="13"/>
      <c r="R673" s="229"/>
      <c r="S673" s="13"/>
      <c r="T673" s="229"/>
      <c r="U673" s="13"/>
      <c r="V673" s="229"/>
      <c r="W673" s="13"/>
      <c r="X673" s="229"/>
      <c r="Y673" s="13"/>
      <c r="Z673" s="229"/>
      <c r="AA673" s="13"/>
      <c r="AB673" s="229">
        <f t="shared" ref="AB673:AB699" si="249">D673+F673+H673+J673+L673+N673+P673+R673+T673+V673+X673+Z673</f>
        <v>0</v>
      </c>
      <c r="AC673" s="228">
        <f t="shared" si="247"/>
        <v>0</v>
      </c>
      <c r="AD673" s="19">
        <v>0</v>
      </c>
      <c r="AE673" s="229"/>
      <c r="AF673" s="20"/>
      <c r="AG673" s="229"/>
      <c r="AH673" s="20"/>
      <c r="AI673" s="229"/>
      <c r="AJ673" s="20"/>
      <c r="AK673" s="229"/>
      <c r="AL673" s="20"/>
      <c r="AM673" s="229"/>
      <c r="AN673" s="20"/>
      <c r="AO673" s="229">
        <v>2</v>
      </c>
      <c r="AP673" s="20">
        <v>2</v>
      </c>
      <c r="AQ673" s="229"/>
      <c r="AR673" s="20"/>
      <c r="AS673" s="229"/>
      <c r="AT673" s="20"/>
      <c r="AU673" s="229"/>
      <c r="AV673" s="20"/>
      <c r="AW673" s="229"/>
      <c r="AX673" s="20"/>
      <c r="AY673" s="229"/>
      <c r="AZ673" s="20"/>
      <c r="BA673" s="229"/>
      <c r="BB673" s="20"/>
      <c r="BC673" s="229">
        <f t="shared" ref="BC673:BC699" si="250">AE673+AG673+AI673+AK673+AM673+AO673+AQ673+AS673+AU673+AW673+AY673+BA673</f>
        <v>2</v>
      </c>
      <c r="BD673" s="48">
        <f t="shared" si="248"/>
        <v>2</v>
      </c>
      <c r="BE673" s="19">
        <v>3</v>
      </c>
      <c r="BF673" s="229">
        <f t="shared" ref="BF673:BF699" si="251">AB673+BC673</f>
        <v>2</v>
      </c>
      <c r="BG673" s="210">
        <f t="shared" si="245"/>
        <v>2</v>
      </c>
      <c r="BH673" s="210">
        <f t="shared" si="246"/>
        <v>3</v>
      </c>
      <c r="BI673" s="213">
        <f t="shared" si="241"/>
        <v>66.666666666666657</v>
      </c>
      <c r="BJ673" s="141"/>
      <c r="BK673" s="201"/>
      <c r="BL673" s="198"/>
      <c r="BM673" s="198"/>
    </row>
    <row r="674" spans="1:65" s="17" customFormat="1" ht="15.95" customHeight="1">
      <c r="A674" s="123">
        <v>47</v>
      </c>
      <c r="B674" s="9" t="s">
        <v>358</v>
      </c>
      <c r="C674" s="11" t="s">
        <v>2474</v>
      </c>
      <c r="D674" s="229"/>
      <c r="E674" s="13"/>
      <c r="F674" s="229"/>
      <c r="G674" s="13"/>
      <c r="H674" s="229"/>
      <c r="I674" s="13"/>
      <c r="J674" s="229"/>
      <c r="K674" s="13"/>
      <c r="L674" s="229"/>
      <c r="M674" s="13"/>
      <c r="N674" s="229"/>
      <c r="O674" s="13"/>
      <c r="P674" s="229"/>
      <c r="Q674" s="13"/>
      <c r="R674" s="229"/>
      <c r="S674" s="13"/>
      <c r="T674" s="229"/>
      <c r="U674" s="13"/>
      <c r="V674" s="229"/>
      <c r="W674" s="13"/>
      <c r="X674" s="229"/>
      <c r="Y674" s="13"/>
      <c r="Z674" s="229"/>
      <c r="AA674" s="13"/>
      <c r="AB674" s="229">
        <f t="shared" si="249"/>
        <v>0</v>
      </c>
      <c r="AC674" s="228">
        <f t="shared" si="247"/>
        <v>0</v>
      </c>
      <c r="AD674" s="21">
        <v>0</v>
      </c>
      <c r="AE674" s="229"/>
      <c r="AF674" s="20"/>
      <c r="AG674" s="229"/>
      <c r="AH674" s="20"/>
      <c r="AI674" s="229">
        <v>1</v>
      </c>
      <c r="AJ674" s="20">
        <v>1</v>
      </c>
      <c r="AK674" s="229"/>
      <c r="AL674" s="20"/>
      <c r="AM674" s="229"/>
      <c r="AN674" s="20"/>
      <c r="AO674" s="229"/>
      <c r="AP674" s="20"/>
      <c r="AQ674" s="229"/>
      <c r="AR674" s="20"/>
      <c r="AS674" s="229"/>
      <c r="AT674" s="20"/>
      <c r="AU674" s="229"/>
      <c r="AV674" s="20"/>
      <c r="AW674" s="229"/>
      <c r="AX674" s="20"/>
      <c r="AY674" s="229"/>
      <c r="AZ674" s="20"/>
      <c r="BA674" s="229"/>
      <c r="BB674" s="20"/>
      <c r="BC674" s="229">
        <f t="shared" si="250"/>
        <v>1</v>
      </c>
      <c r="BD674" s="48">
        <f t="shared" si="248"/>
        <v>1</v>
      </c>
      <c r="BE674" s="19">
        <v>1</v>
      </c>
      <c r="BF674" s="229">
        <f t="shared" si="251"/>
        <v>1</v>
      </c>
      <c r="BG674" s="210">
        <f t="shared" si="245"/>
        <v>1</v>
      </c>
      <c r="BH674" s="210">
        <f t="shared" si="246"/>
        <v>1</v>
      </c>
      <c r="BI674" s="213">
        <f t="shared" si="241"/>
        <v>100</v>
      </c>
      <c r="BJ674" s="141"/>
      <c r="BK674" s="201"/>
      <c r="BL674" s="198"/>
      <c r="BM674" s="198"/>
    </row>
    <row r="675" spans="1:65" s="17" customFormat="1" ht="15.95" customHeight="1">
      <c r="A675" s="123">
        <v>48</v>
      </c>
      <c r="B675" s="9" t="s">
        <v>359</v>
      </c>
      <c r="C675" s="11" t="s">
        <v>360</v>
      </c>
      <c r="D675" s="229"/>
      <c r="E675" s="13"/>
      <c r="F675" s="229"/>
      <c r="G675" s="13"/>
      <c r="H675" s="229"/>
      <c r="I675" s="13"/>
      <c r="J675" s="229"/>
      <c r="K675" s="13"/>
      <c r="L675" s="229"/>
      <c r="M675" s="13"/>
      <c r="N675" s="229"/>
      <c r="O675" s="13"/>
      <c r="P675" s="229"/>
      <c r="Q675" s="13"/>
      <c r="R675" s="229"/>
      <c r="S675" s="13"/>
      <c r="T675" s="229"/>
      <c r="U675" s="13"/>
      <c r="V675" s="229"/>
      <c r="W675" s="13"/>
      <c r="X675" s="229"/>
      <c r="Y675" s="13"/>
      <c r="Z675" s="229"/>
      <c r="AA675" s="13"/>
      <c r="AB675" s="229">
        <f t="shared" si="249"/>
        <v>0</v>
      </c>
      <c r="AC675" s="228">
        <f t="shared" si="247"/>
        <v>0</v>
      </c>
      <c r="AD675" s="21">
        <v>0</v>
      </c>
      <c r="AE675" s="229"/>
      <c r="AF675" s="20"/>
      <c r="AG675" s="229"/>
      <c r="AH675" s="20"/>
      <c r="AI675" s="229">
        <v>2</v>
      </c>
      <c r="AJ675" s="20">
        <v>2</v>
      </c>
      <c r="AK675" s="229"/>
      <c r="AL675" s="20"/>
      <c r="AM675" s="229"/>
      <c r="AN675" s="20"/>
      <c r="AO675" s="229"/>
      <c r="AP675" s="20"/>
      <c r="AQ675" s="229"/>
      <c r="AR675" s="20"/>
      <c r="AS675" s="229"/>
      <c r="AT675" s="20"/>
      <c r="AU675" s="229"/>
      <c r="AV675" s="20">
        <v>2</v>
      </c>
      <c r="AW675" s="229"/>
      <c r="AX675" s="20"/>
      <c r="AY675" s="229"/>
      <c r="AZ675" s="20"/>
      <c r="BA675" s="229"/>
      <c r="BB675" s="20">
        <v>2</v>
      </c>
      <c r="BC675" s="229">
        <f t="shared" si="250"/>
        <v>2</v>
      </c>
      <c r="BD675" s="48">
        <f t="shared" si="248"/>
        <v>6</v>
      </c>
      <c r="BE675" s="19">
        <v>1</v>
      </c>
      <c r="BF675" s="229">
        <f t="shared" si="251"/>
        <v>2</v>
      </c>
      <c r="BG675" s="210">
        <f t="shared" si="245"/>
        <v>6</v>
      </c>
      <c r="BH675" s="210">
        <f t="shared" si="246"/>
        <v>1</v>
      </c>
      <c r="BI675" s="213">
        <f t="shared" si="241"/>
        <v>600</v>
      </c>
      <c r="BJ675" s="141"/>
      <c r="BK675" s="201"/>
      <c r="BL675" s="198"/>
      <c r="BM675" s="198"/>
    </row>
    <row r="676" spans="1:65" s="17" customFormat="1" ht="15.95" customHeight="1">
      <c r="A676" s="123">
        <v>49</v>
      </c>
      <c r="B676" s="9" t="s">
        <v>1348</v>
      </c>
      <c r="C676" s="11" t="s">
        <v>2473</v>
      </c>
      <c r="D676" s="229"/>
      <c r="E676" s="13"/>
      <c r="F676" s="229"/>
      <c r="G676" s="13"/>
      <c r="H676" s="229"/>
      <c r="I676" s="13"/>
      <c r="J676" s="229"/>
      <c r="K676" s="13"/>
      <c r="L676" s="229"/>
      <c r="M676" s="13"/>
      <c r="N676" s="229"/>
      <c r="O676" s="13"/>
      <c r="P676" s="229"/>
      <c r="Q676" s="13"/>
      <c r="R676" s="229"/>
      <c r="S676" s="13"/>
      <c r="T676" s="229"/>
      <c r="U676" s="13"/>
      <c r="V676" s="229"/>
      <c r="W676" s="13"/>
      <c r="X676" s="229"/>
      <c r="Y676" s="13"/>
      <c r="Z676" s="229"/>
      <c r="AA676" s="13"/>
      <c r="AB676" s="229">
        <f t="shared" si="249"/>
        <v>0</v>
      </c>
      <c r="AC676" s="228">
        <f t="shared" si="247"/>
        <v>0</v>
      </c>
      <c r="AD676" s="21">
        <v>0</v>
      </c>
      <c r="AE676" s="229"/>
      <c r="AF676" s="20"/>
      <c r="AG676" s="229"/>
      <c r="AH676" s="20"/>
      <c r="AI676" s="229">
        <v>1</v>
      </c>
      <c r="AJ676" s="20">
        <v>1</v>
      </c>
      <c r="AK676" s="229"/>
      <c r="AL676" s="20"/>
      <c r="AM676" s="229"/>
      <c r="AN676" s="20"/>
      <c r="AO676" s="229">
        <v>1</v>
      </c>
      <c r="AP676" s="20">
        <v>1</v>
      </c>
      <c r="AQ676" s="229"/>
      <c r="AR676" s="20"/>
      <c r="AS676" s="229"/>
      <c r="AT676" s="20"/>
      <c r="AU676" s="229"/>
      <c r="AV676" s="20">
        <v>1</v>
      </c>
      <c r="AW676" s="229"/>
      <c r="AX676" s="20"/>
      <c r="AY676" s="229"/>
      <c r="AZ676" s="20"/>
      <c r="BA676" s="229"/>
      <c r="BB676" s="20">
        <v>1</v>
      </c>
      <c r="BC676" s="229">
        <f t="shared" si="250"/>
        <v>2</v>
      </c>
      <c r="BD676" s="48">
        <f t="shared" si="248"/>
        <v>4</v>
      </c>
      <c r="BE676" s="19">
        <v>1</v>
      </c>
      <c r="BF676" s="229">
        <f t="shared" si="251"/>
        <v>2</v>
      </c>
      <c r="BG676" s="210">
        <f t="shared" si="245"/>
        <v>4</v>
      </c>
      <c r="BH676" s="210">
        <f t="shared" si="246"/>
        <v>1</v>
      </c>
      <c r="BI676" s="213">
        <f t="shared" si="241"/>
        <v>400</v>
      </c>
      <c r="BJ676" s="141"/>
      <c r="BK676" s="201"/>
      <c r="BL676" s="198"/>
      <c r="BM676" s="198"/>
    </row>
    <row r="677" spans="1:65" s="17" customFormat="1" ht="21.95" customHeight="1">
      <c r="A677" s="123">
        <v>50</v>
      </c>
      <c r="B677" s="9" t="s">
        <v>973</v>
      </c>
      <c r="C677" s="10" t="s">
        <v>2472</v>
      </c>
      <c r="D677" s="229"/>
      <c r="E677" s="13"/>
      <c r="F677" s="229"/>
      <c r="G677" s="13"/>
      <c r="H677" s="229"/>
      <c r="I677" s="13"/>
      <c r="J677" s="229"/>
      <c r="K677" s="13"/>
      <c r="L677" s="229"/>
      <c r="M677" s="13"/>
      <c r="N677" s="229"/>
      <c r="O677" s="13"/>
      <c r="P677" s="229"/>
      <c r="Q677" s="13"/>
      <c r="R677" s="229"/>
      <c r="S677" s="13"/>
      <c r="T677" s="229"/>
      <c r="U677" s="13"/>
      <c r="V677" s="229"/>
      <c r="W677" s="13"/>
      <c r="X677" s="229"/>
      <c r="Y677" s="13"/>
      <c r="Z677" s="229"/>
      <c r="AA677" s="13"/>
      <c r="AB677" s="229">
        <f t="shared" si="249"/>
        <v>0</v>
      </c>
      <c r="AC677" s="228">
        <f t="shared" si="247"/>
        <v>0</v>
      </c>
      <c r="AD677" s="19">
        <v>0</v>
      </c>
      <c r="AE677" s="229"/>
      <c r="AF677" s="20"/>
      <c r="AG677" s="229"/>
      <c r="AH677" s="20"/>
      <c r="AI677" s="229">
        <v>4</v>
      </c>
      <c r="AJ677" s="20">
        <v>4</v>
      </c>
      <c r="AK677" s="229"/>
      <c r="AL677" s="20"/>
      <c r="AM677" s="229"/>
      <c r="AN677" s="20"/>
      <c r="AO677" s="229">
        <v>2</v>
      </c>
      <c r="AP677" s="20">
        <v>2</v>
      </c>
      <c r="AQ677" s="229"/>
      <c r="AR677" s="20"/>
      <c r="AS677" s="229"/>
      <c r="AT677" s="20"/>
      <c r="AU677" s="229"/>
      <c r="AV677" s="20">
        <v>4</v>
      </c>
      <c r="AW677" s="229"/>
      <c r="AX677" s="20"/>
      <c r="AY677" s="229"/>
      <c r="AZ677" s="20"/>
      <c r="BA677" s="229"/>
      <c r="BB677" s="20">
        <v>1</v>
      </c>
      <c r="BC677" s="229">
        <f t="shared" si="250"/>
        <v>6</v>
      </c>
      <c r="BD677" s="48">
        <f t="shared" si="248"/>
        <v>11</v>
      </c>
      <c r="BE677" s="19">
        <v>11</v>
      </c>
      <c r="BF677" s="229">
        <f t="shared" si="251"/>
        <v>6</v>
      </c>
      <c r="BG677" s="210">
        <f t="shared" si="245"/>
        <v>11</v>
      </c>
      <c r="BH677" s="210">
        <f t="shared" si="246"/>
        <v>11</v>
      </c>
      <c r="BI677" s="213">
        <f t="shared" si="241"/>
        <v>100</v>
      </c>
      <c r="BJ677" s="141"/>
      <c r="BK677" s="201"/>
      <c r="BL677" s="198"/>
      <c r="BM677" s="198"/>
    </row>
    <row r="678" spans="1:65" s="17" customFormat="1" ht="21.95" customHeight="1">
      <c r="A678" s="123">
        <v>51</v>
      </c>
      <c r="B678" s="9" t="s">
        <v>2880</v>
      </c>
      <c r="C678" s="10" t="s">
        <v>2881</v>
      </c>
      <c r="D678" s="229"/>
      <c r="E678" s="13"/>
      <c r="F678" s="229"/>
      <c r="G678" s="13"/>
      <c r="H678" s="229"/>
      <c r="I678" s="13"/>
      <c r="J678" s="229"/>
      <c r="K678" s="13"/>
      <c r="L678" s="229"/>
      <c r="M678" s="13"/>
      <c r="N678" s="229"/>
      <c r="O678" s="13"/>
      <c r="P678" s="229"/>
      <c r="Q678" s="13"/>
      <c r="R678" s="229"/>
      <c r="S678" s="13"/>
      <c r="T678" s="229"/>
      <c r="U678" s="13"/>
      <c r="V678" s="229"/>
      <c r="W678" s="13"/>
      <c r="X678" s="229"/>
      <c r="Y678" s="13"/>
      <c r="Z678" s="229"/>
      <c r="AA678" s="13"/>
      <c r="AB678" s="229">
        <f t="shared" si="249"/>
        <v>0</v>
      </c>
      <c r="AC678" s="228">
        <f t="shared" si="247"/>
        <v>0</v>
      </c>
      <c r="AD678" s="19">
        <v>0</v>
      </c>
      <c r="AE678" s="229"/>
      <c r="AF678" s="20"/>
      <c r="AG678" s="229"/>
      <c r="AH678" s="20"/>
      <c r="AI678" s="229">
        <v>2</v>
      </c>
      <c r="AJ678" s="13">
        <v>2</v>
      </c>
      <c r="AK678" s="229"/>
      <c r="AL678" s="20"/>
      <c r="AM678" s="229"/>
      <c r="AN678" s="20"/>
      <c r="AO678" s="229">
        <v>1</v>
      </c>
      <c r="AP678" s="20">
        <v>1</v>
      </c>
      <c r="AQ678" s="229"/>
      <c r="AR678" s="20"/>
      <c r="AS678" s="229"/>
      <c r="AT678" s="20"/>
      <c r="AU678" s="229"/>
      <c r="AV678" s="20"/>
      <c r="AW678" s="229"/>
      <c r="AX678" s="20"/>
      <c r="AY678" s="229"/>
      <c r="AZ678" s="20"/>
      <c r="BA678" s="229"/>
      <c r="BB678" s="20"/>
      <c r="BC678" s="229">
        <f t="shared" si="250"/>
        <v>3</v>
      </c>
      <c r="BD678" s="48">
        <f t="shared" si="248"/>
        <v>3</v>
      </c>
      <c r="BE678" s="19">
        <v>0</v>
      </c>
      <c r="BF678" s="229">
        <f t="shared" si="251"/>
        <v>3</v>
      </c>
      <c r="BG678" s="210">
        <f t="shared" si="245"/>
        <v>3</v>
      </c>
      <c r="BH678" s="210">
        <f t="shared" si="246"/>
        <v>0</v>
      </c>
      <c r="BI678" s="213" t="e">
        <f t="shared" si="241"/>
        <v>#DIV/0!</v>
      </c>
      <c r="BJ678" s="141"/>
      <c r="BK678" s="201"/>
      <c r="BL678" s="198"/>
      <c r="BM678" s="198"/>
    </row>
    <row r="679" spans="1:65" s="17" customFormat="1" ht="15.95" customHeight="1">
      <c r="A679" s="123">
        <v>52</v>
      </c>
      <c r="B679" s="9" t="s">
        <v>2098</v>
      </c>
      <c r="C679" s="11" t="s">
        <v>2099</v>
      </c>
      <c r="D679" s="229"/>
      <c r="E679" s="13"/>
      <c r="F679" s="229"/>
      <c r="G679" s="13"/>
      <c r="H679" s="229"/>
      <c r="I679" s="13"/>
      <c r="J679" s="229"/>
      <c r="K679" s="13"/>
      <c r="L679" s="229"/>
      <c r="M679" s="13"/>
      <c r="N679" s="229"/>
      <c r="O679" s="13"/>
      <c r="P679" s="229"/>
      <c r="Q679" s="13"/>
      <c r="R679" s="229"/>
      <c r="S679" s="13"/>
      <c r="T679" s="229"/>
      <c r="U679" s="13"/>
      <c r="V679" s="229"/>
      <c r="W679" s="13"/>
      <c r="X679" s="229"/>
      <c r="Y679" s="13"/>
      <c r="Z679" s="229"/>
      <c r="AA679" s="13"/>
      <c r="AB679" s="229">
        <f t="shared" si="249"/>
        <v>0</v>
      </c>
      <c r="AC679" s="228">
        <f t="shared" si="247"/>
        <v>0</v>
      </c>
      <c r="AD679" s="21">
        <v>0</v>
      </c>
      <c r="AE679" s="229"/>
      <c r="AF679" s="20"/>
      <c r="AG679" s="229"/>
      <c r="AH679" s="20"/>
      <c r="AI679" s="229"/>
      <c r="AJ679" s="20"/>
      <c r="AK679" s="229"/>
      <c r="AL679" s="20"/>
      <c r="AM679" s="229"/>
      <c r="AN679" s="20"/>
      <c r="AO679" s="229"/>
      <c r="AP679" s="20"/>
      <c r="AQ679" s="229"/>
      <c r="AR679" s="20"/>
      <c r="AS679" s="229"/>
      <c r="AT679" s="20"/>
      <c r="AU679" s="229"/>
      <c r="AV679" s="20">
        <v>1</v>
      </c>
      <c r="AW679" s="229"/>
      <c r="AX679" s="20"/>
      <c r="AY679" s="229"/>
      <c r="AZ679" s="20"/>
      <c r="BA679" s="229"/>
      <c r="BB679" s="20"/>
      <c r="BC679" s="229">
        <f t="shared" si="250"/>
        <v>0</v>
      </c>
      <c r="BD679" s="48">
        <f t="shared" si="248"/>
        <v>1</v>
      </c>
      <c r="BE679" s="19">
        <v>4</v>
      </c>
      <c r="BF679" s="229">
        <f t="shared" si="251"/>
        <v>0</v>
      </c>
      <c r="BG679" s="210">
        <f t="shared" si="245"/>
        <v>1</v>
      </c>
      <c r="BH679" s="210">
        <f t="shared" si="246"/>
        <v>4</v>
      </c>
      <c r="BI679" s="213">
        <f t="shared" si="241"/>
        <v>25</v>
      </c>
      <c r="BJ679" s="141"/>
      <c r="BK679" s="201"/>
      <c r="BL679" s="198"/>
      <c r="BM679" s="198"/>
    </row>
    <row r="680" spans="1:65" s="17" customFormat="1" ht="15.95" customHeight="1">
      <c r="A680" s="123">
        <v>53</v>
      </c>
      <c r="B680" s="9" t="s">
        <v>1081</v>
      </c>
      <c r="C680" s="11" t="s">
        <v>1082</v>
      </c>
      <c r="D680" s="229"/>
      <c r="E680" s="13"/>
      <c r="F680" s="229"/>
      <c r="G680" s="13"/>
      <c r="H680" s="229"/>
      <c r="I680" s="13"/>
      <c r="J680" s="229"/>
      <c r="K680" s="13"/>
      <c r="L680" s="229"/>
      <c r="M680" s="13"/>
      <c r="N680" s="229"/>
      <c r="O680" s="13"/>
      <c r="P680" s="229"/>
      <c r="Q680" s="13"/>
      <c r="R680" s="229"/>
      <c r="S680" s="13"/>
      <c r="T680" s="229"/>
      <c r="U680" s="13"/>
      <c r="V680" s="229"/>
      <c r="W680" s="13"/>
      <c r="X680" s="229"/>
      <c r="Y680" s="13"/>
      <c r="Z680" s="229"/>
      <c r="AA680" s="13"/>
      <c r="AB680" s="229">
        <f t="shared" si="249"/>
        <v>0</v>
      </c>
      <c r="AC680" s="228">
        <f t="shared" si="247"/>
        <v>0</v>
      </c>
      <c r="AD680" s="19">
        <v>0</v>
      </c>
      <c r="AE680" s="229"/>
      <c r="AF680" s="20"/>
      <c r="AG680" s="229"/>
      <c r="AH680" s="20"/>
      <c r="AI680" s="229"/>
      <c r="AJ680" s="20"/>
      <c r="AK680" s="229"/>
      <c r="AL680" s="20"/>
      <c r="AM680" s="229"/>
      <c r="AN680" s="20"/>
      <c r="AO680" s="229">
        <v>1</v>
      </c>
      <c r="AP680" s="20">
        <v>1</v>
      </c>
      <c r="AQ680" s="229"/>
      <c r="AR680" s="20"/>
      <c r="AS680" s="229"/>
      <c r="AT680" s="20"/>
      <c r="AU680" s="229"/>
      <c r="AV680" s="20"/>
      <c r="AW680" s="229"/>
      <c r="AX680" s="20"/>
      <c r="AY680" s="229"/>
      <c r="AZ680" s="20"/>
      <c r="BA680" s="229"/>
      <c r="BB680" s="20"/>
      <c r="BC680" s="229">
        <f t="shared" si="250"/>
        <v>1</v>
      </c>
      <c r="BD680" s="48">
        <f t="shared" si="248"/>
        <v>1</v>
      </c>
      <c r="BE680" s="19">
        <v>1</v>
      </c>
      <c r="BF680" s="229">
        <f t="shared" si="251"/>
        <v>1</v>
      </c>
      <c r="BG680" s="210">
        <f t="shared" si="245"/>
        <v>1</v>
      </c>
      <c r="BH680" s="210">
        <f t="shared" si="246"/>
        <v>1</v>
      </c>
      <c r="BI680" s="213">
        <f t="shared" si="241"/>
        <v>100</v>
      </c>
      <c r="BJ680" s="141"/>
      <c r="BK680" s="201"/>
      <c r="BL680" s="198"/>
      <c r="BM680" s="198"/>
    </row>
    <row r="681" spans="1:65" s="17" customFormat="1" ht="15.95" customHeight="1">
      <c r="A681" s="123">
        <v>54</v>
      </c>
      <c r="B681" s="9" t="s">
        <v>2295</v>
      </c>
      <c r="C681" s="11" t="s">
        <v>2296</v>
      </c>
      <c r="D681" s="229"/>
      <c r="E681" s="13"/>
      <c r="F681" s="229"/>
      <c r="G681" s="13"/>
      <c r="H681" s="229"/>
      <c r="I681" s="13"/>
      <c r="J681" s="229"/>
      <c r="K681" s="13"/>
      <c r="L681" s="229"/>
      <c r="M681" s="13"/>
      <c r="N681" s="229"/>
      <c r="O681" s="13"/>
      <c r="P681" s="229"/>
      <c r="Q681" s="13"/>
      <c r="R681" s="229"/>
      <c r="S681" s="13"/>
      <c r="T681" s="229"/>
      <c r="U681" s="13"/>
      <c r="V681" s="229"/>
      <c r="W681" s="13"/>
      <c r="X681" s="229"/>
      <c r="Y681" s="13"/>
      <c r="Z681" s="229"/>
      <c r="AA681" s="13"/>
      <c r="AB681" s="229">
        <f t="shared" si="249"/>
        <v>0</v>
      </c>
      <c r="AC681" s="228">
        <f t="shared" si="247"/>
        <v>0</v>
      </c>
      <c r="AD681" s="21">
        <v>0</v>
      </c>
      <c r="AE681" s="229"/>
      <c r="AF681" s="20"/>
      <c r="AG681" s="229"/>
      <c r="AH681" s="20"/>
      <c r="AI681" s="229"/>
      <c r="AJ681" s="20"/>
      <c r="AK681" s="229"/>
      <c r="AL681" s="20"/>
      <c r="AM681" s="229"/>
      <c r="AN681" s="20"/>
      <c r="AO681" s="229"/>
      <c r="AP681" s="20"/>
      <c r="AQ681" s="229"/>
      <c r="AR681" s="20"/>
      <c r="AS681" s="229"/>
      <c r="AT681" s="20"/>
      <c r="AU681" s="229"/>
      <c r="AV681" s="20"/>
      <c r="AW681" s="229"/>
      <c r="AX681" s="20"/>
      <c r="AY681" s="229"/>
      <c r="AZ681" s="20"/>
      <c r="BA681" s="229"/>
      <c r="BB681" s="20"/>
      <c r="BC681" s="229">
        <f t="shared" si="250"/>
        <v>0</v>
      </c>
      <c r="BD681" s="48">
        <f t="shared" si="248"/>
        <v>0</v>
      </c>
      <c r="BE681" s="19">
        <v>1</v>
      </c>
      <c r="BF681" s="229">
        <f t="shared" si="251"/>
        <v>0</v>
      </c>
      <c r="BG681" s="210">
        <f t="shared" si="245"/>
        <v>0</v>
      </c>
      <c r="BH681" s="210">
        <f t="shared" si="246"/>
        <v>1</v>
      </c>
      <c r="BI681" s="213">
        <f t="shared" si="241"/>
        <v>0</v>
      </c>
      <c r="BJ681" s="141"/>
      <c r="BK681" s="201"/>
      <c r="BL681" s="198"/>
      <c r="BM681" s="198"/>
    </row>
    <row r="682" spans="1:65" s="17" customFormat="1" ht="21.95" customHeight="1">
      <c r="A682" s="123">
        <v>55</v>
      </c>
      <c r="B682" s="9" t="s">
        <v>362</v>
      </c>
      <c r="C682" s="10" t="s">
        <v>2100</v>
      </c>
      <c r="D682" s="229"/>
      <c r="E682" s="13"/>
      <c r="F682" s="229"/>
      <c r="G682" s="13"/>
      <c r="H682" s="229"/>
      <c r="I682" s="13"/>
      <c r="J682" s="229"/>
      <c r="K682" s="13"/>
      <c r="L682" s="229"/>
      <c r="M682" s="13"/>
      <c r="N682" s="229"/>
      <c r="O682" s="13"/>
      <c r="P682" s="229"/>
      <c r="Q682" s="13"/>
      <c r="R682" s="229"/>
      <c r="S682" s="13"/>
      <c r="T682" s="229"/>
      <c r="U682" s="13"/>
      <c r="V682" s="229"/>
      <c r="W682" s="13"/>
      <c r="X682" s="229"/>
      <c r="Y682" s="13"/>
      <c r="Z682" s="229"/>
      <c r="AA682" s="13"/>
      <c r="AB682" s="229">
        <f t="shared" si="249"/>
        <v>0</v>
      </c>
      <c r="AC682" s="228">
        <f t="shared" si="247"/>
        <v>0</v>
      </c>
      <c r="AD682" s="21">
        <v>0</v>
      </c>
      <c r="AE682" s="229"/>
      <c r="AF682" s="20"/>
      <c r="AG682" s="229"/>
      <c r="AH682" s="20"/>
      <c r="AI682" s="229">
        <v>20</v>
      </c>
      <c r="AJ682" s="20">
        <v>20</v>
      </c>
      <c r="AK682" s="229"/>
      <c r="AL682" s="20"/>
      <c r="AM682" s="229"/>
      <c r="AN682" s="20"/>
      <c r="AO682" s="229">
        <v>12</v>
      </c>
      <c r="AP682" s="20">
        <v>12</v>
      </c>
      <c r="AQ682" s="229"/>
      <c r="AR682" s="20"/>
      <c r="AS682" s="229"/>
      <c r="AT682" s="20"/>
      <c r="AU682" s="229"/>
      <c r="AV682" s="20">
        <v>11</v>
      </c>
      <c r="AW682" s="229"/>
      <c r="AX682" s="20"/>
      <c r="AY682" s="229"/>
      <c r="AZ682" s="20"/>
      <c r="BA682" s="229"/>
      <c r="BB682" s="20">
        <v>15</v>
      </c>
      <c r="BC682" s="229">
        <f t="shared" si="250"/>
        <v>32</v>
      </c>
      <c r="BD682" s="48">
        <f t="shared" si="248"/>
        <v>58</v>
      </c>
      <c r="BE682" s="19">
        <v>17</v>
      </c>
      <c r="BF682" s="229">
        <f t="shared" si="251"/>
        <v>32</v>
      </c>
      <c r="BG682" s="210">
        <f t="shared" si="245"/>
        <v>58</v>
      </c>
      <c r="BH682" s="210">
        <f t="shared" si="246"/>
        <v>17</v>
      </c>
      <c r="BI682" s="213">
        <f t="shared" si="241"/>
        <v>341.1764705882353</v>
      </c>
      <c r="BJ682" s="141"/>
      <c r="BK682" s="201"/>
      <c r="BL682" s="198"/>
      <c r="BM682" s="198"/>
    </row>
    <row r="683" spans="1:65" s="17" customFormat="1" ht="15.95" customHeight="1">
      <c r="A683" s="123">
        <v>56</v>
      </c>
      <c r="B683" s="9" t="s">
        <v>271</v>
      </c>
      <c r="C683" s="11" t="s">
        <v>2470</v>
      </c>
      <c r="D683" s="229"/>
      <c r="E683" s="13"/>
      <c r="F683" s="229"/>
      <c r="G683" s="13"/>
      <c r="H683" s="229"/>
      <c r="I683" s="13"/>
      <c r="J683" s="229"/>
      <c r="K683" s="13"/>
      <c r="L683" s="229"/>
      <c r="M683" s="13"/>
      <c r="N683" s="229"/>
      <c r="O683" s="13"/>
      <c r="P683" s="229"/>
      <c r="Q683" s="13"/>
      <c r="R683" s="229"/>
      <c r="S683" s="13"/>
      <c r="T683" s="229"/>
      <c r="U683" s="13"/>
      <c r="V683" s="229"/>
      <c r="W683" s="13"/>
      <c r="X683" s="229"/>
      <c r="Y683" s="13"/>
      <c r="Z683" s="229"/>
      <c r="AA683" s="13"/>
      <c r="AB683" s="229">
        <f t="shared" si="249"/>
        <v>0</v>
      </c>
      <c r="AC683" s="228">
        <f t="shared" si="247"/>
        <v>0</v>
      </c>
      <c r="AD683" s="21">
        <v>0</v>
      </c>
      <c r="AE683" s="229"/>
      <c r="AF683" s="20"/>
      <c r="AG683" s="229"/>
      <c r="AH683" s="20"/>
      <c r="AI683" s="229">
        <v>18</v>
      </c>
      <c r="AJ683" s="20">
        <v>18</v>
      </c>
      <c r="AK683" s="229"/>
      <c r="AL683" s="20"/>
      <c r="AM683" s="229"/>
      <c r="AN683" s="20"/>
      <c r="AO683" s="229">
        <v>26</v>
      </c>
      <c r="AP683" s="20">
        <v>26</v>
      </c>
      <c r="AQ683" s="229"/>
      <c r="AR683" s="20"/>
      <c r="AS683" s="229"/>
      <c r="AT683" s="20"/>
      <c r="AU683" s="229"/>
      <c r="AV683" s="20">
        <v>6</v>
      </c>
      <c r="AW683" s="229"/>
      <c r="AX683" s="20"/>
      <c r="AY683" s="229"/>
      <c r="AZ683" s="20"/>
      <c r="BA683" s="229"/>
      <c r="BB683" s="20">
        <v>6</v>
      </c>
      <c r="BC683" s="229">
        <f t="shared" si="250"/>
        <v>44</v>
      </c>
      <c r="BD683" s="48">
        <f t="shared" si="248"/>
        <v>56</v>
      </c>
      <c r="BE683" s="19">
        <v>13</v>
      </c>
      <c r="BF683" s="229">
        <f t="shared" si="251"/>
        <v>44</v>
      </c>
      <c r="BG683" s="210">
        <f t="shared" si="245"/>
        <v>56</v>
      </c>
      <c r="BH683" s="210">
        <f t="shared" si="246"/>
        <v>13</v>
      </c>
      <c r="BI683" s="213">
        <f t="shared" si="241"/>
        <v>430.76923076923077</v>
      </c>
      <c r="BJ683" s="141"/>
      <c r="BK683" s="201"/>
      <c r="BL683" s="198"/>
      <c r="BM683" s="198"/>
    </row>
    <row r="684" spans="1:65" s="17" customFormat="1" ht="15.95" customHeight="1">
      <c r="A684" s="123">
        <v>57</v>
      </c>
      <c r="B684" s="9" t="s">
        <v>2882</v>
      </c>
      <c r="C684" s="11" t="s">
        <v>2883</v>
      </c>
      <c r="D684" s="229"/>
      <c r="E684" s="13"/>
      <c r="F684" s="229"/>
      <c r="G684" s="13"/>
      <c r="H684" s="229"/>
      <c r="I684" s="13"/>
      <c r="J684" s="229"/>
      <c r="K684" s="13"/>
      <c r="L684" s="229"/>
      <c r="M684" s="13"/>
      <c r="N684" s="229"/>
      <c r="O684" s="13"/>
      <c r="P684" s="229"/>
      <c r="Q684" s="13"/>
      <c r="R684" s="229"/>
      <c r="S684" s="13"/>
      <c r="T684" s="229"/>
      <c r="U684" s="13"/>
      <c r="V684" s="229"/>
      <c r="W684" s="13"/>
      <c r="X684" s="229"/>
      <c r="Y684" s="13"/>
      <c r="Z684" s="229"/>
      <c r="AA684" s="13"/>
      <c r="AB684" s="229">
        <f t="shared" si="249"/>
        <v>0</v>
      </c>
      <c r="AC684" s="228">
        <f t="shared" si="247"/>
        <v>0</v>
      </c>
      <c r="AD684" s="21">
        <v>0</v>
      </c>
      <c r="AE684" s="229"/>
      <c r="AF684" s="20"/>
      <c r="AG684" s="229"/>
      <c r="AH684" s="20"/>
      <c r="AI684" s="229">
        <v>1</v>
      </c>
      <c r="AJ684" s="13">
        <v>1</v>
      </c>
      <c r="AK684" s="229"/>
      <c r="AL684" s="20"/>
      <c r="AM684" s="229"/>
      <c r="AN684" s="20"/>
      <c r="AO684" s="229">
        <v>2</v>
      </c>
      <c r="AP684" s="20">
        <v>2</v>
      </c>
      <c r="AQ684" s="229"/>
      <c r="AR684" s="20"/>
      <c r="AS684" s="229"/>
      <c r="AT684" s="20"/>
      <c r="AU684" s="229"/>
      <c r="AV684" s="20">
        <v>1</v>
      </c>
      <c r="AW684" s="229"/>
      <c r="AX684" s="20"/>
      <c r="AY684" s="229"/>
      <c r="AZ684" s="20"/>
      <c r="BA684" s="229"/>
      <c r="BB684" s="20"/>
      <c r="BC684" s="229">
        <f t="shared" si="250"/>
        <v>3</v>
      </c>
      <c r="BD684" s="48">
        <f t="shared" si="248"/>
        <v>4</v>
      </c>
      <c r="BE684" s="19">
        <v>0</v>
      </c>
      <c r="BF684" s="229">
        <f t="shared" si="251"/>
        <v>3</v>
      </c>
      <c r="BG684" s="210">
        <f t="shared" si="245"/>
        <v>4</v>
      </c>
      <c r="BH684" s="210">
        <f t="shared" si="246"/>
        <v>0</v>
      </c>
      <c r="BI684" s="213" t="e">
        <f t="shared" si="241"/>
        <v>#DIV/0!</v>
      </c>
      <c r="BJ684" s="141"/>
      <c r="BK684" s="201"/>
      <c r="BL684" s="198"/>
      <c r="BM684" s="198"/>
    </row>
    <row r="685" spans="1:65" s="17" customFormat="1" ht="15.95" customHeight="1">
      <c r="A685" s="123">
        <v>58</v>
      </c>
      <c r="B685" s="9" t="s">
        <v>363</v>
      </c>
      <c r="C685" s="11" t="s">
        <v>364</v>
      </c>
      <c r="D685" s="229"/>
      <c r="E685" s="13"/>
      <c r="F685" s="229"/>
      <c r="G685" s="13"/>
      <c r="H685" s="229"/>
      <c r="I685" s="13"/>
      <c r="J685" s="229"/>
      <c r="K685" s="13"/>
      <c r="L685" s="229"/>
      <c r="M685" s="13"/>
      <c r="N685" s="229"/>
      <c r="O685" s="13"/>
      <c r="P685" s="229"/>
      <c r="Q685" s="13"/>
      <c r="R685" s="229"/>
      <c r="S685" s="13"/>
      <c r="T685" s="229"/>
      <c r="U685" s="13"/>
      <c r="V685" s="229"/>
      <c r="W685" s="13"/>
      <c r="X685" s="229"/>
      <c r="Y685" s="13"/>
      <c r="Z685" s="229"/>
      <c r="AA685" s="13"/>
      <c r="AB685" s="229">
        <f t="shared" si="249"/>
        <v>0</v>
      </c>
      <c r="AC685" s="228">
        <f t="shared" si="247"/>
        <v>0</v>
      </c>
      <c r="AD685" s="21">
        <v>0</v>
      </c>
      <c r="AE685" s="229"/>
      <c r="AF685" s="20"/>
      <c r="AG685" s="229"/>
      <c r="AH685" s="20"/>
      <c r="AI685" s="229">
        <v>10</v>
      </c>
      <c r="AJ685" s="20">
        <v>10</v>
      </c>
      <c r="AK685" s="229"/>
      <c r="AL685" s="20"/>
      <c r="AM685" s="229"/>
      <c r="AN685" s="20"/>
      <c r="AO685" s="229">
        <v>8</v>
      </c>
      <c r="AP685" s="20">
        <v>8</v>
      </c>
      <c r="AQ685" s="229"/>
      <c r="AR685" s="20"/>
      <c r="AS685" s="229"/>
      <c r="AT685" s="20"/>
      <c r="AU685" s="229"/>
      <c r="AV685" s="20">
        <f>13+2</f>
        <v>15</v>
      </c>
      <c r="AW685" s="229"/>
      <c r="AX685" s="20"/>
      <c r="AY685" s="229"/>
      <c r="AZ685" s="20"/>
      <c r="BA685" s="229"/>
      <c r="BB685" s="20">
        <v>9</v>
      </c>
      <c r="BC685" s="229">
        <f t="shared" si="250"/>
        <v>18</v>
      </c>
      <c r="BD685" s="48">
        <f t="shared" si="248"/>
        <v>42</v>
      </c>
      <c r="BE685" s="19">
        <v>8</v>
      </c>
      <c r="BF685" s="229">
        <f t="shared" si="251"/>
        <v>18</v>
      </c>
      <c r="BG685" s="210">
        <f t="shared" si="245"/>
        <v>42</v>
      </c>
      <c r="BH685" s="210">
        <f t="shared" si="246"/>
        <v>8</v>
      </c>
      <c r="BI685" s="213">
        <f t="shared" si="241"/>
        <v>525</v>
      </c>
      <c r="BJ685" s="141"/>
      <c r="BK685" s="201"/>
      <c r="BL685" s="198"/>
      <c r="BM685" s="198"/>
    </row>
    <row r="686" spans="1:65" s="17" customFormat="1" ht="15.95" customHeight="1">
      <c r="A686" s="123">
        <v>59</v>
      </c>
      <c r="B686" s="9" t="s">
        <v>1480</v>
      </c>
      <c r="C686" s="11" t="s">
        <v>2469</v>
      </c>
      <c r="D686" s="229"/>
      <c r="E686" s="13"/>
      <c r="F686" s="229"/>
      <c r="G686" s="13"/>
      <c r="H686" s="229"/>
      <c r="I686" s="13"/>
      <c r="J686" s="229"/>
      <c r="K686" s="13"/>
      <c r="L686" s="229"/>
      <c r="M686" s="13"/>
      <c r="N686" s="229"/>
      <c r="O686" s="13"/>
      <c r="P686" s="229"/>
      <c r="Q686" s="13"/>
      <c r="R686" s="229"/>
      <c r="S686" s="13"/>
      <c r="T686" s="229"/>
      <c r="U686" s="13"/>
      <c r="V686" s="229"/>
      <c r="W686" s="13"/>
      <c r="X686" s="229"/>
      <c r="Y686" s="13"/>
      <c r="Z686" s="229"/>
      <c r="AA686" s="13"/>
      <c r="AB686" s="229">
        <f t="shared" si="249"/>
        <v>0</v>
      </c>
      <c r="AC686" s="228">
        <f t="shared" si="247"/>
        <v>0</v>
      </c>
      <c r="AD686" s="19">
        <v>0</v>
      </c>
      <c r="AE686" s="229"/>
      <c r="AF686" s="20"/>
      <c r="AG686" s="229"/>
      <c r="AH686" s="20"/>
      <c r="AI686" s="290">
        <f>9+10</f>
        <v>19</v>
      </c>
      <c r="AJ686" s="291">
        <f>9+10</f>
        <v>19</v>
      </c>
      <c r="AK686" s="229"/>
      <c r="AL686" s="20"/>
      <c r="AM686" s="229"/>
      <c r="AN686" s="20"/>
      <c r="AO686" s="229">
        <v>20</v>
      </c>
      <c r="AP686" s="20">
        <v>20</v>
      </c>
      <c r="AQ686" s="229"/>
      <c r="AR686" s="20"/>
      <c r="AS686" s="229"/>
      <c r="AT686" s="20"/>
      <c r="AU686" s="229"/>
      <c r="AV686" s="20">
        <v>9</v>
      </c>
      <c r="AW686" s="229"/>
      <c r="AX686" s="20"/>
      <c r="AY686" s="229"/>
      <c r="AZ686" s="20"/>
      <c r="BA686" s="229"/>
      <c r="BB686" s="20">
        <v>18</v>
      </c>
      <c r="BC686" s="229">
        <f t="shared" si="250"/>
        <v>39</v>
      </c>
      <c r="BD686" s="48">
        <f t="shared" si="248"/>
        <v>66</v>
      </c>
      <c r="BE686" s="19">
        <v>60</v>
      </c>
      <c r="BF686" s="229">
        <f t="shared" si="251"/>
        <v>39</v>
      </c>
      <c r="BG686" s="210">
        <f t="shared" si="245"/>
        <v>66</v>
      </c>
      <c r="BH686" s="210">
        <f t="shared" si="246"/>
        <v>60</v>
      </c>
      <c r="BI686" s="213">
        <f t="shared" si="241"/>
        <v>110.00000000000001</v>
      </c>
      <c r="BJ686" s="141"/>
      <c r="BK686" s="201"/>
      <c r="BL686" s="198"/>
      <c r="BM686" s="198"/>
    </row>
    <row r="687" spans="1:65" s="17" customFormat="1" ht="15.95" customHeight="1">
      <c r="A687" s="123">
        <v>60</v>
      </c>
      <c r="B687" s="9" t="s">
        <v>2102</v>
      </c>
      <c r="C687" s="11" t="s">
        <v>2103</v>
      </c>
      <c r="D687" s="229"/>
      <c r="E687" s="13"/>
      <c r="F687" s="229"/>
      <c r="G687" s="13"/>
      <c r="H687" s="229"/>
      <c r="I687" s="13"/>
      <c r="J687" s="229"/>
      <c r="K687" s="13"/>
      <c r="L687" s="229"/>
      <c r="M687" s="13"/>
      <c r="N687" s="229"/>
      <c r="O687" s="13"/>
      <c r="P687" s="229"/>
      <c r="Q687" s="13"/>
      <c r="R687" s="229"/>
      <c r="S687" s="13"/>
      <c r="T687" s="229"/>
      <c r="U687" s="13"/>
      <c r="V687" s="229"/>
      <c r="W687" s="13"/>
      <c r="X687" s="229"/>
      <c r="Y687" s="13"/>
      <c r="Z687" s="229"/>
      <c r="AA687" s="13"/>
      <c r="AB687" s="229">
        <f t="shared" si="249"/>
        <v>0</v>
      </c>
      <c r="AC687" s="228">
        <f t="shared" si="247"/>
        <v>0</v>
      </c>
      <c r="AD687" s="21">
        <v>0</v>
      </c>
      <c r="AE687" s="229"/>
      <c r="AF687" s="20"/>
      <c r="AG687" s="229"/>
      <c r="AH687" s="20"/>
      <c r="AI687" s="229"/>
      <c r="AJ687" s="20"/>
      <c r="AK687" s="229"/>
      <c r="AL687" s="20"/>
      <c r="AM687" s="229"/>
      <c r="AN687" s="20"/>
      <c r="AO687" s="229">
        <v>1</v>
      </c>
      <c r="AP687" s="20">
        <v>1</v>
      </c>
      <c r="AQ687" s="229"/>
      <c r="AR687" s="20"/>
      <c r="AS687" s="229"/>
      <c r="AT687" s="20"/>
      <c r="AU687" s="229"/>
      <c r="AV687" s="20"/>
      <c r="AW687" s="229"/>
      <c r="AX687" s="20"/>
      <c r="AY687" s="229"/>
      <c r="AZ687" s="20"/>
      <c r="BA687" s="229"/>
      <c r="BB687" s="20"/>
      <c r="BC687" s="229">
        <f t="shared" si="250"/>
        <v>1</v>
      </c>
      <c r="BD687" s="48">
        <f t="shared" si="248"/>
        <v>1</v>
      </c>
      <c r="BE687" s="19">
        <v>2</v>
      </c>
      <c r="BF687" s="229">
        <f t="shared" si="251"/>
        <v>1</v>
      </c>
      <c r="BG687" s="210">
        <f t="shared" si="245"/>
        <v>1</v>
      </c>
      <c r="BH687" s="210">
        <f t="shared" si="246"/>
        <v>2</v>
      </c>
      <c r="BI687" s="213">
        <f t="shared" si="241"/>
        <v>50</v>
      </c>
      <c r="BJ687" s="141"/>
      <c r="BK687" s="201"/>
      <c r="BL687" s="198"/>
      <c r="BM687" s="198"/>
    </row>
    <row r="688" spans="1:65" s="17" customFormat="1" ht="24" customHeight="1">
      <c r="A688" s="123">
        <v>61</v>
      </c>
      <c r="B688" s="9" t="s">
        <v>2884</v>
      </c>
      <c r="C688" s="10" t="s">
        <v>2885</v>
      </c>
      <c r="D688" s="229"/>
      <c r="E688" s="13"/>
      <c r="F688" s="229"/>
      <c r="G688" s="13"/>
      <c r="H688" s="229"/>
      <c r="I688" s="13"/>
      <c r="J688" s="229"/>
      <c r="K688" s="13"/>
      <c r="L688" s="229"/>
      <c r="M688" s="13"/>
      <c r="N688" s="229"/>
      <c r="O688" s="13"/>
      <c r="P688" s="229"/>
      <c r="Q688" s="13"/>
      <c r="R688" s="229"/>
      <c r="S688" s="13"/>
      <c r="T688" s="229"/>
      <c r="U688" s="13"/>
      <c r="V688" s="229"/>
      <c r="W688" s="13"/>
      <c r="X688" s="229"/>
      <c r="Y688" s="13"/>
      <c r="Z688" s="229"/>
      <c r="AA688" s="13"/>
      <c r="AB688" s="229">
        <f t="shared" si="249"/>
        <v>0</v>
      </c>
      <c r="AC688" s="228">
        <f t="shared" si="247"/>
        <v>0</v>
      </c>
      <c r="AD688" s="21">
        <v>0</v>
      </c>
      <c r="AE688" s="229"/>
      <c r="AF688" s="20"/>
      <c r="AG688" s="229"/>
      <c r="AH688" s="20"/>
      <c r="AI688" s="229">
        <v>2</v>
      </c>
      <c r="AJ688" s="13">
        <v>2</v>
      </c>
      <c r="AK688" s="229"/>
      <c r="AL688" s="20"/>
      <c r="AM688" s="229"/>
      <c r="AN688" s="20"/>
      <c r="AO688" s="229"/>
      <c r="AP688" s="20"/>
      <c r="AQ688" s="229"/>
      <c r="AR688" s="20"/>
      <c r="AS688" s="229"/>
      <c r="AT688" s="20"/>
      <c r="AU688" s="229"/>
      <c r="AV688" s="20">
        <v>1</v>
      </c>
      <c r="AW688" s="229"/>
      <c r="AX688" s="20"/>
      <c r="AY688" s="229"/>
      <c r="AZ688" s="20"/>
      <c r="BA688" s="229"/>
      <c r="BB688" s="20"/>
      <c r="BC688" s="229">
        <f t="shared" si="250"/>
        <v>2</v>
      </c>
      <c r="BD688" s="48">
        <f t="shared" si="248"/>
        <v>3</v>
      </c>
      <c r="BE688" s="19">
        <v>0</v>
      </c>
      <c r="BF688" s="229">
        <f t="shared" si="251"/>
        <v>2</v>
      </c>
      <c r="BG688" s="210">
        <f t="shared" si="245"/>
        <v>3</v>
      </c>
      <c r="BH688" s="210">
        <f t="shared" si="246"/>
        <v>0</v>
      </c>
      <c r="BI688" s="213" t="e">
        <f t="shared" si="241"/>
        <v>#DIV/0!</v>
      </c>
      <c r="BJ688" s="141"/>
      <c r="BK688" s="201"/>
      <c r="BL688" s="198"/>
      <c r="BM688" s="198"/>
    </row>
    <row r="689" spans="1:67" s="17" customFormat="1" ht="21.95" customHeight="1">
      <c r="A689" s="123">
        <v>62</v>
      </c>
      <c r="B689" s="9" t="s">
        <v>2104</v>
      </c>
      <c r="C689" s="10" t="s">
        <v>2105</v>
      </c>
      <c r="D689" s="229"/>
      <c r="E689" s="13"/>
      <c r="F689" s="229"/>
      <c r="G689" s="13"/>
      <c r="H689" s="229"/>
      <c r="I689" s="13"/>
      <c r="J689" s="229"/>
      <c r="K689" s="13"/>
      <c r="L689" s="229"/>
      <c r="M689" s="13"/>
      <c r="N689" s="229"/>
      <c r="O689" s="13"/>
      <c r="P689" s="229"/>
      <c r="Q689" s="13"/>
      <c r="R689" s="229"/>
      <c r="S689" s="13"/>
      <c r="T689" s="229"/>
      <c r="U689" s="13"/>
      <c r="V689" s="229"/>
      <c r="W689" s="13"/>
      <c r="X689" s="229"/>
      <c r="Y689" s="13"/>
      <c r="Z689" s="229"/>
      <c r="AA689" s="13"/>
      <c r="AB689" s="229">
        <f t="shared" si="249"/>
        <v>0</v>
      </c>
      <c r="AC689" s="228">
        <f t="shared" si="247"/>
        <v>0</v>
      </c>
      <c r="AD689" s="19">
        <v>0</v>
      </c>
      <c r="AE689" s="229"/>
      <c r="AF689" s="20"/>
      <c r="AG689" s="229"/>
      <c r="AH689" s="20"/>
      <c r="AI689" s="229"/>
      <c r="AJ689" s="20"/>
      <c r="AK689" s="229"/>
      <c r="AL689" s="20"/>
      <c r="AM689" s="229"/>
      <c r="AN689" s="20"/>
      <c r="AO689" s="229"/>
      <c r="AP689" s="20"/>
      <c r="AQ689" s="229"/>
      <c r="AR689" s="20"/>
      <c r="AS689" s="229"/>
      <c r="AT689" s="20"/>
      <c r="AU689" s="229"/>
      <c r="AV689" s="20"/>
      <c r="AW689" s="229"/>
      <c r="AX689" s="20"/>
      <c r="AY689" s="229"/>
      <c r="AZ689" s="20"/>
      <c r="BA689" s="229"/>
      <c r="BB689" s="20"/>
      <c r="BC689" s="229">
        <f t="shared" si="250"/>
        <v>0</v>
      </c>
      <c r="BD689" s="48">
        <f t="shared" si="248"/>
        <v>0</v>
      </c>
      <c r="BE689" s="19">
        <v>2</v>
      </c>
      <c r="BF689" s="229">
        <f t="shared" si="251"/>
        <v>0</v>
      </c>
      <c r="BG689" s="210">
        <f t="shared" si="245"/>
        <v>0</v>
      </c>
      <c r="BH689" s="210">
        <f t="shared" si="246"/>
        <v>2</v>
      </c>
      <c r="BI689" s="213">
        <f t="shared" si="241"/>
        <v>0</v>
      </c>
      <c r="BJ689" s="141"/>
      <c r="BK689" s="201"/>
      <c r="BL689" s="198"/>
      <c r="BM689" s="198"/>
    </row>
    <row r="690" spans="1:67" s="17" customFormat="1" ht="15.95" customHeight="1">
      <c r="A690" s="123">
        <v>63</v>
      </c>
      <c r="B690" s="9" t="s">
        <v>2106</v>
      </c>
      <c r="C690" s="11" t="s">
        <v>2107</v>
      </c>
      <c r="D690" s="229"/>
      <c r="E690" s="13"/>
      <c r="F690" s="229"/>
      <c r="G690" s="13"/>
      <c r="H690" s="229"/>
      <c r="I690" s="13"/>
      <c r="J690" s="229"/>
      <c r="K690" s="13"/>
      <c r="L690" s="229"/>
      <c r="M690" s="13"/>
      <c r="N690" s="229"/>
      <c r="O690" s="13"/>
      <c r="P690" s="229"/>
      <c r="Q690" s="13"/>
      <c r="R690" s="229"/>
      <c r="S690" s="13"/>
      <c r="T690" s="229"/>
      <c r="U690" s="13"/>
      <c r="V690" s="229"/>
      <c r="W690" s="13"/>
      <c r="X690" s="229"/>
      <c r="Y690" s="13"/>
      <c r="Z690" s="229"/>
      <c r="AA690" s="13"/>
      <c r="AB690" s="229">
        <f t="shared" si="249"/>
        <v>0</v>
      </c>
      <c r="AC690" s="228">
        <f t="shared" si="247"/>
        <v>0</v>
      </c>
      <c r="AD690" s="19">
        <v>0</v>
      </c>
      <c r="AE690" s="229"/>
      <c r="AF690" s="20"/>
      <c r="AG690" s="229"/>
      <c r="AH690" s="20"/>
      <c r="AI690" s="229">
        <v>1</v>
      </c>
      <c r="AJ690" s="20">
        <v>1</v>
      </c>
      <c r="AK690" s="229"/>
      <c r="AL690" s="20"/>
      <c r="AM690" s="229"/>
      <c r="AN690" s="20"/>
      <c r="AO690" s="229"/>
      <c r="AP690" s="20"/>
      <c r="AQ690" s="229"/>
      <c r="AR690" s="20"/>
      <c r="AS690" s="229"/>
      <c r="AT690" s="20"/>
      <c r="AU690" s="229"/>
      <c r="AV690" s="20"/>
      <c r="AW690" s="229"/>
      <c r="AX690" s="20"/>
      <c r="AY690" s="229"/>
      <c r="AZ690" s="20"/>
      <c r="BA690" s="229"/>
      <c r="BB690" s="20"/>
      <c r="BC690" s="229">
        <f t="shared" si="250"/>
        <v>1</v>
      </c>
      <c r="BD690" s="48">
        <f t="shared" si="248"/>
        <v>1</v>
      </c>
      <c r="BE690" s="19">
        <v>6</v>
      </c>
      <c r="BF690" s="229">
        <f t="shared" si="251"/>
        <v>1</v>
      </c>
      <c r="BG690" s="210">
        <f t="shared" si="245"/>
        <v>1</v>
      </c>
      <c r="BH690" s="210">
        <f t="shared" si="246"/>
        <v>6</v>
      </c>
      <c r="BI690" s="213">
        <f t="shared" si="241"/>
        <v>16.666666666666664</v>
      </c>
      <c r="BJ690" s="141"/>
      <c r="BK690" s="201"/>
      <c r="BL690" s="198"/>
      <c r="BM690" s="198"/>
      <c r="BN690" s="171"/>
      <c r="BO690" s="171"/>
    </row>
    <row r="691" spans="1:67" s="171" customFormat="1" ht="15.95" customHeight="1">
      <c r="A691" s="123">
        <v>64</v>
      </c>
      <c r="B691" s="9" t="s">
        <v>524</v>
      </c>
      <c r="C691" s="11" t="s">
        <v>1489</v>
      </c>
      <c r="D691" s="229"/>
      <c r="E691" s="13"/>
      <c r="F691" s="229"/>
      <c r="G691" s="13"/>
      <c r="H691" s="229"/>
      <c r="I691" s="13"/>
      <c r="J691" s="229"/>
      <c r="K691" s="13"/>
      <c r="L691" s="229"/>
      <c r="M691" s="13"/>
      <c r="N691" s="229"/>
      <c r="O691" s="13"/>
      <c r="P691" s="229"/>
      <c r="Q691" s="13"/>
      <c r="R691" s="229"/>
      <c r="S691" s="13"/>
      <c r="T691" s="229"/>
      <c r="U691" s="13"/>
      <c r="V691" s="229"/>
      <c r="W691" s="13"/>
      <c r="X691" s="229"/>
      <c r="Y691" s="13"/>
      <c r="Z691" s="229"/>
      <c r="AA691" s="13"/>
      <c r="AB691" s="229">
        <f t="shared" si="249"/>
        <v>0</v>
      </c>
      <c r="AC691" s="228">
        <f t="shared" si="247"/>
        <v>0</v>
      </c>
      <c r="AD691" s="21">
        <v>0</v>
      </c>
      <c r="AE691" s="229"/>
      <c r="AF691" s="20"/>
      <c r="AG691" s="229"/>
      <c r="AH691" s="20"/>
      <c r="AI691" s="229"/>
      <c r="AJ691" s="20"/>
      <c r="AK691" s="229"/>
      <c r="AL691" s="20"/>
      <c r="AM691" s="229"/>
      <c r="AN691" s="20"/>
      <c r="AO691" s="229">
        <v>4</v>
      </c>
      <c r="AP691" s="20">
        <v>4</v>
      </c>
      <c r="AQ691" s="229"/>
      <c r="AR691" s="20"/>
      <c r="AS691" s="229"/>
      <c r="AT691" s="20"/>
      <c r="AU691" s="229"/>
      <c r="AV691" s="20">
        <v>1</v>
      </c>
      <c r="AW691" s="229"/>
      <c r="AX691" s="20"/>
      <c r="AY691" s="229"/>
      <c r="AZ691" s="20"/>
      <c r="BA691" s="229"/>
      <c r="BB691" s="20">
        <v>1</v>
      </c>
      <c r="BC691" s="229">
        <f t="shared" si="250"/>
        <v>4</v>
      </c>
      <c r="BD691" s="48">
        <f t="shared" si="248"/>
        <v>6</v>
      </c>
      <c r="BE691" s="19">
        <v>3</v>
      </c>
      <c r="BF691" s="229">
        <f t="shared" si="251"/>
        <v>4</v>
      </c>
      <c r="BG691" s="210">
        <f t="shared" si="245"/>
        <v>6</v>
      </c>
      <c r="BH691" s="210">
        <f t="shared" si="246"/>
        <v>3</v>
      </c>
      <c r="BI691" s="213">
        <f t="shared" si="241"/>
        <v>200</v>
      </c>
      <c r="BJ691" s="141"/>
      <c r="BK691" s="201"/>
      <c r="BL691" s="198"/>
      <c r="BM691" s="198"/>
      <c r="BN691" s="17"/>
      <c r="BO691" s="17"/>
    </row>
    <row r="692" spans="1:67" s="17" customFormat="1" ht="21.95" customHeight="1">
      <c r="A692" s="123">
        <v>65</v>
      </c>
      <c r="B692" s="9" t="s">
        <v>1770</v>
      </c>
      <c r="C692" s="10" t="s">
        <v>1773</v>
      </c>
      <c r="D692" s="229"/>
      <c r="E692" s="13"/>
      <c r="F692" s="229"/>
      <c r="G692" s="13"/>
      <c r="H692" s="229"/>
      <c r="I692" s="13"/>
      <c r="J692" s="229"/>
      <c r="K692" s="13"/>
      <c r="L692" s="229"/>
      <c r="M692" s="13"/>
      <c r="N692" s="229"/>
      <c r="O692" s="13"/>
      <c r="P692" s="229"/>
      <c r="Q692" s="13"/>
      <c r="R692" s="229"/>
      <c r="S692" s="13"/>
      <c r="T692" s="229"/>
      <c r="U692" s="13"/>
      <c r="V692" s="229"/>
      <c r="W692" s="13"/>
      <c r="X692" s="229"/>
      <c r="Y692" s="13"/>
      <c r="Z692" s="229"/>
      <c r="AA692" s="13"/>
      <c r="AB692" s="229">
        <f t="shared" si="249"/>
        <v>0</v>
      </c>
      <c r="AC692" s="228">
        <f t="shared" si="247"/>
        <v>0</v>
      </c>
      <c r="AD692" s="19">
        <v>0</v>
      </c>
      <c r="AE692" s="229"/>
      <c r="AF692" s="20"/>
      <c r="AG692" s="229"/>
      <c r="AH692" s="20"/>
      <c r="AI692" s="229"/>
      <c r="AJ692" s="20"/>
      <c r="AK692" s="229"/>
      <c r="AL692" s="20"/>
      <c r="AM692" s="229"/>
      <c r="AN692" s="20"/>
      <c r="AO692" s="229">
        <v>1</v>
      </c>
      <c r="AP692" s="20">
        <v>1</v>
      </c>
      <c r="AQ692" s="229"/>
      <c r="AR692" s="20"/>
      <c r="AS692" s="229"/>
      <c r="AT692" s="20"/>
      <c r="AU692" s="229"/>
      <c r="AV692" s="20"/>
      <c r="AW692" s="229"/>
      <c r="AX692" s="20"/>
      <c r="AY692" s="229"/>
      <c r="AZ692" s="20"/>
      <c r="BA692" s="229"/>
      <c r="BB692" s="20">
        <v>1</v>
      </c>
      <c r="BC692" s="229">
        <f t="shared" si="250"/>
        <v>1</v>
      </c>
      <c r="BD692" s="48">
        <f t="shared" si="248"/>
        <v>2</v>
      </c>
      <c r="BE692" s="19">
        <f>3+1</f>
        <v>4</v>
      </c>
      <c r="BF692" s="229">
        <f t="shared" si="251"/>
        <v>1</v>
      </c>
      <c r="BG692" s="210">
        <f t="shared" si="245"/>
        <v>2</v>
      </c>
      <c r="BH692" s="210">
        <f t="shared" si="246"/>
        <v>4</v>
      </c>
      <c r="BI692" s="213">
        <f t="shared" ref="BI692:BI723" si="252">BG692/BH692*100</f>
        <v>50</v>
      </c>
      <c r="BJ692" s="141"/>
      <c r="BK692" s="201"/>
      <c r="BL692" s="198"/>
      <c r="BM692" s="198"/>
    </row>
    <row r="693" spans="1:67" s="17" customFormat="1" ht="21.75" customHeight="1">
      <c r="A693" s="123">
        <v>66</v>
      </c>
      <c r="B693" s="9" t="s">
        <v>2886</v>
      </c>
      <c r="C693" s="10" t="s">
        <v>2887</v>
      </c>
      <c r="D693" s="229"/>
      <c r="E693" s="13"/>
      <c r="F693" s="229"/>
      <c r="G693" s="13"/>
      <c r="H693" s="229"/>
      <c r="I693" s="13"/>
      <c r="J693" s="229"/>
      <c r="K693" s="13"/>
      <c r="L693" s="229"/>
      <c r="M693" s="13"/>
      <c r="N693" s="229"/>
      <c r="O693" s="13"/>
      <c r="P693" s="229"/>
      <c r="Q693" s="13"/>
      <c r="R693" s="229"/>
      <c r="S693" s="13"/>
      <c r="T693" s="229"/>
      <c r="U693" s="13"/>
      <c r="V693" s="229"/>
      <c r="W693" s="13"/>
      <c r="X693" s="229"/>
      <c r="Y693" s="13"/>
      <c r="Z693" s="229"/>
      <c r="AA693" s="13"/>
      <c r="AB693" s="229">
        <f t="shared" si="249"/>
        <v>0</v>
      </c>
      <c r="AC693" s="228">
        <f t="shared" si="247"/>
        <v>0</v>
      </c>
      <c r="AD693" s="21">
        <v>0</v>
      </c>
      <c r="AE693" s="229"/>
      <c r="AF693" s="20"/>
      <c r="AG693" s="229"/>
      <c r="AH693" s="20"/>
      <c r="AI693" s="229">
        <v>2</v>
      </c>
      <c r="AJ693" s="13">
        <v>2</v>
      </c>
      <c r="AK693" s="229"/>
      <c r="AL693" s="20"/>
      <c r="AM693" s="229"/>
      <c r="AN693" s="20"/>
      <c r="AO693" s="229"/>
      <c r="AP693" s="20"/>
      <c r="AQ693" s="229"/>
      <c r="AR693" s="20"/>
      <c r="AS693" s="229"/>
      <c r="AT693" s="20"/>
      <c r="AU693" s="229"/>
      <c r="AV693" s="20"/>
      <c r="AW693" s="229"/>
      <c r="AX693" s="20"/>
      <c r="AY693" s="229"/>
      <c r="AZ693" s="20"/>
      <c r="BA693" s="229"/>
      <c r="BB693" s="20">
        <v>2</v>
      </c>
      <c r="BC693" s="229">
        <f t="shared" si="250"/>
        <v>2</v>
      </c>
      <c r="BD693" s="48">
        <f t="shared" si="248"/>
        <v>4</v>
      </c>
      <c r="BE693" s="19">
        <v>0</v>
      </c>
      <c r="BF693" s="229">
        <f t="shared" si="251"/>
        <v>2</v>
      </c>
      <c r="BG693" s="210">
        <f t="shared" si="245"/>
        <v>4</v>
      </c>
      <c r="BH693" s="210">
        <f t="shared" si="246"/>
        <v>0</v>
      </c>
      <c r="BI693" s="213" t="e">
        <f t="shared" si="252"/>
        <v>#DIV/0!</v>
      </c>
      <c r="BJ693" s="141"/>
      <c r="BK693" s="201"/>
      <c r="BL693" s="198"/>
      <c r="BM693" s="198"/>
    </row>
    <row r="694" spans="1:67" s="17" customFormat="1" ht="15.95" customHeight="1">
      <c r="A694" s="123">
        <v>67</v>
      </c>
      <c r="B694" s="9" t="s">
        <v>2260</v>
      </c>
      <c r="C694" s="11" t="s">
        <v>2261</v>
      </c>
      <c r="D694" s="229"/>
      <c r="E694" s="13"/>
      <c r="F694" s="229"/>
      <c r="G694" s="13"/>
      <c r="H694" s="229"/>
      <c r="I694" s="13"/>
      <c r="J694" s="229"/>
      <c r="K694" s="13"/>
      <c r="L694" s="229"/>
      <c r="M694" s="13"/>
      <c r="N694" s="229"/>
      <c r="O694" s="13"/>
      <c r="P694" s="229"/>
      <c r="Q694" s="13"/>
      <c r="R694" s="229"/>
      <c r="S694" s="13"/>
      <c r="T694" s="229"/>
      <c r="U694" s="13"/>
      <c r="V694" s="229"/>
      <c r="W694" s="13"/>
      <c r="X694" s="229"/>
      <c r="Y694" s="13"/>
      <c r="Z694" s="229"/>
      <c r="AA694" s="13"/>
      <c r="AB694" s="229">
        <f t="shared" si="249"/>
        <v>0</v>
      </c>
      <c r="AC694" s="228">
        <f t="shared" si="247"/>
        <v>0</v>
      </c>
      <c r="AD694" s="285">
        <v>75</v>
      </c>
      <c r="AE694" s="229"/>
      <c r="AF694" s="20"/>
      <c r="AG694" s="229"/>
      <c r="AH694" s="20"/>
      <c r="AI694" s="229">
        <v>1</v>
      </c>
      <c r="AJ694" s="20">
        <v>1</v>
      </c>
      <c r="AK694" s="229"/>
      <c r="AL694" s="20"/>
      <c r="AM694" s="229"/>
      <c r="AN694" s="20"/>
      <c r="AO694" s="229"/>
      <c r="AP694" s="20"/>
      <c r="AQ694" s="229"/>
      <c r="AR694" s="20"/>
      <c r="AS694" s="229"/>
      <c r="AT694" s="20"/>
      <c r="AU694" s="229"/>
      <c r="AV694" s="20">
        <v>1</v>
      </c>
      <c r="AW694" s="229"/>
      <c r="AX694" s="20"/>
      <c r="AY694" s="229"/>
      <c r="AZ694" s="20"/>
      <c r="BA694" s="229"/>
      <c r="BB694" s="20"/>
      <c r="BC694" s="229">
        <f t="shared" si="250"/>
        <v>1</v>
      </c>
      <c r="BD694" s="48">
        <f t="shared" si="248"/>
        <v>2</v>
      </c>
      <c r="BE694" s="19">
        <v>0</v>
      </c>
      <c r="BF694" s="229">
        <f t="shared" si="251"/>
        <v>1</v>
      </c>
      <c r="BG694" s="210">
        <f t="shared" si="245"/>
        <v>2</v>
      </c>
      <c r="BH694" s="210">
        <f t="shared" si="246"/>
        <v>75</v>
      </c>
      <c r="BI694" s="213">
        <f t="shared" si="252"/>
        <v>2.666666666666667</v>
      </c>
      <c r="BJ694" s="141"/>
      <c r="BK694" s="201"/>
      <c r="BL694" s="198"/>
      <c r="BM694" s="198"/>
    </row>
    <row r="695" spans="1:67" s="17" customFormat="1" ht="15.95" customHeight="1">
      <c r="A695" s="123">
        <v>68</v>
      </c>
      <c r="B695" s="9" t="s">
        <v>2888</v>
      </c>
      <c r="C695" s="11" t="s">
        <v>2889</v>
      </c>
      <c r="D695" s="229"/>
      <c r="E695" s="13"/>
      <c r="F695" s="229"/>
      <c r="G695" s="13"/>
      <c r="H695" s="229"/>
      <c r="I695" s="13"/>
      <c r="J695" s="229"/>
      <c r="K695" s="13"/>
      <c r="L695" s="229"/>
      <c r="M695" s="13"/>
      <c r="N695" s="229"/>
      <c r="O695" s="13"/>
      <c r="P695" s="229"/>
      <c r="Q695" s="13"/>
      <c r="R695" s="229"/>
      <c r="S695" s="13"/>
      <c r="T695" s="229"/>
      <c r="U695" s="13"/>
      <c r="V695" s="229"/>
      <c r="W695" s="13"/>
      <c r="X695" s="229"/>
      <c r="Y695" s="13"/>
      <c r="Z695" s="229"/>
      <c r="AA695" s="13"/>
      <c r="AB695" s="229">
        <f t="shared" si="249"/>
        <v>0</v>
      </c>
      <c r="AC695" s="228">
        <f t="shared" si="247"/>
        <v>0</v>
      </c>
      <c r="AD695" s="19">
        <v>0</v>
      </c>
      <c r="AE695" s="229"/>
      <c r="AF695" s="20"/>
      <c r="AG695" s="229"/>
      <c r="AH695" s="20"/>
      <c r="AI695" s="229">
        <v>1</v>
      </c>
      <c r="AJ695" s="13">
        <v>1</v>
      </c>
      <c r="AK695" s="229"/>
      <c r="AL695" s="20"/>
      <c r="AM695" s="229"/>
      <c r="AN695" s="20"/>
      <c r="AO695" s="229"/>
      <c r="AP695" s="20"/>
      <c r="AQ695" s="229"/>
      <c r="AR695" s="20"/>
      <c r="AS695" s="229"/>
      <c r="AT695" s="20"/>
      <c r="AU695" s="229"/>
      <c r="AV695" s="20"/>
      <c r="AW695" s="229"/>
      <c r="AX695" s="20"/>
      <c r="AY695" s="229"/>
      <c r="AZ695" s="20"/>
      <c r="BA695" s="229"/>
      <c r="BB695" s="20"/>
      <c r="BC695" s="229">
        <f t="shared" si="250"/>
        <v>1</v>
      </c>
      <c r="BD695" s="48">
        <f t="shared" si="248"/>
        <v>1</v>
      </c>
      <c r="BE695" s="19">
        <v>0</v>
      </c>
      <c r="BF695" s="229">
        <f t="shared" si="251"/>
        <v>1</v>
      </c>
      <c r="BG695" s="210">
        <f t="shared" si="245"/>
        <v>1</v>
      </c>
      <c r="BH695" s="210">
        <f t="shared" si="246"/>
        <v>0</v>
      </c>
      <c r="BI695" s="213" t="e">
        <f t="shared" si="252"/>
        <v>#DIV/0!</v>
      </c>
      <c r="BJ695" s="141"/>
      <c r="BK695" s="201"/>
      <c r="BL695" s="198"/>
      <c r="BM695" s="198"/>
    </row>
    <row r="696" spans="1:67" s="17" customFormat="1" ht="15.95" customHeight="1">
      <c r="A696" s="123">
        <v>69</v>
      </c>
      <c r="B696" s="9" t="s">
        <v>2890</v>
      </c>
      <c r="C696" s="11" t="s">
        <v>2891</v>
      </c>
      <c r="D696" s="229"/>
      <c r="E696" s="13"/>
      <c r="F696" s="229"/>
      <c r="G696" s="13"/>
      <c r="H696" s="229"/>
      <c r="I696" s="13"/>
      <c r="J696" s="229"/>
      <c r="K696" s="13"/>
      <c r="L696" s="229"/>
      <c r="M696" s="13"/>
      <c r="N696" s="229"/>
      <c r="O696" s="13"/>
      <c r="P696" s="229"/>
      <c r="Q696" s="13"/>
      <c r="R696" s="229"/>
      <c r="S696" s="13"/>
      <c r="T696" s="229"/>
      <c r="U696" s="13"/>
      <c r="V696" s="229"/>
      <c r="W696" s="13"/>
      <c r="X696" s="229"/>
      <c r="Y696" s="13"/>
      <c r="Z696" s="229"/>
      <c r="AA696" s="13"/>
      <c r="AB696" s="229">
        <f t="shared" si="249"/>
        <v>0</v>
      </c>
      <c r="AC696" s="228">
        <f t="shared" si="247"/>
        <v>0</v>
      </c>
      <c r="AD696" s="19">
        <v>0</v>
      </c>
      <c r="AE696" s="229"/>
      <c r="AF696" s="20"/>
      <c r="AG696" s="229"/>
      <c r="AH696" s="20"/>
      <c r="AI696" s="229">
        <v>1</v>
      </c>
      <c r="AJ696" s="13">
        <v>1</v>
      </c>
      <c r="AK696" s="229"/>
      <c r="AL696" s="20"/>
      <c r="AM696" s="229"/>
      <c r="AN696" s="20"/>
      <c r="AO696" s="229"/>
      <c r="AP696" s="20"/>
      <c r="AQ696" s="229"/>
      <c r="AR696" s="20"/>
      <c r="AS696" s="229"/>
      <c r="AT696" s="20"/>
      <c r="AU696" s="229"/>
      <c r="AV696" s="20">
        <v>1</v>
      </c>
      <c r="AW696" s="229"/>
      <c r="AX696" s="20"/>
      <c r="AY696" s="229"/>
      <c r="AZ696" s="20"/>
      <c r="BA696" s="229"/>
      <c r="BB696" s="20"/>
      <c r="BC696" s="229">
        <f t="shared" si="250"/>
        <v>1</v>
      </c>
      <c r="BD696" s="48">
        <f t="shared" si="248"/>
        <v>2</v>
      </c>
      <c r="BE696" s="19">
        <v>0</v>
      </c>
      <c r="BF696" s="229">
        <f t="shared" si="251"/>
        <v>1</v>
      </c>
      <c r="BG696" s="210">
        <f t="shared" si="245"/>
        <v>2</v>
      </c>
      <c r="BH696" s="210">
        <f t="shared" si="246"/>
        <v>0</v>
      </c>
      <c r="BI696" s="213" t="e">
        <f t="shared" si="252"/>
        <v>#DIV/0!</v>
      </c>
      <c r="BJ696" s="141"/>
      <c r="BK696" s="201"/>
      <c r="BL696" s="198"/>
      <c r="BM696" s="198"/>
    </row>
    <row r="697" spans="1:67" s="17" customFormat="1" ht="15.95" customHeight="1">
      <c r="A697" s="123">
        <v>70</v>
      </c>
      <c r="B697" s="9" t="s">
        <v>365</v>
      </c>
      <c r="C697" s="11" t="s">
        <v>366</v>
      </c>
      <c r="D697" s="229"/>
      <c r="E697" s="13"/>
      <c r="F697" s="229"/>
      <c r="G697" s="13"/>
      <c r="H697" s="229"/>
      <c r="I697" s="13"/>
      <c r="J697" s="229"/>
      <c r="K697" s="13"/>
      <c r="L697" s="229"/>
      <c r="M697" s="13"/>
      <c r="N697" s="229"/>
      <c r="O697" s="13"/>
      <c r="P697" s="229"/>
      <c r="Q697" s="13"/>
      <c r="R697" s="229"/>
      <c r="S697" s="13"/>
      <c r="T697" s="229"/>
      <c r="U697" s="13"/>
      <c r="V697" s="229"/>
      <c r="W697" s="13"/>
      <c r="X697" s="229"/>
      <c r="Y697" s="13"/>
      <c r="Z697" s="229"/>
      <c r="AA697" s="13"/>
      <c r="AB697" s="229">
        <f t="shared" si="249"/>
        <v>0</v>
      </c>
      <c r="AC697" s="228">
        <f t="shared" si="247"/>
        <v>0</v>
      </c>
      <c r="AD697" s="21">
        <v>0</v>
      </c>
      <c r="AE697" s="229"/>
      <c r="AF697" s="20"/>
      <c r="AG697" s="229"/>
      <c r="AH697" s="20"/>
      <c r="AI697" s="229">
        <v>3</v>
      </c>
      <c r="AJ697" s="20">
        <v>3</v>
      </c>
      <c r="AK697" s="229"/>
      <c r="AL697" s="20"/>
      <c r="AM697" s="229"/>
      <c r="AN697" s="20"/>
      <c r="AO697" s="229">
        <v>3</v>
      </c>
      <c r="AP697" s="20">
        <v>3</v>
      </c>
      <c r="AQ697" s="229"/>
      <c r="AR697" s="20"/>
      <c r="AS697" s="229"/>
      <c r="AT697" s="20"/>
      <c r="AU697" s="229"/>
      <c r="AV697" s="20">
        <v>2</v>
      </c>
      <c r="AW697" s="229"/>
      <c r="AX697" s="20"/>
      <c r="AY697" s="229"/>
      <c r="AZ697" s="20"/>
      <c r="BA697" s="229"/>
      <c r="BB697" s="20">
        <v>1</v>
      </c>
      <c r="BC697" s="229">
        <f t="shared" si="250"/>
        <v>6</v>
      </c>
      <c r="BD697" s="48">
        <f t="shared" si="248"/>
        <v>9</v>
      </c>
      <c r="BE697" s="19">
        <v>9</v>
      </c>
      <c r="BF697" s="229">
        <f t="shared" si="251"/>
        <v>6</v>
      </c>
      <c r="BG697" s="210">
        <f t="shared" ref="BG697:BG728" si="253">AC697+BD697</f>
        <v>9</v>
      </c>
      <c r="BH697" s="210">
        <f t="shared" ref="BH697:BH728" si="254">AD697+BE697</f>
        <v>9</v>
      </c>
      <c r="BI697" s="213">
        <f t="shared" si="252"/>
        <v>100</v>
      </c>
      <c r="BJ697" s="141"/>
      <c r="BK697" s="201"/>
      <c r="BL697" s="198"/>
      <c r="BM697" s="198"/>
    </row>
    <row r="698" spans="1:67" s="17" customFormat="1" ht="23.25" customHeight="1">
      <c r="A698" s="123">
        <v>71</v>
      </c>
      <c r="B698" s="9" t="s">
        <v>2108</v>
      </c>
      <c r="C698" s="10" t="s">
        <v>2109</v>
      </c>
      <c r="D698" s="229"/>
      <c r="E698" s="13"/>
      <c r="F698" s="229"/>
      <c r="G698" s="13"/>
      <c r="H698" s="229"/>
      <c r="I698" s="13"/>
      <c r="J698" s="229"/>
      <c r="K698" s="13"/>
      <c r="L698" s="229"/>
      <c r="M698" s="13"/>
      <c r="N698" s="229"/>
      <c r="O698" s="13"/>
      <c r="P698" s="229"/>
      <c r="Q698" s="13"/>
      <c r="R698" s="229"/>
      <c r="S698" s="13"/>
      <c r="T698" s="229"/>
      <c r="U698" s="13"/>
      <c r="V698" s="229"/>
      <c r="W698" s="13"/>
      <c r="X698" s="229"/>
      <c r="Y698" s="13"/>
      <c r="Z698" s="229"/>
      <c r="AA698" s="13"/>
      <c r="AB698" s="229">
        <f t="shared" si="249"/>
        <v>0</v>
      </c>
      <c r="AC698" s="228">
        <f t="shared" ref="AC698:AC729" si="255">E698+G698+I698+K698+M698+O698+Q698+S698+U698+W698+Y698+AA698</f>
        <v>0</v>
      </c>
      <c r="AD698" s="19">
        <v>0</v>
      </c>
      <c r="AE698" s="229"/>
      <c r="AF698" s="20"/>
      <c r="AG698" s="229"/>
      <c r="AH698" s="20"/>
      <c r="AI698" s="229"/>
      <c r="AJ698" s="20"/>
      <c r="AK698" s="229"/>
      <c r="AL698" s="20"/>
      <c r="AM698" s="229"/>
      <c r="AN698" s="20"/>
      <c r="AO698" s="229"/>
      <c r="AP698" s="20"/>
      <c r="AQ698" s="229"/>
      <c r="AR698" s="20"/>
      <c r="AS698" s="229"/>
      <c r="AT698" s="20"/>
      <c r="AU698" s="229"/>
      <c r="AV698" s="20"/>
      <c r="AW698" s="229"/>
      <c r="AX698" s="20"/>
      <c r="AY698" s="229"/>
      <c r="AZ698" s="20"/>
      <c r="BA698" s="229"/>
      <c r="BB698" s="20"/>
      <c r="BC698" s="229">
        <f t="shared" si="250"/>
        <v>0</v>
      </c>
      <c r="BD698" s="48">
        <f t="shared" ref="BD698:BD729" si="256">AF698+AH698+AJ698+AL698+AN698+AP698+AR698+AT698+AV698+AX698+AZ698+BB698</f>
        <v>0</v>
      </c>
      <c r="BE698" s="19">
        <v>8</v>
      </c>
      <c r="BF698" s="229">
        <f t="shared" si="251"/>
        <v>0</v>
      </c>
      <c r="BG698" s="210">
        <f t="shared" si="253"/>
        <v>0</v>
      </c>
      <c r="BH698" s="210">
        <f t="shared" si="254"/>
        <v>8</v>
      </c>
      <c r="BI698" s="213">
        <f t="shared" si="252"/>
        <v>0</v>
      </c>
      <c r="BJ698" s="141"/>
      <c r="BK698" s="201"/>
      <c r="BL698" s="198"/>
      <c r="BM698" s="198"/>
    </row>
    <row r="699" spans="1:67" s="17" customFormat="1" ht="23.25" customHeight="1">
      <c r="A699" s="123">
        <v>72</v>
      </c>
      <c r="B699" s="9" t="s">
        <v>367</v>
      </c>
      <c r="C699" s="10" t="s">
        <v>368</v>
      </c>
      <c r="D699" s="229"/>
      <c r="E699" s="13"/>
      <c r="F699" s="229"/>
      <c r="G699" s="13"/>
      <c r="H699" s="229"/>
      <c r="I699" s="13"/>
      <c r="J699" s="229"/>
      <c r="K699" s="13"/>
      <c r="L699" s="229"/>
      <c r="M699" s="13"/>
      <c r="N699" s="229"/>
      <c r="O699" s="13"/>
      <c r="P699" s="229"/>
      <c r="Q699" s="13"/>
      <c r="R699" s="229"/>
      <c r="S699" s="13"/>
      <c r="T699" s="229"/>
      <c r="U699" s="13"/>
      <c r="V699" s="229"/>
      <c r="W699" s="13"/>
      <c r="X699" s="229"/>
      <c r="Y699" s="13"/>
      <c r="Z699" s="229"/>
      <c r="AA699" s="13"/>
      <c r="AB699" s="229">
        <f t="shared" si="249"/>
        <v>0</v>
      </c>
      <c r="AC699" s="228">
        <f t="shared" si="255"/>
        <v>0</v>
      </c>
      <c r="AD699" s="21">
        <v>0</v>
      </c>
      <c r="AE699" s="229"/>
      <c r="AF699" s="20"/>
      <c r="AG699" s="229"/>
      <c r="AH699" s="20"/>
      <c r="AI699" s="229">
        <v>5</v>
      </c>
      <c r="AJ699" s="20">
        <v>6</v>
      </c>
      <c r="AK699" s="229"/>
      <c r="AL699" s="20"/>
      <c r="AM699" s="229"/>
      <c r="AN699" s="20"/>
      <c r="AO699" s="229">
        <v>8</v>
      </c>
      <c r="AP699" s="20">
        <v>8</v>
      </c>
      <c r="AQ699" s="229"/>
      <c r="AR699" s="20"/>
      <c r="AS699" s="229"/>
      <c r="AT699" s="20"/>
      <c r="AU699" s="229"/>
      <c r="AV699" s="20">
        <v>6</v>
      </c>
      <c r="AW699" s="229"/>
      <c r="AX699" s="20"/>
      <c r="AY699" s="229"/>
      <c r="AZ699" s="20"/>
      <c r="BA699" s="229"/>
      <c r="BB699" s="20">
        <v>3</v>
      </c>
      <c r="BC699" s="229">
        <f t="shared" si="250"/>
        <v>13</v>
      </c>
      <c r="BD699" s="48">
        <f t="shared" si="256"/>
        <v>23</v>
      </c>
      <c r="BE699" s="19">
        <v>17</v>
      </c>
      <c r="BF699" s="229">
        <f t="shared" si="251"/>
        <v>13</v>
      </c>
      <c r="BG699" s="210">
        <f t="shared" si="253"/>
        <v>23</v>
      </c>
      <c r="BH699" s="210">
        <f t="shared" si="254"/>
        <v>17</v>
      </c>
      <c r="BI699" s="213">
        <f t="shared" si="252"/>
        <v>135.29411764705884</v>
      </c>
      <c r="BJ699" s="141"/>
      <c r="BK699" s="201"/>
      <c r="BL699" s="198"/>
      <c r="BM699" s="198"/>
    </row>
    <row r="700" spans="1:67" s="17" customFormat="1" ht="22.5" customHeight="1">
      <c r="A700" s="123">
        <v>73</v>
      </c>
      <c r="B700" s="9" t="s">
        <v>3135</v>
      </c>
      <c r="C700" s="10" t="s">
        <v>3136</v>
      </c>
      <c r="D700" s="229"/>
      <c r="E700" s="13"/>
      <c r="F700" s="229"/>
      <c r="G700" s="13"/>
      <c r="H700" s="229"/>
      <c r="I700" s="13"/>
      <c r="J700" s="229"/>
      <c r="K700" s="13"/>
      <c r="L700" s="229"/>
      <c r="M700" s="13"/>
      <c r="N700" s="229"/>
      <c r="O700" s="13"/>
      <c r="P700" s="229"/>
      <c r="Q700" s="13"/>
      <c r="R700" s="229"/>
      <c r="S700" s="13"/>
      <c r="T700" s="229"/>
      <c r="U700" s="13"/>
      <c r="V700" s="229"/>
      <c r="W700" s="13"/>
      <c r="X700" s="229"/>
      <c r="Y700" s="13"/>
      <c r="Z700" s="229"/>
      <c r="AA700" s="13"/>
      <c r="AB700" s="229"/>
      <c r="AC700" s="228">
        <f t="shared" si="255"/>
        <v>0</v>
      </c>
      <c r="AD700" s="21">
        <v>0</v>
      </c>
      <c r="AE700" s="229"/>
      <c r="AF700" s="20"/>
      <c r="AG700" s="229"/>
      <c r="AH700" s="20"/>
      <c r="AI700" s="229"/>
      <c r="AJ700" s="20"/>
      <c r="AK700" s="229"/>
      <c r="AL700" s="20"/>
      <c r="AM700" s="229"/>
      <c r="AN700" s="20"/>
      <c r="AO700" s="229"/>
      <c r="AP700" s="20">
        <v>3</v>
      </c>
      <c r="AQ700" s="229"/>
      <c r="AR700" s="20"/>
      <c r="AS700" s="229"/>
      <c r="AT700" s="20"/>
      <c r="AU700" s="229"/>
      <c r="AV700" s="20"/>
      <c r="AW700" s="229"/>
      <c r="AX700" s="20"/>
      <c r="AY700" s="229"/>
      <c r="AZ700" s="20"/>
      <c r="BA700" s="229"/>
      <c r="BB700" s="20"/>
      <c r="BC700" s="229"/>
      <c r="BD700" s="48">
        <f t="shared" si="256"/>
        <v>3</v>
      </c>
      <c r="BE700" s="19">
        <v>0</v>
      </c>
      <c r="BF700" s="229"/>
      <c r="BG700" s="210">
        <f t="shared" si="253"/>
        <v>3</v>
      </c>
      <c r="BH700" s="210">
        <f t="shared" si="254"/>
        <v>0</v>
      </c>
      <c r="BI700" s="213" t="e">
        <f t="shared" si="252"/>
        <v>#DIV/0!</v>
      </c>
      <c r="BJ700" s="141"/>
      <c r="BK700" s="201"/>
      <c r="BL700" s="198"/>
      <c r="BM700" s="198"/>
    </row>
    <row r="701" spans="1:67" s="17" customFormat="1" ht="21.95" customHeight="1">
      <c r="A701" s="123">
        <v>74</v>
      </c>
      <c r="B701" s="9" t="s">
        <v>369</v>
      </c>
      <c r="C701" s="10" t="s">
        <v>2468</v>
      </c>
      <c r="D701" s="229"/>
      <c r="E701" s="13"/>
      <c r="F701" s="229"/>
      <c r="G701" s="13"/>
      <c r="H701" s="229"/>
      <c r="I701" s="13"/>
      <c r="J701" s="229"/>
      <c r="K701" s="13"/>
      <c r="L701" s="229"/>
      <c r="M701" s="13"/>
      <c r="N701" s="229"/>
      <c r="O701" s="13"/>
      <c r="P701" s="229"/>
      <c r="Q701" s="13"/>
      <c r="R701" s="229"/>
      <c r="S701" s="13"/>
      <c r="T701" s="229"/>
      <c r="U701" s="13"/>
      <c r="V701" s="229"/>
      <c r="W701" s="13"/>
      <c r="X701" s="229"/>
      <c r="Y701" s="13"/>
      <c r="Z701" s="229"/>
      <c r="AA701" s="13"/>
      <c r="AB701" s="229">
        <f>D701+F701+H701+J701+L701+N701+P701+R701+T701+V701+X701+Z701</f>
        <v>0</v>
      </c>
      <c r="AC701" s="228">
        <f t="shared" si="255"/>
        <v>0</v>
      </c>
      <c r="AD701" s="21">
        <v>5</v>
      </c>
      <c r="AE701" s="229"/>
      <c r="AF701" s="20"/>
      <c r="AG701" s="229"/>
      <c r="AH701" s="20"/>
      <c r="AI701" s="229">
        <v>3</v>
      </c>
      <c r="AJ701" s="13">
        <v>3</v>
      </c>
      <c r="AK701" s="229"/>
      <c r="AL701" s="20"/>
      <c r="AM701" s="229"/>
      <c r="AN701" s="20"/>
      <c r="AO701" s="229">
        <v>2</v>
      </c>
      <c r="AP701" s="20">
        <v>2</v>
      </c>
      <c r="AQ701" s="229"/>
      <c r="AR701" s="20"/>
      <c r="AS701" s="229"/>
      <c r="AT701" s="20"/>
      <c r="AU701" s="229"/>
      <c r="AV701" s="20">
        <v>4</v>
      </c>
      <c r="AW701" s="229"/>
      <c r="AX701" s="20"/>
      <c r="AY701" s="229"/>
      <c r="AZ701" s="20"/>
      <c r="BA701" s="229"/>
      <c r="BB701" s="20">
        <v>10</v>
      </c>
      <c r="BC701" s="229">
        <f>AE701+AG701+AI701+AK701+AM701+AO701+AQ701+AS701+AU701+AW701+AY701+BA701</f>
        <v>5</v>
      </c>
      <c r="BD701" s="48">
        <f t="shared" si="256"/>
        <v>19</v>
      </c>
      <c r="BE701" s="19">
        <v>15</v>
      </c>
      <c r="BF701" s="229">
        <f>AB701+BC701</f>
        <v>5</v>
      </c>
      <c r="BG701" s="210">
        <f t="shared" si="253"/>
        <v>19</v>
      </c>
      <c r="BH701" s="210">
        <f t="shared" si="254"/>
        <v>20</v>
      </c>
      <c r="BI701" s="213">
        <f t="shared" si="252"/>
        <v>95</v>
      </c>
      <c r="BJ701" s="141"/>
      <c r="BK701" s="201"/>
      <c r="BL701" s="198"/>
      <c r="BM701" s="198"/>
    </row>
    <row r="702" spans="1:67" s="17" customFormat="1" ht="15.95" customHeight="1">
      <c r="A702" s="123">
        <v>75</v>
      </c>
      <c r="B702" s="9" t="s">
        <v>2892</v>
      </c>
      <c r="C702" s="11" t="s">
        <v>2893</v>
      </c>
      <c r="D702" s="229"/>
      <c r="E702" s="13"/>
      <c r="F702" s="229"/>
      <c r="G702" s="13"/>
      <c r="H702" s="229"/>
      <c r="I702" s="13"/>
      <c r="J702" s="229"/>
      <c r="K702" s="13"/>
      <c r="L702" s="229"/>
      <c r="M702" s="13"/>
      <c r="N702" s="229"/>
      <c r="O702" s="13"/>
      <c r="P702" s="229"/>
      <c r="Q702" s="13"/>
      <c r="R702" s="229"/>
      <c r="S702" s="13"/>
      <c r="T702" s="229"/>
      <c r="U702" s="13"/>
      <c r="V702" s="229"/>
      <c r="W702" s="13"/>
      <c r="X702" s="229"/>
      <c r="Y702" s="13"/>
      <c r="Z702" s="229"/>
      <c r="AA702" s="13"/>
      <c r="AB702" s="229">
        <f>D702+F702+H702+J702+L702+N702+P702+R702+T702+V702+X702+Z702</f>
        <v>0</v>
      </c>
      <c r="AC702" s="228">
        <f t="shared" si="255"/>
        <v>0</v>
      </c>
      <c r="AD702" s="21">
        <v>0</v>
      </c>
      <c r="AE702" s="229"/>
      <c r="AF702" s="20"/>
      <c r="AG702" s="229"/>
      <c r="AH702" s="20"/>
      <c r="AI702" s="229">
        <v>1</v>
      </c>
      <c r="AJ702" s="13">
        <v>1</v>
      </c>
      <c r="AK702" s="229"/>
      <c r="AL702" s="20"/>
      <c r="AM702" s="229"/>
      <c r="AN702" s="20"/>
      <c r="AO702" s="229"/>
      <c r="AP702" s="20"/>
      <c r="AQ702" s="229"/>
      <c r="AR702" s="20"/>
      <c r="AS702" s="229"/>
      <c r="AT702" s="20"/>
      <c r="AU702" s="229"/>
      <c r="AV702" s="20"/>
      <c r="AW702" s="229"/>
      <c r="AX702" s="20"/>
      <c r="AY702" s="229"/>
      <c r="AZ702" s="20"/>
      <c r="BA702" s="229"/>
      <c r="BB702" s="20"/>
      <c r="BC702" s="229">
        <f>AE702+AG702+AI702+AK702+AM702+AO702+AQ702+AS702+AU702+AW702+AY702+BA702</f>
        <v>1</v>
      </c>
      <c r="BD702" s="48">
        <f t="shared" si="256"/>
        <v>1</v>
      </c>
      <c r="BE702" s="19">
        <v>0</v>
      </c>
      <c r="BF702" s="229">
        <f>AB702+BC702</f>
        <v>1</v>
      </c>
      <c r="BG702" s="210">
        <f t="shared" si="253"/>
        <v>1</v>
      </c>
      <c r="BH702" s="210">
        <f t="shared" si="254"/>
        <v>0</v>
      </c>
      <c r="BI702" s="213" t="e">
        <f t="shared" si="252"/>
        <v>#DIV/0!</v>
      </c>
      <c r="BJ702" s="141"/>
      <c r="BK702" s="201"/>
      <c r="BL702" s="198"/>
      <c r="BM702" s="198"/>
    </row>
    <row r="703" spans="1:67" s="17" customFormat="1" ht="15.95" customHeight="1">
      <c r="A703" s="123">
        <v>76</v>
      </c>
      <c r="B703" s="9" t="s">
        <v>3137</v>
      </c>
      <c r="C703" s="11" t="s">
        <v>3138</v>
      </c>
      <c r="D703" s="229"/>
      <c r="E703" s="13"/>
      <c r="F703" s="229"/>
      <c r="G703" s="13"/>
      <c r="H703" s="229"/>
      <c r="I703" s="13"/>
      <c r="J703" s="229"/>
      <c r="K703" s="13"/>
      <c r="L703" s="229"/>
      <c r="M703" s="13"/>
      <c r="N703" s="229"/>
      <c r="O703" s="13"/>
      <c r="P703" s="229"/>
      <c r="Q703" s="13"/>
      <c r="R703" s="229"/>
      <c r="S703" s="13"/>
      <c r="T703" s="229"/>
      <c r="U703" s="13"/>
      <c r="V703" s="229"/>
      <c r="W703" s="13"/>
      <c r="X703" s="229"/>
      <c r="Y703" s="13"/>
      <c r="Z703" s="229"/>
      <c r="AA703" s="13"/>
      <c r="AB703" s="229"/>
      <c r="AC703" s="228">
        <f t="shared" si="255"/>
        <v>0</v>
      </c>
      <c r="AD703" s="21">
        <v>0</v>
      </c>
      <c r="AE703" s="229"/>
      <c r="AF703" s="20"/>
      <c r="AG703" s="229"/>
      <c r="AH703" s="20"/>
      <c r="AI703" s="229"/>
      <c r="AJ703" s="20"/>
      <c r="AK703" s="229"/>
      <c r="AL703" s="20"/>
      <c r="AM703" s="229"/>
      <c r="AN703" s="20"/>
      <c r="AO703" s="229"/>
      <c r="AP703" s="20">
        <v>1</v>
      </c>
      <c r="AQ703" s="229"/>
      <c r="AR703" s="20"/>
      <c r="AS703" s="229"/>
      <c r="AT703" s="20"/>
      <c r="AU703" s="229"/>
      <c r="AV703" s="20"/>
      <c r="AW703" s="229"/>
      <c r="AX703" s="20"/>
      <c r="AY703" s="229"/>
      <c r="AZ703" s="20"/>
      <c r="BA703" s="229"/>
      <c r="BB703" s="20"/>
      <c r="BC703" s="229"/>
      <c r="BD703" s="48">
        <f t="shared" si="256"/>
        <v>1</v>
      </c>
      <c r="BE703" s="19">
        <v>0</v>
      </c>
      <c r="BF703" s="229"/>
      <c r="BG703" s="210">
        <f t="shared" si="253"/>
        <v>1</v>
      </c>
      <c r="BH703" s="210">
        <f t="shared" si="254"/>
        <v>0</v>
      </c>
      <c r="BI703" s="213" t="e">
        <f t="shared" si="252"/>
        <v>#DIV/0!</v>
      </c>
      <c r="BJ703" s="141"/>
      <c r="BK703" s="201"/>
      <c r="BL703" s="198"/>
      <c r="BM703" s="198"/>
    </row>
    <row r="704" spans="1:67" s="17" customFormat="1" ht="15.95" customHeight="1">
      <c r="A704" s="123">
        <v>77</v>
      </c>
      <c r="B704" s="9" t="s">
        <v>1909</v>
      </c>
      <c r="C704" s="11" t="s">
        <v>1910</v>
      </c>
      <c r="D704" s="229"/>
      <c r="E704" s="13"/>
      <c r="F704" s="229"/>
      <c r="G704" s="13"/>
      <c r="H704" s="229"/>
      <c r="I704" s="13"/>
      <c r="J704" s="229"/>
      <c r="K704" s="13"/>
      <c r="L704" s="229"/>
      <c r="M704" s="13"/>
      <c r="N704" s="229"/>
      <c r="O704" s="13"/>
      <c r="P704" s="229"/>
      <c r="Q704" s="13"/>
      <c r="R704" s="229"/>
      <c r="S704" s="13"/>
      <c r="T704" s="229"/>
      <c r="U704" s="13"/>
      <c r="V704" s="229"/>
      <c r="W704" s="13"/>
      <c r="X704" s="229"/>
      <c r="Y704" s="13"/>
      <c r="Z704" s="229"/>
      <c r="AA704" s="13"/>
      <c r="AB704" s="229">
        <f>D704+F704+H704+J704+L704+N704+P704+R704+T704+V704+X704+Z704</f>
        <v>0</v>
      </c>
      <c r="AC704" s="228">
        <f t="shared" si="255"/>
        <v>0</v>
      </c>
      <c r="AD704" s="21">
        <v>0</v>
      </c>
      <c r="AE704" s="229"/>
      <c r="AF704" s="20"/>
      <c r="AG704" s="229"/>
      <c r="AH704" s="20"/>
      <c r="AI704" s="229"/>
      <c r="AJ704" s="20"/>
      <c r="AK704" s="229"/>
      <c r="AL704" s="20"/>
      <c r="AM704" s="229"/>
      <c r="AN704" s="20"/>
      <c r="AO704" s="229"/>
      <c r="AP704" s="20"/>
      <c r="AQ704" s="229"/>
      <c r="AR704" s="20"/>
      <c r="AS704" s="229"/>
      <c r="AT704" s="20"/>
      <c r="AU704" s="229"/>
      <c r="AV704" s="20"/>
      <c r="AW704" s="229"/>
      <c r="AX704" s="20"/>
      <c r="AY704" s="229"/>
      <c r="AZ704" s="20"/>
      <c r="BA704" s="229"/>
      <c r="BB704" s="20"/>
      <c r="BC704" s="229">
        <f>AE704+AG704+AI704+AK704+AM704+AO704+AQ704+AS704+AU704+AW704+AY704+BA704</f>
        <v>0</v>
      </c>
      <c r="BD704" s="48">
        <f t="shared" si="256"/>
        <v>0</v>
      </c>
      <c r="BE704" s="19">
        <v>1</v>
      </c>
      <c r="BF704" s="229">
        <f>AB704+BC704</f>
        <v>0</v>
      </c>
      <c r="BG704" s="210">
        <f t="shared" si="253"/>
        <v>0</v>
      </c>
      <c r="BH704" s="210">
        <f t="shared" si="254"/>
        <v>1</v>
      </c>
      <c r="BI704" s="213">
        <f t="shared" si="252"/>
        <v>0</v>
      </c>
      <c r="BJ704" s="141"/>
      <c r="BK704" s="201"/>
      <c r="BL704" s="198"/>
      <c r="BM704" s="198"/>
    </row>
    <row r="705" spans="1:65" s="17" customFormat="1" ht="15.95" customHeight="1">
      <c r="A705" s="123">
        <v>78</v>
      </c>
      <c r="B705" s="9" t="s">
        <v>1571</v>
      </c>
      <c r="C705" s="11" t="s">
        <v>1572</v>
      </c>
      <c r="D705" s="229"/>
      <c r="E705" s="13"/>
      <c r="F705" s="229"/>
      <c r="G705" s="13"/>
      <c r="H705" s="229"/>
      <c r="I705" s="13"/>
      <c r="J705" s="229"/>
      <c r="K705" s="13"/>
      <c r="L705" s="229"/>
      <c r="M705" s="13"/>
      <c r="N705" s="229"/>
      <c r="O705" s="13"/>
      <c r="P705" s="229"/>
      <c r="Q705" s="13"/>
      <c r="R705" s="229"/>
      <c r="S705" s="13"/>
      <c r="T705" s="229"/>
      <c r="U705" s="13"/>
      <c r="V705" s="229"/>
      <c r="W705" s="13"/>
      <c r="X705" s="229"/>
      <c r="Y705" s="13"/>
      <c r="Z705" s="229"/>
      <c r="AA705" s="13"/>
      <c r="AB705" s="229">
        <f>D705+F705+H705+J705+L705+N705+P705+R705+T705+V705+X705+Z705</f>
        <v>0</v>
      </c>
      <c r="AC705" s="228">
        <f t="shared" si="255"/>
        <v>0</v>
      </c>
      <c r="AD705" s="21">
        <v>0</v>
      </c>
      <c r="AE705" s="229"/>
      <c r="AF705" s="20"/>
      <c r="AG705" s="229"/>
      <c r="AH705" s="20"/>
      <c r="AI705" s="229">
        <v>1</v>
      </c>
      <c r="AJ705" s="20">
        <v>1</v>
      </c>
      <c r="AK705" s="229"/>
      <c r="AL705" s="20"/>
      <c r="AM705" s="229"/>
      <c r="AN705" s="20"/>
      <c r="AO705" s="229"/>
      <c r="AP705" s="20"/>
      <c r="AQ705" s="229"/>
      <c r="AR705" s="20"/>
      <c r="AS705" s="229"/>
      <c r="AT705" s="20"/>
      <c r="AU705" s="229"/>
      <c r="AV705" s="20"/>
      <c r="AW705" s="229"/>
      <c r="AX705" s="20"/>
      <c r="AY705" s="229"/>
      <c r="AZ705" s="20"/>
      <c r="BA705" s="229"/>
      <c r="BB705" s="20">
        <v>1</v>
      </c>
      <c r="BC705" s="229">
        <f>AE705+AG705+AI705+AK705+AM705+AO705+AQ705+AS705+AU705+AW705+AY705+BA705</f>
        <v>1</v>
      </c>
      <c r="BD705" s="48">
        <f t="shared" si="256"/>
        <v>2</v>
      </c>
      <c r="BE705" s="19">
        <v>1</v>
      </c>
      <c r="BF705" s="229">
        <f>AB705+BC705</f>
        <v>1</v>
      </c>
      <c r="BG705" s="210">
        <f t="shared" si="253"/>
        <v>2</v>
      </c>
      <c r="BH705" s="210">
        <f t="shared" si="254"/>
        <v>1</v>
      </c>
      <c r="BI705" s="213">
        <f t="shared" si="252"/>
        <v>200</v>
      </c>
      <c r="BJ705" s="141"/>
      <c r="BK705" s="201"/>
      <c r="BL705" s="198"/>
      <c r="BM705" s="198"/>
    </row>
    <row r="706" spans="1:65" s="17" customFormat="1" ht="25.5" customHeight="1">
      <c r="A706" s="123">
        <v>79</v>
      </c>
      <c r="B706" s="9" t="s">
        <v>3139</v>
      </c>
      <c r="C706" s="10" t="s">
        <v>3140</v>
      </c>
      <c r="D706" s="229"/>
      <c r="E706" s="13"/>
      <c r="F706" s="229"/>
      <c r="G706" s="13"/>
      <c r="H706" s="229"/>
      <c r="I706" s="13"/>
      <c r="J706" s="229"/>
      <c r="K706" s="13"/>
      <c r="L706" s="229"/>
      <c r="M706" s="13"/>
      <c r="N706" s="229"/>
      <c r="O706" s="13"/>
      <c r="P706" s="229"/>
      <c r="Q706" s="13"/>
      <c r="R706" s="229"/>
      <c r="S706" s="13"/>
      <c r="T706" s="229"/>
      <c r="U706" s="13"/>
      <c r="V706" s="229"/>
      <c r="W706" s="13"/>
      <c r="X706" s="229"/>
      <c r="Y706" s="13"/>
      <c r="Z706" s="229"/>
      <c r="AA706" s="13"/>
      <c r="AB706" s="229"/>
      <c r="AC706" s="228">
        <f t="shared" si="255"/>
        <v>0</v>
      </c>
      <c r="AD706" s="21">
        <v>0</v>
      </c>
      <c r="AE706" s="229"/>
      <c r="AF706" s="20"/>
      <c r="AG706" s="229"/>
      <c r="AH706" s="20"/>
      <c r="AI706" s="229"/>
      <c r="AJ706" s="20"/>
      <c r="AK706" s="229"/>
      <c r="AL706" s="20"/>
      <c r="AM706" s="229"/>
      <c r="AN706" s="20"/>
      <c r="AO706" s="229"/>
      <c r="AP706" s="20">
        <v>1</v>
      </c>
      <c r="AQ706" s="229"/>
      <c r="AR706" s="20"/>
      <c r="AS706" s="229"/>
      <c r="AT706" s="20"/>
      <c r="AU706" s="229"/>
      <c r="AV706" s="20"/>
      <c r="AW706" s="229"/>
      <c r="AX706" s="20"/>
      <c r="AY706" s="229"/>
      <c r="AZ706" s="20"/>
      <c r="BA706" s="229"/>
      <c r="BB706" s="20"/>
      <c r="BC706" s="229"/>
      <c r="BD706" s="48">
        <f t="shared" si="256"/>
        <v>1</v>
      </c>
      <c r="BE706" s="19">
        <v>0</v>
      </c>
      <c r="BF706" s="229"/>
      <c r="BG706" s="210">
        <f t="shared" si="253"/>
        <v>1</v>
      </c>
      <c r="BH706" s="210">
        <f t="shared" si="254"/>
        <v>0</v>
      </c>
      <c r="BI706" s="213" t="e">
        <f t="shared" si="252"/>
        <v>#DIV/0!</v>
      </c>
      <c r="BJ706" s="141"/>
      <c r="BK706" s="201"/>
      <c r="BL706" s="198"/>
      <c r="BM706" s="198"/>
    </row>
    <row r="707" spans="1:65" s="17" customFormat="1" ht="15.95" customHeight="1">
      <c r="A707" s="123">
        <v>80</v>
      </c>
      <c r="B707" s="9" t="s">
        <v>2053</v>
      </c>
      <c r="C707" s="11" t="s">
        <v>2054</v>
      </c>
      <c r="D707" s="229"/>
      <c r="E707" s="13"/>
      <c r="F707" s="229"/>
      <c r="G707" s="13"/>
      <c r="H707" s="229">
        <v>9</v>
      </c>
      <c r="I707" s="13">
        <v>9</v>
      </c>
      <c r="J707" s="229"/>
      <c r="K707" s="13"/>
      <c r="L707" s="229"/>
      <c r="M707" s="13"/>
      <c r="N707" s="229"/>
      <c r="O707" s="13"/>
      <c r="P707" s="229"/>
      <c r="Q707" s="13"/>
      <c r="R707" s="229"/>
      <c r="S707" s="13"/>
      <c r="T707" s="229"/>
      <c r="U707" s="13">
        <v>30</v>
      </c>
      <c r="V707" s="229"/>
      <c r="W707" s="13"/>
      <c r="X707" s="229"/>
      <c r="Y707" s="13"/>
      <c r="Z707" s="229"/>
      <c r="AA707" s="13">
        <v>16</v>
      </c>
      <c r="AB707" s="229">
        <f t="shared" ref="AB707:AB715" si="257">D707+F707+H707+J707+L707+N707+P707+R707+T707+V707+X707+Z707</f>
        <v>9</v>
      </c>
      <c r="AC707" s="228">
        <f t="shared" si="255"/>
        <v>55</v>
      </c>
      <c r="AD707" s="19">
        <v>90</v>
      </c>
      <c r="AE707" s="229"/>
      <c r="AF707" s="20"/>
      <c r="AG707" s="229"/>
      <c r="AH707" s="20"/>
      <c r="AI707" s="229"/>
      <c r="AJ707" s="20"/>
      <c r="AK707" s="229"/>
      <c r="AL707" s="20"/>
      <c r="AM707" s="229"/>
      <c r="AN707" s="20"/>
      <c r="AO707" s="229">
        <v>10</v>
      </c>
      <c r="AP707" s="20">
        <v>16</v>
      </c>
      <c r="AQ707" s="229"/>
      <c r="AR707" s="20"/>
      <c r="AS707" s="229"/>
      <c r="AT707" s="20"/>
      <c r="AU707" s="229"/>
      <c r="AV707" s="20"/>
      <c r="AW707" s="229"/>
      <c r="AX707" s="20"/>
      <c r="AY707" s="229"/>
      <c r="AZ707" s="20"/>
      <c r="BA707" s="229"/>
      <c r="BB707" s="20"/>
      <c r="BC707" s="229">
        <f t="shared" ref="BC707:BC715" si="258">AE707+AG707+AI707+AK707+AM707+AO707+AQ707+AS707+AU707+AW707+AY707+BA707</f>
        <v>10</v>
      </c>
      <c r="BD707" s="48">
        <f t="shared" si="256"/>
        <v>16</v>
      </c>
      <c r="BE707" s="19">
        <v>0</v>
      </c>
      <c r="BF707" s="229">
        <f t="shared" ref="BF707:BF715" si="259">AB707+BC707</f>
        <v>19</v>
      </c>
      <c r="BG707" s="210">
        <f t="shared" si="253"/>
        <v>71</v>
      </c>
      <c r="BH707" s="210">
        <f t="shared" si="254"/>
        <v>90</v>
      </c>
      <c r="BI707" s="213">
        <f t="shared" si="252"/>
        <v>78.888888888888886</v>
      </c>
      <c r="BJ707" s="141"/>
      <c r="BK707" s="201"/>
      <c r="BL707" s="198"/>
      <c r="BM707" s="198"/>
    </row>
    <row r="708" spans="1:65" s="17" customFormat="1" ht="15.95" customHeight="1">
      <c r="A708" s="123">
        <v>81</v>
      </c>
      <c r="B708" s="9" t="s">
        <v>257</v>
      </c>
      <c r="C708" s="11" t="s">
        <v>258</v>
      </c>
      <c r="D708" s="229"/>
      <c r="E708" s="13"/>
      <c r="F708" s="229"/>
      <c r="G708" s="13"/>
      <c r="H708" s="229"/>
      <c r="I708" s="13"/>
      <c r="J708" s="229"/>
      <c r="K708" s="13"/>
      <c r="L708" s="229"/>
      <c r="M708" s="13"/>
      <c r="N708" s="229"/>
      <c r="O708" s="13"/>
      <c r="P708" s="229"/>
      <c r="Q708" s="13"/>
      <c r="R708" s="229"/>
      <c r="S708" s="13"/>
      <c r="T708" s="229"/>
      <c r="U708" s="13"/>
      <c r="V708" s="229"/>
      <c r="W708" s="13"/>
      <c r="X708" s="229"/>
      <c r="Y708" s="13"/>
      <c r="Z708" s="229"/>
      <c r="AA708" s="13"/>
      <c r="AB708" s="229">
        <f t="shared" si="257"/>
        <v>0</v>
      </c>
      <c r="AC708" s="228">
        <f t="shared" si="255"/>
        <v>0</v>
      </c>
      <c r="AD708" s="21">
        <v>0</v>
      </c>
      <c r="AE708" s="229"/>
      <c r="AF708" s="20"/>
      <c r="AG708" s="229"/>
      <c r="AH708" s="20"/>
      <c r="AI708" s="229"/>
      <c r="AJ708" s="20"/>
      <c r="AK708" s="229"/>
      <c r="AL708" s="20"/>
      <c r="AM708" s="229"/>
      <c r="AN708" s="20"/>
      <c r="AO708" s="229"/>
      <c r="AP708" s="20"/>
      <c r="AQ708" s="229"/>
      <c r="AR708" s="20"/>
      <c r="AS708" s="229"/>
      <c r="AT708" s="20"/>
      <c r="AU708" s="229"/>
      <c r="AV708" s="20"/>
      <c r="AW708" s="229"/>
      <c r="AX708" s="20"/>
      <c r="AY708" s="229"/>
      <c r="AZ708" s="20"/>
      <c r="BA708" s="229"/>
      <c r="BB708" s="20"/>
      <c r="BC708" s="229">
        <f t="shared" si="258"/>
        <v>0</v>
      </c>
      <c r="BD708" s="48">
        <f t="shared" si="256"/>
        <v>0</v>
      </c>
      <c r="BE708" s="19">
        <v>1</v>
      </c>
      <c r="BF708" s="229">
        <f t="shared" si="259"/>
        <v>0</v>
      </c>
      <c r="BG708" s="210">
        <f t="shared" si="253"/>
        <v>0</v>
      </c>
      <c r="BH708" s="210">
        <f t="shared" si="254"/>
        <v>1</v>
      </c>
      <c r="BI708" s="213">
        <f t="shared" si="252"/>
        <v>0</v>
      </c>
      <c r="BJ708" s="141"/>
      <c r="BK708" s="201"/>
      <c r="BL708" s="198"/>
      <c r="BM708" s="198"/>
    </row>
    <row r="709" spans="1:65" s="17" customFormat="1" ht="15.95" customHeight="1">
      <c r="A709" s="123">
        <v>82</v>
      </c>
      <c r="B709" s="9" t="s">
        <v>260</v>
      </c>
      <c r="C709" s="11" t="s">
        <v>261</v>
      </c>
      <c r="D709" s="229"/>
      <c r="E709" s="13"/>
      <c r="F709" s="229"/>
      <c r="G709" s="13"/>
      <c r="H709" s="229">
        <v>1</v>
      </c>
      <c r="I709" s="13">
        <v>1</v>
      </c>
      <c r="J709" s="229"/>
      <c r="K709" s="13"/>
      <c r="L709" s="229"/>
      <c r="M709" s="13"/>
      <c r="N709" s="229"/>
      <c r="O709" s="13"/>
      <c r="P709" s="229"/>
      <c r="Q709" s="13"/>
      <c r="R709" s="229"/>
      <c r="S709" s="13"/>
      <c r="T709" s="229"/>
      <c r="U709" s="13"/>
      <c r="V709" s="229"/>
      <c r="W709" s="13"/>
      <c r="X709" s="229"/>
      <c r="Y709" s="13"/>
      <c r="Z709" s="229"/>
      <c r="AA709" s="13"/>
      <c r="AB709" s="229">
        <f t="shared" si="257"/>
        <v>1</v>
      </c>
      <c r="AC709" s="228">
        <f t="shared" si="255"/>
        <v>1</v>
      </c>
      <c r="AD709" s="21">
        <v>0</v>
      </c>
      <c r="AE709" s="229"/>
      <c r="AF709" s="20"/>
      <c r="AG709" s="229"/>
      <c r="AH709" s="20"/>
      <c r="AI709" s="229"/>
      <c r="AJ709" s="20"/>
      <c r="AK709" s="229"/>
      <c r="AL709" s="20"/>
      <c r="AM709" s="229"/>
      <c r="AN709" s="20"/>
      <c r="AO709" s="229">
        <v>1</v>
      </c>
      <c r="AP709" s="20">
        <v>1</v>
      </c>
      <c r="AQ709" s="229"/>
      <c r="AR709" s="20"/>
      <c r="AS709" s="229"/>
      <c r="AT709" s="20"/>
      <c r="AU709" s="229"/>
      <c r="AV709" s="20"/>
      <c r="AW709" s="229"/>
      <c r="AX709" s="20"/>
      <c r="AY709" s="229"/>
      <c r="AZ709" s="20"/>
      <c r="BA709" s="229"/>
      <c r="BB709" s="20"/>
      <c r="BC709" s="229">
        <f t="shared" si="258"/>
        <v>1</v>
      </c>
      <c r="BD709" s="48">
        <f t="shared" si="256"/>
        <v>1</v>
      </c>
      <c r="BE709" s="19">
        <v>0</v>
      </c>
      <c r="BF709" s="229">
        <f t="shared" si="259"/>
        <v>2</v>
      </c>
      <c r="BG709" s="210">
        <f t="shared" si="253"/>
        <v>2</v>
      </c>
      <c r="BH709" s="210">
        <f t="shared" si="254"/>
        <v>0</v>
      </c>
      <c r="BI709" s="213" t="e">
        <f t="shared" si="252"/>
        <v>#DIV/0!</v>
      </c>
      <c r="BJ709" s="141"/>
      <c r="BK709" s="201"/>
      <c r="BL709" s="198"/>
      <c r="BM709" s="198"/>
    </row>
    <row r="710" spans="1:65" s="17" customFormat="1" ht="15.95" customHeight="1">
      <c r="A710" s="123">
        <v>83</v>
      </c>
      <c r="B710" s="9" t="s">
        <v>1545</v>
      </c>
      <c r="C710" s="11" t="s">
        <v>1546</v>
      </c>
      <c r="D710" s="229"/>
      <c r="E710" s="13"/>
      <c r="F710" s="229"/>
      <c r="G710" s="13"/>
      <c r="H710" s="229"/>
      <c r="I710" s="13"/>
      <c r="J710" s="229"/>
      <c r="K710" s="13"/>
      <c r="L710" s="229"/>
      <c r="M710" s="13"/>
      <c r="N710" s="229"/>
      <c r="O710" s="13"/>
      <c r="P710" s="229"/>
      <c r="Q710" s="13"/>
      <c r="R710" s="229"/>
      <c r="S710" s="13"/>
      <c r="T710" s="229"/>
      <c r="U710" s="13"/>
      <c r="V710" s="229"/>
      <c r="W710" s="13"/>
      <c r="X710" s="229"/>
      <c r="Y710" s="13"/>
      <c r="Z710" s="229"/>
      <c r="AA710" s="13"/>
      <c r="AB710" s="229">
        <f t="shared" si="257"/>
        <v>0</v>
      </c>
      <c r="AC710" s="228">
        <f t="shared" si="255"/>
        <v>0</v>
      </c>
      <c r="AD710" s="21">
        <v>0</v>
      </c>
      <c r="AE710" s="229"/>
      <c r="AF710" s="20"/>
      <c r="AG710" s="229"/>
      <c r="AH710" s="20"/>
      <c r="AI710" s="229">
        <v>1</v>
      </c>
      <c r="AJ710" s="20">
        <v>1</v>
      </c>
      <c r="AK710" s="229"/>
      <c r="AL710" s="20"/>
      <c r="AM710" s="229"/>
      <c r="AN710" s="20"/>
      <c r="AO710" s="229">
        <v>2</v>
      </c>
      <c r="AP710" s="20">
        <v>2</v>
      </c>
      <c r="AQ710" s="229"/>
      <c r="AR710" s="20"/>
      <c r="AS710" s="229"/>
      <c r="AT710" s="20"/>
      <c r="AU710" s="229"/>
      <c r="AV710" s="20">
        <v>1</v>
      </c>
      <c r="AW710" s="229"/>
      <c r="AX710" s="20"/>
      <c r="AY710" s="229"/>
      <c r="AZ710" s="20"/>
      <c r="BA710" s="229"/>
      <c r="BB710" s="20">
        <v>2</v>
      </c>
      <c r="BC710" s="229">
        <f t="shared" si="258"/>
        <v>3</v>
      </c>
      <c r="BD710" s="48">
        <f t="shared" si="256"/>
        <v>6</v>
      </c>
      <c r="BE710" s="19">
        <v>2</v>
      </c>
      <c r="BF710" s="229">
        <f t="shared" si="259"/>
        <v>3</v>
      </c>
      <c r="BG710" s="210">
        <f t="shared" si="253"/>
        <v>6</v>
      </c>
      <c r="BH710" s="210">
        <f t="shared" si="254"/>
        <v>2</v>
      </c>
      <c r="BI710" s="213">
        <f t="shared" si="252"/>
        <v>300</v>
      </c>
      <c r="BJ710" s="141"/>
      <c r="BK710" s="201"/>
      <c r="BL710" s="198"/>
      <c r="BM710" s="198"/>
    </row>
    <row r="711" spans="1:65" s="17" customFormat="1" ht="15.95" customHeight="1">
      <c r="A711" s="123">
        <v>84</v>
      </c>
      <c r="B711" s="9" t="s">
        <v>371</v>
      </c>
      <c r="C711" s="11" t="s">
        <v>370</v>
      </c>
      <c r="D711" s="229"/>
      <c r="E711" s="13"/>
      <c r="F711" s="229"/>
      <c r="G711" s="13"/>
      <c r="H711" s="229"/>
      <c r="I711" s="13"/>
      <c r="J711" s="229"/>
      <c r="K711" s="13"/>
      <c r="L711" s="229"/>
      <c r="M711" s="13"/>
      <c r="N711" s="229"/>
      <c r="O711" s="13"/>
      <c r="P711" s="229"/>
      <c r="Q711" s="13"/>
      <c r="R711" s="229"/>
      <c r="S711" s="13"/>
      <c r="T711" s="229"/>
      <c r="U711" s="13"/>
      <c r="V711" s="229"/>
      <c r="W711" s="13"/>
      <c r="X711" s="229"/>
      <c r="Y711" s="13"/>
      <c r="Z711" s="229"/>
      <c r="AA711" s="13"/>
      <c r="AB711" s="229">
        <f t="shared" si="257"/>
        <v>0</v>
      </c>
      <c r="AC711" s="228">
        <f t="shared" si="255"/>
        <v>0</v>
      </c>
      <c r="AD711" s="21">
        <v>0</v>
      </c>
      <c r="AE711" s="229"/>
      <c r="AF711" s="20"/>
      <c r="AG711" s="229"/>
      <c r="AH711" s="20"/>
      <c r="AI711" s="229">
        <v>6</v>
      </c>
      <c r="AJ711" s="20">
        <v>6</v>
      </c>
      <c r="AK711" s="229"/>
      <c r="AL711" s="20"/>
      <c r="AM711" s="229"/>
      <c r="AN711" s="20"/>
      <c r="AO711" s="229">
        <v>7</v>
      </c>
      <c r="AP711" s="20">
        <v>7</v>
      </c>
      <c r="AQ711" s="229"/>
      <c r="AR711" s="20"/>
      <c r="AS711" s="229"/>
      <c r="AT711" s="20"/>
      <c r="AU711" s="229"/>
      <c r="AV711" s="20">
        <v>5</v>
      </c>
      <c r="AW711" s="229"/>
      <c r="AX711" s="20"/>
      <c r="AY711" s="229"/>
      <c r="AZ711" s="20"/>
      <c r="BA711" s="229"/>
      <c r="BB711" s="20">
        <v>7</v>
      </c>
      <c r="BC711" s="229">
        <f t="shared" si="258"/>
        <v>13</v>
      </c>
      <c r="BD711" s="48">
        <f t="shared" si="256"/>
        <v>25</v>
      </c>
      <c r="BE711" s="19">
        <v>12</v>
      </c>
      <c r="BF711" s="229">
        <f t="shared" si="259"/>
        <v>13</v>
      </c>
      <c r="BG711" s="210">
        <f t="shared" si="253"/>
        <v>25</v>
      </c>
      <c r="BH711" s="210">
        <f t="shared" si="254"/>
        <v>12</v>
      </c>
      <c r="BI711" s="213">
        <f t="shared" si="252"/>
        <v>208.33333333333334</v>
      </c>
      <c r="BJ711" s="141"/>
      <c r="BK711" s="201"/>
      <c r="BL711" s="198"/>
      <c r="BM711" s="198"/>
    </row>
    <row r="712" spans="1:65" s="17" customFormat="1" ht="15.95" customHeight="1">
      <c r="A712" s="123">
        <v>85</v>
      </c>
      <c r="B712" s="9" t="s">
        <v>372</v>
      </c>
      <c r="C712" s="11" t="s">
        <v>2465</v>
      </c>
      <c r="D712" s="229"/>
      <c r="E712" s="13"/>
      <c r="F712" s="229"/>
      <c r="G712" s="13"/>
      <c r="H712" s="229"/>
      <c r="I712" s="13"/>
      <c r="J712" s="229"/>
      <c r="K712" s="13"/>
      <c r="L712" s="229"/>
      <c r="M712" s="13"/>
      <c r="N712" s="229"/>
      <c r="O712" s="13"/>
      <c r="P712" s="229"/>
      <c r="Q712" s="13"/>
      <c r="R712" s="229"/>
      <c r="S712" s="13"/>
      <c r="T712" s="229"/>
      <c r="U712" s="13"/>
      <c r="V712" s="229"/>
      <c r="W712" s="13"/>
      <c r="X712" s="229"/>
      <c r="Y712" s="13"/>
      <c r="Z712" s="229"/>
      <c r="AA712" s="13"/>
      <c r="AB712" s="229">
        <f t="shared" si="257"/>
        <v>0</v>
      </c>
      <c r="AC712" s="228">
        <f t="shared" si="255"/>
        <v>0</v>
      </c>
      <c r="AD712" s="21">
        <v>0</v>
      </c>
      <c r="AE712" s="229"/>
      <c r="AF712" s="20"/>
      <c r="AG712" s="229"/>
      <c r="AH712" s="20"/>
      <c r="AI712" s="229"/>
      <c r="AJ712" s="20"/>
      <c r="AK712" s="229"/>
      <c r="AL712" s="20"/>
      <c r="AM712" s="229"/>
      <c r="AN712" s="20"/>
      <c r="AO712" s="229">
        <v>2</v>
      </c>
      <c r="AP712" s="20">
        <v>2</v>
      </c>
      <c r="AQ712" s="229"/>
      <c r="AR712" s="20"/>
      <c r="AS712" s="229"/>
      <c r="AT712" s="20"/>
      <c r="AU712" s="229"/>
      <c r="AV712" s="20">
        <v>6</v>
      </c>
      <c r="AW712" s="229"/>
      <c r="AX712" s="20"/>
      <c r="AY712" s="229"/>
      <c r="AZ712" s="20"/>
      <c r="BA712" s="229"/>
      <c r="BB712" s="20">
        <v>7</v>
      </c>
      <c r="BC712" s="229">
        <f t="shared" si="258"/>
        <v>2</v>
      </c>
      <c r="BD712" s="48">
        <f t="shared" si="256"/>
        <v>15</v>
      </c>
      <c r="BE712" s="19">
        <v>1</v>
      </c>
      <c r="BF712" s="229">
        <f t="shared" si="259"/>
        <v>2</v>
      </c>
      <c r="BG712" s="210">
        <f t="shared" si="253"/>
        <v>15</v>
      </c>
      <c r="BH712" s="210">
        <f t="shared" si="254"/>
        <v>1</v>
      </c>
      <c r="BI712" s="213">
        <f t="shared" si="252"/>
        <v>1500</v>
      </c>
      <c r="BJ712" s="141"/>
      <c r="BK712" s="201"/>
      <c r="BL712" s="198"/>
      <c r="BM712" s="198"/>
    </row>
    <row r="713" spans="1:65" s="17" customFormat="1" ht="15.95" customHeight="1">
      <c r="A713" s="123">
        <v>86</v>
      </c>
      <c r="B713" s="9" t="s">
        <v>1462</v>
      </c>
      <c r="C713" s="11" t="s">
        <v>1463</v>
      </c>
      <c r="D713" s="229"/>
      <c r="E713" s="13"/>
      <c r="F713" s="229"/>
      <c r="G713" s="13"/>
      <c r="H713" s="229"/>
      <c r="I713" s="13"/>
      <c r="J713" s="229"/>
      <c r="K713" s="13"/>
      <c r="L713" s="229"/>
      <c r="M713" s="13"/>
      <c r="N713" s="229"/>
      <c r="O713" s="13"/>
      <c r="P713" s="229"/>
      <c r="Q713" s="13"/>
      <c r="R713" s="229"/>
      <c r="S713" s="13"/>
      <c r="T713" s="229"/>
      <c r="U713" s="13"/>
      <c r="V713" s="229"/>
      <c r="W713" s="13"/>
      <c r="X713" s="229"/>
      <c r="Y713" s="13"/>
      <c r="Z713" s="229"/>
      <c r="AA713" s="13"/>
      <c r="AB713" s="229">
        <f t="shared" si="257"/>
        <v>0</v>
      </c>
      <c r="AC713" s="228">
        <f t="shared" si="255"/>
        <v>0</v>
      </c>
      <c r="AD713" s="21">
        <v>0</v>
      </c>
      <c r="AE713" s="229"/>
      <c r="AF713" s="20"/>
      <c r="AG713" s="229"/>
      <c r="AH713" s="20"/>
      <c r="AI713" s="229">
        <v>1</v>
      </c>
      <c r="AJ713" s="20">
        <v>1</v>
      </c>
      <c r="AK713" s="229"/>
      <c r="AL713" s="20"/>
      <c r="AM713" s="229"/>
      <c r="AN713" s="20"/>
      <c r="AO713" s="229">
        <v>1</v>
      </c>
      <c r="AP713" s="20">
        <v>1</v>
      </c>
      <c r="AQ713" s="229"/>
      <c r="AR713" s="20"/>
      <c r="AS713" s="229"/>
      <c r="AT713" s="20"/>
      <c r="AU713" s="229"/>
      <c r="AV713" s="20"/>
      <c r="AW713" s="229"/>
      <c r="AX713" s="20"/>
      <c r="AY713" s="229"/>
      <c r="AZ713" s="20"/>
      <c r="BA713" s="229"/>
      <c r="BB713" s="20"/>
      <c r="BC713" s="229">
        <f t="shared" si="258"/>
        <v>2</v>
      </c>
      <c r="BD713" s="48">
        <f t="shared" si="256"/>
        <v>2</v>
      </c>
      <c r="BE713" s="19">
        <v>1</v>
      </c>
      <c r="BF713" s="229">
        <f t="shared" si="259"/>
        <v>2</v>
      </c>
      <c r="BG713" s="210">
        <f t="shared" si="253"/>
        <v>2</v>
      </c>
      <c r="BH713" s="210">
        <f t="shared" si="254"/>
        <v>1</v>
      </c>
      <c r="BI713" s="213">
        <f t="shared" si="252"/>
        <v>200</v>
      </c>
      <c r="BJ713" s="141"/>
      <c r="BK713" s="201"/>
      <c r="BL713" s="198"/>
      <c r="BM713" s="198"/>
    </row>
    <row r="714" spans="1:65" s="17" customFormat="1" ht="15.95" customHeight="1">
      <c r="A714" s="123">
        <v>87</v>
      </c>
      <c r="B714" s="9" t="s">
        <v>975</v>
      </c>
      <c r="C714" s="11" t="s">
        <v>976</v>
      </c>
      <c r="D714" s="229"/>
      <c r="E714" s="13"/>
      <c r="F714" s="229"/>
      <c r="G714" s="13"/>
      <c r="H714" s="283"/>
      <c r="I714" s="283"/>
      <c r="J714" s="229"/>
      <c r="K714" s="13"/>
      <c r="L714" s="229"/>
      <c r="M714" s="13"/>
      <c r="N714" s="229"/>
      <c r="O714" s="13"/>
      <c r="P714" s="229"/>
      <c r="Q714" s="13"/>
      <c r="R714" s="229"/>
      <c r="S714" s="13"/>
      <c r="T714" s="229"/>
      <c r="U714" s="13"/>
      <c r="V714" s="229"/>
      <c r="W714" s="13"/>
      <c r="X714" s="229"/>
      <c r="Y714" s="13"/>
      <c r="Z714" s="229"/>
      <c r="AA714" s="13">
        <v>73</v>
      </c>
      <c r="AB714" s="229">
        <f t="shared" si="257"/>
        <v>0</v>
      </c>
      <c r="AC714" s="228">
        <f t="shared" si="255"/>
        <v>73</v>
      </c>
      <c r="AD714" s="285">
        <v>100</v>
      </c>
      <c r="AE714" s="229"/>
      <c r="AF714" s="20"/>
      <c r="AG714" s="229"/>
      <c r="AH714" s="20"/>
      <c r="AI714" s="229"/>
      <c r="AJ714" s="20"/>
      <c r="AK714" s="229"/>
      <c r="AL714" s="20"/>
      <c r="AM714" s="229"/>
      <c r="AN714" s="20"/>
      <c r="AO714" s="229"/>
      <c r="AP714" s="20"/>
      <c r="AQ714" s="229"/>
      <c r="AR714" s="20"/>
      <c r="AS714" s="229"/>
      <c r="AT714" s="20"/>
      <c r="AU714" s="229"/>
      <c r="AV714" s="20"/>
      <c r="AW714" s="229"/>
      <c r="AX714" s="20"/>
      <c r="AY714" s="229"/>
      <c r="AZ714" s="20"/>
      <c r="BA714" s="229"/>
      <c r="BB714" s="20"/>
      <c r="BC714" s="229">
        <f t="shared" si="258"/>
        <v>0</v>
      </c>
      <c r="BD714" s="48">
        <f t="shared" si="256"/>
        <v>0</v>
      </c>
      <c r="BE714" s="19">
        <v>0</v>
      </c>
      <c r="BF714" s="229">
        <f t="shared" si="259"/>
        <v>0</v>
      </c>
      <c r="BG714" s="210">
        <f t="shared" si="253"/>
        <v>73</v>
      </c>
      <c r="BH714" s="210">
        <f t="shared" si="254"/>
        <v>100</v>
      </c>
      <c r="BI714" s="213">
        <f t="shared" si="252"/>
        <v>73</v>
      </c>
      <c r="BJ714" s="141"/>
      <c r="BK714" s="201"/>
      <c r="BL714" s="198"/>
      <c r="BM714" s="198"/>
    </row>
    <row r="715" spans="1:65" s="17" customFormat="1" ht="15.95" customHeight="1">
      <c r="A715" s="123">
        <v>88</v>
      </c>
      <c r="B715" s="9" t="s">
        <v>1847</v>
      </c>
      <c r="C715" s="11" t="s">
        <v>2464</v>
      </c>
      <c r="D715" s="229"/>
      <c r="E715" s="13"/>
      <c r="F715" s="229"/>
      <c r="G715" s="13"/>
      <c r="H715" s="229"/>
      <c r="I715" s="13"/>
      <c r="J715" s="229"/>
      <c r="K715" s="13"/>
      <c r="L715" s="229"/>
      <c r="M715" s="13"/>
      <c r="N715" s="229"/>
      <c r="O715" s="13"/>
      <c r="P715" s="229"/>
      <c r="Q715" s="13"/>
      <c r="R715" s="229"/>
      <c r="S715" s="13"/>
      <c r="T715" s="229"/>
      <c r="U715" s="13"/>
      <c r="V715" s="229"/>
      <c r="W715" s="13"/>
      <c r="X715" s="229"/>
      <c r="Y715" s="13"/>
      <c r="Z715" s="229"/>
      <c r="AA715" s="13"/>
      <c r="AB715" s="229">
        <f t="shared" si="257"/>
        <v>0</v>
      </c>
      <c r="AC715" s="228">
        <f t="shared" si="255"/>
        <v>0</v>
      </c>
      <c r="AD715" s="21">
        <v>0</v>
      </c>
      <c r="AE715" s="229"/>
      <c r="AF715" s="20"/>
      <c r="AG715" s="229"/>
      <c r="AH715" s="20"/>
      <c r="AI715" s="229"/>
      <c r="AJ715" s="20"/>
      <c r="AK715" s="229"/>
      <c r="AL715" s="20"/>
      <c r="AM715" s="229"/>
      <c r="AN715" s="20"/>
      <c r="AO715" s="229">
        <v>1</v>
      </c>
      <c r="AP715" s="20">
        <v>1</v>
      </c>
      <c r="AQ715" s="229"/>
      <c r="AR715" s="20"/>
      <c r="AS715" s="229"/>
      <c r="AT715" s="20"/>
      <c r="AU715" s="229"/>
      <c r="AV715" s="20"/>
      <c r="AW715" s="229"/>
      <c r="AX715" s="20"/>
      <c r="AY715" s="229"/>
      <c r="AZ715" s="20"/>
      <c r="BA715" s="229"/>
      <c r="BB715" s="20"/>
      <c r="BC715" s="229">
        <f t="shared" si="258"/>
        <v>1</v>
      </c>
      <c r="BD715" s="48">
        <f t="shared" si="256"/>
        <v>1</v>
      </c>
      <c r="BE715" s="19">
        <v>2</v>
      </c>
      <c r="BF715" s="229">
        <f t="shared" si="259"/>
        <v>1</v>
      </c>
      <c r="BG715" s="210">
        <f t="shared" si="253"/>
        <v>1</v>
      </c>
      <c r="BH715" s="210">
        <f t="shared" si="254"/>
        <v>2</v>
      </c>
      <c r="BI715" s="213">
        <f t="shared" si="252"/>
        <v>50</v>
      </c>
      <c r="BJ715" s="141"/>
      <c r="BK715" s="201"/>
      <c r="BL715" s="198"/>
      <c r="BM715" s="198"/>
    </row>
    <row r="716" spans="1:65" s="17" customFormat="1" ht="15.95" customHeight="1">
      <c r="A716" s="123">
        <v>89</v>
      </c>
      <c r="B716" s="9" t="s">
        <v>3141</v>
      </c>
      <c r="C716" s="11" t="s">
        <v>3142</v>
      </c>
      <c r="D716" s="229"/>
      <c r="E716" s="13"/>
      <c r="F716" s="229"/>
      <c r="G716" s="13"/>
      <c r="H716" s="229"/>
      <c r="I716" s="13"/>
      <c r="J716" s="229"/>
      <c r="K716" s="13"/>
      <c r="L716" s="229"/>
      <c r="M716" s="13"/>
      <c r="N716" s="229"/>
      <c r="O716" s="13"/>
      <c r="P716" s="229"/>
      <c r="Q716" s="13"/>
      <c r="R716" s="229"/>
      <c r="S716" s="13"/>
      <c r="T716" s="229"/>
      <c r="U716" s="13"/>
      <c r="V716" s="229"/>
      <c r="W716" s="13"/>
      <c r="X716" s="229"/>
      <c r="Y716" s="13"/>
      <c r="Z716" s="229"/>
      <c r="AA716" s="13"/>
      <c r="AB716" s="229"/>
      <c r="AC716" s="228">
        <f t="shared" si="255"/>
        <v>0</v>
      </c>
      <c r="AD716" s="21">
        <v>0</v>
      </c>
      <c r="AE716" s="229"/>
      <c r="AF716" s="20"/>
      <c r="AG716" s="229"/>
      <c r="AH716" s="20"/>
      <c r="AI716" s="229"/>
      <c r="AJ716" s="20"/>
      <c r="AK716" s="229"/>
      <c r="AL716" s="20"/>
      <c r="AM716" s="229"/>
      <c r="AN716" s="20"/>
      <c r="AO716" s="229"/>
      <c r="AP716" s="20">
        <v>1</v>
      </c>
      <c r="AQ716" s="229"/>
      <c r="AR716" s="20"/>
      <c r="AS716" s="229"/>
      <c r="AT716" s="20"/>
      <c r="AU716" s="229"/>
      <c r="AV716" s="20"/>
      <c r="AW716" s="229"/>
      <c r="AX716" s="20"/>
      <c r="AY716" s="229"/>
      <c r="AZ716" s="20"/>
      <c r="BA716" s="229"/>
      <c r="BB716" s="20"/>
      <c r="BC716" s="229"/>
      <c r="BD716" s="48">
        <f t="shared" si="256"/>
        <v>1</v>
      </c>
      <c r="BE716" s="19">
        <v>0</v>
      </c>
      <c r="BF716" s="229"/>
      <c r="BG716" s="210">
        <f t="shared" si="253"/>
        <v>1</v>
      </c>
      <c r="BH716" s="210">
        <f t="shared" si="254"/>
        <v>0</v>
      </c>
      <c r="BI716" s="213" t="e">
        <f t="shared" si="252"/>
        <v>#DIV/0!</v>
      </c>
      <c r="BJ716" s="141"/>
      <c r="BK716" s="201"/>
      <c r="BL716" s="198"/>
      <c r="BM716" s="198"/>
    </row>
    <row r="717" spans="1:65" s="17" customFormat="1" ht="15.95" customHeight="1">
      <c r="A717" s="123">
        <v>90</v>
      </c>
      <c r="B717" s="9" t="s">
        <v>3143</v>
      </c>
      <c r="C717" s="11" t="s">
        <v>3144</v>
      </c>
      <c r="D717" s="229"/>
      <c r="E717" s="13"/>
      <c r="F717" s="229"/>
      <c r="G717" s="13"/>
      <c r="H717" s="229"/>
      <c r="I717" s="13"/>
      <c r="J717" s="229"/>
      <c r="K717" s="13"/>
      <c r="L717" s="229"/>
      <c r="M717" s="13"/>
      <c r="N717" s="229"/>
      <c r="O717" s="13"/>
      <c r="P717" s="229"/>
      <c r="Q717" s="13"/>
      <c r="R717" s="229"/>
      <c r="S717" s="13"/>
      <c r="T717" s="229"/>
      <c r="U717" s="13"/>
      <c r="V717" s="229"/>
      <c r="W717" s="13"/>
      <c r="X717" s="229"/>
      <c r="Y717" s="13"/>
      <c r="Z717" s="229"/>
      <c r="AA717" s="13"/>
      <c r="AB717" s="229"/>
      <c r="AC717" s="228">
        <f t="shared" si="255"/>
        <v>0</v>
      </c>
      <c r="AD717" s="21">
        <v>0</v>
      </c>
      <c r="AE717" s="229"/>
      <c r="AF717" s="20"/>
      <c r="AG717" s="229"/>
      <c r="AH717" s="20"/>
      <c r="AI717" s="229"/>
      <c r="AJ717" s="20"/>
      <c r="AK717" s="229"/>
      <c r="AL717" s="20"/>
      <c r="AM717" s="229"/>
      <c r="AN717" s="20"/>
      <c r="AO717" s="229"/>
      <c r="AP717" s="20">
        <v>1</v>
      </c>
      <c r="AQ717" s="229"/>
      <c r="AR717" s="20"/>
      <c r="AS717" s="229"/>
      <c r="AT717" s="20"/>
      <c r="AU717" s="229"/>
      <c r="AV717" s="20"/>
      <c r="AW717" s="229"/>
      <c r="AX717" s="20"/>
      <c r="AY717" s="229"/>
      <c r="AZ717" s="20"/>
      <c r="BA717" s="229"/>
      <c r="BB717" s="20"/>
      <c r="BC717" s="229"/>
      <c r="BD717" s="48">
        <f t="shared" si="256"/>
        <v>1</v>
      </c>
      <c r="BE717" s="19">
        <v>0</v>
      </c>
      <c r="BF717" s="229"/>
      <c r="BG717" s="210">
        <f t="shared" si="253"/>
        <v>1</v>
      </c>
      <c r="BH717" s="210">
        <f t="shared" si="254"/>
        <v>0</v>
      </c>
      <c r="BI717" s="213" t="e">
        <f t="shared" si="252"/>
        <v>#DIV/0!</v>
      </c>
      <c r="BJ717" s="141"/>
      <c r="BK717" s="201"/>
      <c r="BL717" s="198"/>
      <c r="BM717" s="198"/>
    </row>
    <row r="718" spans="1:65" s="17" customFormat="1" ht="15.95" customHeight="1">
      <c r="A718" s="123">
        <v>91</v>
      </c>
      <c r="B718" s="9" t="s">
        <v>3145</v>
      </c>
      <c r="C718" s="11" t="s">
        <v>3146</v>
      </c>
      <c r="D718" s="229"/>
      <c r="E718" s="13"/>
      <c r="F718" s="229"/>
      <c r="G718" s="13"/>
      <c r="H718" s="229"/>
      <c r="I718" s="13"/>
      <c r="J718" s="229"/>
      <c r="K718" s="13"/>
      <c r="L718" s="229"/>
      <c r="M718" s="13"/>
      <c r="N718" s="229"/>
      <c r="O718" s="13"/>
      <c r="P718" s="229"/>
      <c r="Q718" s="13"/>
      <c r="R718" s="229"/>
      <c r="S718" s="13"/>
      <c r="T718" s="229"/>
      <c r="U718" s="13"/>
      <c r="V718" s="229"/>
      <c r="W718" s="13"/>
      <c r="X718" s="229"/>
      <c r="Y718" s="13"/>
      <c r="Z718" s="229"/>
      <c r="AA718" s="13"/>
      <c r="AB718" s="229"/>
      <c r="AC718" s="228">
        <f t="shared" si="255"/>
        <v>0</v>
      </c>
      <c r="AD718" s="21">
        <v>0</v>
      </c>
      <c r="AE718" s="229"/>
      <c r="AF718" s="20"/>
      <c r="AG718" s="229"/>
      <c r="AH718" s="20"/>
      <c r="AI718" s="229"/>
      <c r="AJ718" s="20"/>
      <c r="AK718" s="229"/>
      <c r="AL718" s="20"/>
      <c r="AM718" s="229"/>
      <c r="AN718" s="20"/>
      <c r="AO718" s="229"/>
      <c r="AP718" s="20">
        <v>1</v>
      </c>
      <c r="AQ718" s="229"/>
      <c r="AR718" s="20"/>
      <c r="AS718" s="229"/>
      <c r="AT718" s="20"/>
      <c r="AU718" s="229"/>
      <c r="AV718" s="20"/>
      <c r="AW718" s="229"/>
      <c r="AX718" s="20"/>
      <c r="AY718" s="229"/>
      <c r="AZ718" s="20"/>
      <c r="BA718" s="229"/>
      <c r="BB718" s="20"/>
      <c r="BC718" s="229"/>
      <c r="BD718" s="48">
        <f t="shared" si="256"/>
        <v>1</v>
      </c>
      <c r="BE718" s="19">
        <v>0</v>
      </c>
      <c r="BF718" s="229"/>
      <c r="BG718" s="210">
        <f t="shared" si="253"/>
        <v>1</v>
      </c>
      <c r="BH718" s="210">
        <f t="shared" si="254"/>
        <v>0</v>
      </c>
      <c r="BI718" s="213" t="e">
        <f t="shared" si="252"/>
        <v>#DIV/0!</v>
      </c>
      <c r="BJ718" s="141"/>
      <c r="BK718" s="201"/>
      <c r="BL718" s="198"/>
      <c r="BM718" s="198"/>
    </row>
    <row r="719" spans="1:65" s="17" customFormat="1" ht="15.95" customHeight="1">
      <c r="A719" s="123">
        <v>92</v>
      </c>
      <c r="B719" s="9" t="s">
        <v>2297</v>
      </c>
      <c r="C719" s="11" t="s">
        <v>2298</v>
      </c>
      <c r="D719" s="229"/>
      <c r="E719" s="13"/>
      <c r="F719" s="229"/>
      <c r="G719" s="13"/>
      <c r="H719" s="229"/>
      <c r="I719" s="13"/>
      <c r="J719" s="229"/>
      <c r="K719" s="13"/>
      <c r="L719" s="229"/>
      <c r="M719" s="13"/>
      <c r="N719" s="229"/>
      <c r="O719" s="13"/>
      <c r="P719" s="229"/>
      <c r="Q719" s="13"/>
      <c r="R719" s="229"/>
      <c r="S719" s="13"/>
      <c r="T719" s="229"/>
      <c r="U719" s="13"/>
      <c r="V719" s="229"/>
      <c r="W719" s="13"/>
      <c r="X719" s="229"/>
      <c r="Y719" s="13"/>
      <c r="Z719" s="229"/>
      <c r="AA719" s="13"/>
      <c r="AB719" s="229">
        <f>D719+F719+H719+J719+L719+N719+P719+R719+T719+V719+X719+Z719</f>
        <v>0</v>
      </c>
      <c r="AC719" s="228">
        <f t="shared" si="255"/>
        <v>0</v>
      </c>
      <c r="AD719" s="21">
        <v>0</v>
      </c>
      <c r="AE719" s="229"/>
      <c r="AF719" s="20"/>
      <c r="AG719" s="229"/>
      <c r="AH719" s="20"/>
      <c r="AI719" s="229"/>
      <c r="AJ719" s="20"/>
      <c r="AK719" s="229"/>
      <c r="AL719" s="20"/>
      <c r="AM719" s="229"/>
      <c r="AN719" s="20"/>
      <c r="AO719" s="229">
        <v>3</v>
      </c>
      <c r="AP719" s="20">
        <v>3</v>
      </c>
      <c r="AQ719" s="229"/>
      <c r="AR719" s="20"/>
      <c r="AS719" s="229"/>
      <c r="AT719" s="20"/>
      <c r="AU719" s="229"/>
      <c r="AV719" s="20">
        <v>1</v>
      </c>
      <c r="AW719" s="229"/>
      <c r="AX719" s="20"/>
      <c r="AY719" s="229"/>
      <c r="AZ719" s="20"/>
      <c r="BA719" s="229"/>
      <c r="BB719" s="20"/>
      <c r="BC719" s="229">
        <f>AE719+AG719+AI719+AK719+AM719+AO719+AQ719+AS719+AU719+AW719+AY719+BA719</f>
        <v>3</v>
      </c>
      <c r="BD719" s="48">
        <f t="shared" si="256"/>
        <v>4</v>
      </c>
      <c r="BE719" s="19">
        <v>1</v>
      </c>
      <c r="BF719" s="229">
        <f>AB719+BC719</f>
        <v>3</v>
      </c>
      <c r="BG719" s="210">
        <f t="shared" si="253"/>
        <v>4</v>
      </c>
      <c r="BH719" s="210">
        <f t="shared" si="254"/>
        <v>1</v>
      </c>
      <c r="BI719" s="213">
        <f t="shared" si="252"/>
        <v>400</v>
      </c>
      <c r="BJ719" s="141"/>
      <c r="BK719" s="201"/>
      <c r="BL719" s="198"/>
      <c r="BM719" s="198"/>
    </row>
    <row r="720" spans="1:65" s="17" customFormat="1" ht="15.95" customHeight="1">
      <c r="A720" s="123">
        <v>93</v>
      </c>
      <c r="B720" s="9" t="s">
        <v>2299</v>
      </c>
      <c r="C720" s="11" t="s">
        <v>2300</v>
      </c>
      <c r="D720" s="229"/>
      <c r="E720" s="13"/>
      <c r="F720" s="229"/>
      <c r="G720" s="13"/>
      <c r="H720" s="229"/>
      <c r="I720" s="13"/>
      <c r="J720" s="229"/>
      <c r="K720" s="13"/>
      <c r="L720" s="229"/>
      <c r="M720" s="13"/>
      <c r="N720" s="229"/>
      <c r="O720" s="13"/>
      <c r="P720" s="229"/>
      <c r="Q720" s="13"/>
      <c r="R720" s="229"/>
      <c r="S720" s="13"/>
      <c r="T720" s="229"/>
      <c r="U720" s="13"/>
      <c r="V720" s="229"/>
      <c r="W720" s="13"/>
      <c r="X720" s="229"/>
      <c r="Y720" s="13"/>
      <c r="Z720" s="229"/>
      <c r="AA720" s="13"/>
      <c r="AB720" s="229">
        <f>D720+F720+H720+J720+L720+N720+P720+R720+T720+V720+X720+Z720</f>
        <v>0</v>
      </c>
      <c r="AC720" s="228">
        <f t="shared" si="255"/>
        <v>0</v>
      </c>
      <c r="AD720" s="21">
        <v>0</v>
      </c>
      <c r="AE720" s="229"/>
      <c r="AF720" s="20"/>
      <c r="AG720" s="229"/>
      <c r="AH720" s="20"/>
      <c r="AI720" s="229"/>
      <c r="AJ720" s="20"/>
      <c r="AK720" s="229"/>
      <c r="AL720" s="20"/>
      <c r="AM720" s="229"/>
      <c r="AN720" s="20"/>
      <c r="AO720" s="229"/>
      <c r="AP720" s="20"/>
      <c r="AQ720" s="229"/>
      <c r="AR720" s="20"/>
      <c r="AS720" s="229"/>
      <c r="AT720" s="20"/>
      <c r="AU720" s="229"/>
      <c r="AV720" s="20"/>
      <c r="AW720" s="229"/>
      <c r="AX720" s="20"/>
      <c r="AY720" s="229"/>
      <c r="AZ720" s="20"/>
      <c r="BA720" s="229"/>
      <c r="BB720" s="20"/>
      <c r="BC720" s="229">
        <f>AE720+AG720+AI720+AK720+AM720+AO720+AQ720+AS720+AU720+AW720+AY720+BA720</f>
        <v>0</v>
      </c>
      <c r="BD720" s="48">
        <f t="shared" si="256"/>
        <v>0</v>
      </c>
      <c r="BE720" s="19">
        <v>1</v>
      </c>
      <c r="BF720" s="229">
        <f>AB720+BC720</f>
        <v>0</v>
      </c>
      <c r="BG720" s="210">
        <f t="shared" si="253"/>
        <v>0</v>
      </c>
      <c r="BH720" s="210">
        <f t="shared" si="254"/>
        <v>1</v>
      </c>
      <c r="BI720" s="213">
        <f t="shared" si="252"/>
        <v>0</v>
      </c>
      <c r="BJ720" s="141"/>
      <c r="BK720" s="201"/>
      <c r="BL720" s="198"/>
      <c r="BM720" s="198"/>
    </row>
    <row r="721" spans="1:65" s="17" customFormat="1" ht="15.95" customHeight="1">
      <c r="A721" s="123">
        <v>94</v>
      </c>
      <c r="B721" s="9" t="s">
        <v>3147</v>
      </c>
      <c r="C721" s="11" t="s">
        <v>3148</v>
      </c>
      <c r="D721" s="229"/>
      <c r="E721" s="13"/>
      <c r="F721" s="229"/>
      <c r="G721" s="13"/>
      <c r="H721" s="229"/>
      <c r="I721" s="13"/>
      <c r="J721" s="229"/>
      <c r="K721" s="13"/>
      <c r="L721" s="229"/>
      <c r="M721" s="13"/>
      <c r="N721" s="229"/>
      <c r="O721" s="13"/>
      <c r="P721" s="229"/>
      <c r="Q721" s="13"/>
      <c r="R721" s="229"/>
      <c r="S721" s="13"/>
      <c r="T721" s="229"/>
      <c r="U721" s="13"/>
      <c r="V721" s="229"/>
      <c r="W721" s="13"/>
      <c r="X721" s="229"/>
      <c r="Y721" s="13"/>
      <c r="Z721" s="229"/>
      <c r="AA721" s="13"/>
      <c r="AB721" s="229"/>
      <c r="AC721" s="228">
        <f t="shared" si="255"/>
        <v>0</v>
      </c>
      <c r="AD721" s="21">
        <v>0</v>
      </c>
      <c r="AE721" s="229"/>
      <c r="AF721" s="20"/>
      <c r="AG721" s="229"/>
      <c r="AH721" s="20"/>
      <c r="AI721" s="229"/>
      <c r="AJ721" s="20"/>
      <c r="AK721" s="229"/>
      <c r="AL721" s="20"/>
      <c r="AM721" s="229"/>
      <c r="AN721" s="20"/>
      <c r="AO721" s="229"/>
      <c r="AP721" s="20">
        <v>1</v>
      </c>
      <c r="AQ721" s="229"/>
      <c r="AR721" s="20"/>
      <c r="AS721" s="229"/>
      <c r="AT721" s="20"/>
      <c r="AU721" s="229"/>
      <c r="AV721" s="20"/>
      <c r="AW721" s="229"/>
      <c r="AX721" s="20"/>
      <c r="AY721" s="229"/>
      <c r="AZ721" s="20"/>
      <c r="BA721" s="229"/>
      <c r="BB721" s="20"/>
      <c r="BC721" s="229"/>
      <c r="BD721" s="48">
        <f t="shared" si="256"/>
        <v>1</v>
      </c>
      <c r="BE721" s="19">
        <v>0</v>
      </c>
      <c r="BF721" s="229"/>
      <c r="BG721" s="210">
        <f t="shared" si="253"/>
        <v>1</v>
      </c>
      <c r="BH721" s="210">
        <f t="shared" si="254"/>
        <v>0</v>
      </c>
      <c r="BI721" s="213" t="e">
        <f t="shared" si="252"/>
        <v>#DIV/0!</v>
      </c>
      <c r="BJ721" s="141"/>
      <c r="BK721" s="201"/>
      <c r="BL721" s="198"/>
      <c r="BM721" s="198"/>
    </row>
    <row r="722" spans="1:65" s="17" customFormat="1" ht="15.95" customHeight="1">
      <c r="A722" s="123">
        <v>95</v>
      </c>
      <c r="B722" s="9" t="s">
        <v>2301</v>
      </c>
      <c r="C722" s="11" t="s">
        <v>2302</v>
      </c>
      <c r="D722" s="229"/>
      <c r="E722" s="13"/>
      <c r="F722" s="229"/>
      <c r="G722" s="13"/>
      <c r="H722" s="229"/>
      <c r="I722" s="13"/>
      <c r="J722" s="229"/>
      <c r="K722" s="13"/>
      <c r="L722" s="229"/>
      <c r="M722" s="13"/>
      <c r="N722" s="229"/>
      <c r="O722" s="13"/>
      <c r="P722" s="229"/>
      <c r="Q722" s="13"/>
      <c r="R722" s="229"/>
      <c r="S722" s="13"/>
      <c r="T722" s="229"/>
      <c r="U722" s="13"/>
      <c r="V722" s="229"/>
      <c r="W722" s="13"/>
      <c r="X722" s="229"/>
      <c r="Y722" s="13"/>
      <c r="Z722" s="229"/>
      <c r="AA722" s="13"/>
      <c r="AB722" s="229">
        <f t="shared" ref="AB722:AB730" si="260">D722+F722+H722+J722+L722+N722+P722+R722+T722+V722+X722+Z722</f>
        <v>0</v>
      </c>
      <c r="AC722" s="228">
        <f t="shared" si="255"/>
        <v>0</v>
      </c>
      <c r="AD722" s="21">
        <v>0</v>
      </c>
      <c r="AE722" s="229"/>
      <c r="AF722" s="20"/>
      <c r="AG722" s="229"/>
      <c r="AH722" s="20"/>
      <c r="AI722" s="229"/>
      <c r="AJ722" s="20"/>
      <c r="AK722" s="229"/>
      <c r="AL722" s="20"/>
      <c r="AM722" s="229"/>
      <c r="AN722" s="20"/>
      <c r="AO722" s="229"/>
      <c r="AP722" s="20"/>
      <c r="AQ722" s="229"/>
      <c r="AR722" s="20"/>
      <c r="AS722" s="229"/>
      <c r="AT722" s="20"/>
      <c r="AU722" s="229"/>
      <c r="AV722" s="20"/>
      <c r="AW722" s="229"/>
      <c r="AX722" s="20"/>
      <c r="AY722" s="229"/>
      <c r="AZ722" s="20"/>
      <c r="BA722" s="229"/>
      <c r="BB722" s="20"/>
      <c r="BC722" s="229">
        <f t="shared" ref="BC722:BC730" si="261">AE722+AG722+AI722+AK722+AM722+AO722+AQ722+AS722+AU722+AW722+AY722+BA722</f>
        <v>0</v>
      </c>
      <c r="BD722" s="48">
        <f t="shared" si="256"/>
        <v>0</v>
      </c>
      <c r="BE722" s="19">
        <v>1</v>
      </c>
      <c r="BF722" s="229">
        <f t="shared" ref="BF722:BF730" si="262">AB722+BC722</f>
        <v>0</v>
      </c>
      <c r="BG722" s="210">
        <f t="shared" si="253"/>
        <v>0</v>
      </c>
      <c r="BH722" s="210">
        <f t="shared" si="254"/>
        <v>1</v>
      </c>
      <c r="BI722" s="213">
        <f t="shared" si="252"/>
        <v>0</v>
      </c>
      <c r="BJ722" s="141"/>
      <c r="BK722" s="201"/>
      <c r="BL722" s="198"/>
      <c r="BM722" s="198"/>
    </row>
    <row r="723" spans="1:65" s="17" customFormat="1" ht="15.95" customHeight="1">
      <c r="A723" s="123">
        <v>96</v>
      </c>
      <c r="B723" s="9" t="s">
        <v>2894</v>
      </c>
      <c r="C723" s="11" t="s">
        <v>2895</v>
      </c>
      <c r="D723" s="229"/>
      <c r="E723" s="13"/>
      <c r="F723" s="229"/>
      <c r="G723" s="13"/>
      <c r="H723" s="229"/>
      <c r="I723" s="13"/>
      <c r="J723" s="229"/>
      <c r="K723" s="13"/>
      <c r="L723" s="229"/>
      <c r="M723" s="13"/>
      <c r="N723" s="229"/>
      <c r="O723" s="13"/>
      <c r="P723" s="229"/>
      <c r="Q723" s="13"/>
      <c r="R723" s="229"/>
      <c r="S723" s="13"/>
      <c r="T723" s="229"/>
      <c r="U723" s="13"/>
      <c r="V723" s="229"/>
      <c r="W723" s="13"/>
      <c r="X723" s="229"/>
      <c r="Y723" s="13"/>
      <c r="Z723" s="229"/>
      <c r="AA723" s="13"/>
      <c r="AB723" s="229">
        <f t="shared" si="260"/>
        <v>0</v>
      </c>
      <c r="AC723" s="228">
        <f t="shared" si="255"/>
        <v>0</v>
      </c>
      <c r="AD723" s="21">
        <v>0</v>
      </c>
      <c r="AE723" s="229"/>
      <c r="AF723" s="20"/>
      <c r="AG723" s="229"/>
      <c r="AH723" s="20"/>
      <c r="AI723" s="229">
        <v>1</v>
      </c>
      <c r="AJ723" s="13">
        <v>1</v>
      </c>
      <c r="AK723" s="229"/>
      <c r="AL723" s="20"/>
      <c r="AM723" s="229"/>
      <c r="AN723" s="20"/>
      <c r="AO723" s="229"/>
      <c r="AP723" s="20"/>
      <c r="AQ723" s="229"/>
      <c r="AR723" s="20"/>
      <c r="AS723" s="229"/>
      <c r="AT723" s="20"/>
      <c r="AU723" s="229"/>
      <c r="AV723" s="20"/>
      <c r="AW723" s="229"/>
      <c r="AX723" s="20"/>
      <c r="AY723" s="229"/>
      <c r="AZ723" s="20"/>
      <c r="BA723" s="229"/>
      <c r="BB723" s="20"/>
      <c r="BC723" s="229">
        <f t="shared" si="261"/>
        <v>1</v>
      </c>
      <c r="BD723" s="48">
        <f t="shared" si="256"/>
        <v>1</v>
      </c>
      <c r="BE723" s="19">
        <v>0</v>
      </c>
      <c r="BF723" s="229">
        <f t="shared" si="262"/>
        <v>1</v>
      </c>
      <c r="BG723" s="210">
        <f t="shared" si="253"/>
        <v>1</v>
      </c>
      <c r="BH723" s="210">
        <f t="shared" si="254"/>
        <v>0</v>
      </c>
      <c r="BI723" s="213" t="e">
        <f t="shared" si="252"/>
        <v>#DIV/0!</v>
      </c>
      <c r="BJ723" s="141"/>
      <c r="BK723" s="201"/>
      <c r="BL723" s="198"/>
      <c r="BM723" s="198"/>
    </row>
    <row r="724" spans="1:65" s="17" customFormat="1" ht="15.95" customHeight="1">
      <c r="A724" s="123">
        <v>97</v>
      </c>
      <c r="B724" s="9" t="s">
        <v>2303</v>
      </c>
      <c r="C724" s="11" t="s">
        <v>2304</v>
      </c>
      <c r="D724" s="229"/>
      <c r="E724" s="13"/>
      <c r="F724" s="229"/>
      <c r="G724" s="13"/>
      <c r="H724" s="229"/>
      <c r="I724" s="13"/>
      <c r="J724" s="229"/>
      <c r="K724" s="13"/>
      <c r="L724" s="229"/>
      <c r="M724" s="13"/>
      <c r="N724" s="229"/>
      <c r="O724" s="13"/>
      <c r="P724" s="229"/>
      <c r="Q724" s="13"/>
      <c r="R724" s="229"/>
      <c r="S724" s="13"/>
      <c r="T724" s="229"/>
      <c r="U724" s="13"/>
      <c r="V724" s="229"/>
      <c r="W724" s="13"/>
      <c r="X724" s="229"/>
      <c r="Y724" s="13"/>
      <c r="Z724" s="229"/>
      <c r="AA724" s="13"/>
      <c r="AB724" s="229">
        <f t="shared" si="260"/>
        <v>0</v>
      </c>
      <c r="AC724" s="228">
        <f t="shared" si="255"/>
        <v>0</v>
      </c>
      <c r="AD724" s="21">
        <v>0</v>
      </c>
      <c r="AE724" s="229"/>
      <c r="AF724" s="20"/>
      <c r="AG724" s="229"/>
      <c r="AH724" s="20"/>
      <c r="AI724" s="229">
        <v>2</v>
      </c>
      <c r="AJ724" s="20">
        <v>2</v>
      </c>
      <c r="AK724" s="229"/>
      <c r="AL724" s="20"/>
      <c r="AM724" s="229"/>
      <c r="AN724" s="20"/>
      <c r="AO724" s="229"/>
      <c r="AP724" s="20"/>
      <c r="AQ724" s="229"/>
      <c r="AR724" s="20"/>
      <c r="AS724" s="229"/>
      <c r="AT724" s="20"/>
      <c r="AU724" s="229"/>
      <c r="AV724" s="20"/>
      <c r="AW724" s="229"/>
      <c r="AX724" s="20"/>
      <c r="AY724" s="229"/>
      <c r="AZ724" s="20"/>
      <c r="BA724" s="229"/>
      <c r="BB724" s="20"/>
      <c r="BC724" s="229">
        <f t="shared" si="261"/>
        <v>2</v>
      </c>
      <c r="BD724" s="48">
        <f t="shared" si="256"/>
        <v>2</v>
      </c>
      <c r="BE724" s="19">
        <v>2</v>
      </c>
      <c r="BF724" s="229">
        <f t="shared" si="262"/>
        <v>2</v>
      </c>
      <c r="BG724" s="210">
        <f t="shared" si="253"/>
        <v>2</v>
      </c>
      <c r="BH724" s="210">
        <f t="shared" si="254"/>
        <v>2</v>
      </c>
      <c r="BI724" s="213">
        <f t="shared" ref="BI724:BI755" si="263">BG724/BH724*100</f>
        <v>100</v>
      </c>
      <c r="BJ724" s="141"/>
      <c r="BK724" s="201"/>
      <c r="BL724" s="198"/>
      <c r="BM724" s="198"/>
    </row>
    <row r="725" spans="1:65" s="17" customFormat="1" ht="15.95" customHeight="1">
      <c r="A725" s="123">
        <v>98</v>
      </c>
      <c r="B725" s="9" t="s">
        <v>2305</v>
      </c>
      <c r="C725" s="11" t="s">
        <v>2306</v>
      </c>
      <c r="D725" s="229"/>
      <c r="E725" s="13"/>
      <c r="F725" s="229"/>
      <c r="G725" s="13"/>
      <c r="H725" s="229"/>
      <c r="I725" s="13"/>
      <c r="J725" s="229"/>
      <c r="K725" s="13"/>
      <c r="L725" s="229"/>
      <c r="M725" s="13"/>
      <c r="N725" s="229"/>
      <c r="O725" s="13"/>
      <c r="P725" s="229"/>
      <c r="Q725" s="13"/>
      <c r="R725" s="229"/>
      <c r="S725" s="13"/>
      <c r="T725" s="229"/>
      <c r="U725" s="13"/>
      <c r="V725" s="229"/>
      <c r="W725" s="13"/>
      <c r="X725" s="229"/>
      <c r="Y725" s="13"/>
      <c r="Z725" s="229"/>
      <c r="AA725" s="13"/>
      <c r="AB725" s="229">
        <f t="shared" si="260"/>
        <v>0</v>
      </c>
      <c r="AC725" s="228">
        <f t="shared" si="255"/>
        <v>0</v>
      </c>
      <c r="AD725" s="21">
        <v>0</v>
      </c>
      <c r="AE725" s="229"/>
      <c r="AF725" s="20"/>
      <c r="AG725" s="229"/>
      <c r="AH725" s="20"/>
      <c r="AI725" s="229"/>
      <c r="AJ725" s="20"/>
      <c r="AK725" s="229"/>
      <c r="AL725" s="20"/>
      <c r="AM725" s="229"/>
      <c r="AN725" s="20"/>
      <c r="AO725" s="229"/>
      <c r="AP725" s="20"/>
      <c r="AQ725" s="229"/>
      <c r="AR725" s="20"/>
      <c r="AS725" s="229"/>
      <c r="AT725" s="20"/>
      <c r="AU725" s="229"/>
      <c r="AV725" s="20"/>
      <c r="AW725" s="229"/>
      <c r="AX725" s="20"/>
      <c r="AY725" s="229"/>
      <c r="AZ725" s="20"/>
      <c r="BA725" s="229"/>
      <c r="BB725" s="20">
        <v>2</v>
      </c>
      <c r="BC725" s="229">
        <f t="shared" si="261"/>
        <v>0</v>
      </c>
      <c r="BD725" s="48">
        <f t="shared" si="256"/>
        <v>2</v>
      </c>
      <c r="BE725" s="19">
        <v>1</v>
      </c>
      <c r="BF725" s="229">
        <f t="shared" si="262"/>
        <v>0</v>
      </c>
      <c r="BG725" s="210">
        <f t="shared" si="253"/>
        <v>2</v>
      </c>
      <c r="BH725" s="210">
        <f t="shared" si="254"/>
        <v>1</v>
      </c>
      <c r="BI725" s="213">
        <f t="shared" si="263"/>
        <v>200</v>
      </c>
      <c r="BJ725" s="141"/>
      <c r="BK725" s="201"/>
      <c r="BL725" s="198"/>
      <c r="BM725" s="198"/>
    </row>
    <row r="726" spans="1:65" s="17" customFormat="1" ht="15.95" customHeight="1">
      <c r="A726" s="123">
        <v>99</v>
      </c>
      <c r="B726" s="9" t="s">
        <v>2307</v>
      </c>
      <c r="C726" s="11" t="s">
        <v>2308</v>
      </c>
      <c r="D726" s="229"/>
      <c r="E726" s="13"/>
      <c r="F726" s="229"/>
      <c r="G726" s="13"/>
      <c r="H726" s="229"/>
      <c r="I726" s="13"/>
      <c r="J726" s="229"/>
      <c r="K726" s="13"/>
      <c r="L726" s="229"/>
      <c r="M726" s="13"/>
      <c r="N726" s="229"/>
      <c r="O726" s="13"/>
      <c r="P726" s="229"/>
      <c r="Q726" s="13"/>
      <c r="R726" s="229"/>
      <c r="S726" s="13"/>
      <c r="T726" s="229"/>
      <c r="U726" s="13"/>
      <c r="V726" s="229"/>
      <c r="W726" s="13"/>
      <c r="X726" s="229"/>
      <c r="Y726" s="13"/>
      <c r="Z726" s="229"/>
      <c r="AA726" s="13"/>
      <c r="AB726" s="229">
        <f t="shared" si="260"/>
        <v>0</v>
      </c>
      <c r="AC726" s="228">
        <f t="shared" si="255"/>
        <v>0</v>
      </c>
      <c r="AD726" s="21">
        <v>0</v>
      </c>
      <c r="AE726" s="229"/>
      <c r="AF726" s="20"/>
      <c r="AG726" s="229"/>
      <c r="AH726" s="20"/>
      <c r="AI726" s="229"/>
      <c r="AJ726" s="20"/>
      <c r="AK726" s="229"/>
      <c r="AL726" s="20"/>
      <c r="AM726" s="229"/>
      <c r="AN726" s="20"/>
      <c r="AO726" s="229"/>
      <c r="AP726" s="20"/>
      <c r="AQ726" s="229"/>
      <c r="AR726" s="20"/>
      <c r="AS726" s="229"/>
      <c r="AT726" s="20"/>
      <c r="AU726" s="229"/>
      <c r="AV726" s="20"/>
      <c r="AW726" s="229"/>
      <c r="AX726" s="20"/>
      <c r="AY726" s="229"/>
      <c r="AZ726" s="20"/>
      <c r="BA726" s="229"/>
      <c r="BB726" s="20"/>
      <c r="BC726" s="229">
        <f t="shared" si="261"/>
        <v>0</v>
      </c>
      <c r="BD726" s="48">
        <f t="shared" si="256"/>
        <v>0</v>
      </c>
      <c r="BE726" s="19">
        <v>1</v>
      </c>
      <c r="BF726" s="229">
        <f t="shared" si="262"/>
        <v>0</v>
      </c>
      <c r="BG726" s="210">
        <f t="shared" si="253"/>
        <v>0</v>
      </c>
      <c r="BH726" s="210">
        <f t="shared" si="254"/>
        <v>1</v>
      </c>
      <c r="BI726" s="213">
        <f t="shared" si="263"/>
        <v>0</v>
      </c>
      <c r="BJ726" s="141"/>
      <c r="BK726" s="201"/>
      <c r="BL726" s="198"/>
      <c r="BM726" s="198"/>
    </row>
    <row r="727" spans="1:65" s="17" customFormat="1" ht="15.95" customHeight="1">
      <c r="A727" s="123">
        <v>100</v>
      </c>
      <c r="B727" s="9" t="s">
        <v>1547</v>
      </c>
      <c r="C727" s="11" t="s">
        <v>1548</v>
      </c>
      <c r="D727" s="229"/>
      <c r="E727" s="13"/>
      <c r="F727" s="229"/>
      <c r="G727" s="13"/>
      <c r="H727" s="229"/>
      <c r="I727" s="13"/>
      <c r="J727" s="229"/>
      <c r="K727" s="13"/>
      <c r="L727" s="229"/>
      <c r="M727" s="13"/>
      <c r="N727" s="229"/>
      <c r="O727" s="13"/>
      <c r="P727" s="229"/>
      <c r="Q727" s="13"/>
      <c r="R727" s="229"/>
      <c r="S727" s="13"/>
      <c r="T727" s="229"/>
      <c r="U727" s="13"/>
      <c r="V727" s="229"/>
      <c r="W727" s="13"/>
      <c r="X727" s="229"/>
      <c r="Y727" s="13"/>
      <c r="Z727" s="229"/>
      <c r="AA727" s="13"/>
      <c r="AB727" s="229">
        <f t="shared" si="260"/>
        <v>0</v>
      </c>
      <c r="AC727" s="228">
        <f t="shared" si="255"/>
        <v>0</v>
      </c>
      <c r="AD727" s="21">
        <v>0</v>
      </c>
      <c r="AE727" s="229"/>
      <c r="AF727" s="20"/>
      <c r="AG727" s="229"/>
      <c r="AH727" s="20"/>
      <c r="AI727" s="229"/>
      <c r="AJ727" s="20"/>
      <c r="AK727" s="229"/>
      <c r="AL727" s="20"/>
      <c r="AM727" s="229"/>
      <c r="AN727" s="20"/>
      <c r="AO727" s="229"/>
      <c r="AP727" s="20"/>
      <c r="AQ727" s="229"/>
      <c r="AR727" s="20"/>
      <c r="AS727" s="229"/>
      <c r="AT727" s="20"/>
      <c r="AU727" s="229"/>
      <c r="AV727" s="20"/>
      <c r="AW727" s="229"/>
      <c r="AX727" s="20"/>
      <c r="AY727" s="229"/>
      <c r="AZ727" s="20"/>
      <c r="BA727" s="229"/>
      <c r="BB727" s="20"/>
      <c r="BC727" s="229">
        <f t="shared" si="261"/>
        <v>0</v>
      </c>
      <c r="BD727" s="48">
        <f t="shared" si="256"/>
        <v>0</v>
      </c>
      <c r="BE727" s="19">
        <v>1</v>
      </c>
      <c r="BF727" s="229">
        <f t="shared" si="262"/>
        <v>0</v>
      </c>
      <c r="BG727" s="210">
        <f t="shared" si="253"/>
        <v>0</v>
      </c>
      <c r="BH727" s="210">
        <f t="shared" si="254"/>
        <v>1</v>
      </c>
      <c r="BI727" s="213">
        <f t="shared" si="263"/>
        <v>0</v>
      </c>
      <c r="BJ727" s="141"/>
      <c r="BK727" s="201"/>
      <c r="BL727" s="198"/>
      <c r="BM727" s="198"/>
    </row>
    <row r="728" spans="1:65" s="17" customFormat="1" ht="15.95" customHeight="1">
      <c r="A728" s="123">
        <v>101</v>
      </c>
      <c r="B728" s="9" t="s">
        <v>2896</v>
      </c>
      <c r="C728" s="11" t="s">
        <v>2897</v>
      </c>
      <c r="D728" s="229"/>
      <c r="E728" s="13"/>
      <c r="F728" s="229"/>
      <c r="G728" s="13"/>
      <c r="H728" s="229"/>
      <c r="I728" s="13"/>
      <c r="J728" s="229"/>
      <c r="K728" s="13"/>
      <c r="L728" s="229"/>
      <c r="M728" s="13"/>
      <c r="N728" s="229"/>
      <c r="O728" s="13"/>
      <c r="P728" s="229"/>
      <c r="Q728" s="13"/>
      <c r="R728" s="229"/>
      <c r="S728" s="13"/>
      <c r="T728" s="229"/>
      <c r="U728" s="13"/>
      <c r="V728" s="229"/>
      <c r="W728" s="13"/>
      <c r="X728" s="229"/>
      <c r="Y728" s="13"/>
      <c r="Z728" s="229"/>
      <c r="AA728" s="13"/>
      <c r="AB728" s="229">
        <f t="shared" si="260"/>
        <v>0</v>
      </c>
      <c r="AC728" s="228">
        <f t="shared" si="255"/>
        <v>0</v>
      </c>
      <c r="AD728" s="21">
        <v>0</v>
      </c>
      <c r="AE728" s="229"/>
      <c r="AF728" s="20"/>
      <c r="AG728" s="229"/>
      <c r="AH728" s="20"/>
      <c r="AI728" s="229">
        <v>3</v>
      </c>
      <c r="AJ728" s="13">
        <v>3</v>
      </c>
      <c r="AK728" s="229"/>
      <c r="AL728" s="20"/>
      <c r="AM728" s="229"/>
      <c r="AN728" s="20"/>
      <c r="AO728" s="229">
        <v>2</v>
      </c>
      <c r="AP728" s="20">
        <v>2</v>
      </c>
      <c r="AQ728" s="229"/>
      <c r="AR728" s="20"/>
      <c r="AS728" s="229"/>
      <c r="AT728" s="20"/>
      <c r="AU728" s="229"/>
      <c r="AV728" s="20">
        <v>2</v>
      </c>
      <c r="AW728" s="229"/>
      <c r="AX728" s="20"/>
      <c r="AY728" s="229"/>
      <c r="AZ728" s="20"/>
      <c r="BA728" s="229"/>
      <c r="BB728" s="20"/>
      <c r="BC728" s="229">
        <f t="shared" si="261"/>
        <v>5</v>
      </c>
      <c r="BD728" s="48">
        <f t="shared" si="256"/>
        <v>7</v>
      </c>
      <c r="BE728" s="19">
        <v>0</v>
      </c>
      <c r="BF728" s="229">
        <f t="shared" si="262"/>
        <v>5</v>
      </c>
      <c r="BG728" s="210">
        <f t="shared" si="253"/>
        <v>7</v>
      </c>
      <c r="BH728" s="210">
        <f t="shared" si="254"/>
        <v>0</v>
      </c>
      <c r="BI728" s="213" t="e">
        <f t="shared" si="263"/>
        <v>#DIV/0!</v>
      </c>
      <c r="BJ728" s="141"/>
      <c r="BK728" s="201"/>
      <c r="BL728" s="198"/>
      <c r="BM728" s="198"/>
    </row>
    <row r="729" spans="1:65" s="17" customFormat="1" ht="15.95" customHeight="1">
      <c r="A729" s="123">
        <v>102</v>
      </c>
      <c r="B729" s="9" t="s">
        <v>373</v>
      </c>
      <c r="C729" s="11" t="s">
        <v>2463</v>
      </c>
      <c r="D729" s="229"/>
      <c r="E729" s="13"/>
      <c r="F729" s="229"/>
      <c r="G729" s="13"/>
      <c r="H729" s="229"/>
      <c r="I729" s="13"/>
      <c r="J729" s="229"/>
      <c r="K729" s="13"/>
      <c r="L729" s="229"/>
      <c r="M729" s="13"/>
      <c r="N729" s="229"/>
      <c r="O729" s="13"/>
      <c r="P729" s="229"/>
      <c r="Q729" s="13"/>
      <c r="R729" s="229"/>
      <c r="S729" s="13"/>
      <c r="T729" s="229"/>
      <c r="U729" s="13"/>
      <c r="V729" s="229"/>
      <c r="W729" s="13"/>
      <c r="X729" s="229"/>
      <c r="Y729" s="13"/>
      <c r="Z729" s="229"/>
      <c r="AA729" s="13"/>
      <c r="AB729" s="229">
        <f t="shared" si="260"/>
        <v>0</v>
      </c>
      <c r="AC729" s="228">
        <f t="shared" si="255"/>
        <v>0</v>
      </c>
      <c r="AD729" s="21">
        <v>0</v>
      </c>
      <c r="AE729" s="229"/>
      <c r="AF729" s="20"/>
      <c r="AG729" s="229"/>
      <c r="AH729" s="20"/>
      <c r="AI729" s="229">
        <v>8</v>
      </c>
      <c r="AJ729" s="20">
        <v>8</v>
      </c>
      <c r="AK729" s="229"/>
      <c r="AL729" s="20"/>
      <c r="AM729" s="229"/>
      <c r="AN729" s="20"/>
      <c r="AO729" s="229">
        <v>9</v>
      </c>
      <c r="AP729" s="20">
        <v>11</v>
      </c>
      <c r="AQ729" s="229"/>
      <c r="AR729" s="20"/>
      <c r="AS729" s="229"/>
      <c r="AT729" s="20"/>
      <c r="AU729" s="229"/>
      <c r="AV729" s="20">
        <v>24</v>
      </c>
      <c r="AW729" s="229"/>
      <c r="AX729" s="20"/>
      <c r="AY729" s="229"/>
      <c r="AZ729" s="20"/>
      <c r="BA729" s="229"/>
      <c r="BB729" s="20">
        <v>18</v>
      </c>
      <c r="BC729" s="229">
        <f t="shared" si="261"/>
        <v>17</v>
      </c>
      <c r="BD729" s="48">
        <f t="shared" si="256"/>
        <v>61</v>
      </c>
      <c r="BE729" s="19">
        <v>18</v>
      </c>
      <c r="BF729" s="229">
        <f t="shared" si="262"/>
        <v>17</v>
      </c>
      <c r="BG729" s="210">
        <f t="shared" ref="BG729:BG764" si="264">AC729+BD729</f>
        <v>61</v>
      </c>
      <c r="BH729" s="210">
        <f t="shared" ref="BH729:BH764" si="265">AD729+BE729</f>
        <v>18</v>
      </c>
      <c r="BI729" s="213">
        <f t="shared" si="263"/>
        <v>338.88888888888886</v>
      </c>
      <c r="BJ729" s="141"/>
      <c r="BK729" s="201"/>
      <c r="BL729" s="198"/>
      <c r="BM729" s="198"/>
    </row>
    <row r="730" spans="1:65" s="17" customFormat="1" ht="15.95" customHeight="1">
      <c r="A730" s="123">
        <v>103</v>
      </c>
      <c r="B730" s="192" t="s">
        <v>374</v>
      </c>
      <c r="C730" s="193" t="s">
        <v>375</v>
      </c>
      <c r="D730" s="229"/>
      <c r="E730" s="13"/>
      <c r="F730" s="229"/>
      <c r="G730" s="13"/>
      <c r="H730" s="229"/>
      <c r="I730" s="13"/>
      <c r="J730" s="229"/>
      <c r="K730" s="13"/>
      <c r="L730" s="229"/>
      <c r="M730" s="13"/>
      <c r="N730" s="229"/>
      <c r="O730" s="13"/>
      <c r="P730" s="229"/>
      <c r="Q730" s="13"/>
      <c r="R730" s="229"/>
      <c r="S730" s="13"/>
      <c r="T730" s="229"/>
      <c r="U730" s="13"/>
      <c r="V730" s="229"/>
      <c r="W730" s="13"/>
      <c r="X730" s="229"/>
      <c r="Y730" s="13"/>
      <c r="Z730" s="229"/>
      <c r="AA730" s="13"/>
      <c r="AB730" s="229">
        <f t="shared" si="260"/>
        <v>0</v>
      </c>
      <c r="AC730" s="228">
        <f t="shared" ref="AC730:AC764" si="266">E730+G730+I730+K730+M730+O730+Q730+S730+U730+W730+Y730+AA730</f>
        <v>0</v>
      </c>
      <c r="AD730" s="21">
        <v>0</v>
      </c>
      <c r="AE730" s="229"/>
      <c r="AF730" s="20"/>
      <c r="AG730" s="229"/>
      <c r="AH730" s="20"/>
      <c r="AI730" s="229">
        <v>24</v>
      </c>
      <c r="AJ730" s="20">
        <v>24</v>
      </c>
      <c r="AK730" s="229"/>
      <c r="AL730" s="20"/>
      <c r="AM730" s="229"/>
      <c r="AN730" s="20"/>
      <c r="AO730" s="229">
        <v>32</v>
      </c>
      <c r="AP730" s="20">
        <v>33</v>
      </c>
      <c r="AQ730" s="229"/>
      <c r="AR730" s="20"/>
      <c r="AS730" s="229"/>
      <c r="AT730" s="20"/>
      <c r="AU730" s="229"/>
      <c r="AV730" s="20">
        <v>29</v>
      </c>
      <c r="AW730" s="229"/>
      <c r="AX730" s="20"/>
      <c r="AY730" s="229"/>
      <c r="AZ730" s="20"/>
      <c r="BA730" s="229"/>
      <c r="BB730" s="20">
        <v>44</v>
      </c>
      <c r="BC730" s="229">
        <f t="shared" si="261"/>
        <v>56</v>
      </c>
      <c r="BD730" s="48">
        <f t="shared" ref="BD730:BD764" si="267">AF730+AH730+AJ730+AL730+AN730+AP730+AR730+AT730+AV730+AX730+AZ730+BB730</f>
        <v>130</v>
      </c>
      <c r="BE730" s="19">
        <v>121</v>
      </c>
      <c r="BF730" s="229">
        <f t="shared" si="262"/>
        <v>56</v>
      </c>
      <c r="BG730" s="210">
        <f t="shared" si="264"/>
        <v>130</v>
      </c>
      <c r="BH730" s="210">
        <f t="shared" si="265"/>
        <v>121</v>
      </c>
      <c r="BI730" s="213">
        <f t="shared" si="263"/>
        <v>107.43801652892562</v>
      </c>
      <c r="BJ730" s="141"/>
      <c r="BK730" s="201"/>
      <c r="BL730" s="198"/>
      <c r="BM730" s="198"/>
    </row>
    <row r="731" spans="1:65" s="17" customFormat="1" ht="15.95" customHeight="1">
      <c r="A731" s="123">
        <v>104</v>
      </c>
      <c r="B731" s="9" t="s">
        <v>3151</v>
      </c>
      <c r="C731" s="11" t="s">
        <v>3152</v>
      </c>
      <c r="D731" s="229"/>
      <c r="E731" s="13"/>
      <c r="F731" s="229"/>
      <c r="G731" s="13"/>
      <c r="H731" s="229"/>
      <c r="I731" s="13"/>
      <c r="J731" s="229"/>
      <c r="K731" s="13"/>
      <c r="L731" s="229"/>
      <c r="M731" s="13"/>
      <c r="N731" s="229"/>
      <c r="O731" s="13"/>
      <c r="P731" s="229"/>
      <c r="Q731" s="13"/>
      <c r="R731" s="229"/>
      <c r="S731" s="13"/>
      <c r="T731" s="229"/>
      <c r="U731" s="13"/>
      <c r="V731" s="229"/>
      <c r="W731" s="13"/>
      <c r="X731" s="229"/>
      <c r="Y731" s="13"/>
      <c r="Z731" s="229"/>
      <c r="AA731" s="13"/>
      <c r="AB731" s="229"/>
      <c r="AC731" s="228">
        <f t="shared" si="266"/>
        <v>0</v>
      </c>
      <c r="AD731" s="21">
        <v>0</v>
      </c>
      <c r="AE731" s="229"/>
      <c r="AF731" s="20"/>
      <c r="AG731" s="229"/>
      <c r="AH731" s="20"/>
      <c r="AI731" s="229"/>
      <c r="AJ731" s="13"/>
      <c r="AK731" s="229"/>
      <c r="AL731" s="20"/>
      <c r="AM731" s="229"/>
      <c r="AN731" s="20"/>
      <c r="AO731" s="229"/>
      <c r="AP731" s="20">
        <v>1</v>
      </c>
      <c r="AQ731" s="229"/>
      <c r="AR731" s="20"/>
      <c r="AS731" s="229"/>
      <c r="AT731" s="20"/>
      <c r="AU731" s="229"/>
      <c r="AV731" s="20"/>
      <c r="AW731" s="229"/>
      <c r="AX731" s="20"/>
      <c r="AY731" s="229"/>
      <c r="AZ731" s="20"/>
      <c r="BA731" s="229"/>
      <c r="BB731" s="20">
        <v>1</v>
      </c>
      <c r="BC731" s="229"/>
      <c r="BD731" s="48">
        <f t="shared" si="267"/>
        <v>2</v>
      </c>
      <c r="BE731" s="19">
        <v>0</v>
      </c>
      <c r="BF731" s="229"/>
      <c r="BG731" s="210">
        <f t="shared" si="264"/>
        <v>2</v>
      </c>
      <c r="BH731" s="210">
        <f t="shared" si="265"/>
        <v>0</v>
      </c>
      <c r="BI731" s="213" t="e">
        <f t="shared" si="263"/>
        <v>#DIV/0!</v>
      </c>
      <c r="BJ731" s="141"/>
      <c r="BK731" s="201"/>
      <c r="BL731" s="198"/>
      <c r="BM731" s="198"/>
    </row>
    <row r="732" spans="1:65" s="17" customFormat="1" ht="23.25" customHeight="1">
      <c r="A732" s="123">
        <v>105</v>
      </c>
      <c r="B732" s="9" t="s">
        <v>3153</v>
      </c>
      <c r="C732" s="10" t="s">
        <v>3154</v>
      </c>
      <c r="D732" s="229"/>
      <c r="E732" s="13"/>
      <c r="F732" s="229"/>
      <c r="G732" s="13"/>
      <c r="H732" s="229"/>
      <c r="I732" s="13"/>
      <c r="J732" s="229"/>
      <c r="K732" s="13"/>
      <c r="L732" s="229"/>
      <c r="M732" s="13"/>
      <c r="N732" s="229"/>
      <c r="O732" s="13"/>
      <c r="P732" s="229"/>
      <c r="Q732" s="13"/>
      <c r="R732" s="229"/>
      <c r="S732" s="13"/>
      <c r="T732" s="229"/>
      <c r="U732" s="13"/>
      <c r="V732" s="229"/>
      <c r="W732" s="13"/>
      <c r="X732" s="229"/>
      <c r="Y732" s="13"/>
      <c r="Z732" s="229"/>
      <c r="AA732" s="13"/>
      <c r="AB732" s="229"/>
      <c r="AC732" s="228">
        <f t="shared" si="266"/>
        <v>0</v>
      </c>
      <c r="AD732" s="21">
        <v>0</v>
      </c>
      <c r="AE732" s="229"/>
      <c r="AF732" s="20"/>
      <c r="AG732" s="229"/>
      <c r="AH732" s="20"/>
      <c r="AI732" s="229"/>
      <c r="AJ732" s="13"/>
      <c r="AK732" s="229"/>
      <c r="AL732" s="20"/>
      <c r="AM732" s="229"/>
      <c r="AN732" s="20"/>
      <c r="AO732" s="229"/>
      <c r="AP732" s="20">
        <v>1</v>
      </c>
      <c r="AQ732" s="229"/>
      <c r="AR732" s="20"/>
      <c r="AS732" s="229"/>
      <c r="AT732" s="20"/>
      <c r="AU732" s="229"/>
      <c r="AV732" s="20"/>
      <c r="AW732" s="229"/>
      <c r="AX732" s="20"/>
      <c r="AY732" s="229"/>
      <c r="AZ732" s="20"/>
      <c r="BA732" s="229"/>
      <c r="BB732" s="20"/>
      <c r="BC732" s="229"/>
      <c r="BD732" s="48">
        <f t="shared" si="267"/>
        <v>1</v>
      </c>
      <c r="BE732" s="19">
        <v>0</v>
      </c>
      <c r="BF732" s="229"/>
      <c r="BG732" s="210">
        <f t="shared" si="264"/>
        <v>1</v>
      </c>
      <c r="BH732" s="210">
        <f t="shared" si="265"/>
        <v>0</v>
      </c>
      <c r="BI732" s="213" t="e">
        <f t="shared" si="263"/>
        <v>#DIV/0!</v>
      </c>
      <c r="BJ732" s="141"/>
      <c r="BK732" s="201"/>
      <c r="BL732" s="198"/>
      <c r="BM732" s="198"/>
    </row>
    <row r="733" spans="1:65" s="17" customFormat="1" ht="15.95" customHeight="1">
      <c r="A733" s="123">
        <v>106</v>
      </c>
      <c r="B733" s="9" t="s">
        <v>2898</v>
      </c>
      <c r="C733" s="11" t="s">
        <v>2899</v>
      </c>
      <c r="D733" s="229"/>
      <c r="E733" s="13"/>
      <c r="F733" s="229"/>
      <c r="G733" s="13"/>
      <c r="H733" s="229"/>
      <c r="I733" s="13"/>
      <c r="J733" s="229"/>
      <c r="K733" s="13"/>
      <c r="L733" s="229"/>
      <c r="M733" s="13"/>
      <c r="N733" s="229"/>
      <c r="O733" s="13"/>
      <c r="P733" s="229"/>
      <c r="Q733" s="13"/>
      <c r="R733" s="229"/>
      <c r="S733" s="13"/>
      <c r="T733" s="229"/>
      <c r="U733" s="13"/>
      <c r="V733" s="229"/>
      <c r="W733" s="13"/>
      <c r="X733" s="229"/>
      <c r="Y733" s="13"/>
      <c r="Z733" s="229"/>
      <c r="AA733" s="13"/>
      <c r="AB733" s="229">
        <f t="shared" ref="AB733:AB752" si="268">D733+F733+H733+J733+L733+N733+P733+R733+T733+V733+X733+Z733</f>
        <v>0</v>
      </c>
      <c r="AC733" s="228">
        <f t="shared" si="266"/>
        <v>0</v>
      </c>
      <c r="AD733" s="21">
        <v>0</v>
      </c>
      <c r="AE733" s="229"/>
      <c r="AF733" s="20"/>
      <c r="AG733" s="229"/>
      <c r="AH733" s="20"/>
      <c r="AI733" s="229">
        <v>1</v>
      </c>
      <c r="AJ733" s="13">
        <v>1</v>
      </c>
      <c r="AK733" s="229"/>
      <c r="AL733" s="20"/>
      <c r="AM733" s="229"/>
      <c r="AN733" s="20"/>
      <c r="AO733" s="229"/>
      <c r="AP733" s="20"/>
      <c r="AQ733" s="229"/>
      <c r="AR733" s="20"/>
      <c r="AS733" s="229"/>
      <c r="AT733" s="20"/>
      <c r="AU733" s="229"/>
      <c r="AV733" s="20"/>
      <c r="AW733" s="229"/>
      <c r="AX733" s="20"/>
      <c r="AY733" s="229"/>
      <c r="AZ733" s="20"/>
      <c r="BA733" s="229"/>
      <c r="BB733" s="20"/>
      <c r="BC733" s="229">
        <f t="shared" ref="BC733:BC752" si="269">AE733+AG733+AI733+AK733+AM733+AO733+AQ733+AS733+AU733+AW733+AY733+BA733</f>
        <v>1</v>
      </c>
      <c r="BD733" s="48">
        <f t="shared" si="267"/>
        <v>1</v>
      </c>
      <c r="BE733" s="19">
        <v>0</v>
      </c>
      <c r="BF733" s="229">
        <f t="shared" ref="BF733:BF752" si="270">AB733+BC733</f>
        <v>1</v>
      </c>
      <c r="BG733" s="210">
        <f t="shared" si="264"/>
        <v>1</v>
      </c>
      <c r="BH733" s="210">
        <f t="shared" si="265"/>
        <v>0</v>
      </c>
      <c r="BI733" s="213" t="e">
        <f t="shared" si="263"/>
        <v>#DIV/0!</v>
      </c>
      <c r="BJ733" s="141"/>
      <c r="BK733" s="201"/>
      <c r="BL733" s="198"/>
      <c r="BM733" s="198"/>
    </row>
    <row r="734" spans="1:65" s="17" customFormat="1" ht="15.95" customHeight="1">
      <c r="A734" s="123">
        <v>107</v>
      </c>
      <c r="B734" s="9" t="s">
        <v>2900</v>
      </c>
      <c r="C734" s="11" t="s">
        <v>2901</v>
      </c>
      <c r="D734" s="229"/>
      <c r="E734" s="13"/>
      <c r="F734" s="229"/>
      <c r="G734" s="13"/>
      <c r="H734" s="229"/>
      <c r="I734" s="13"/>
      <c r="J734" s="229"/>
      <c r="K734" s="13"/>
      <c r="L734" s="229"/>
      <c r="M734" s="13"/>
      <c r="N734" s="229"/>
      <c r="O734" s="13"/>
      <c r="P734" s="229"/>
      <c r="Q734" s="13"/>
      <c r="R734" s="229"/>
      <c r="S734" s="13"/>
      <c r="T734" s="229"/>
      <c r="U734" s="13"/>
      <c r="V734" s="229"/>
      <c r="W734" s="13"/>
      <c r="X734" s="229"/>
      <c r="Y734" s="13"/>
      <c r="Z734" s="229"/>
      <c r="AA734" s="13"/>
      <c r="AB734" s="229">
        <f t="shared" si="268"/>
        <v>0</v>
      </c>
      <c r="AC734" s="228">
        <f t="shared" si="266"/>
        <v>0</v>
      </c>
      <c r="AD734" s="21">
        <v>0</v>
      </c>
      <c r="AE734" s="229"/>
      <c r="AF734" s="20"/>
      <c r="AG734" s="229"/>
      <c r="AH734" s="20"/>
      <c r="AI734" s="229">
        <v>1</v>
      </c>
      <c r="AJ734" s="13">
        <v>1</v>
      </c>
      <c r="AK734" s="229"/>
      <c r="AL734" s="20"/>
      <c r="AM734" s="229"/>
      <c r="AN734" s="20"/>
      <c r="AO734" s="229"/>
      <c r="AP734" s="20"/>
      <c r="AQ734" s="229"/>
      <c r="AR734" s="20"/>
      <c r="AS734" s="229"/>
      <c r="AT734" s="20"/>
      <c r="AU734" s="229"/>
      <c r="AV734" s="20"/>
      <c r="AW734" s="229"/>
      <c r="AX734" s="20"/>
      <c r="AY734" s="229"/>
      <c r="AZ734" s="20"/>
      <c r="BA734" s="229"/>
      <c r="BB734" s="20"/>
      <c r="BC734" s="229">
        <f t="shared" si="269"/>
        <v>1</v>
      </c>
      <c r="BD734" s="48">
        <f t="shared" si="267"/>
        <v>1</v>
      </c>
      <c r="BE734" s="19">
        <v>0</v>
      </c>
      <c r="BF734" s="229">
        <f t="shared" si="270"/>
        <v>1</v>
      </c>
      <c r="BG734" s="210">
        <f t="shared" si="264"/>
        <v>1</v>
      </c>
      <c r="BH734" s="210">
        <f t="shared" si="265"/>
        <v>0</v>
      </c>
      <c r="BI734" s="213" t="e">
        <f t="shared" si="263"/>
        <v>#DIV/0!</v>
      </c>
      <c r="BJ734" s="141"/>
      <c r="BK734" s="201"/>
      <c r="BL734" s="198"/>
      <c r="BM734" s="198"/>
    </row>
    <row r="735" spans="1:65" s="17" customFormat="1" ht="15.95" customHeight="1">
      <c r="A735" s="123">
        <v>108</v>
      </c>
      <c r="B735" s="9" t="s">
        <v>1614</v>
      </c>
      <c r="C735" s="11" t="s">
        <v>1615</v>
      </c>
      <c r="D735" s="229"/>
      <c r="E735" s="13"/>
      <c r="F735" s="229"/>
      <c r="G735" s="13"/>
      <c r="H735" s="229"/>
      <c r="I735" s="13"/>
      <c r="J735" s="229"/>
      <c r="K735" s="13"/>
      <c r="L735" s="229"/>
      <c r="M735" s="13"/>
      <c r="N735" s="229"/>
      <c r="O735" s="13"/>
      <c r="P735" s="229"/>
      <c r="Q735" s="13"/>
      <c r="R735" s="229"/>
      <c r="S735" s="13"/>
      <c r="T735" s="229"/>
      <c r="U735" s="13"/>
      <c r="V735" s="229"/>
      <c r="W735" s="13"/>
      <c r="X735" s="229"/>
      <c r="Y735" s="13"/>
      <c r="Z735" s="229"/>
      <c r="AA735" s="13"/>
      <c r="AB735" s="229">
        <f t="shared" si="268"/>
        <v>0</v>
      </c>
      <c r="AC735" s="228">
        <f t="shared" si="266"/>
        <v>0</v>
      </c>
      <c r="AD735" s="21">
        <v>0</v>
      </c>
      <c r="AE735" s="229"/>
      <c r="AF735" s="20"/>
      <c r="AG735" s="229"/>
      <c r="AH735" s="20"/>
      <c r="AI735" s="229"/>
      <c r="AJ735" s="20"/>
      <c r="AK735" s="229"/>
      <c r="AL735" s="20"/>
      <c r="AM735" s="229"/>
      <c r="AN735" s="20"/>
      <c r="AO735" s="229"/>
      <c r="AP735" s="20"/>
      <c r="AQ735" s="229"/>
      <c r="AR735" s="20"/>
      <c r="AS735" s="229"/>
      <c r="AT735" s="20"/>
      <c r="AU735" s="229"/>
      <c r="AV735" s="20"/>
      <c r="AW735" s="229"/>
      <c r="AX735" s="20"/>
      <c r="AY735" s="229"/>
      <c r="AZ735" s="20"/>
      <c r="BA735" s="229"/>
      <c r="BB735" s="20"/>
      <c r="BC735" s="229">
        <f t="shared" si="269"/>
        <v>0</v>
      </c>
      <c r="BD735" s="48">
        <f t="shared" si="267"/>
        <v>0</v>
      </c>
      <c r="BE735" s="19">
        <v>1</v>
      </c>
      <c r="BF735" s="229">
        <f t="shared" si="270"/>
        <v>0</v>
      </c>
      <c r="BG735" s="210">
        <f t="shared" si="264"/>
        <v>0</v>
      </c>
      <c r="BH735" s="210">
        <f t="shared" si="265"/>
        <v>1</v>
      </c>
      <c r="BI735" s="213">
        <f t="shared" si="263"/>
        <v>0</v>
      </c>
      <c r="BJ735" s="141"/>
      <c r="BK735" s="201"/>
      <c r="BL735" s="198"/>
      <c r="BM735" s="198"/>
    </row>
    <row r="736" spans="1:65" s="17" customFormat="1" ht="18" customHeight="1">
      <c r="A736" s="123">
        <v>109</v>
      </c>
      <c r="B736" s="192" t="s">
        <v>1521</v>
      </c>
      <c r="C736" s="194" t="s">
        <v>1522</v>
      </c>
      <c r="D736" s="229"/>
      <c r="E736" s="13"/>
      <c r="F736" s="229"/>
      <c r="G736" s="13"/>
      <c r="H736" s="229"/>
      <c r="I736" s="13"/>
      <c r="J736" s="229"/>
      <c r="K736" s="13"/>
      <c r="L736" s="229"/>
      <c r="M736" s="13"/>
      <c r="N736" s="229"/>
      <c r="O736" s="13"/>
      <c r="P736" s="229"/>
      <c r="Q736" s="13"/>
      <c r="R736" s="229"/>
      <c r="S736" s="13"/>
      <c r="T736" s="229"/>
      <c r="U736" s="13"/>
      <c r="V736" s="229"/>
      <c r="W736" s="13"/>
      <c r="X736" s="229"/>
      <c r="Y736" s="13"/>
      <c r="Z736" s="229"/>
      <c r="AA736" s="13"/>
      <c r="AB736" s="229">
        <f t="shared" si="268"/>
        <v>0</v>
      </c>
      <c r="AC736" s="228">
        <f t="shared" si="266"/>
        <v>0</v>
      </c>
      <c r="AD736" s="21">
        <v>0</v>
      </c>
      <c r="AE736" s="229"/>
      <c r="AF736" s="20"/>
      <c r="AG736" s="229"/>
      <c r="AH736" s="20"/>
      <c r="AI736" s="229">
        <v>4</v>
      </c>
      <c r="AJ736" s="20">
        <v>4</v>
      </c>
      <c r="AK736" s="229"/>
      <c r="AL736" s="20"/>
      <c r="AM736" s="229"/>
      <c r="AN736" s="20"/>
      <c r="AO736" s="229">
        <v>2</v>
      </c>
      <c r="AP736" s="20">
        <v>2</v>
      </c>
      <c r="AQ736" s="229"/>
      <c r="AR736" s="20"/>
      <c r="AS736" s="229"/>
      <c r="AT736" s="20"/>
      <c r="AU736" s="229"/>
      <c r="AV736" s="20">
        <v>1</v>
      </c>
      <c r="AW736" s="229"/>
      <c r="AX736" s="20"/>
      <c r="AY736" s="229"/>
      <c r="AZ736" s="20"/>
      <c r="BA736" s="229"/>
      <c r="BB736" s="20">
        <v>9</v>
      </c>
      <c r="BC736" s="229">
        <f t="shared" si="269"/>
        <v>6</v>
      </c>
      <c r="BD736" s="48">
        <f t="shared" si="267"/>
        <v>16</v>
      </c>
      <c r="BE736" s="19">
        <v>50</v>
      </c>
      <c r="BF736" s="229">
        <f t="shared" si="270"/>
        <v>6</v>
      </c>
      <c r="BG736" s="210">
        <f t="shared" si="264"/>
        <v>16</v>
      </c>
      <c r="BH736" s="210">
        <f t="shared" si="265"/>
        <v>50</v>
      </c>
      <c r="BI736" s="213">
        <f t="shared" si="263"/>
        <v>32</v>
      </c>
      <c r="BJ736" s="141"/>
      <c r="BK736" s="201"/>
      <c r="BL736" s="198"/>
      <c r="BM736" s="198"/>
    </row>
    <row r="737" spans="1:65" s="17" customFormat="1" ht="15.95" customHeight="1">
      <c r="A737" s="123">
        <v>110</v>
      </c>
      <c r="B737" s="9" t="s">
        <v>378</v>
      </c>
      <c r="C737" s="11" t="s">
        <v>379</v>
      </c>
      <c r="D737" s="229"/>
      <c r="E737" s="13"/>
      <c r="F737" s="229"/>
      <c r="G737" s="13"/>
      <c r="H737" s="229"/>
      <c r="I737" s="13"/>
      <c r="J737" s="229"/>
      <c r="K737" s="13"/>
      <c r="L737" s="229"/>
      <c r="M737" s="13"/>
      <c r="N737" s="229"/>
      <c r="O737" s="13"/>
      <c r="P737" s="229"/>
      <c r="Q737" s="13"/>
      <c r="R737" s="229"/>
      <c r="S737" s="13"/>
      <c r="T737" s="229"/>
      <c r="U737" s="13"/>
      <c r="V737" s="229"/>
      <c r="W737" s="13"/>
      <c r="X737" s="229"/>
      <c r="Y737" s="13"/>
      <c r="Z737" s="229"/>
      <c r="AA737" s="13"/>
      <c r="AB737" s="229">
        <f t="shared" si="268"/>
        <v>0</v>
      </c>
      <c r="AC737" s="228">
        <f t="shared" si="266"/>
        <v>0</v>
      </c>
      <c r="AD737" s="21">
        <v>0</v>
      </c>
      <c r="AE737" s="229"/>
      <c r="AF737" s="20"/>
      <c r="AG737" s="229"/>
      <c r="AH737" s="20"/>
      <c r="AI737" s="229">
        <v>4</v>
      </c>
      <c r="AJ737" s="20">
        <v>4</v>
      </c>
      <c r="AK737" s="229"/>
      <c r="AL737" s="20"/>
      <c r="AM737" s="229"/>
      <c r="AN737" s="20"/>
      <c r="AO737" s="229">
        <v>1</v>
      </c>
      <c r="AP737" s="20">
        <v>1</v>
      </c>
      <c r="AQ737" s="229"/>
      <c r="AR737" s="20"/>
      <c r="AS737" s="229"/>
      <c r="AT737" s="20"/>
      <c r="AU737" s="229"/>
      <c r="AV737" s="20">
        <v>2</v>
      </c>
      <c r="AW737" s="229"/>
      <c r="AX737" s="20"/>
      <c r="AY737" s="229"/>
      <c r="AZ737" s="20"/>
      <c r="BA737" s="229"/>
      <c r="BB737" s="20">
        <v>2</v>
      </c>
      <c r="BC737" s="229">
        <f t="shared" si="269"/>
        <v>5</v>
      </c>
      <c r="BD737" s="48">
        <f t="shared" si="267"/>
        <v>9</v>
      </c>
      <c r="BE737" s="19">
        <v>7</v>
      </c>
      <c r="BF737" s="229">
        <f t="shared" si="270"/>
        <v>5</v>
      </c>
      <c r="BG737" s="210">
        <f t="shared" si="264"/>
        <v>9</v>
      </c>
      <c r="BH737" s="210">
        <f t="shared" si="265"/>
        <v>7</v>
      </c>
      <c r="BI737" s="213">
        <f t="shared" si="263"/>
        <v>128.57142857142858</v>
      </c>
      <c r="BJ737" s="141"/>
      <c r="BK737" s="201"/>
      <c r="BL737" s="198"/>
      <c r="BM737" s="198"/>
    </row>
    <row r="738" spans="1:65" s="17" customFormat="1" ht="15.95" customHeight="1">
      <c r="A738" s="123">
        <v>111</v>
      </c>
      <c r="B738" s="9" t="s">
        <v>2902</v>
      </c>
      <c r="C738" s="11" t="s">
        <v>2903</v>
      </c>
      <c r="D738" s="229"/>
      <c r="E738" s="13"/>
      <c r="F738" s="229"/>
      <c r="G738" s="13"/>
      <c r="H738" s="229"/>
      <c r="I738" s="13"/>
      <c r="J738" s="229"/>
      <c r="K738" s="13"/>
      <c r="L738" s="229"/>
      <c r="M738" s="13"/>
      <c r="N738" s="229"/>
      <c r="O738" s="13"/>
      <c r="P738" s="229"/>
      <c r="Q738" s="13"/>
      <c r="R738" s="229"/>
      <c r="S738" s="13"/>
      <c r="T738" s="229"/>
      <c r="U738" s="13"/>
      <c r="V738" s="229"/>
      <c r="W738" s="13"/>
      <c r="X738" s="229"/>
      <c r="Y738" s="13"/>
      <c r="Z738" s="229"/>
      <c r="AA738" s="13"/>
      <c r="AB738" s="229">
        <f t="shared" si="268"/>
        <v>0</v>
      </c>
      <c r="AC738" s="228">
        <f t="shared" si="266"/>
        <v>0</v>
      </c>
      <c r="AD738" s="21">
        <v>0</v>
      </c>
      <c r="AE738" s="229"/>
      <c r="AF738" s="20"/>
      <c r="AG738" s="229"/>
      <c r="AH738" s="20"/>
      <c r="AI738" s="229">
        <v>1</v>
      </c>
      <c r="AJ738" s="13">
        <v>1</v>
      </c>
      <c r="AK738" s="229"/>
      <c r="AL738" s="20"/>
      <c r="AM738" s="229"/>
      <c r="AN738" s="20"/>
      <c r="AO738" s="229"/>
      <c r="AP738" s="20"/>
      <c r="AQ738" s="229"/>
      <c r="AR738" s="20"/>
      <c r="AS738" s="229"/>
      <c r="AT738" s="20"/>
      <c r="AU738" s="229"/>
      <c r="AV738" s="20"/>
      <c r="AW738" s="229"/>
      <c r="AX738" s="20"/>
      <c r="AY738" s="229"/>
      <c r="AZ738" s="20"/>
      <c r="BA738" s="229"/>
      <c r="BB738" s="20"/>
      <c r="BC738" s="229">
        <f t="shared" si="269"/>
        <v>1</v>
      </c>
      <c r="BD738" s="48">
        <f t="shared" si="267"/>
        <v>1</v>
      </c>
      <c r="BE738" s="19">
        <v>0</v>
      </c>
      <c r="BF738" s="229">
        <f t="shared" si="270"/>
        <v>1</v>
      </c>
      <c r="BG738" s="210">
        <f t="shared" si="264"/>
        <v>1</v>
      </c>
      <c r="BH738" s="210">
        <f t="shared" si="265"/>
        <v>0</v>
      </c>
      <c r="BI738" s="213" t="e">
        <f t="shared" si="263"/>
        <v>#DIV/0!</v>
      </c>
      <c r="BJ738" s="141"/>
      <c r="BK738" s="201"/>
      <c r="BL738" s="198"/>
      <c r="BM738" s="198"/>
    </row>
    <row r="739" spans="1:65" s="17" customFormat="1" ht="15.95" customHeight="1">
      <c r="A739" s="123">
        <v>112</v>
      </c>
      <c r="B739" s="9" t="s">
        <v>2309</v>
      </c>
      <c r="C739" s="11" t="s">
        <v>2310</v>
      </c>
      <c r="D739" s="229"/>
      <c r="E739" s="13"/>
      <c r="F739" s="229"/>
      <c r="G739" s="13"/>
      <c r="H739" s="229"/>
      <c r="I739" s="13"/>
      <c r="J739" s="229"/>
      <c r="K739" s="13"/>
      <c r="L739" s="229"/>
      <c r="M739" s="13"/>
      <c r="N739" s="229"/>
      <c r="O739" s="13"/>
      <c r="P739" s="229"/>
      <c r="Q739" s="13"/>
      <c r="R739" s="229"/>
      <c r="S739" s="13"/>
      <c r="T739" s="229"/>
      <c r="U739" s="13"/>
      <c r="V739" s="229"/>
      <c r="W739" s="13"/>
      <c r="X739" s="229"/>
      <c r="Y739" s="13"/>
      <c r="Z739" s="229"/>
      <c r="AA739" s="13"/>
      <c r="AB739" s="229">
        <f t="shared" si="268"/>
        <v>0</v>
      </c>
      <c r="AC739" s="228">
        <f t="shared" si="266"/>
        <v>0</v>
      </c>
      <c r="AD739" s="21">
        <v>0</v>
      </c>
      <c r="AE739" s="229"/>
      <c r="AF739" s="20"/>
      <c r="AG739" s="229"/>
      <c r="AH739" s="20"/>
      <c r="AI739" s="229"/>
      <c r="AJ739" s="20"/>
      <c r="AK739" s="229"/>
      <c r="AL739" s="20"/>
      <c r="AM739" s="229"/>
      <c r="AN739" s="20"/>
      <c r="AO739" s="229"/>
      <c r="AP739" s="20"/>
      <c r="AQ739" s="229"/>
      <c r="AR739" s="20"/>
      <c r="AS739" s="229"/>
      <c r="AT739" s="20"/>
      <c r="AU739" s="229"/>
      <c r="AV739" s="20"/>
      <c r="AW739" s="229"/>
      <c r="AX739" s="20"/>
      <c r="AY739" s="229"/>
      <c r="AZ739" s="20"/>
      <c r="BA739" s="229"/>
      <c r="BB739" s="20"/>
      <c r="BC739" s="229">
        <f t="shared" si="269"/>
        <v>0</v>
      </c>
      <c r="BD739" s="48">
        <f t="shared" si="267"/>
        <v>0</v>
      </c>
      <c r="BE739" s="19">
        <v>2</v>
      </c>
      <c r="BF739" s="229">
        <f t="shared" si="270"/>
        <v>0</v>
      </c>
      <c r="BG739" s="210">
        <f t="shared" si="264"/>
        <v>0</v>
      </c>
      <c r="BH739" s="210">
        <f t="shared" si="265"/>
        <v>2</v>
      </c>
      <c r="BI739" s="213">
        <f t="shared" si="263"/>
        <v>0</v>
      </c>
      <c r="BJ739" s="141"/>
      <c r="BK739" s="201"/>
      <c r="BL739" s="198"/>
      <c r="BM739" s="198"/>
    </row>
    <row r="740" spans="1:65" s="17" customFormat="1" ht="15.95" customHeight="1">
      <c r="A740" s="123">
        <v>113</v>
      </c>
      <c r="B740" s="9" t="s">
        <v>1350</v>
      </c>
      <c r="C740" s="11" t="s">
        <v>1351</v>
      </c>
      <c r="D740" s="229"/>
      <c r="E740" s="13"/>
      <c r="F740" s="229"/>
      <c r="G740" s="13"/>
      <c r="H740" s="229"/>
      <c r="I740" s="13"/>
      <c r="J740" s="229"/>
      <c r="K740" s="13"/>
      <c r="L740" s="229"/>
      <c r="M740" s="13"/>
      <c r="N740" s="229"/>
      <c r="O740" s="13"/>
      <c r="P740" s="229"/>
      <c r="Q740" s="13"/>
      <c r="R740" s="229"/>
      <c r="S740" s="13"/>
      <c r="T740" s="229"/>
      <c r="U740" s="13"/>
      <c r="V740" s="229"/>
      <c r="W740" s="13"/>
      <c r="X740" s="229"/>
      <c r="Y740" s="13"/>
      <c r="Z740" s="229"/>
      <c r="AA740" s="13"/>
      <c r="AB740" s="229">
        <f t="shared" si="268"/>
        <v>0</v>
      </c>
      <c r="AC740" s="228">
        <f t="shared" si="266"/>
        <v>0</v>
      </c>
      <c r="AD740" s="21">
        <v>0</v>
      </c>
      <c r="AE740" s="229"/>
      <c r="AF740" s="20"/>
      <c r="AG740" s="229"/>
      <c r="AH740" s="20"/>
      <c r="AI740" s="229"/>
      <c r="AJ740" s="20"/>
      <c r="AK740" s="229"/>
      <c r="AL740" s="20"/>
      <c r="AM740" s="229"/>
      <c r="AN740" s="20"/>
      <c r="AO740" s="229"/>
      <c r="AP740" s="20"/>
      <c r="AQ740" s="229"/>
      <c r="AR740" s="20"/>
      <c r="AS740" s="229"/>
      <c r="AT740" s="20"/>
      <c r="AU740" s="229"/>
      <c r="AV740" s="20"/>
      <c r="AW740" s="229"/>
      <c r="AX740" s="20"/>
      <c r="AY740" s="229"/>
      <c r="AZ740" s="20"/>
      <c r="BA740" s="229"/>
      <c r="BB740" s="20">
        <v>2</v>
      </c>
      <c r="BC740" s="229">
        <f t="shared" si="269"/>
        <v>0</v>
      </c>
      <c r="BD740" s="48">
        <f t="shared" si="267"/>
        <v>2</v>
      </c>
      <c r="BE740" s="19">
        <v>1</v>
      </c>
      <c r="BF740" s="229">
        <f t="shared" si="270"/>
        <v>0</v>
      </c>
      <c r="BG740" s="210">
        <f t="shared" si="264"/>
        <v>2</v>
      </c>
      <c r="BH740" s="210">
        <f t="shared" si="265"/>
        <v>1</v>
      </c>
      <c r="BI740" s="213">
        <f t="shared" si="263"/>
        <v>200</v>
      </c>
      <c r="BJ740" s="141"/>
      <c r="BK740" s="201"/>
      <c r="BL740" s="198"/>
      <c r="BM740" s="198"/>
    </row>
    <row r="741" spans="1:65" s="17" customFormat="1" ht="15.95" customHeight="1">
      <c r="A741" s="123">
        <v>114</v>
      </c>
      <c r="B741" s="9" t="s">
        <v>380</v>
      </c>
      <c r="C741" s="11" t="s">
        <v>381</v>
      </c>
      <c r="D741" s="229"/>
      <c r="E741" s="13"/>
      <c r="F741" s="229"/>
      <c r="G741" s="13"/>
      <c r="H741" s="229"/>
      <c r="I741" s="13"/>
      <c r="J741" s="229"/>
      <c r="K741" s="13"/>
      <c r="L741" s="229"/>
      <c r="M741" s="13"/>
      <c r="N741" s="229"/>
      <c r="O741" s="13"/>
      <c r="P741" s="229"/>
      <c r="Q741" s="13"/>
      <c r="R741" s="229"/>
      <c r="S741" s="13"/>
      <c r="T741" s="229"/>
      <c r="U741" s="13"/>
      <c r="V741" s="229"/>
      <c r="W741" s="13"/>
      <c r="X741" s="229"/>
      <c r="Y741" s="13"/>
      <c r="Z741" s="229"/>
      <c r="AA741" s="13"/>
      <c r="AB741" s="229">
        <f t="shared" si="268"/>
        <v>0</v>
      </c>
      <c r="AC741" s="228">
        <f t="shared" si="266"/>
        <v>0</v>
      </c>
      <c r="AD741" s="21">
        <v>0</v>
      </c>
      <c r="AE741" s="229"/>
      <c r="AF741" s="20"/>
      <c r="AG741" s="229"/>
      <c r="AH741" s="20"/>
      <c r="AI741" s="229">
        <v>1</v>
      </c>
      <c r="AJ741" s="20">
        <v>1</v>
      </c>
      <c r="AK741" s="229"/>
      <c r="AL741" s="20"/>
      <c r="AM741" s="229"/>
      <c r="AN741" s="20"/>
      <c r="AO741" s="229">
        <v>1</v>
      </c>
      <c r="AP741" s="20">
        <v>1</v>
      </c>
      <c r="AQ741" s="229"/>
      <c r="AR741" s="20"/>
      <c r="AS741" s="229"/>
      <c r="AT741" s="20"/>
      <c r="AU741" s="229"/>
      <c r="AV741" s="20"/>
      <c r="AW741" s="229"/>
      <c r="AX741" s="20"/>
      <c r="AY741" s="229"/>
      <c r="AZ741" s="20"/>
      <c r="BA741" s="229"/>
      <c r="BB741" s="20">
        <v>1</v>
      </c>
      <c r="BC741" s="229">
        <f t="shared" si="269"/>
        <v>2</v>
      </c>
      <c r="BD741" s="48">
        <f t="shared" si="267"/>
        <v>3</v>
      </c>
      <c r="BE741" s="19">
        <v>5</v>
      </c>
      <c r="BF741" s="229">
        <f t="shared" si="270"/>
        <v>2</v>
      </c>
      <c r="BG741" s="210">
        <f t="shared" si="264"/>
        <v>3</v>
      </c>
      <c r="BH741" s="210">
        <f t="shared" si="265"/>
        <v>5</v>
      </c>
      <c r="BI741" s="213">
        <f t="shared" si="263"/>
        <v>60</v>
      </c>
      <c r="BJ741" s="141"/>
      <c r="BK741" s="201"/>
      <c r="BL741" s="198"/>
      <c r="BM741" s="198"/>
    </row>
    <row r="742" spans="1:65" s="17" customFormat="1" ht="15.95" customHeight="1">
      <c r="A742" s="123">
        <v>115</v>
      </c>
      <c r="B742" s="9" t="s">
        <v>382</v>
      </c>
      <c r="C742" s="11" t="s">
        <v>383</v>
      </c>
      <c r="D742" s="229"/>
      <c r="E742" s="13"/>
      <c r="F742" s="229"/>
      <c r="G742" s="13"/>
      <c r="H742" s="229"/>
      <c r="I742" s="13"/>
      <c r="J742" s="229"/>
      <c r="K742" s="13"/>
      <c r="L742" s="229"/>
      <c r="M742" s="13"/>
      <c r="N742" s="229"/>
      <c r="O742" s="13"/>
      <c r="P742" s="229"/>
      <c r="Q742" s="13"/>
      <c r="R742" s="229"/>
      <c r="S742" s="13"/>
      <c r="T742" s="229"/>
      <c r="U742" s="13"/>
      <c r="V742" s="229"/>
      <c r="W742" s="13"/>
      <c r="X742" s="229"/>
      <c r="Y742" s="13"/>
      <c r="Z742" s="229"/>
      <c r="AA742" s="13"/>
      <c r="AB742" s="229">
        <f t="shared" si="268"/>
        <v>0</v>
      </c>
      <c r="AC742" s="228">
        <f t="shared" si="266"/>
        <v>0</v>
      </c>
      <c r="AD742" s="21">
        <v>0</v>
      </c>
      <c r="AE742" s="229"/>
      <c r="AF742" s="20"/>
      <c r="AG742" s="229"/>
      <c r="AH742" s="20"/>
      <c r="AI742" s="229">
        <v>4</v>
      </c>
      <c r="AJ742" s="20">
        <v>4</v>
      </c>
      <c r="AK742" s="229"/>
      <c r="AL742" s="20"/>
      <c r="AM742" s="229"/>
      <c r="AN742" s="20"/>
      <c r="AO742" s="229">
        <v>4</v>
      </c>
      <c r="AP742" s="20">
        <v>5</v>
      </c>
      <c r="AQ742" s="229"/>
      <c r="AR742" s="20"/>
      <c r="AS742" s="229"/>
      <c r="AT742" s="20"/>
      <c r="AU742" s="229"/>
      <c r="AV742" s="20">
        <v>2</v>
      </c>
      <c r="AW742" s="229"/>
      <c r="AX742" s="20"/>
      <c r="AY742" s="229"/>
      <c r="AZ742" s="20"/>
      <c r="BA742" s="229"/>
      <c r="BB742" s="20">
        <v>2</v>
      </c>
      <c r="BC742" s="229">
        <f t="shared" si="269"/>
        <v>8</v>
      </c>
      <c r="BD742" s="48">
        <f t="shared" si="267"/>
        <v>13</v>
      </c>
      <c r="BE742" s="19">
        <v>2</v>
      </c>
      <c r="BF742" s="229">
        <f t="shared" si="270"/>
        <v>8</v>
      </c>
      <c r="BG742" s="210">
        <f t="shared" si="264"/>
        <v>13</v>
      </c>
      <c r="BH742" s="210">
        <f t="shared" si="265"/>
        <v>2</v>
      </c>
      <c r="BI742" s="213">
        <f t="shared" si="263"/>
        <v>650</v>
      </c>
      <c r="BJ742" s="141"/>
      <c r="BK742" s="201"/>
      <c r="BL742" s="198"/>
      <c r="BM742" s="198"/>
    </row>
    <row r="743" spans="1:65" s="17" customFormat="1" ht="15.95" customHeight="1">
      <c r="A743" s="123">
        <v>116</v>
      </c>
      <c r="B743" s="9" t="s">
        <v>2110</v>
      </c>
      <c r="C743" s="11" t="s">
        <v>2111</v>
      </c>
      <c r="D743" s="229"/>
      <c r="E743" s="13"/>
      <c r="F743" s="229"/>
      <c r="G743" s="13"/>
      <c r="H743" s="229"/>
      <c r="I743" s="13"/>
      <c r="J743" s="229"/>
      <c r="K743" s="13"/>
      <c r="L743" s="229"/>
      <c r="M743" s="13"/>
      <c r="N743" s="229"/>
      <c r="O743" s="13"/>
      <c r="P743" s="229"/>
      <c r="Q743" s="13"/>
      <c r="R743" s="229"/>
      <c r="S743" s="13"/>
      <c r="T743" s="229"/>
      <c r="U743" s="13"/>
      <c r="V743" s="229"/>
      <c r="W743" s="13"/>
      <c r="X743" s="229"/>
      <c r="Y743" s="13"/>
      <c r="Z743" s="229"/>
      <c r="AA743" s="13"/>
      <c r="AB743" s="229">
        <f t="shared" si="268"/>
        <v>0</v>
      </c>
      <c r="AC743" s="228">
        <f t="shared" si="266"/>
        <v>0</v>
      </c>
      <c r="AD743" s="21">
        <v>0</v>
      </c>
      <c r="AE743" s="229"/>
      <c r="AF743" s="20"/>
      <c r="AG743" s="229"/>
      <c r="AH743" s="20"/>
      <c r="AI743" s="229">
        <v>1</v>
      </c>
      <c r="AJ743" s="20">
        <v>1</v>
      </c>
      <c r="AK743" s="229"/>
      <c r="AL743" s="20"/>
      <c r="AM743" s="229"/>
      <c r="AN743" s="20"/>
      <c r="AO743" s="229">
        <v>1</v>
      </c>
      <c r="AP743" s="20">
        <v>1</v>
      </c>
      <c r="AQ743" s="229"/>
      <c r="AR743" s="20"/>
      <c r="AS743" s="229"/>
      <c r="AT743" s="20"/>
      <c r="AU743" s="229"/>
      <c r="AV743" s="20"/>
      <c r="AW743" s="229"/>
      <c r="AX743" s="20"/>
      <c r="AY743" s="229"/>
      <c r="AZ743" s="20"/>
      <c r="BA743" s="229"/>
      <c r="BB743" s="20"/>
      <c r="BC743" s="229">
        <f t="shared" si="269"/>
        <v>2</v>
      </c>
      <c r="BD743" s="48">
        <f t="shared" si="267"/>
        <v>2</v>
      </c>
      <c r="BE743" s="19">
        <v>2</v>
      </c>
      <c r="BF743" s="229">
        <f t="shared" si="270"/>
        <v>2</v>
      </c>
      <c r="BG743" s="210">
        <f t="shared" si="264"/>
        <v>2</v>
      </c>
      <c r="BH743" s="210">
        <f t="shared" si="265"/>
        <v>2</v>
      </c>
      <c r="BI743" s="213">
        <f t="shared" si="263"/>
        <v>100</v>
      </c>
      <c r="BJ743" s="141"/>
      <c r="BK743" s="201"/>
      <c r="BL743" s="198"/>
      <c r="BM743" s="198"/>
    </row>
    <row r="744" spans="1:65" s="17" customFormat="1" ht="21.95" customHeight="1">
      <c r="A744" s="123">
        <v>117</v>
      </c>
      <c r="B744" s="9" t="s">
        <v>2112</v>
      </c>
      <c r="C744" s="10" t="s">
        <v>2113</v>
      </c>
      <c r="D744" s="229"/>
      <c r="E744" s="13"/>
      <c r="F744" s="229"/>
      <c r="G744" s="13"/>
      <c r="H744" s="229"/>
      <c r="I744" s="13"/>
      <c r="J744" s="229"/>
      <c r="K744" s="13"/>
      <c r="L744" s="229"/>
      <c r="M744" s="13"/>
      <c r="N744" s="229"/>
      <c r="O744" s="13"/>
      <c r="P744" s="229"/>
      <c r="Q744" s="13"/>
      <c r="R744" s="229"/>
      <c r="S744" s="13"/>
      <c r="T744" s="229"/>
      <c r="U744" s="13"/>
      <c r="V744" s="229"/>
      <c r="W744" s="13"/>
      <c r="X744" s="229"/>
      <c r="Y744" s="13"/>
      <c r="Z744" s="229"/>
      <c r="AA744" s="13"/>
      <c r="AB744" s="229">
        <f t="shared" si="268"/>
        <v>0</v>
      </c>
      <c r="AC744" s="228">
        <f t="shared" si="266"/>
        <v>0</v>
      </c>
      <c r="AD744" s="21">
        <v>0</v>
      </c>
      <c r="AE744" s="229"/>
      <c r="AF744" s="20"/>
      <c r="AG744" s="229"/>
      <c r="AH744" s="20"/>
      <c r="AI744" s="229"/>
      <c r="AJ744" s="20"/>
      <c r="AK744" s="229"/>
      <c r="AL744" s="20"/>
      <c r="AM744" s="229"/>
      <c r="AN744" s="20"/>
      <c r="AO744" s="229"/>
      <c r="AP744" s="20"/>
      <c r="AQ744" s="229"/>
      <c r="AR744" s="20"/>
      <c r="AS744" s="229"/>
      <c r="AT744" s="20"/>
      <c r="AU744" s="229"/>
      <c r="AV744" s="20"/>
      <c r="AW744" s="229"/>
      <c r="AX744" s="20"/>
      <c r="AY744" s="229"/>
      <c r="AZ744" s="20"/>
      <c r="BA744" s="229"/>
      <c r="BB744" s="20"/>
      <c r="BC744" s="229">
        <f t="shared" si="269"/>
        <v>0</v>
      </c>
      <c r="BD744" s="48">
        <f t="shared" si="267"/>
        <v>0</v>
      </c>
      <c r="BE744" s="19">
        <v>2</v>
      </c>
      <c r="BF744" s="229">
        <f t="shared" si="270"/>
        <v>0</v>
      </c>
      <c r="BG744" s="210">
        <f t="shared" si="264"/>
        <v>0</v>
      </c>
      <c r="BH744" s="210">
        <f t="shared" si="265"/>
        <v>2</v>
      </c>
      <c r="BI744" s="213">
        <f t="shared" si="263"/>
        <v>0</v>
      </c>
      <c r="BJ744" s="141"/>
      <c r="BK744" s="201"/>
      <c r="BL744" s="198"/>
      <c r="BM744" s="198"/>
    </row>
    <row r="745" spans="1:65" s="17" customFormat="1" ht="21.95" customHeight="1">
      <c r="A745" s="123">
        <v>118</v>
      </c>
      <c r="B745" s="9" t="s">
        <v>384</v>
      </c>
      <c r="C745" s="10" t="s">
        <v>385</v>
      </c>
      <c r="D745" s="229"/>
      <c r="E745" s="13"/>
      <c r="F745" s="229"/>
      <c r="G745" s="13"/>
      <c r="H745" s="229"/>
      <c r="I745" s="13"/>
      <c r="J745" s="229"/>
      <c r="K745" s="13"/>
      <c r="L745" s="229"/>
      <c r="M745" s="13"/>
      <c r="N745" s="229"/>
      <c r="O745" s="13"/>
      <c r="P745" s="229"/>
      <c r="Q745" s="13"/>
      <c r="R745" s="229"/>
      <c r="S745" s="13"/>
      <c r="T745" s="229"/>
      <c r="U745" s="13"/>
      <c r="V745" s="229"/>
      <c r="W745" s="13"/>
      <c r="X745" s="229"/>
      <c r="Y745" s="13"/>
      <c r="Z745" s="229"/>
      <c r="AA745" s="13"/>
      <c r="AB745" s="229">
        <f t="shared" si="268"/>
        <v>0</v>
      </c>
      <c r="AC745" s="228">
        <f t="shared" si="266"/>
        <v>0</v>
      </c>
      <c r="AD745" s="21">
        <v>0</v>
      </c>
      <c r="AE745" s="229"/>
      <c r="AF745" s="20"/>
      <c r="AG745" s="229"/>
      <c r="AH745" s="20"/>
      <c r="AI745" s="229">
        <v>1</v>
      </c>
      <c r="AJ745" s="20">
        <v>1</v>
      </c>
      <c r="AK745" s="229"/>
      <c r="AL745" s="20"/>
      <c r="AM745" s="229"/>
      <c r="AN745" s="20"/>
      <c r="AO745" s="229">
        <v>1</v>
      </c>
      <c r="AP745" s="20">
        <v>1</v>
      </c>
      <c r="AQ745" s="229"/>
      <c r="AR745" s="20"/>
      <c r="AS745" s="229"/>
      <c r="AT745" s="20"/>
      <c r="AU745" s="229"/>
      <c r="AV745" s="20">
        <v>1</v>
      </c>
      <c r="AW745" s="229"/>
      <c r="AX745" s="20"/>
      <c r="AY745" s="229"/>
      <c r="AZ745" s="20"/>
      <c r="BA745" s="229"/>
      <c r="BB745" s="20">
        <v>3</v>
      </c>
      <c r="BC745" s="229">
        <f t="shared" si="269"/>
        <v>2</v>
      </c>
      <c r="BD745" s="48">
        <f t="shared" si="267"/>
        <v>6</v>
      </c>
      <c r="BE745" s="19">
        <v>1</v>
      </c>
      <c r="BF745" s="229">
        <f t="shared" si="270"/>
        <v>2</v>
      </c>
      <c r="BG745" s="210">
        <f t="shared" si="264"/>
        <v>6</v>
      </c>
      <c r="BH745" s="210">
        <f t="shared" si="265"/>
        <v>1</v>
      </c>
      <c r="BI745" s="213">
        <f t="shared" si="263"/>
        <v>600</v>
      </c>
      <c r="BJ745" s="141"/>
      <c r="BK745" s="201"/>
      <c r="BL745" s="198"/>
      <c r="BM745" s="198"/>
    </row>
    <row r="746" spans="1:65" s="17" customFormat="1" ht="21.95" customHeight="1">
      <c r="A746" s="123">
        <v>119</v>
      </c>
      <c r="B746" s="9" t="s">
        <v>386</v>
      </c>
      <c r="C746" s="10" t="s">
        <v>387</v>
      </c>
      <c r="D746" s="229"/>
      <c r="E746" s="13"/>
      <c r="F746" s="229"/>
      <c r="G746" s="13"/>
      <c r="H746" s="229"/>
      <c r="I746" s="13"/>
      <c r="J746" s="229"/>
      <c r="K746" s="13"/>
      <c r="L746" s="229"/>
      <c r="M746" s="13"/>
      <c r="N746" s="229"/>
      <c r="O746" s="13"/>
      <c r="P746" s="229"/>
      <c r="Q746" s="13"/>
      <c r="R746" s="229"/>
      <c r="S746" s="13"/>
      <c r="T746" s="229"/>
      <c r="U746" s="13"/>
      <c r="V746" s="229"/>
      <c r="W746" s="13"/>
      <c r="X746" s="229"/>
      <c r="Y746" s="13"/>
      <c r="Z746" s="229"/>
      <c r="AA746" s="13"/>
      <c r="AB746" s="229">
        <f t="shared" si="268"/>
        <v>0</v>
      </c>
      <c r="AC746" s="228">
        <f t="shared" si="266"/>
        <v>0</v>
      </c>
      <c r="AD746" s="21">
        <v>0</v>
      </c>
      <c r="AE746" s="229"/>
      <c r="AF746" s="20"/>
      <c r="AG746" s="229"/>
      <c r="AH746" s="20"/>
      <c r="AI746" s="229"/>
      <c r="AJ746" s="20"/>
      <c r="AK746" s="229"/>
      <c r="AL746" s="20"/>
      <c r="AM746" s="229"/>
      <c r="AN746" s="20"/>
      <c r="AO746" s="229"/>
      <c r="AP746" s="20"/>
      <c r="AQ746" s="229"/>
      <c r="AR746" s="20"/>
      <c r="AS746" s="229"/>
      <c r="AT746" s="20"/>
      <c r="AU746" s="229"/>
      <c r="AV746" s="20"/>
      <c r="AW746" s="229"/>
      <c r="AX746" s="20"/>
      <c r="AY746" s="229"/>
      <c r="AZ746" s="20"/>
      <c r="BA746" s="229"/>
      <c r="BB746" s="20">
        <v>5</v>
      </c>
      <c r="BC746" s="229">
        <f t="shared" si="269"/>
        <v>0</v>
      </c>
      <c r="BD746" s="48">
        <f t="shared" si="267"/>
        <v>5</v>
      </c>
      <c r="BE746" s="19">
        <v>1</v>
      </c>
      <c r="BF746" s="229">
        <f t="shared" si="270"/>
        <v>0</v>
      </c>
      <c r="BG746" s="210">
        <f t="shared" si="264"/>
        <v>5</v>
      </c>
      <c r="BH746" s="210">
        <f t="shared" si="265"/>
        <v>1</v>
      </c>
      <c r="BI746" s="213">
        <f t="shared" si="263"/>
        <v>500</v>
      </c>
      <c r="BJ746" s="141"/>
      <c r="BK746" s="201"/>
      <c r="BL746" s="198"/>
      <c r="BM746" s="198"/>
    </row>
    <row r="747" spans="1:65" s="17" customFormat="1" ht="15.95" customHeight="1">
      <c r="A747" s="123">
        <v>120</v>
      </c>
      <c r="B747" s="9" t="s">
        <v>2904</v>
      </c>
      <c r="C747" s="11" t="s">
        <v>2905</v>
      </c>
      <c r="D747" s="229"/>
      <c r="E747" s="13"/>
      <c r="F747" s="229"/>
      <c r="G747" s="13"/>
      <c r="H747" s="229"/>
      <c r="I747" s="13"/>
      <c r="J747" s="229"/>
      <c r="K747" s="13"/>
      <c r="L747" s="229"/>
      <c r="M747" s="13"/>
      <c r="N747" s="229"/>
      <c r="O747" s="13"/>
      <c r="P747" s="229"/>
      <c r="Q747" s="13"/>
      <c r="R747" s="229"/>
      <c r="S747" s="13"/>
      <c r="T747" s="229"/>
      <c r="U747" s="13"/>
      <c r="V747" s="229"/>
      <c r="W747" s="13"/>
      <c r="X747" s="229"/>
      <c r="Y747" s="13"/>
      <c r="Z747" s="229"/>
      <c r="AA747" s="13"/>
      <c r="AB747" s="229">
        <f t="shared" si="268"/>
        <v>0</v>
      </c>
      <c r="AC747" s="228">
        <f t="shared" si="266"/>
        <v>0</v>
      </c>
      <c r="AD747" s="21">
        <v>0</v>
      </c>
      <c r="AE747" s="229"/>
      <c r="AF747" s="20"/>
      <c r="AG747" s="229"/>
      <c r="AH747" s="20"/>
      <c r="AI747" s="229">
        <v>2</v>
      </c>
      <c r="AJ747" s="13">
        <v>2</v>
      </c>
      <c r="AK747" s="229"/>
      <c r="AL747" s="20"/>
      <c r="AM747" s="229"/>
      <c r="AN747" s="20"/>
      <c r="AO747" s="229"/>
      <c r="AP747" s="20"/>
      <c r="AQ747" s="229"/>
      <c r="AR747" s="20"/>
      <c r="AS747" s="229"/>
      <c r="AT747" s="20"/>
      <c r="AU747" s="229"/>
      <c r="AV747" s="20"/>
      <c r="AW747" s="229"/>
      <c r="AX747" s="20"/>
      <c r="AY747" s="229"/>
      <c r="AZ747" s="20"/>
      <c r="BA747" s="229"/>
      <c r="BB747" s="20">
        <v>1</v>
      </c>
      <c r="BC747" s="229">
        <f t="shared" si="269"/>
        <v>2</v>
      </c>
      <c r="BD747" s="48">
        <f t="shared" si="267"/>
        <v>3</v>
      </c>
      <c r="BE747" s="19">
        <v>0</v>
      </c>
      <c r="BF747" s="229">
        <f t="shared" si="270"/>
        <v>2</v>
      </c>
      <c r="BG747" s="210">
        <f t="shared" si="264"/>
        <v>3</v>
      </c>
      <c r="BH747" s="210">
        <f t="shared" si="265"/>
        <v>0</v>
      </c>
      <c r="BI747" s="213" t="e">
        <f t="shared" si="263"/>
        <v>#DIV/0!</v>
      </c>
      <c r="BJ747" s="141"/>
      <c r="BK747" s="201"/>
      <c r="BL747" s="198"/>
      <c r="BM747" s="198"/>
    </row>
    <row r="748" spans="1:65" s="17" customFormat="1" ht="15.95" customHeight="1">
      <c r="A748" s="123">
        <v>121</v>
      </c>
      <c r="B748" s="9" t="s">
        <v>977</v>
      </c>
      <c r="C748" s="11" t="s">
        <v>1430</v>
      </c>
      <c r="D748" s="229"/>
      <c r="E748" s="13"/>
      <c r="F748" s="229"/>
      <c r="G748" s="13"/>
      <c r="H748" s="229"/>
      <c r="I748" s="13"/>
      <c r="J748" s="229"/>
      <c r="K748" s="13"/>
      <c r="L748" s="229"/>
      <c r="M748" s="13"/>
      <c r="N748" s="229"/>
      <c r="O748" s="13"/>
      <c r="P748" s="229"/>
      <c r="Q748" s="13"/>
      <c r="R748" s="229"/>
      <c r="S748" s="13"/>
      <c r="T748" s="229"/>
      <c r="U748" s="13"/>
      <c r="V748" s="229"/>
      <c r="W748" s="13"/>
      <c r="X748" s="229"/>
      <c r="Y748" s="13"/>
      <c r="Z748" s="229"/>
      <c r="AA748" s="13"/>
      <c r="AB748" s="229">
        <f t="shared" si="268"/>
        <v>0</v>
      </c>
      <c r="AC748" s="228">
        <f t="shared" si="266"/>
        <v>0</v>
      </c>
      <c r="AD748" s="21">
        <v>0</v>
      </c>
      <c r="AE748" s="229"/>
      <c r="AF748" s="20"/>
      <c r="AG748" s="229"/>
      <c r="AH748" s="20"/>
      <c r="AI748" s="229"/>
      <c r="AJ748" s="20"/>
      <c r="AK748" s="229"/>
      <c r="AL748" s="20"/>
      <c r="AM748" s="229"/>
      <c r="AN748" s="20"/>
      <c r="AO748" s="229"/>
      <c r="AP748" s="20"/>
      <c r="AQ748" s="229"/>
      <c r="AR748" s="20"/>
      <c r="AS748" s="229"/>
      <c r="AT748" s="20"/>
      <c r="AU748" s="229"/>
      <c r="AV748" s="20"/>
      <c r="AW748" s="229"/>
      <c r="AX748" s="20"/>
      <c r="AY748" s="229"/>
      <c r="AZ748" s="20"/>
      <c r="BA748" s="229"/>
      <c r="BB748" s="20"/>
      <c r="BC748" s="229">
        <f t="shared" si="269"/>
        <v>0</v>
      </c>
      <c r="BD748" s="48">
        <f t="shared" si="267"/>
        <v>0</v>
      </c>
      <c r="BE748" s="19">
        <v>2</v>
      </c>
      <c r="BF748" s="229">
        <f t="shared" si="270"/>
        <v>0</v>
      </c>
      <c r="BG748" s="210">
        <f t="shared" si="264"/>
        <v>0</v>
      </c>
      <c r="BH748" s="210">
        <f t="shared" si="265"/>
        <v>2</v>
      </c>
      <c r="BI748" s="213">
        <f t="shared" si="263"/>
        <v>0</v>
      </c>
      <c r="BJ748" s="141"/>
      <c r="BK748" s="201"/>
      <c r="BL748" s="198"/>
      <c r="BM748" s="198"/>
    </row>
    <row r="749" spans="1:65" s="17" customFormat="1" ht="21.95" customHeight="1">
      <c r="A749" s="123">
        <v>122</v>
      </c>
      <c r="B749" s="9" t="s">
        <v>1085</v>
      </c>
      <c r="C749" s="10" t="s">
        <v>1872</v>
      </c>
      <c r="D749" s="229"/>
      <c r="E749" s="13"/>
      <c r="F749" s="229"/>
      <c r="G749" s="13"/>
      <c r="H749" s="229"/>
      <c r="I749" s="13"/>
      <c r="J749" s="229"/>
      <c r="K749" s="13"/>
      <c r="L749" s="229"/>
      <c r="M749" s="13"/>
      <c r="N749" s="229"/>
      <c r="O749" s="13"/>
      <c r="P749" s="229"/>
      <c r="Q749" s="13"/>
      <c r="R749" s="229"/>
      <c r="S749" s="13"/>
      <c r="T749" s="229"/>
      <c r="U749" s="13"/>
      <c r="V749" s="229"/>
      <c r="W749" s="13"/>
      <c r="X749" s="229"/>
      <c r="Y749" s="13"/>
      <c r="Z749" s="229"/>
      <c r="AA749" s="13"/>
      <c r="AB749" s="229">
        <f t="shared" si="268"/>
        <v>0</v>
      </c>
      <c r="AC749" s="228">
        <f t="shared" si="266"/>
        <v>0</v>
      </c>
      <c r="AD749" s="19">
        <v>30</v>
      </c>
      <c r="AE749" s="229"/>
      <c r="AF749" s="20"/>
      <c r="AG749" s="229"/>
      <c r="AH749" s="20"/>
      <c r="AI749" s="229"/>
      <c r="AJ749" s="20"/>
      <c r="AK749" s="229"/>
      <c r="AL749" s="20"/>
      <c r="AM749" s="229"/>
      <c r="AN749" s="20"/>
      <c r="AO749" s="229"/>
      <c r="AP749" s="20"/>
      <c r="AQ749" s="229"/>
      <c r="AR749" s="20"/>
      <c r="AS749" s="229"/>
      <c r="AT749" s="20"/>
      <c r="AU749" s="229"/>
      <c r="AV749" s="20"/>
      <c r="AW749" s="229"/>
      <c r="AX749" s="20"/>
      <c r="AY749" s="229"/>
      <c r="AZ749" s="20"/>
      <c r="BA749" s="229"/>
      <c r="BB749" s="20"/>
      <c r="BC749" s="229">
        <f t="shared" si="269"/>
        <v>0</v>
      </c>
      <c r="BD749" s="48">
        <f t="shared" si="267"/>
        <v>0</v>
      </c>
      <c r="BE749" s="19">
        <v>0</v>
      </c>
      <c r="BF749" s="229">
        <f t="shared" si="270"/>
        <v>0</v>
      </c>
      <c r="BG749" s="210">
        <f t="shared" si="264"/>
        <v>0</v>
      </c>
      <c r="BH749" s="210">
        <f t="shared" si="265"/>
        <v>30</v>
      </c>
      <c r="BI749" s="213">
        <f t="shared" si="263"/>
        <v>0</v>
      </c>
      <c r="BJ749" s="141"/>
      <c r="BK749" s="201"/>
      <c r="BL749" s="198"/>
      <c r="BM749" s="198"/>
    </row>
    <row r="750" spans="1:65" s="17" customFormat="1" ht="21.95" customHeight="1">
      <c r="A750" s="123">
        <v>123</v>
      </c>
      <c r="B750" s="9" t="s">
        <v>978</v>
      </c>
      <c r="C750" s="10" t="s">
        <v>2821</v>
      </c>
      <c r="D750" s="229"/>
      <c r="E750" s="13"/>
      <c r="F750" s="229"/>
      <c r="G750" s="13"/>
      <c r="H750" s="283"/>
      <c r="I750" s="283"/>
      <c r="J750" s="229"/>
      <c r="K750" s="13"/>
      <c r="L750" s="229"/>
      <c r="M750" s="13"/>
      <c r="N750" s="229"/>
      <c r="O750" s="13"/>
      <c r="P750" s="229"/>
      <c r="Q750" s="13"/>
      <c r="R750" s="229"/>
      <c r="S750" s="13"/>
      <c r="T750" s="229"/>
      <c r="U750" s="13">
        <v>42</v>
      </c>
      <c r="V750" s="229"/>
      <c r="W750" s="13"/>
      <c r="X750" s="229"/>
      <c r="Y750" s="13"/>
      <c r="Z750" s="229"/>
      <c r="AA750" s="13">
        <f>55+1+1</f>
        <v>57</v>
      </c>
      <c r="AB750" s="229">
        <f t="shared" si="268"/>
        <v>0</v>
      </c>
      <c r="AC750" s="228">
        <f t="shared" si="266"/>
        <v>99</v>
      </c>
      <c r="AD750" s="19">
        <v>205</v>
      </c>
      <c r="AE750" s="229"/>
      <c r="AF750" s="20"/>
      <c r="AG750" s="229"/>
      <c r="AH750" s="20"/>
      <c r="AI750" s="229">
        <v>4</v>
      </c>
      <c r="AJ750" s="20">
        <v>4</v>
      </c>
      <c r="AK750" s="229"/>
      <c r="AL750" s="20"/>
      <c r="AM750" s="229"/>
      <c r="AN750" s="20"/>
      <c r="AO750" s="229">
        <v>40</v>
      </c>
      <c r="AP750" s="20">
        <v>48</v>
      </c>
      <c r="AQ750" s="229"/>
      <c r="AR750" s="20"/>
      <c r="AS750" s="229"/>
      <c r="AT750" s="20"/>
      <c r="AU750" s="229"/>
      <c r="AV750" s="20"/>
      <c r="AW750" s="229"/>
      <c r="AX750" s="20"/>
      <c r="AY750" s="229"/>
      <c r="AZ750" s="20"/>
      <c r="BA750" s="229"/>
      <c r="BB750" s="20"/>
      <c r="BC750" s="229">
        <f t="shared" si="269"/>
        <v>44</v>
      </c>
      <c r="BD750" s="48">
        <f t="shared" si="267"/>
        <v>52</v>
      </c>
      <c r="BE750" s="19">
        <v>0</v>
      </c>
      <c r="BF750" s="229">
        <f t="shared" si="270"/>
        <v>44</v>
      </c>
      <c r="BG750" s="210">
        <f t="shared" si="264"/>
        <v>151</v>
      </c>
      <c r="BH750" s="210">
        <f t="shared" si="265"/>
        <v>205</v>
      </c>
      <c r="BI750" s="213">
        <f t="shared" si="263"/>
        <v>73.658536585365852</v>
      </c>
      <c r="BJ750" s="141"/>
      <c r="BK750" s="201"/>
      <c r="BL750" s="198"/>
      <c r="BM750" s="198"/>
    </row>
    <row r="751" spans="1:65" s="17" customFormat="1" ht="15.95" customHeight="1">
      <c r="A751" s="123">
        <v>124</v>
      </c>
      <c r="B751" s="9" t="s">
        <v>1759</v>
      </c>
      <c r="C751" s="11" t="s">
        <v>1760</v>
      </c>
      <c r="D751" s="229"/>
      <c r="E751" s="13"/>
      <c r="F751" s="229"/>
      <c r="G751" s="13"/>
      <c r="H751" s="229"/>
      <c r="I751" s="13"/>
      <c r="J751" s="229"/>
      <c r="K751" s="13"/>
      <c r="L751" s="229"/>
      <c r="M751" s="13"/>
      <c r="N751" s="229"/>
      <c r="O751" s="13"/>
      <c r="P751" s="229"/>
      <c r="Q751" s="13"/>
      <c r="R751" s="229"/>
      <c r="S751" s="13"/>
      <c r="T751" s="229"/>
      <c r="U751" s="13"/>
      <c r="V751" s="229"/>
      <c r="W751" s="13"/>
      <c r="X751" s="229"/>
      <c r="Y751" s="13"/>
      <c r="Z751" s="229"/>
      <c r="AA751" s="13"/>
      <c r="AB751" s="229">
        <f t="shared" si="268"/>
        <v>0</v>
      </c>
      <c r="AC751" s="228">
        <f t="shared" si="266"/>
        <v>0</v>
      </c>
      <c r="AD751" s="21">
        <v>0</v>
      </c>
      <c r="AE751" s="229"/>
      <c r="AF751" s="20"/>
      <c r="AG751" s="229"/>
      <c r="AH751" s="20"/>
      <c r="AI751" s="229"/>
      <c r="AJ751" s="20"/>
      <c r="AK751" s="229"/>
      <c r="AL751" s="20"/>
      <c r="AM751" s="229"/>
      <c r="AN751" s="20"/>
      <c r="AO751" s="229">
        <v>2</v>
      </c>
      <c r="AP751" s="20">
        <v>2</v>
      </c>
      <c r="AQ751" s="229"/>
      <c r="AR751" s="20"/>
      <c r="AS751" s="229"/>
      <c r="AT751" s="20"/>
      <c r="AU751" s="229"/>
      <c r="AV751" s="20"/>
      <c r="AW751" s="229"/>
      <c r="AX751" s="20"/>
      <c r="AY751" s="229"/>
      <c r="AZ751" s="20"/>
      <c r="BA751" s="229"/>
      <c r="BB751" s="20">
        <v>1</v>
      </c>
      <c r="BC751" s="229">
        <f t="shared" si="269"/>
        <v>2</v>
      </c>
      <c r="BD751" s="48">
        <f t="shared" si="267"/>
        <v>3</v>
      </c>
      <c r="BE751" s="19">
        <v>2</v>
      </c>
      <c r="BF751" s="229">
        <f t="shared" si="270"/>
        <v>2</v>
      </c>
      <c r="BG751" s="210">
        <f t="shared" si="264"/>
        <v>3</v>
      </c>
      <c r="BH751" s="210">
        <f t="shared" si="265"/>
        <v>2</v>
      </c>
      <c r="BI751" s="213">
        <f t="shared" si="263"/>
        <v>150</v>
      </c>
      <c r="BJ751" s="141"/>
      <c r="BK751" s="201"/>
      <c r="BL751" s="198"/>
      <c r="BM751" s="198"/>
    </row>
    <row r="752" spans="1:65" s="17" customFormat="1" ht="15.95" customHeight="1">
      <c r="A752" s="123">
        <v>125</v>
      </c>
      <c r="B752" s="9" t="s">
        <v>388</v>
      </c>
      <c r="C752" s="11" t="s">
        <v>389</v>
      </c>
      <c r="D752" s="229"/>
      <c r="E752" s="13"/>
      <c r="F752" s="229"/>
      <c r="G752" s="13"/>
      <c r="H752" s="229"/>
      <c r="I752" s="13"/>
      <c r="J752" s="229"/>
      <c r="K752" s="13"/>
      <c r="L752" s="229"/>
      <c r="M752" s="13"/>
      <c r="N752" s="229"/>
      <c r="O752" s="13"/>
      <c r="P752" s="229"/>
      <c r="Q752" s="13"/>
      <c r="R752" s="229"/>
      <c r="S752" s="13"/>
      <c r="T752" s="229"/>
      <c r="U752" s="13"/>
      <c r="V752" s="229"/>
      <c r="W752" s="13"/>
      <c r="X752" s="229"/>
      <c r="Y752" s="13"/>
      <c r="Z752" s="229"/>
      <c r="AA752" s="13"/>
      <c r="AB752" s="229">
        <f t="shared" si="268"/>
        <v>0</v>
      </c>
      <c r="AC752" s="228">
        <f t="shared" si="266"/>
        <v>0</v>
      </c>
      <c r="AD752" s="19">
        <v>0</v>
      </c>
      <c r="AE752" s="229"/>
      <c r="AF752" s="20"/>
      <c r="AG752" s="229"/>
      <c r="AH752" s="20"/>
      <c r="AI752" s="229">
        <v>3</v>
      </c>
      <c r="AJ752" s="20">
        <v>3</v>
      </c>
      <c r="AK752" s="229"/>
      <c r="AL752" s="20"/>
      <c r="AM752" s="229"/>
      <c r="AN752" s="20"/>
      <c r="AO752" s="229">
        <f>2+1</f>
        <v>3</v>
      </c>
      <c r="AP752" s="20">
        <f>2+1</f>
        <v>3</v>
      </c>
      <c r="AQ752" s="229"/>
      <c r="AR752" s="20"/>
      <c r="AS752" s="229"/>
      <c r="AT752" s="20"/>
      <c r="AU752" s="229"/>
      <c r="AV752" s="20"/>
      <c r="AW752" s="229"/>
      <c r="AX752" s="20"/>
      <c r="AY752" s="229"/>
      <c r="AZ752" s="20"/>
      <c r="BA752" s="229"/>
      <c r="BB752" s="20">
        <v>1</v>
      </c>
      <c r="BC752" s="229">
        <f t="shared" si="269"/>
        <v>6</v>
      </c>
      <c r="BD752" s="48">
        <f t="shared" si="267"/>
        <v>7</v>
      </c>
      <c r="BE752" s="19">
        <f>2+7</f>
        <v>9</v>
      </c>
      <c r="BF752" s="229">
        <f t="shared" si="270"/>
        <v>6</v>
      </c>
      <c r="BG752" s="210">
        <f t="shared" si="264"/>
        <v>7</v>
      </c>
      <c r="BH752" s="210">
        <f t="shared" si="265"/>
        <v>9</v>
      </c>
      <c r="BI752" s="213">
        <f t="shared" si="263"/>
        <v>77.777777777777786</v>
      </c>
      <c r="BJ752" s="141"/>
      <c r="BK752" s="201"/>
      <c r="BL752" s="198"/>
      <c r="BM752" s="198"/>
    </row>
    <row r="753" spans="1:65" s="17" customFormat="1" ht="15.95" customHeight="1">
      <c r="A753" s="123">
        <v>126</v>
      </c>
      <c r="B753" s="9" t="s">
        <v>3155</v>
      </c>
      <c r="C753" s="11" t="s">
        <v>3156</v>
      </c>
      <c r="D753" s="229"/>
      <c r="E753" s="13"/>
      <c r="F753" s="229"/>
      <c r="G753" s="13"/>
      <c r="H753" s="229"/>
      <c r="I753" s="13"/>
      <c r="J753" s="229"/>
      <c r="K753" s="13"/>
      <c r="L753" s="229"/>
      <c r="M753" s="13"/>
      <c r="N753" s="229"/>
      <c r="O753" s="13"/>
      <c r="P753" s="229"/>
      <c r="Q753" s="13"/>
      <c r="R753" s="229"/>
      <c r="S753" s="13"/>
      <c r="T753" s="229"/>
      <c r="U753" s="13"/>
      <c r="V753" s="229"/>
      <c r="W753" s="13"/>
      <c r="X753" s="229"/>
      <c r="Y753" s="13"/>
      <c r="Z753" s="229"/>
      <c r="AA753" s="13"/>
      <c r="AB753" s="229"/>
      <c r="AC753" s="228">
        <f t="shared" si="266"/>
        <v>0</v>
      </c>
      <c r="AD753" s="19">
        <v>0</v>
      </c>
      <c r="AE753" s="229"/>
      <c r="AF753" s="20"/>
      <c r="AG753" s="229"/>
      <c r="AH753" s="20"/>
      <c r="AI753" s="229"/>
      <c r="AJ753" s="20"/>
      <c r="AK753" s="229"/>
      <c r="AL753" s="20"/>
      <c r="AM753" s="229"/>
      <c r="AN753" s="20"/>
      <c r="AO753" s="229"/>
      <c r="AP753" s="20">
        <v>1</v>
      </c>
      <c r="AQ753" s="229"/>
      <c r="AR753" s="20"/>
      <c r="AS753" s="229"/>
      <c r="AT753" s="20"/>
      <c r="AU753" s="229"/>
      <c r="AV753" s="20"/>
      <c r="AW753" s="229"/>
      <c r="AX753" s="20"/>
      <c r="AY753" s="229"/>
      <c r="AZ753" s="20"/>
      <c r="BA753" s="229"/>
      <c r="BB753" s="20"/>
      <c r="BC753" s="229"/>
      <c r="BD753" s="48">
        <f t="shared" si="267"/>
        <v>1</v>
      </c>
      <c r="BE753" s="19">
        <v>0</v>
      </c>
      <c r="BF753" s="229"/>
      <c r="BG753" s="210">
        <f t="shared" si="264"/>
        <v>1</v>
      </c>
      <c r="BH753" s="210">
        <f t="shared" si="265"/>
        <v>0</v>
      </c>
      <c r="BI753" s="213" t="e">
        <f t="shared" si="263"/>
        <v>#DIV/0!</v>
      </c>
      <c r="BJ753" s="141"/>
      <c r="BK753" s="201"/>
      <c r="BL753" s="198"/>
      <c r="BM753" s="198"/>
    </row>
    <row r="754" spans="1:65" s="17" customFormat="1" ht="15.95" customHeight="1">
      <c r="A754" s="123">
        <v>127</v>
      </c>
      <c r="B754" s="9" t="s">
        <v>2311</v>
      </c>
      <c r="C754" s="11" t="s">
        <v>2312</v>
      </c>
      <c r="D754" s="229"/>
      <c r="E754" s="13"/>
      <c r="F754" s="229"/>
      <c r="G754" s="13"/>
      <c r="H754" s="229"/>
      <c r="I754" s="13"/>
      <c r="J754" s="229"/>
      <c r="K754" s="13"/>
      <c r="L754" s="229"/>
      <c r="M754" s="13"/>
      <c r="N754" s="229"/>
      <c r="O754" s="13"/>
      <c r="P754" s="229"/>
      <c r="Q754" s="13"/>
      <c r="R754" s="229"/>
      <c r="S754" s="13"/>
      <c r="T754" s="229"/>
      <c r="U754" s="13"/>
      <c r="V754" s="229"/>
      <c r="W754" s="13"/>
      <c r="X754" s="229"/>
      <c r="Y754" s="13"/>
      <c r="Z754" s="229"/>
      <c r="AA754" s="13"/>
      <c r="AB754" s="229">
        <f>D754+F754+H754+J754+L754+N754+P754+R754+T754+V754+X754+Z754</f>
        <v>0</v>
      </c>
      <c r="AC754" s="228">
        <f t="shared" si="266"/>
        <v>0</v>
      </c>
      <c r="AD754" s="21">
        <v>0</v>
      </c>
      <c r="AE754" s="229"/>
      <c r="AF754" s="20"/>
      <c r="AG754" s="229"/>
      <c r="AH754" s="20"/>
      <c r="AI754" s="229"/>
      <c r="AJ754" s="20"/>
      <c r="AK754" s="229"/>
      <c r="AL754" s="20"/>
      <c r="AM754" s="229"/>
      <c r="AN754" s="20"/>
      <c r="AO754" s="229"/>
      <c r="AP754" s="20"/>
      <c r="AQ754" s="229"/>
      <c r="AR754" s="20"/>
      <c r="AS754" s="229"/>
      <c r="AT754" s="20"/>
      <c r="AU754" s="229"/>
      <c r="AV754" s="20"/>
      <c r="AW754" s="229"/>
      <c r="AX754" s="20"/>
      <c r="AY754" s="229"/>
      <c r="AZ754" s="20"/>
      <c r="BA754" s="229"/>
      <c r="BB754" s="20"/>
      <c r="BC754" s="229">
        <f>AE754+AG754+AI754+AK754+AM754+AO754+AQ754+AS754+AU754+AW754+AY754+BA754</f>
        <v>0</v>
      </c>
      <c r="BD754" s="48">
        <f t="shared" si="267"/>
        <v>0</v>
      </c>
      <c r="BE754" s="19">
        <v>1</v>
      </c>
      <c r="BF754" s="229">
        <f>AB754+BC754</f>
        <v>0</v>
      </c>
      <c r="BG754" s="210">
        <f t="shared" si="264"/>
        <v>0</v>
      </c>
      <c r="BH754" s="210">
        <f t="shared" si="265"/>
        <v>1</v>
      </c>
      <c r="BI754" s="213">
        <f t="shared" si="263"/>
        <v>0</v>
      </c>
      <c r="BJ754" s="141"/>
      <c r="BK754" s="201"/>
      <c r="BL754" s="198"/>
      <c r="BM754" s="198"/>
    </row>
    <row r="755" spans="1:65" s="17" customFormat="1" ht="15.95" customHeight="1">
      <c r="A755" s="123">
        <v>128</v>
      </c>
      <c r="B755" s="9" t="s">
        <v>981</v>
      </c>
      <c r="C755" s="11" t="s">
        <v>1636</v>
      </c>
      <c r="D755" s="229"/>
      <c r="E755" s="13"/>
      <c r="F755" s="229"/>
      <c r="G755" s="13"/>
      <c r="H755" s="229"/>
      <c r="I755" s="13"/>
      <c r="J755" s="229"/>
      <c r="K755" s="13"/>
      <c r="L755" s="229"/>
      <c r="M755" s="13"/>
      <c r="N755" s="229"/>
      <c r="O755" s="13"/>
      <c r="P755" s="229"/>
      <c r="Q755" s="13"/>
      <c r="R755" s="229"/>
      <c r="S755" s="13"/>
      <c r="T755" s="229"/>
      <c r="U755" s="13"/>
      <c r="V755" s="229"/>
      <c r="W755" s="13"/>
      <c r="X755" s="229"/>
      <c r="Y755" s="13"/>
      <c r="Z755" s="229"/>
      <c r="AA755" s="13"/>
      <c r="AB755" s="229">
        <f>D755+F755+H755+J755+L755+N755+P755+R755+T755+V755+X755+Z755</f>
        <v>0</v>
      </c>
      <c r="AC755" s="228">
        <f t="shared" si="266"/>
        <v>0</v>
      </c>
      <c r="AD755" s="19">
        <v>1</v>
      </c>
      <c r="AE755" s="229"/>
      <c r="AF755" s="20"/>
      <c r="AG755" s="229"/>
      <c r="AH755" s="20"/>
      <c r="AI755" s="229"/>
      <c r="AJ755" s="20"/>
      <c r="AK755" s="229"/>
      <c r="AL755" s="20"/>
      <c r="AM755" s="229"/>
      <c r="AN755" s="20"/>
      <c r="AO755" s="229"/>
      <c r="AP755" s="20"/>
      <c r="AQ755" s="229"/>
      <c r="AR755" s="20"/>
      <c r="AS755" s="229"/>
      <c r="AT755" s="20"/>
      <c r="AU755" s="229"/>
      <c r="AV755" s="20"/>
      <c r="AW755" s="229"/>
      <c r="AX755" s="20"/>
      <c r="AY755" s="229"/>
      <c r="AZ755" s="20"/>
      <c r="BA755" s="229"/>
      <c r="BB755" s="20"/>
      <c r="BC755" s="229">
        <f>AE755+AG755+AI755+AK755+AM755+AO755+AQ755+AS755+AU755+AW755+AY755+BA755</f>
        <v>0</v>
      </c>
      <c r="BD755" s="48">
        <f t="shared" si="267"/>
        <v>0</v>
      </c>
      <c r="BE755" s="19">
        <v>0</v>
      </c>
      <c r="BF755" s="229">
        <f>AB755+BC755</f>
        <v>0</v>
      </c>
      <c r="BG755" s="210">
        <f t="shared" si="264"/>
        <v>0</v>
      </c>
      <c r="BH755" s="210">
        <f t="shared" si="265"/>
        <v>1</v>
      </c>
      <c r="BI755" s="213">
        <f t="shared" si="263"/>
        <v>0</v>
      </c>
      <c r="BJ755" s="141"/>
      <c r="BK755" s="201"/>
      <c r="BL755" s="198"/>
      <c r="BM755" s="198"/>
    </row>
    <row r="756" spans="1:65" s="17" customFormat="1" ht="15.95" customHeight="1">
      <c r="A756" s="123">
        <v>129</v>
      </c>
      <c r="B756" s="9" t="s">
        <v>2906</v>
      </c>
      <c r="C756" s="11" t="s">
        <v>2907</v>
      </c>
      <c r="D756" s="229"/>
      <c r="E756" s="13"/>
      <c r="F756" s="229"/>
      <c r="G756" s="13"/>
      <c r="H756" s="229"/>
      <c r="I756" s="13"/>
      <c r="J756" s="229"/>
      <c r="K756" s="13"/>
      <c r="L756" s="229"/>
      <c r="M756" s="13"/>
      <c r="N756" s="229"/>
      <c r="O756" s="13"/>
      <c r="P756" s="229"/>
      <c r="Q756" s="13"/>
      <c r="R756" s="229"/>
      <c r="S756" s="13"/>
      <c r="T756" s="229"/>
      <c r="U756" s="13"/>
      <c r="V756" s="229"/>
      <c r="W756" s="13"/>
      <c r="X756" s="229"/>
      <c r="Y756" s="13"/>
      <c r="Z756" s="229"/>
      <c r="AA756" s="13"/>
      <c r="AB756" s="229">
        <f>D756+F756+H756+J756+L756+N756+P756+R756+T756+V756+X756+Z756</f>
        <v>0</v>
      </c>
      <c r="AC756" s="228">
        <f t="shared" si="266"/>
        <v>0</v>
      </c>
      <c r="AD756" s="19">
        <v>0</v>
      </c>
      <c r="AE756" s="229"/>
      <c r="AF756" s="20"/>
      <c r="AG756" s="229"/>
      <c r="AH756" s="20"/>
      <c r="AI756" s="229">
        <v>1</v>
      </c>
      <c r="AJ756" s="13">
        <v>1</v>
      </c>
      <c r="AK756" s="229"/>
      <c r="AL756" s="20"/>
      <c r="AM756" s="229"/>
      <c r="AN756" s="20"/>
      <c r="AO756" s="229">
        <v>1</v>
      </c>
      <c r="AP756" s="20">
        <v>1</v>
      </c>
      <c r="AQ756" s="229"/>
      <c r="AR756" s="20"/>
      <c r="AS756" s="229"/>
      <c r="AT756" s="20"/>
      <c r="AU756" s="229"/>
      <c r="AV756" s="20"/>
      <c r="AW756" s="229"/>
      <c r="AX756" s="20"/>
      <c r="AY756" s="229"/>
      <c r="AZ756" s="20"/>
      <c r="BA756" s="229"/>
      <c r="BB756" s="20"/>
      <c r="BC756" s="229">
        <f>AE756+AG756+AI756+AK756+AM756+AO756+AQ756+AS756+AU756+AW756+AY756+BA756</f>
        <v>2</v>
      </c>
      <c r="BD756" s="48">
        <f t="shared" si="267"/>
        <v>2</v>
      </c>
      <c r="BE756" s="19">
        <v>0</v>
      </c>
      <c r="BF756" s="229">
        <f>AB756+BC756</f>
        <v>2</v>
      </c>
      <c r="BG756" s="210">
        <f t="shared" si="264"/>
        <v>2</v>
      </c>
      <c r="BH756" s="210">
        <f t="shared" si="265"/>
        <v>0</v>
      </c>
      <c r="BI756" s="213" t="e">
        <f t="shared" ref="BI756:BI764" si="271">BG756/BH756*100</f>
        <v>#DIV/0!</v>
      </c>
      <c r="BJ756" s="141"/>
      <c r="BK756" s="201"/>
      <c r="BL756" s="198"/>
      <c r="BM756" s="198"/>
    </row>
    <row r="757" spans="1:65" s="17" customFormat="1" ht="15.95" customHeight="1">
      <c r="A757" s="123">
        <v>130</v>
      </c>
      <c r="B757" s="9" t="s">
        <v>3000</v>
      </c>
      <c r="C757" s="11" t="s">
        <v>3001</v>
      </c>
      <c r="D757" s="229"/>
      <c r="E757" s="13"/>
      <c r="F757" s="229"/>
      <c r="G757" s="13"/>
      <c r="H757" s="229"/>
      <c r="I757" s="13"/>
      <c r="J757" s="229"/>
      <c r="K757" s="13"/>
      <c r="L757" s="229"/>
      <c r="M757" s="13"/>
      <c r="N757" s="229"/>
      <c r="O757" s="13"/>
      <c r="P757" s="229"/>
      <c r="Q757" s="13"/>
      <c r="R757" s="229"/>
      <c r="S757" s="13"/>
      <c r="T757" s="229"/>
      <c r="U757" s="13"/>
      <c r="V757" s="229"/>
      <c r="W757" s="13"/>
      <c r="X757" s="229"/>
      <c r="Y757" s="13"/>
      <c r="Z757" s="229"/>
      <c r="AA757" s="13"/>
      <c r="AB757" s="229"/>
      <c r="AC757" s="228">
        <f t="shared" si="266"/>
        <v>0</v>
      </c>
      <c r="AD757" s="19">
        <v>0</v>
      </c>
      <c r="AE757" s="229"/>
      <c r="AF757" s="20"/>
      <c r="AG757" s="229"/>
      <c r="AH757" s="20"/>
      <c r="AI757" s="229"/>
      <c r="AJ757" s="13"/>
      <c r="AK757" s="229"/>
      <c r="AL757" s="20"/>
      <c r="AM757" s="229"/>
      <c r="AN757" s="20"/>
      <c r="AO757" s="229"/>
      <c r="AP757" s="20"/>
      <c r="AQ757" s="229"/>
      <c r="AR757" s="20"/>
      <c r="AS757" s="229"/>
      <c r="AT757" s="20"/>
      <c r="AU757" s="229"/>
      <c r="AV757" s="20">
        <v>1</v>
      </c>
      <c r="AW757" s="229"/>
      <c r="AX757" s="20"/>
      <c r="AY757" s="229"/>
      <c r="AZ757" s="20"/>
      <c r="BA757" s="229"/>
      <c r="BB757" s="20"/>
      <c r="BC757" s="229"/>
      <c r="BD757" s="48">
        <f t="shared" si="267"/>
        <v>1</v>
      </c>
      <c r="BE757" s="19">
        <v>0</v>
      </c>
      <c r="BF757" s="229"/>
      <c r="BG757" s="210">
        <f t="shared" si="264"/>
        <v>1</v>
      </c>
      <c r="BH757" s="210">
        <f t="shared" si="265"/>
        <v>0</v>
      </c>
      <c r="BI757" s="213" t="e">
        <f t="shared" si="271"/>
        <v>#DIV/0!</v>
      </c>
      <c r="BJ757" s="141"/>
      <c r="BK757" s="201"/>
      <c r="BL757" s="198"/>
      <c r="BM757" s="198"/>
    </row>
    <row r="758" spans="1:65" s="17" customFormat="1" ht="15.95" customHeight="1">
      <c r="A758" s="123">
        <v>131</v>
      </c>
      <c r="B758" s="9" t="s">
        <v>3165</v>
      </c>
      <c r="C758" s="11" t="s">
        <v>3166</v>
      </c>
      <c r="D758" s="229"/>
      <c r="E758" s="13"/>
      <c r="F758" s="229"/>
      <c r="G758" s="13"/>
      <c r="H758" s="229"/>
      <c r="I758" s="13"/>
      <c r="J758" s="229"/>
      <c r="K758" s="13"/>
      <c r="L758" s="229"/>
      <c r="M758" s="13"/>
      <c r="N758" s="229"/>
      <c r="O758" s="13"/>
      <c r="P758" s="229"/>
      <c r="Q758" s="13"/>
      <c r="R758" s="229"/>
      <c r="S758" s="13"/>
      <c r="T758" s="229"/>
      <c r="U758" s="13"/>
      <c r="V758" s="229"/>
      <c r="W758" s="13"/>
      <c r="X758" s="229"/>
      <c r="Y758" s="13"/>
      <c r="Z758" s="229"/>
      <c r="AA758" s="13"/>
      <c r="AB758" s="229"/>
      <c r="AC758" s="228">
        <f t="shared" si="266"/>
        <v>0</v>
      </c>
      <c r="AD758" s="19">
        <v>0</v>
      </c>
      <c r="AE758" s="229"/>
      <c r="AF758" s="20"/>
      <c r="AG758" s="229"/>
      <c r="AH758" s="20"/>
      <c r="AI758" s="229"/>
      <c r="AJ758" s="13"/>
      <c r="AK758" s="229"/>
      <c r="AL758" s="20"/>
      <c r="AM758" s="229"/>
      <c r="AN758" s="20"/>
      <c r="AO758" s="229"/>
      <c r="AP758" s="20">
        <v>7</v>
      </c>
      <c r="AQ758" s="229"/>
      <c r="AR758" s="20"/>
      <c r="AS758" s="229"/>
      <c r="AT758" s="20"/>
      <c r="AU758" s="229"/>
      <c r="AV758" s="20"/>
      <c r="AW758" s="229"/>
      <c r="AX758" s="20"/>
      <c r="AY758" s="229"/>
      <c r="AZ758" s="20"/>
      <c r="BA758" s="229"/>
      <c r="BB758" s="20">
        <v>2</v>
      </c>
      <c r="BC758" s="229"/>
      <c r="BD758" s="48">
        <f t="shared" si="267"/>
        <v>9</v>
      </c>
      <c r="BE758" s="19">
        <v>0</v>
      </c>
      <c r="BF758" s="229"/>
      <c r="BG758" s="210">
        <f t="shared" si="264"/>
        <v>9</v>
      </c>
      <c r="BH758" s="210">
        <f t="shared" si="265"/>
        <v>0</v>
      </c>
      <c r="BI758" s="213" t="e">
        <f t="shared" si="271"/>
        <v>#DIV/0!</v>
      </c>
      <c r="BJ758" s="141"/>
      <c r="BK758" s="201"/>
      <c r="BL758" s="198"/>
      <c r="BM758" s="198"/>
    </row>
    <row r="759" spans="1:65" s="17" customFormat="1" ht="15.95" customHeight="1">
      <c r="A759" s="123">
        <v>132</v>
      </c>
      <c r="B759" s="9" t="s">
        <v>1088</v>
      </c>
      <c r="C759" s="11" t="s">
        <v>1352</v>
      </c>
      <c r="D759" s="229"/>
      <c r="E759" s="13"/>
      <c r="F759" s="229"/>
      <c r="G759" s="13"/>
      <c r="H759" s="229"/>
      <c r="I759" s="13"/>
      <c r="J759" s="229"/>
      <c r="K759" s="13"/>
      <c r="L759" s="229"/>
      <c r="M759" s="13"/>
      <c r="N759" s="229"/>
      <c r="O759" s="13"/>
      <c r="P759" s="229"/>
      <c r="Q759" s="13"/>
      <c r="R759" s="229"/>
      <c r="S759" s="13"/>
      <c r="T759" s="229"/>
      <c r="U759" s="13"/>
      <c r="V759" s="229"/>
      <c r="W759" s="13"/>
      <c r="X759" s="229"/>
      <c r="Y759" s="13"/>
      <c r="Z759" s="229"/>
      <c r="AA759" s="13"/>
      <c r="AB759" s="229">
        <f t="shared" ref="AB759:AB764" si="272">D759+F759+H759+J759+L759+N759+P759+R759+T759+V759+X759+Z759</f>
        <v>0</v>
      </c>
      <c r="AC759" s="228">
        <f t="shared" si="266"/>
        <v>0</v>
      </c>
      <c r="AD759" s="21">
        <v>0</v>
      </c>
      <c r="AE759" s="229"/>
      <c r="AF759" s="20"/>
      <c r="AG759" s="229"/>
      <c r="AH759" s="20"/>
      <c r="AI759" s="229">
        <v>1</v>
      </c>
      <c r="AJ759" s="20">
        <v>1</v>
      </c>
      <c r="AK759" s="229"/>
      <c r="AL759" s="20"/>
      <c r="AM759" s="229"/>
      <c r="AN759" s="20"/>
      <c r="AO759" s="229">
        <v>1</v>
      </c>
      <c r="AP759" s="20">
        <v>1</v>
      </c>
      <c r="AQ759" s="229"/>
      <c r="AR759" s="20"/>
      <c r="AS759" s="229"/>
      <c r="AT759" s="20"/>
      <c r="AU759" s="229"/>
      <c r="AV759" s="20">
        <v>1</v>
      </c>
      <c r="AW759" s="229"/>
      <c r="AX759" s="20"/>
      <c r="AY759" s="229"/>
      <c r="AZ759" s="20"/>
      <c r="BA759" s="229"/>
      <c r="BB759" s="20"/>
      <c r="BC759" s="229">
        <f t="shared" ref="BC759:BC764" si="273">AE759+AG759+AI759+AK759+AM759+AO759+AQ759+AS759+AU759+AW759+AY759+BA759</f>
        <v>2</v>
      </c>
      <c r="BD759" s="48">
        <f t="shared" si="267"/>
        <v>3</v>
      </c>
      <c r="BE759" s="19">
        <v>1</v>
      </c>
      <c r="BF759" s="229">
        <f t="shared" ref="BF759:BF764" si="274">AB759+BC759</f>
        <v>2</v>
      </c>
      <c r="BG759" s="210">
        <f t="shared" si="264"/>
        <v>3</v>
      </c>
      <c r="BH759" s="210">
        <f t="shared" si="265"/>
        <v>1</v>
      </c>
      <c r="BI759" s="213">
        <f t="shared" si="271"/>
        <v>300</v>
      </c>
      <c r="BJ759" s="141"/>
      <c r="BK759" s="201"/>
      <c r="BL759" s="198"/>
      <c r="BM759" s="198"/>
    </row>
    <row r="760" spans="1:65" s="17" customFormat="1" ht="15.95" customHeight="1">
      <c r="A760" s="123">
        <v>133</v>
      </c>
      <c r="B760" s="9" t="s">
        <v>1508</v>
      </c>
      <c r="C760" s="11" t="s">
        <v>1665</v>
      </c>
      <c r="D760" s="229"/>
      <c r="E760" s="13"/>
      <c r="F760" s="229"/>
      <c r="G760" s="13"/>
      <c r="H760" s="229"/>
      <c r="I760" s="13"/>
      <c r="J760" s="229"/>
      <c r="K760" s="13"/>
      <c r="L760" s="229"/>
      <c r="M760" s="13"/>
      <c r="N760" s="229"/>
      <c r="O760" s="13"/>
      <c r="P760" s="229"/>
      <c r="Q760" s="13"/>
      <c r="R760" s="229"/>
      <c r="S760" s="13"/>
      <c r="T760" s="229"/>
      <c r="U760" s="13"/>
      <c r="V760" s="229"/>
      <c r="W760" s="13"/>
      <c r="X760" s="229"/>
      <c r="Y760" s="13"/>
      <c r="Z760" s="229"/>
      <c r="AA760" s="13"/>
      <c r="AB760" s="229">
        <f t="shared" si="272"/>
        <v>0</v>
      </c>
      <c r="AC760" s="228">
        <f t="shared" si="266"/>
        <v>0</v>
      </c>
      <c r="AD760" s="21">
        <v>0</v>
      </c>
      <c r="AE760" s="229"/>
      <c r="AF760" s="20"/>
      <c r="AG760" s="229"/>
      <c r="AH760" s="20"/>
      <c r="AI760" s="229">
        <f>11+1</f>
        <v>12</v>
      </c>
      <c r="AJ760" s="20">
        <f>11+1</f>
        <v>12</v>
      </c>
      <c r="AK760" s="229"/>
      <c r="AL760" s="20"/>
      <c r="AM760" s="229"/>
      <c r="AN760" s="20"/>
      <c r="AO760" s="229">
        <v>5</v>
      </c>
      <c r="AP760" s="20">
        <v>5</v>
      </c>
      <c r="AQ760" s="229"/>
      <c r="AR760" s="20"/>
      <c r="AS760" s="229"/>
      <c r="AT760" s="20"/>
      <c r="AU760" s="229"/>
      <c r="AV760" s="20">
        <v>3</v>
      </c>
      <c r="AW760" s="229"/>
      <c r="AX760" s="20"/>
      <c r="AY760" s="229"/>
      <c r="AZ760" s="20"/>
      <c r="BA760" s="229"/>
      <c r="BB760" s="20">
        <v>2</v>
      </c>
      <c r="BC760" s="229">
        <f t="shared" si="273"/>
        <v>17</v>
      </c>
      <c r="BD760" s="48">
        <f t="shared" si="267"/>
        <v>22</v>
      </c>
      <c r="BE760" s="19">
        <v>4</v>
      </c>
      <c r="BF760" s="229">
        <f t="shared" si="274"/>
        <v>17</v>
      </c>
      <c r="BG760" s="210">
        <f t="shared" si="264"/>
        <v>22</v>
      </c>
      <c r="BH760" s="210">
        <f t="shared" si="265"/>
        <v>4</v>
      </c>
      <c r="BI760" s="213">
        <f t="shared" si="271"/>
        <v>550</v>
      </c>
      <c r="BJ760" s="141"/>
      <c r="BK760" s="201"/>
      <c r="BL760" s="198"/>
      <c r="BM760" s="198"/>
    </row>
    <row r="761" spans="1:65" s="17" customFormat="1" ht="15.95" customHeight="1">
      <c r="A761" s="123">
        <v>134</v>
      </c>
      <c r="B761" s="9" t="s">
        <v>1616</v>
      </c>
      <c r="C761" s="11" t="s">
        <v>1653</v>
      </c>
      <c r="D761" s="229"/>
      <c r="E761" s="13"/>
      <c r="F761" s="229"/>
      <c r="G761" s="13"/>
      <c r="H761" s="229"/>
      <c r="I761" s="13"/>
      <c r="J761" s="229"/>
      <c r="K761" s="13"/>
      <c r="L761" s="229"/>
      <c r="M761" s="13"/>
      <c r="N761" s="229"/>
      <c r="O761" s="13"/>
      <c r="P761" s="229"/>
      <c r="Q761" s="13"/>
      <c r="R761" s="229"/>
      <c r="S761" s="13"/>
      <c r="T761" s="229"/>
      <c r="U761" s="13"/>
      <c r="V761" s="229"/>
      <c r="W761" s="13"/>
      <c r="X761" s="229"/>
      <c r="Y761" s="13"/>
      <c r="Z761" s="229"/>
      <c r="AA761" s="13"/>
      <c r="AB761" s="229">
        <f t="shared" si="272"/>
        <v>0</v>
      </c>
      <c r="AC761" s="228">
        <f t="shared" si="266"/>
        <v>0</v>
      </c>
      <c r="AD761" s="21">
        <v>0</v>
      </c>
      <c r="AE761" s="229"/>
      <c r="AF761" s="20"/>
      <c r="AG761" s="229"/>
      <c r="AH761" s="20"/>
      <c r="AI761" s="229"/>
      <c r="AJ761" s="20"/>
      <c r="AK761" s="229"/>
      <c r="AL761" s="20"/>
      <c r="AM761" s="229"/>
      <c r="AN761" s="20"/>
      <c r="AO761" s="229"/>
      <c r="AP761" s="20"/>
      <c r="AQ761" s="229"/>
      <c r="AR761" s="20"/>
      <c r="AS761" s="229"/>
      <c r="AT761" s="20"/>
      <c r="AU761" s="229"/>
      <c r="AV761" s="20"/>
      <c r="AW761" s="229"/>
      <c r="AX761" s="20"/>
      <c r="AY761" s="229"/>
      <c r="AZ761" s="20"/>
      <c r="BA761" s="229"/>
      <c r="BB761" s="20"/>
      <c r="BC761" s="229">
        <f t="shared" si="273"/>
        <v>0</v>
      </c>
      <c r="BD761" s="48">
        <f t="shared" si="267"/>
        <v>0</v>
      </c>
      <c r="BE761" s="19">
        <v>1</v>
      </c>
      <c r="BF761" s="229">
        <f t="shared" si="274"/>
        <v>0</v>
      </c>
      <c r="BG761" s="210">
        <f t="shared" si="264"/>
        <v>0</v>
      </c>
      <c r="BH761" s="210">
        <f t="shared" si="265"/>
        <v>1</v>
      </c>
      <c r="BI761" s="213">
        <f t="shared" si="271"/>
        <v>0</v>
      </c>
      <c r="BJ761" s="141"/>
      <c r="BK761" s="201"/>
      <c r="BL761" s="198"/>
      <c r="BM761" s="198"/>
    </row>
    <row r="762" spans="1:65" s="17" customFormat="1" ht="21.95" customHeight="1">
      <c r="A762" s="123">
        <v>135</v>
      </c>
      <c r="B762" s="9" t="s">
        <v>1089</v>
      </c>
      <c r="C762" s="10" t="s">
        <v>1353</v>
      </c>
      <c r="D762" s="229"/>
      <c r="E762" s="13"/>
      <c r="F762" s="229"/>
      <c r="G762" s="13"/>
      <c r="H762" s="229"/>
      <c r="I762" s="13"/>
      <c r="J762" s="229"/>
      <c r="K762" s="13"/>
      <c r="L762" s="229"/>
      <c r="M762" s="13"/>
      <c r="N762" s="229"/>
      <c r="O762" s="13"/>
      <c r="P762" s="229"/>
      <c r="Q762" s="13"/>
      <c r="R762" s="229"/>
      <c r="S762" s="13"/>
      <c r="T762" s="229"/>
      <c r="U762" s="13"/>
      <c r="V762" s="229"/>
      <c r="W762" s="13"/>
      <c r="X762" s="229"/>
      <c r="Y762" s="13"/>
      <c r="Z762" s="229"/>
      <c r="AA762" s="13"/>
      <c r="AB762" s="229">
        <f t="shared" si="272"/>
        <v>0</v>
      </c>
      <c r="AC762" s="228">
        <f t="shared" si="266"/>
        <v>0</v>
      </c>
      <c r="AD762" s="21">
        <v>0</v>
      </c>
      <c r="AE762" s="229"/>
      <c r="AF762" s="20"/>
      <c r="AG762" s="229"/>
      <c r="AH762" s="20"/>
      <c r="AI762" s="229"/>
      <c r="AJ762" s="20"/>
      <c r="AK762" s="229"/>
      <c r="AL762" s="20"/>
      <c r="AM762" s="229"/>
      <c r="AN762" s="20"/>
      <c r="AO762" s="229">
        <f>2+1</f>
        <v>3</v>
      </c>
      <c r="AP762" s="20">
        <f>6+1</f>
        <v>7</v>
      </c>
      <c r="AQ762" s="229"/>
      <c r="AR762" s="20"/>
      <c r="AS762" s="229"/>
      <c r="AT762" s="20"/>
      <c r="AU762" s="229"/>
      <c r="AV762" s="20">
        <v>2</v>
      </c>
      <c r="AW762" s="229"/>
      <c r="AX762" s="20"/>
      <c r="AY762" s="229"/>
      <c r="AZ762" s="20"/>
      <c r="BA762" s="229"/>
      <c r="BB762" s="20">
        <v>1</v>
      </c>
      <c r="BC762" s="229">
        <f t="shared" si="273"/>
        <v>3</v>
      </c>
      <c r="BD762" s="48">
        <f t="shared" si="267"/>
        <v>10</v>
      </c>
      <c r="BE762" s="19">
        <v>2</v>
      </c>
      <c r="BF762" s="229">
        <f t="shared" si="274"/>
        <v>3</v>
      </c>
      <c r="BG762" s="210">
        <f t="shared" si="264"/>
        <v>10</v>
      </c>
      <c r="BH762" s="210">
        <f t="shared" si="265"/>
        <v>2</v>
      </c>
      <c r="BI762" s="213">
        <f t="shared" si="271"/>
        <v>500</v>
      </c>
      <c r="BJ762" s="141"/>
      <c r="BK762" s="201"/>
      <c r="BL762" s="198"/>
      <c r="BM762" s="198"/>
    </row>
    <row r="763" spans="1:65" s="17" customFormat="1" ht="15.95" customHeight="1">
      <c r="A763" s="123">
        <v>136</v>
      </c>
      <c r="B763" s="9" t="s">
        <v>720</v>
      </c>
      <c r="C763" s="11" t="s">
        <v>721</v>
      </c>
      <c r="D763" s="229"/>
      <c r="E763" s="13"/>
      <c r="F763" s="229"/>
      <c r="G763" s="13"/>
      <c r="H763" s="229"/>
      <c r="I763" s="13"/>
      <c r="J763" s="229"/>
      <c r="K763" s="13"/>
      <c r="L763" s="229"/>
      <c r="M763" s="13"/>
      <c r="N763" s="229"/>
      <c r="O763" s="13"/>
      <c r="P763" s="229"/>
      <c r="Q763" s="13"/>
      <c r="R763" s="229"/>
      <c r="S763" s="13"/>
      <c r="T763" s="229"/>
      <c r="U763" s="13"/>
      <c r="V763" s="229"/>
      <c r="W763" s="13"/>
      <c r="X763" s="229"/>
      <c r="Y763" s="13"/>
      <c r="Z763" s="229"/>
      <c r="AA763" s="13"/>
      <c r="AB763" s="229">
        <f t="shared" si="272"/>
        <v>0</v>
      </c>
      <c r="AC763" s="228">
        <f t="shared" si="266"/>
        <v>0</v>
      </c>
      <c r="AD763" s="19">
        <v>0</v>
      </c>
      <c r="AE763" s="229"/>
      <c r="AF763" s="20"/>
      <c r="AG763" s="229"/>
      <c r="AH763" s="20"/>
      <c r="AI763" s="229"/>
      <c r="AJ763" s="20"/>
      <c r="AK763" s="229"/>
      <c r="AL763" s="20"/>
      <c r="AM763" s="229"/>
      <c r="AN763" s="20"/>
      <c r="AO763" s="229">
        <v>1</v>
      </c>
      <c r="AP763" s="20">
        <v>1</v>
      </c>
      <c r="AQ763" s="229"/>
      <c r="AR763" s="20"/>
      <c r="AS763" s="229"/>
      <c r="AT763" s="20"/>
      <c r="AU763" s="229"/>
      <c r="AV763" s="20"/>
      <c r="AW763" s="229"/>
      <c r="AX763" s="20"/>
      <c r="AY763" s="229"/>
      <c r="AZ763" s="20"/>
      <c r="BA763" s="229"/>
      <c r="BB763" s="20">
        <v>1</v>
      </c>
      <c r="BC763" s="229">
        <f t="shared" si="273"/>
        <v>1</v>
      </c>
      <c r="BD763" s="48">
        <f t="shared" si="267"/>
        <v>2</v>
      </c>
      <c r="BE763" s="19">
        <v>2</v>
      </c>
      <c r="BF763" s="229">
        <f t="shared" si="274"/>
        <v>1</v>
      </c>
      <c r="BG763" s="210">
        <f t="shared" si="264"/>
        <v>2</v>
      </c>
      <c r="BH763" s="210">
        <f t="shared" si="265"/>
        <v>2</v>
      </c>
      <c r="BI763" s="213">
        <f t="shared" si="271"/>
        <v>100</v>
      </c>
      <c r="BJ763" s="141"/>
      <c r="BK763" s="201"/>
      <c r="BL763" s="198"/>
      <c r="BM763" s="198"/>
    </row>
    <row r="764" spans="1:65" s="17" customFormat="1" ht="15.95" customHeight="1">
      <c r="A764" s="123">
        <v>137</v>
      </c>
      <c r="B764" s="9" t="s">
        <v>2280</v>
      </c>
      <c r="C764" s="11" t="s">
        <v>2281</v>
      </c>
      <c r="D764" s="229"/>
      <c r="E764" s="13"/>
      <c r="F764" s="229"/>
      <c r="G764" s="13"/>
      <c r="H764" s="229">
        <v>21</v>
      </c>
      <c r="I764" s="13">
        <v>21</v>
      </c>
      <c r="J764" s="229"/>
      <c r="K764" s="13"/>
      <c r="L764" s="229"/>
      <c r="M764" s="13"/>
      <c r="N764" s="229"/>
      <c r="O764" s="13"/>
      <c r="P764" s="229"/>
      <c r="Q764" s="13"/>
      <c r="R764" s="229"/>
      <c r="S764" s="13"/>
      <c r="T764" s="229"/>
      <c r="U764" s="13">
        <v>29</v>
      </c>
      <c r="V764" s="229"/>
      <c r="W764" s="13"/>
      <c r="X764" s="229"/>
      <c r="Y764" s="13"/>
      <c r="Z764" s="229"/>
      <c r="AA764" s="13">
        <v>27</v>
      </c>
      <c r="AB764" s="229">
        <f t="shared" si="272"/>
        <v>21</v>
      </c>
      <c r="AC764" s="228">
        <f t="shared" si="266"/>
        <v>77</v>
      </c>
      <c r="AD764" s="19">
        <v>65</v>
      </c>
      <c r="AE764" s="229"/>
      <c r="AF764" s="20"/>
      <c r="AG764" s="229"/>
      <c r="AH764" s="20"/>
      <c r="AI764" s="229"/>
      <c r="AJ764" s="20"/>
      <c r="AK764" s="229"/>
      <c r="AL764" s="20"/>
      <c r="AM764" s="229"/>
      <c r="AN764" s="20"/>
      <c r="AO764" s="229">
        <v>10</v>
      </c>
      <c r="AP764" s="20">
        <v>10</v>
      </c>
      <c r="AQ764" s="229"/>
      <c r="AR764" s="20"/>
      <c r="AS764" s="229"/>
      <c r="AT764" s="20"/>
      <c r="AU764" s="229"/>
      <c r="AV764" s="20"/>
      <c r="AW764" s="229"/>
      <c r="AX764" s="20"/>
      <c r="AY764" s="229"/>
      <c r="AZ764" s="20"/>
      <c r="BA764" s="229"/>
      <c r="BB764" s="20"/>
      <c r="BC764" s="229">
        <f t="shared" si="273"/>
        <v>10</v>
      </c>
      <c r="BD764" s="48">
        <f t="shared" si="267"/>
        <v>10</v>
      </c>
      <c r="BE764" s="19">
        <v>0</v>
      </c>
      <c r="BF764" s="229">
        <f t="shared" si="274"/>
        <v>31</v>
      </c>
      <c r="BG764" s="210">
        <f t="shared" si="264"/>
        <v>87</v>
      </c>
      <c r="BH764" s="210">
        <f t="shared" si="265"/>
        <v>65</v>
      </c>
      <c r="BI764" s="213">
        <f t="shared" si="271"/>
        <v>133.84615384615384</v>
      </c>
      <c r="BJ764" s="141"/>
      <c r="BK764" s="201"/>
      <c r="BL764" s="198"/>
      <c r="BM764" s="198"/>
    </row>
    <row r="765" spans="1:65" s="17" customFormat="1" ht="21.95" customHeight="1">
      <c r="A765" s="354" t="s">
        <v>2757</v>
      </c>
      <c r="B765" s="354"/>
      <c r="C765" s="354"/>
      <c r="D765" s="90">
        <f t="shared" ref="D765:F765" si="275">SUM(D766:D770)</f>
        <v>0</v>
      </c>
      <c r="E765" s="90">
        <f t="shared" ref="E765:BE765" si="276">SUM(E766:E770)</f>
        <v>0</v>
      </c>
      <c r="F765" s="90">
        <f t="shared" si="275"/>
        <v>0</v>
      </c>
      <c r="G765" s="90">
        <f t="shared" si="276"/>
        <v>0</v>
      </c>
      <c r="H765" s="283">
        <f t="shared" si="276"/>
        <v>0</v>
      </c>
      <c r="I765" s="283">
        <f t="shared" si="276"/>
        <v>0</v>
      </c>
      <c r="J765" s="90">
        <f t="shared" si="276"/>
        <v>0</v>
      </c>
      <c r="K765" s="90">
        <f t="shared" si="276"/>
        <v>0</v>
      </c>
      <c r="L765" s="90">
        <f t="shared" si="276"/>
        <v>0</v>
      </c>
      <c r="M765" s="90">
        <f t="shared" si="276"/>
        <v>0</v>
      </c>
      <c r="N765" s="90">
        <f t="shared" si="276"/>
        <v>0</v>
      </c>
      <c r="O765" s="90">
        <f t="shared" si="276"/>
        <v>0</v>
      </c>
      <c r="P765" s="90">
        <f t="shared" si="276"/>
        <v>0</v>
      </c>
      <c r="Q765" s="90">
        <f t="shared" si="276"/>
        <v>0</v>
      </c>
      <c r="R765" s="90">
        <f t="shared" si="276"/>
        <v>0</v>
      </c>
      <c r="S765" s="90">
        <f t="shared" si="276"/>
        <v>0</v>
      </c>
      <c r="T765" s="90">
        <f t="shared" si="276"/>
        <v>0</v>
      </c>
      <c r="U765" s="90">
        <f t="shared" si="276"/>
        <v>0</v>
      </c>
      <c r="V765" s="90">
        <f t="shared" si="276"/>
        <v>0</v>
      </c>
      <c r="W765" s="90">
        <f t="shared" si="276"/>
        <v>0</v>
      </c>
      <c r="X765" s="90">
        <f t="shared" si="276"/>
        <v>0</v>
      </c>
      <c r="Y765" s="90">
        <f t="shared" si="276"/>
        <v>0</v>
      </c>
      <c r="Z765" s="90">
        <f t="shared" si="276"/>
        <v>0</v>
      </c>
      <c r="AA765" s="90">
        <f t="shared" si="276"/>
        <v>98</v>
      </c>
      <c r="AB765" s="90">
        <f t="shared" ref="AB765:AB771" si="277">D765+F765+H765+J765+L765+N765+P765+R765+T765+V765+X765+Z765</f>
        <v>0</v>
      </c>
      <c r="AC765" s="90">
        <f t="shared" ref="AC765:AC771" si="278">E765+G765+I765+K765+M765+O765+Q765+S765+U765+W765+Y765+AA765</f>
        <v>98</v>
      </c>
      <c r="AD765" s="112">
        <f t="shared" si="276"/>
        <v>69</v>
      </c>
      <c r="AE765" s="90">
        <f t="shared" si="276"/>
        <v>0</v>
      </c>
      <c r="AF765" s="91">
        <f t="shared" si="276"/>
        <v>0</v>
      </c>
      <c r="AG765" s="90">
        <f t="shared" si="276"/>
        <v>0</v>
      </c>
      <c r="AH765" s="91">
        <f t="shared" si="276"/>
        <v>0</v>
      </c>
      <c r="AI765" s="90">
        <f t="shared" si="276"/>
        <v>6</v>
      </c>
      <c r="AJ765" s="91">
        <f t="shared" si="276"/>
        <v>11</v>
      </c>
      <c r="AK765" s="90">
        <f t="shared" si="276"/>
        <v>0</v>
      </c>
      <c r="AL765" s="91">
        <f t="shared" si="276"/>
        <v>0</v>
      </c>
      <c r="AM765" s="90">
        <f t="shared" si="276"/>
        <v>0</v>
      </c>
      <c r="AN765" s="91">
        <f t="shared" si="276"/>
        <v>0</v>
      </c>
      <c r="AO765" s="90">
        <f t="shared" si="276"/>
        <v>0</v>
      </c>
      <c r="AP765" s="91">
        <f t="shared" si="276"/>
        <v>0</v>
      </c>
      <c r="AQ765" s="90">
        <f t="shared" si="276"/>
        <v>0</v>
      </c>
      <c r="AR765" s="91">
        <f t="shared" si="276"/>
        <v>0</v>
      </c>
      <c r="AS765" s="90">
        <f t="shared" si="276"/>
        <v>0</v>
      </c>
      <c r="AT765" s="91">
        <f t="shared" si="276"/>
        <v>0</v>
      </c>
      <c r="AU765" s="90">
        <f t="shared" si="276"/>
        <v>0</v>
      </c>
      <c r="AV765" s="91">
        <f t="shared" si="276"/>
        <v>0</v>
      </c>
      <c r="AW765" s="90">
        <f t="shared" si="276"/>
        <v>0</v>
      </c>
      <c r="AX765" s="91">
        <f t="shared" si="276"/>
        <v>0</v>
      </c>
      <c r="AY765" s="90">
        <f t="shared" si="276"/>
        <v>0</v>
      </c>
      <c r="AZ765" s="91">
        <f t="shared" si="276"/>
        <v>0</v>
      </c>
      <c r="BA765" s="90">
        <f t="shared" si="276"/>
        <v>0</v>
      </c>
      <c r="BB765" s="91">
        <f t="shared" si="276"/>
        <v>10</v>
      </c>
      <c r="BC765" s="90">
        <f t="shared" ref="BC765:BC771" si="279">AE765+AG765+AI765+AK765+AM765+AO765+AQ765+AS765+AU765+AW765+AY765+BA765</f>
        <v>6</v>
      </c>
      <c r="BD765" s="91">
        <f t="shared" ref="BD765:BD771" si="280">AF765+AH765+AJ765+AL765+AN765+AP765+AR765+AT765+AV765+AX765+AZ765+BB765</f>
        <v>21</v>
      </c>
      <c r="BE765" s="91">
        <f t="shared" si="276"/>
        <v>18</v>
      </c>
      <c r="BF765" s="90">
        <f t="shared" ref="BF765:BF771" si="281">AB765+BC765</f>
        <v>6</v>
      </c>
      <c r="BG765" s="91">
        <f t="shared" ref="BG765:BG771" si="282">AC765+BD765</f>
        <v>119</v>
      </c>
      <c r="BH765" s="91">
        <f t="shared" ref="BH765:BH771" si="283">AD765+BE765</f>
        <v>87</v>
      </c>
      <c r="BI765" s="272">
        <f t="shared" ref="BI765:BI771" si="284">BG765/BH765*100</f>
        <v>136.7816091954023</v>
      </c>
      <c r="BJ765" s="140">
        <v>87</v>
      </c>
      <c r="BK765" s="203">
        <f>BJ765-BH765</f>
        <v>0</v>
      </c>
      <c r="BL765" s="198"/>
      <c r="BM765" s="198"/>
    </row>
    <row r="766" spans="1:65" s="17" customFormat="1" ht="15.95" customHeight="1">
      <c r="A766" s="123">
        <v>1</v>
      </c>
      <c r="B766" s="94" t="s">
        <v>109</v>
      </c>
      <c r="C766" s="11" t="s">
        <v>110</v>
      </c>
      <c r="D766" s="231"/>
      <c r="E766" s="95"/>
      <c r="F766" s="231"/>
      <c r="G766" s="95"/>
      <c r="H766" s="284"/>
      <c r="I766" s="284"/>
      <c r="J766" s="231"/>
      <c r="K766" s="95"/>
      <c r="L766" s="231"/>
      <c r="M766" s="95"/>
      <c r="N766" s="231"/>
      <c r="O766" s="95"/>
      <c r="P766" s="231"/>
      <c r="Q766" s="95"/>
      <c r="R766" s="231"/>
      <c r="S766" s="95"/>
      <c r="T766" s="231"/>
      <c r="U766" s="95"/>
      <c r="V766" s="231"/>
      <c r="W766" s="95"/>
      <c r="X766" s="231"/>
      <c r="Y766" s="95"/>
      <c r="Z766" s="231"/>
      <c r="AA766" s="95">
        <v>98</v>
      </c>
      <c r="AB766" s="229">
        <f t="shared" ref="AB766:AC770" si="285">D766+F766+H766+J766+L766+N766+P766+R766+T766+V766+X766+Z766</f>
        <v>0</v>
      </c>
      <c r="AC766" s="228">
        <f t="shared" si="285"/>
        <v>98</v>
      </c>
      <c r="AD766" s="21">
        <v>69</v>
      </c>
      <c r="AE766" s="231"/>
      <c r="AF766" s="20"/>
      <c r="AG766" s="231"/>
      <c r="AH766" s="20"/>
      <c r="AI766" s="231">
        <v>5</v>
      </c>
      <c r="AJ766" s="20">
        <v>10</v>
      </c>
      <c r="AK766" s="231"/>
      <c r="AL766" s="20"/>
      <c r="AM766" s="231"/>
      <c r="AN766" s="20"/>
      <c r="AO766" s="231"/>
      <c r="AP766" s="20"/>
      <c r="AQ766" s="231"/>
      <c r="AR766" s="20"/>
      <c r="AS766" s="231"/>
      <c r="AT766" s="20"/>
      <c r="AU766" s="231"/>
      <c r="AV766" s="20"/>
      <c r="AW766" s="231"/>
      <c r="AX766" s="20"/>
      <c r="AY766" s="231"/>
      <c r="AZ766" s="20"/>
      <c r="BA766" s="231"/>
      <c r="BB766" s="20">
        <v>6</v>
      </c>
      <c r="BC766" s="229">
        <f t="shared" ref="BC766:BD770" si="286">AE766+AG766+AI766+AK766+AM766+AO766+AQ766+AS766+AU766+AW766+AY766+BA766</f>
        <v>5</v>
      </c>
      <c r="BD766" s="48">
        <f t="shared" si="286"/>
        <v>16</v>
      </c>
      <c r="BE766" s="19">
        <v>9</v>
      </c>
      <c r="BF766" s="229">
        <f t="shared" ref="BF766:BH770" si="287">AB766+BC766</f>
        <v>5</v>
      </c>
      <c r="BG766" s="210">
        <f t="shared" si="287"/>
        <v>114</v>
      </c>
      <c r="BH766" s="210">
        <f t="shared" si="287"/>
        <v>78</v>
      </c>
      <c r="BI766" s="213">
        <f>BG766/BH766*100</f>
        <v>146.15384615384613</v>
      </c>
      <c r="BJ766" s="141"/>
      <c r="BK766" s="201"/>
      <c r="BL766" s="198"/>
      <c r="BM766" s="198"/>
    </row>
    <row r="767" spans="1:65" s="17" customFormat="1" ht="15.95" customHeight="1">
      <c r="A767" s="123">
        <v>2</v>
      </c>
      <c r="B767" s="94" t="s">
        <v>111</v>
      </c>
      <c r="C767" s="109" t="s">
        <v>1362</v>
      </c>
      <c r="D767" s="231"/>
      <c r="E767" s="95"/>
      <c r="F767" s="231"/>
      <c r="G767" s="95"/>
      <c r="H767" s="231"/>
      <c r="I767" s="95"/>
      <c r="J767" s="231"/>
      <c r="K767" s="95"/>
      <c r="L767" s="231"/>
      <c r="M767" s="95"/>
      <c r="N767" s="231"/>
      <c r="O767" s="95"/>
      <c r="P767" s="231"/>
      <c r="Q767" s="95"/>
      <c r="R767" s="231"/>
      <c r="S767" s="95"/>
      <c r="T767" s="231"/>
      <c r="U767" s="95"/>
      <c r="V767" s="231"/>
      <c r="W767" s="95"/>
      <c r="X767" s="231"/>
      <c r="Y767" s="95"/>
      <c r="Z767" s="231"/>
      <c r="AA767" s="95"/>
      <c r="AB767" s="229">
        <f t="shared" si="285"/>
        <v>0</v>
      </c>
      <c r="AC767" s="228">
        <f t="shared" si="285"/>
        <v>0</v>
      </c>
      <c r="AD767" s="21">
        <v>0</v>
      </c>
      <c r="AE767" s="231"/>
      <c r="AF767" s="20"/>
      <c r="AG767" s="231"/>
      <c r="AH767" s="20"/>
      <c r="AI767" s="231">
        <v>1</v>
      </c>
      <c r="AJ767" s="20">
        <v>1</v>
      </c>
      <c r="AK767" s="231"/>
      <c r="AL767" s="20"/>
      <c r="AM767" s="231"/>
      <c r="AN767" s="20"/>
      <c r="AO767" s="231"/>
      <c r="AP767" s="20"/>
      <c r="AQ767" s="231"/>
      <c r="AR767" s="20"/>
      <c r="AS767" s="231"/>
      <c r="AT767" s="20"/>
      <c r="AU767" s="231"/>
      <c r="AV767" s="20"/>
      <c r="AW767" s="231"/>
      <c r="AX767" s="20"/>
      <c r="AY767" s="231"/>
      <c r="AZ767" s="20"/>
      <c r="BA767" s="231"/>
      <c r="BB767" s="20"/>
      <c r="BC767" s="229">
        <f t="shared" si="286"/>
        <v>1</v>
      </c>
      <c r="BD767" s="48">
        <f t="shared" si="286"/>
        <v>1</v>
      </c>
      <c r="BE767" s="19">
        <v>3</v>
      </c>
      <c r="BF767" s="229">
        <f t="shared" si="287"/>
        <v>1</v>
      </c>
      <c r="BG767" s="210">
        <f t="shared" si="287"/>
        <v>1</v>
      </c>
      <c r="BH767" s="210">
        <f t="shared" si="287"/>
        <v>3</v>
      </c>
      <c r="BI767" s="213">
        <f>BG767/BH767*100</f>
        <v>33.333333333333329</v>
      </c>
      <c r="BJ767" s="141"/>
      <c r="BK767" s="201"/>
      <c r="BL767" s="198"/>
      <c r="BM767" s="198"/>
    </row>
    <row r="768" spans="1:65" s="17" customFormat="1" ht="15.95" customHeight="1">
      <c r="A768" s="123">
        <v>3</v>
      </c>
      <c r="B768" s="94" t="s">
        <v>496</v>
      </c>
      <c r="C768" s="109" t="s">
        <v>497</v>
      </c>
      <c r="D768" s="231"/>
      <c r="E768" s="95"/>
      <c r="F768" s="231"/>
      <c r="G768" s="95"/>
      <c r="H768" s="231"/>
      <c r="I768" s="95"/>
      <c r="J768" s="231"/>
      <c r="K768" s="95"/>
      <c r="L768" s="231"/>
      <c r="M768" s="95"/>
      <c r="N768" s="231"/>
      <c r="O768" s="95"/>
      <c r="P768" s="231"/>
      <c r="Q768" s="95"/>
      <c r="R768" s="231"/>
      <c r="S768" s="95"/>
      <c r="T768" s="231"/>
      <c r="U768" s="95"/>
      <c r="V768" s="231"/>
      <c r="W768" s="95"/>
      <c r="X768" s="231"/>
      <c r="Y768" s="95"/>
      <c r="Z768" s="231"/>
      <c r="AA768" s="95"/>
      <c r="AB768" s="229">
        <f t="shared" si="285"/>
        <v>0</v>
      </c>
      <c r="AC768" s="228">
        <f t="shared" si="285"/>
        <v>0</v>
      </c>
      <c r="AD768" s="21">
        <v>0</v>
      </c>
      <c r="AE768" s="231"/>
      <c r="AF768" s="20"/>
      <c r="AG768" s="231"/>
      <c r="AH768" s="20"/>
      <c r="AI768" s="231"/>
      <c r="AJ768" s="20"/>
      <c r="AK768" s="231"/>
      <c r="AL768" s="20"/>
      <c r="AM768" s="231"/>
      <c r="AN768" s="20"/>
      <c r="AO768" s="231"/>
      <c r="AP768" s="20"/>
      <c r="AQ768" s="231"/>
      <c r="AR768" s="20"/>
      <c r="AS768" s="231"/>
      <c r="AT768" s="20"/>
      <c r="AU768" s="231"/>
      <c r="AV768" s="20"/>
      <c r="AW768" s="231"/>
      <c r="AX768" s="20"/>
      <c r="AY768" s="231"/>
      <c r="AZ768" s="20"/>
      <c r="BA768" s="231"/>
      <c r="BB768" s="20"/>
      <c r="BC768" s="229">
        <f t="shared" si="286"/>
        <v>0</v>
      </c>
      <c r="BD768" s="48">
        <f t="shared" si="286"/>
        <v>0</v>
      </c>
      <c r="BE768" s="19">
        <v>1</v>
      </c>
      <c r="BF768" s="229">
        <f t="shared" si="287"/>
        <v>0</v>
      </c>
      <c r="BG768" s="210">
        <f t="shared" si="287"/>
        <v>0</v>
      </c>
      <c r="BH768" s="210">
        <f t="shared" si="287"/>
        <v>1</v>
      </c>
      <c r="BI768" s="213">
        <f>BG768/BH768*100</f>
        <v>0</v>
      </c>
      <c r="BJ768" s="141"/>
      <c r="BK768" s="201"/>
      <c r="BL768" s="198"/>
      <c r="BM768" s="198"/>
    </row>
    <row r="769" spans="1:65" s="17" customFormat="1" ht="15.95" customHeight="1">
      <c r="A769" s="123">
        <v>4</v>
      </c>
      <c r="B769" s="94" t="s">
        <v>474</v>
      </c>
      <c r="C769" s="109" t="s">
        <v>475</v>
      </c>
      <c r="D769" s="231"/>
      <c r="E769" s="95"/>
      <c r="F769" s="231"/>
      <c r="G769" s="95"/>
      <c r="H769" s="231"/>
      <c r="I769" s="95"/>
      <c r="J769" s="231"/>
      <c r="K769" s="95"/>
      <c r="L769" s="231"/>
      <c r="M769" s="95"/>
      <c r="N769" s="231"/>
      <c r="O769" s="95"/>
      <c r="P769" s="231"/>
      <c r="Q769" s="95"/>
      <c r="R769" s="231"/>
      <c r="S769" s="95"/>
      <c r="T769" s="231"/>
      <c r="U769" s="95"/>
      <c r="V769" s="231"/>
      <c r="W769" s="95"/>
      <c r="X769" s="231"/>
      <c r="Y769" s="95"/>
      <c r="Z769" s="231"/>
      <c r="AA769" s="95"/>
      <c r="AB769" s="229">
        <f t="shared" si="285"/>
        <v>0</v>
      </c>
      <c r="AC769" s="228">
        <f t="shared" si="285"/>
        <v>0</v>
      </c>
      <c r="AD769" s="21">
        <v>0</v>
      </c>
      <c r="AE769" s="231"/>
      <c r="AF769" s="20"/>
      <c r="AG769" s="231"/>
      <c r="AH769" s="20"/>
      <c r="AI769" s="231"/>
      <c r="AJ769" s="20"/>
      <c r="AK769" s="231"/>
      <c r="AL769" s="20"/>
      <c r="AM769" s="231"/>
      <c r="AN769" s="20"/>
      <c r="AO769" s="231"/>
      <c r="AP769" s="20"/>
      <c r="AQ769" s="231"/>
      <c r="AR769" s="20"/>
      <c r="AS769" s="231"/>
      <c r="AT769" s="20"/>
      <c r="AU769" s="231"/>
      <c r="AV769" s="20"/>
      <c r="AW769" s="231"/>
      <c r="AX769" s="20"/>
      <c r="AY769" s="231"/>
      <c r="AZ769" s="20"/>
      <c r="BA769" s="231"/>
      <c r="BB769" s="20">
        <v>4</v>
      </c>
      <c r="BC769" s="229">
        <f t="shared" si="286"/>
        <v>0</v>
      </c>
      <c r="BD769" s="48">
        <f t="shared" si="286"/>
        <v>4</v>
      </c>
      <c r="BE769" s="19">
        <v>4</v>
      </c>
      <c r="BF769" s="229">
        <f t="shared" si="287"/>
        <v>0</v>
      </c>
      <c r="BG769" s="210">
        <f t="shared" si="287"/>
        <v>4</v>
      </c>
      <c r="BH769" s="210">
        <f t="shared" si="287"/>
        <v>4</v>
      </c>
      <c r="BI769" s="213">
        <f>BG769/BH769*100</f>
        <v>100</v>
      </c>
      <c r="BJ769" s="141"/>
      <c r="BK769" s="201"/>
      <c r="BL769" s="198"/>
      <c r="BM769" s="198"/>
    </row>
    <row r="770" spans="1:65" s="17" customFormat="1" ht="15.95" customHeight="1">
      <c r="A770" s="123">
        <v>5</v>
      </c>
      <c r="B770" s="94" t="s">
        <v>541</v>
      </c>
      <c r="C770" s="11" t="s">
        <v>542</v>
      </c>
      <c r="D770" s="231"/>
      <c r="E770" s="95"/>
      <c r="F770" s="231"/>
      <c r="G770" s="95"/>
      <c r="H770" s="231"/>
      <c r="I770" s="95"/>
      <c r="J770" s="231"/>
      <c r="K770" s="95"/>
      <c r="L770" s="231"/>
      <c r="M770" s="95"/>
      <c r="N770" s="231"/>
      <c r="O770" s="95"/>
      <c r="P770" s="231"/>
      <c r="Q770" s="95"/>
      <c r="R770" s="231"/>
      <c r="S770" s="95"/>
      <c r="T770" s="231"/>
      <c r="U770" s="95"/>
      <c r="V770" s="231"/>
      <c r="W770" s="95"/>
      <c r="X770" s="231"/>
      <c r="Y770" s="95"/>
      <c r="Z770" s="231"/>
      <c r="AA770" s="95"/>
      <c r="AB770" s="229">
        <f t="shared" si="285"/>
        <v>0</v>
      </c>
      <c r="AC770" s="228">
        <f t="shared" si="285"/>
        <v>0</v>
      </c>
      <c r="AD770" s="21">
        <v>0</v>
      </c>
      <c r="AE770" s="231"/>
      <c r="AF770" s="20"/>
      <c r="AG770" s="231"/>
      <c r="AH770" s="20"/>
      <c r="AI770" s="231"/>
      <c r="AJ770" s="20"/>
      <c r="AK770" s="231"/>
      <c r="AL770" s="20"/>
      <c r="AM770" s="231"/>
      <c r="AN770" s="20"/>
      <c r="AO770" s="231"/>
      <c r="AP770" s="20"/>
      <c r="AQ770" s="231"/>
      <c r="AR770" s="20"/>
      <c r="AS770" s="231"/>
      <c r="AT770" s="20"/>
      <c r="AU770" s="231"/>
      <c r="AV770" s="20"/>
      <c r="AW770" s="231"/>
      <c r="AX770" s="20"/>
      <c r="AY770" s="231"/>
      <c r="AZ770" s="20"/>
      <c r="BA770" s="231"/>
      <c r="BB770" s="20"/>
      <c r="BC770" s="229">
        <f t="shared" si="286"/>
        <v>0</v>
      </c>
      <c r="BD770" s="48">
        <f t="shared" si="286"/>
        <v>0</v>
      </c>
      <c r="BE770" s="19">
        <v>1</v>
      </c>
      <c r="BF770" s="229">
        <f t="shared" si="287"/>
        <v>0</v>
      </c>
      <c r="BG770" s="210">
        <f t="shared" si="287"/>
        <v>0</v>
      </c>
      <c r="BH770" s="210">
        <f t="shared" si="287"/>
        <v>1</v>
      </c>
      <c r="BI770" s="213">
        <f>BG770/BH770*100</f>
        <v>0</v>
      </c>
      <c r="BJ770" s="141"/>
      <c r="BK770" s="201"/>
      <c r="BL770" s="198"/>
      <c r="BM770" s="198"/>
    </row>
    <row r="771" spans="1:65" s="17" customFormat="1" ht="27.75" customHeight="1">
      <c r="A771" s="381" t="s">
        <v>2758</v>
      </c>
      <c r="B771" s="382"/>
      <c r="C771" s="383"/>
      <c r="D771" s="90">
        <f t="shared" ref="D771:AA771" si="288">SUM(D772:D932)</f>
        <v>0</v>
      </c>
      <c r="E771" s="90">
        <f t="shared" si="288"/>
        <v>0</v>
      </c>
      <c r="F771" s="90">
        <f t="shared" si="288"/>
        <v>0</v>
      </c>
      <c r="G771" s="90">
        <f t="shared" si="288"/>
        <v>0</v>
      </c>
      <c r="H771" s="90">
        <f t="shared" si="288"/>
        <v>26</v>
      </c>
      <c r="I771" s="90">
        <f t="shared" si="288"/>
        <v>28</v>
      </c>
      <c r="J771" s="90">
        <f t="shared" si="288"/>
        <v>0</v>
      </c>
      <c r="K771" s="90">
        <f t="shared" si="288"/>
        <v>0</v>
      </c>
      <c r="L771" s="90">
        <f t="shared" si="288"/>
        <v>0</v>
      </c>
      <c r="M771" s="90">
        <f t="shared" si="288"/>
        <v>0</v>
      </c>
      <c r="N771" s="90">
        <f t="shared" si="288"/>
        <v>11</v>
      </c>
      <c r="O771" s="90">
        <f t="shared" si="288"/>
        <v>11</v>
      </c>
      <c r="P771" s="90">
        <f t="shared" si="288"/>
        <v>0</v>
      </c>
      <c r="Q771" s="90">
        <f t="shared" si="288"/>
        <v>0</v>
      </c>
      <c r="R771" s="90">
        <f t="shared" si="288"/>
        <v>0</v>
      </c>
      <c r="S771" s="90">
        <f t="shared" si="288"/>
        <v>0</v>
      </c>
      <c r="T771" s="90">
        <f t="shared" si="288"/>
        <v>0</v>
      </c>
      <c r="U771" s="90">
        <f t="shared" si="288"/>
        <v>24</v>
      </c>
      <c r="V771" s="90">
        <f t="shared" si="288"/>
        <v>0</v>
      </c>
      <c r="W771" s="90">
        <f t="shared" si="288"/>
        <v>0</v>
      </c>
      <c r="X771" s="90">
        <f t="shared" si="288"/>
        <v>0</v>
      </c>
      <c r="Y771" s="90">
        <f t="shared" si="288"/>
        <v>0</v>
      </c>
      <c r="Z771" s="90">
        <f t="shared" si="288"/>
        <v>0</v>
      </c>
      <c r="AA771" s="90">
        <f t="shared" si="288"/>
        <v>7</v>
      </c>
      <c r="AB771" s="90">
        <f t="shared" si="277"/>
        <v>37</v>
      </c>
      <c r="AC771" s="90">
        <f t="shared" si="278"/>
        <v>70</v>
      </c>
      <c r="AD771" s="113">
        <f t="shared" ref="AD771:BB771" si="289">SUM(AD772:AD932)</f>
        <v>171</v>
      </c>
      <c r="AE771" s="90">
        <f t="shared" si="289"/>
        <v>0</v>
      </c>
      <c r="AF771" s="93">
        <f t="shared" si="289"/>
        <v>0</v>
      </c>
      <c r="AG771" s="90">
        <f t="shared" si="289"/>
        <v>0</v>
      </c>
      <c r="AH771" s="93">
        <f t="shared" si="289"/>
        <v>0</v>
      </c>
      <c r="AI771" s="90">
        <f t="shared" si="289"/>
        <v>243</v>
      </c>
      <c r="AJ771" s="93">
        <f t="shared" si="289"/>
        <v>249</v>
      </c>
      <c r="AK771" s="90">
        <f t="shared" si="289"/>
        <v>0</v>
      </c>
      <c r="AL771" s="93">
        <f t="shared" si="289"/>
        <v>0</v>
      </c>
      <c r="AM771" s="90">
        <f t="shared" si="289"/>
        <v>0</v>
      </c>
      <c r="AN771" s="93">
        <f t="shared" si="289"/>
        <v>0</v>
      </c>
      <c r="AO771" s="90">
        <f t="shared" si="289"/>
        <v>437</v>
      </c>
      <c r="AP771" s="93">
        <f t="shared" si="289"/>
        <v>454</v>
      </c>
      <c r="AQ771" s="90">
        <f t="shared" si="289"/>
        <v>0</v>
      </c>
      <c r="AR771" s="93">
        <f t="shared" si="289"/>
        <v>0</v>
      </c>
      <c r="AS771" s="90">
        <f t="shared" si="289"/>
        <v>0</v>
      </c>
      <c r="AT771" s="93">
        <f t="shared" si="289"/>
        <v>0</v>
      </c>
      <c r="AU771" s="90">
        <f t="shared" si="289"/>
        <v>0</v>
      </c>
      <c r="AV771" s="93">
        <f t="shared" si="289"/>
        <v>388</v>
      </c>
      <c r="AW771" s="90">
        <f t="shared" si="289"/>
        <v>0</v>
      </c>
      <c r="AX771" s="93">
        <f t="shared" si="289"/>
        <v>0</v>
      </c>
      <c r="AY771" s="90">
        <f t="shared" si="289"/>
        <v>0</v>
      </c>
      <c r="AZ771" s="93">
        <f t="shared" si="289"/>
        <v>0</v>
      </c>
      <c r="BA771" s="90">
        <f t="shared" si="289"/>
        <v>0</v>
      </c>
      <c r="BB771" s="93">
        <f t="shared" si="289"/>
        <v>433</v>
      </c>
      <c r="BC771" s="90">
        <f t="shared" si="279"/>
        <v>680</v>
      </c>
      <c r="BD771" s="91">
        <f t="shared" si="280"/>
        <v>1524</v>
      </c>
      <c r="BE771" s="93">
        <f>SUM(BE772:BE932)</f>
        <v>620</v>
      </c>
      <c r="BF771" s="90">
        <f t="shared" si="281"/>
        <v>717</v>
      </c>
      <c r="BG771" s="91">
        <f t="shared" si="282"/>
        <v>1594</v>
      </c>
      <c r="BH771" s="91">
        <f t="shared" si="283"/>
        <v>791</v>
      </c>
      <c r="BI771" s="272">
        <f t="shared" si="284"/>
        <v>201.51706700379268</v>
      </c>
      <c r="BJ771" s="140">
        <v>791</v>
      </c>
      <c r="BK771" s="203">
        <f>BJ771-BH771</f>
        <v>0</v>
      </c>
      <c r="BL771" s="198"/>
      <c r="BM771" s="198"/>
    </row>
    <row r="772" spans="1:65" s="17" customFormat="1" ht="15.95" customHeight="1">
      <c r="A772" s="123">
        <v>1</v>
      </c>
      <c r="B772" s="9" t="s">
        <v>2626</v>
      </c>
      <c r="C772" s="11" t="s">
        <v>2627</v>
      </c>
      <c r="D772" s="229"/>
      <c r="E772" s="13"/>
      <c r="F772" s="229"/>
      <c r="G772" s="13"/>
      <c r="H772" s="229"/>
      <c r="I772" s="13"/>
      <c r="J772" s="229"/>
      <c r="K772" s="13"/>
      <c r="L772" s="229"/>
      <c r="M772" s="13"/>
      <c r="N772" s="229"/>
      <c r="O772" s="13"/>
      <c r="P772" s="229"/>
      <c r="Q772" s="13"/>
      <c r="R772" s="229"/>
      <c r="S772" s="13"/>
      <c r="T772" s="229"/>
      <c r="U772" s="13"/>
      <c r="V772" s="229"/>
      <c r="W772" s="13"/>
      <c r="X772" s="229"/>
      <c r="Y772" s="13"/>
      <c r="Z772" s="229"/>
      <c r="AA772" s="13"/>
      <c r="AB772" s="229">
        <f t="shared" ref="AB772:AB789" si="290">D772+F772+H772+J772+L772+N772+P772+R772+T772+V772+X772+Z772</f>
        <v>0</v>
      </c>
      <c r="AC772" s="228">
        <f t="shared" ref="AC772:AC789" si="291">E772+G772+I772+K772+M772+O772+Q772+S772+U772+W772+Y772+AA772</f>
        <v>0</v>
      </c>
      <c r="AD772" s="19">
        <v>2</v>
      </c>
      <c r="AE772" s="229"/>
      <c r="AF772" s="20"/>
      <c r="AG772" s="229"/>
      <c r="AH772" s="20"/>
      <c r="AI772" s="229"/>
      <c r="AJ772" s="20"/>
      <c r="AK772" s="229"/>
      <c r="AL772" s="20"/>
      <c r="AM772" s="229"/>
      <c r="AN772" s="20"/>
      <c r="AO772" s="229"/>
      <c r="AP772" s="20"/>
      <c r="AQ772" s="229"/>
      <c r="AR772" s="20"/>
      <c r="AS772" s="229"/>
      <c r="AT772" s="20"/>
      <c r="AU772" s="229"/>
      <c r="AV772" s="20"/>
      <c r="AW772" s="229"/>
      <c r="AX772" s="20"/>
      <c r="AY772" s="229"/>
      <c r="AZ772" s="20"/>
      <c r="BA772" s="229"/>
      <c r="BB772" s="20"/>
      <c r="BC772" s="229">
        <f t="shared" ref="BC772:BC789" si="292">AE772+AG772+AI772+AK772+AM772+AO772+AQ772+AS772+AU772+AW772+AY772+BA772</f>
        <v>0</v>
      </c>
      <c r="BD772" s="48">
        <f t="shared" ref="BD772:BD789" si="293">AF772+AH772+AJ772+AL772+AN772+AP772+AR772+AT772+AV772+AX772+AZ772+BB772</f>
        <v>0</v>
      </c>
      <c r="BE772" s="19">
        <v>0</v>
      </c>
      <c r="BF772" s="229">
        <f t="shared" ref="BF772:BF789" si="294">AB772+BC772</f>
        <v>0</v>
      </c>
      <c r="BG772" s="210">
        <f t="shared" ref="BG772:BG789" si="295">AC772+BD772</f>
        <v>0</v>
      </c>
      <c r="BH772" s="210">
        <f t="shared" ref="BH772:BH789" si="296">AD772+BE772</f>
        <v>2</v>
      </c>
      <c r="BI772" s="213">
        <f t="shared" ref="BI772:BI803" si="297">BG772/BH772*100</f>
        <v>0</v>
      </c>
      <c r="BJ772" s="141"/>
      <c r="BK772" s="201"/>
      <c r="BL772" s="198"/>
      <c r="BM772" s="198"/>
    </row>
    <row r="773" spans="1:65" s="17" customFormat="1" ht="15.95" customHeight="1">
      <c r="A773" s="123">
        <v>2</v>
      </c>
      <c r="B773" s="9" t="s">
        <v>2128</v>
      </c>
      <c r="C773" s="11" t="s">
        <v>2129</v>
      </c>
      <c r="D773" s="229"/>
      <c r="E773" s="13"/>
      <c r="F773" s="229"/>
      <c r="G773" s="13"/>
      <c r="H773" s="229">
        <v>1</v>
      </c>
      <c r="I773" s="13">
        <v>1</v>
      </c>
      <c r="J773" s="229"/>
      <c r="K773" s="13"/>
      <c r="L773" s="229"/>
      <c r="M773" s="13"/>
      <c r="N773" s="229"/>
      <c r="O773" s="13"/>
      <c r="P773" s="229"/>
      <c r="Q773" s="13"/>
      <c r="R773" s="229"/>
      <c r="S773" s="13"/>
      <c r="T773" s="229"/>
      <c r="U773" s="13"/>
      <c r="V773" s="229"/>
      <c r="W773" s="13"/>
      <c r="X773" s="229"/>
      <c r="Y773" s="13"/>
      <c r="Z773" s="229"/>
      <c r="AA773" s="13"/>
      <c r="AB773" s="229">
        <f t="shared" si="290"/>
        <v>1</v>
      </c>
      <c r="AC773" s="228">
        <f t="shared" si="291"/>
        <v>1</v>
      </c>
      <c r="AD773" s="19">
        <v>8</v>
      </c>
      <c r="AE773" s="229"/>
      <c r="AF773" s="20"/>
      <c r="AG773" s="229"/>
      <c r="AH773" s="20"/>
      <c r="AI773" s="229"/>
      <c r="AJ773" s="20"/>
      <c r="AK773" s="229"/>
      <c r="AL773" s="20"/>
      <c r="AM773" s="229"/>
      <c r="AN773" s="20"/>
      <c r="AO773" s="229"/>
      <c r="AP773" s="20"/>
      <c r="AQ773" s="229"/>
      <c r="AR773" s="20"/>
      <c r="AS773" s="229"/>
      <c r="AT773" s="20"/>
      <c r="AU773" s="229"/>
      <c r="AV773" s="20"/>
      <c r="AW773" s="229"/>
      <c r="AX773" s="20"/>
      <c r="AY773" s="229"/>
      <c r="AZ773" s="20"/>
      <c r="BA773" s="229"/>
      <c r="BB773" s="20"/>
      <c r="BC773" s="229">
        <f t="shared" si="292"/>
        <v>0</v>
      </c>
      <c r="BD773" s="48">
        <f t="shared" si="293"/>
        <v>0</v>
      </c>
      <c r="BE773" s="19">
        <v>0</v>
      </c>
      <c r="BF773" s="229">
        <f t="shared" si="294"/>
        <v>1</v>
      </c>
      <c r="BG773" s="210">
        <f t="shared" si="295"/>
        <v>1</v>
      </c>
      <c r="BH773" s="210">
        <f t="shared" si="296"/>
        <v>8</v>
      </c>
      <c r="BI773" s="213">
        <f t="shared" si="297"/>
        <v>12.5</v>
      </c>
      <c r="BJ773" s="270" t="s">
        <v>2857</v>
      </c>
      <c r="BK773" s="201"/>
      <c r="BL773" s="198"/>
      <c r="BM773" s="198"/>
    </row>
    <row r="774" spans="1:65" s="17" customFormat="1" ht="15.95" customHeight="1">
      <c r="A774" s="123">
        <v>3</v>
      </c>
      <c r="B774" s="9" t="s">
        <v>2130</v>
      </c>
      <c r="C774" s="11" t="s">
        <v>2131</v>
      </c>
      <c r="D774" s="229"/>
      <c r="E774" s="13"/>
      <c r="F774" s="229"/>
      <c r="G774" s="13"/>
      <c r="H774" s="229"/>
      <c r="I774" s="13"/>
      <c r="J774" s="229"/>
      <c r="K774" s="13"/>
      <c r="L774" s="229"/>
      <c r="M774" s="13"/>
      <c r="N774" s="229"/>
      <c r="O774" s="13"/>
      <c r="P774" s="229"/>
      <c r="Q774" s="13"/>
      <c r="R774" s="229"/>
      <c r="S774" s="13"/>
      <c r="T774" s="229"/>
      <c r="U774" s="13"/>
      <c r="V774" s="229"/>
      <c r="W774" s="13"/>
      <c r="X774" s="229"/>
      <c r="Y774" s="13"/>
      <c r="Z774" s="229"/>
      <c r="AA774" s="13"/>
      <c r="AB774" s="229">
        <f t="shared" si="290"/>
        <v>0</v>
      </c>
      <c r="AC774" s="228">
        <f t="shared" si="291"/>
        <v>0</v>
      </c>
      <c r="AD774" s="19">
        <v>2</v>
      </c>
      <c r="AE774" s="229"/>
      <c r="AF774" s="20"/>
      <c r="AG774" s="229"/>
      <c r="AH774" s="20"/>
      <c r="AI774" s="229"/>
      <c r="AJ774" s="20"/>
      <c r="AK774" s="229"/>
      <c r="AL774" s="20"/>
      <c r="AM774" s="229"/>
      <c r="AN774" s="20"/>
      <c r="AO774" s="229"/>
      <c r="AP774" s="20"/>
      <c r="AQ774" s="229"/>
      <c r="AR774" s="20"/>
      <c r="AS774" s="229"/>
      <c r="AT774" s="20"/>
      <c r="AU774" s="229"/>
      <c r="AV774" s="20"/>
      <c r="AW774" s="229"/>
      <c r="AX774" s="20"/>
      <c r="AY774" s="229"/>
      <c r="AZ774" s="20"/>
      <c r="BA774" s="229"/>
      <c r="BB774" s="20"/>
      <c r="BC774" s="229">
        <f t="shared" si="292"/>
        <v>0</v>
      </c>
      <c r="BD774" s="48">
        <f t="shared" si="293"/>
        <v>0</v>
      </c>
      <c r="BE774" s="19">
        <v>0</v>
      </c>
      <c r="BF774" s="229">
        <f t="shared" si="294"/>
        <v>0</v>
      </c>
      <c r="BG774" s="210">
        <f t="shared" si="295"/>
        <v>0</v>
      </c>
      <c r="BH774" s="210">
        <f t="shared" si="296"/>
        <v>2</v>
      </c>
      <c r="BI774" s="213">
        <f t="shared" si="297"/>
        <v>0</v>
      </c>
      <c r="BJ774" s="270" t="s">
        <v>2857</v>
      </c>
      <c r="BK774" s="201"/>
      <c r="BL774" s="198"/>
      <c r="BM774" s="198"/>
    </row>
    <row r="775" spans="1:65" s="17" customFormat="1" ht="15.95" customHeight="1">
      <c r="A775" s="123">
        <v>4</v>
      </c>
      <c r="B775" s="9" t="s">
        <v>2258</v>
      </c>
      <c r="C775" s="11" t="s">
        <v>2259</v>
      </c>
      <c r="D775" s="229"/>
      <c r="E775" s="13"/>
      <c r="F775" s="229"/>
      <c r="G775" s="13"/>
      <c r="H775" s="229">
        <v>1</v>
      </c>
      <c r="I775" s="13">
        <v>1</v>
      </c>
      <c r="J775" s="229"/>
      <c r="K775" s="13"/>
      <c r="L775" s="229"/>
      <c r="M775" s="13"/>
      <c r="N775" s="229">
        <v>1</v>
      </c>
      <c r="O775" s="13">
        <v>1</v>
      </c>
      <c r="P775" s="229"/>
      <c r="Q775" s="13"/>
      <c r="R775" s="229"/>
      <c r="S775" s="13"/>
      <c r="T775" s="229"/>
      <c r="U775" s="13"/>
      <c r="V775" s="229"/>
      <c r="W775" s="13"/>
      <c r="X775" s="229"/>
      <c r="Y775" s="13"/>
      <c r="Z775" s="229"/>
      <c r="AA775" s="13">
        <v>1</v>
      </c>
      <c r="AB775" s="229">
        <f t="shared" si="290"/>
        <v>2</v>
      </c>
      <c r="AC775" s="228">
        <f t="shared" si="291"/>
        <v>3</v>
      </c>
      <c r="AD775" s="19">
        <v>0</v>
      </c>
      <c r="AE775" s="229"/>
      <c r="AF775" s="20"/>
      <c r="AG775" s="229"/>
      <c r="AH775" s="20"/>
      <c r="AI775" s="229"/>
      <c r="AJ775" s="20"/>
      <c r="AK775" s="229"/>
      <c r="AL775" s="20"/>
      <c r="AM775" s="229"/>
      <c r="AN775" s="20"/>
      <c r="AO775" s="229"/>
      <c r="AP775" s="20"/>
      <c r="AQ775" s="229"/>
      <c r="AR775" s="20"/>
      <c r="AS775" s="229"/>
      <c r="AT775" s="20"/>
      <c r="AU775" s="229"/>
      <c r="AV775" s="20"/>
      <c r="AW775" s="229"/>
      <c r="AX775" s="20"/>
      <c r="AY775" s="229"/>
      <c r="AZ775" s="20"/>
      <c r="BA775" s="229"/>
      <c r="BB775" s="20">
        <v>2</v>
      </c>
      <c r="BC775" s="229">
        <f t="shared" si="292"/>
        <v>0</v>
      </c>
      <c r="BD775" s="48">
        <f t="shared" si="293"/>
        <v>2</v>
      </c>
      <c r="BE775" s="19">
        <v>0</v>
      </c>
      <c r="BF775" s="229">
        <f t="shared" si="294"/>
        <v>2</v>
      </c>
      <c r="BG775" s="210">
        <f t="shared" si="295"/>
        <v>5</v>
      </c>
      <c r="BH775" s="210">
        <f t="shared" si="296"/>
        <v>0</v>
      </c>
      <c r="BI775" s="213" t="e">
        <f t="shared" si="297"/>
        <v>#DIV/0!</v>
      </c>
      <c r="BJ775" s="270" t="s">
        <v>2857</v>
      </c>
      <c r="BK775" s="201"/>
      <c r="BL775" s="198"/>
      <c r="BM775" s="198"/>
    </row>
    <row r="776" spans="1:65" s="17" customFormat="1" ht="15.95" customHeight="1">
      <c r="A776" s="123">
        <v>5</v>
      </c>
      <c r="B776" s="9" t="s">
        <v>2132</v>
      </c>
      <c r="C776" s="11" t="s">
        <v>2133</v>
      </c>
      <c r="D776" s="229"/>
      <c r="E776" s="13"/>
      <c r="F776" s="229"/>
      <c r="G776" s="13"/>
      <c r="H776" s="229"/>
      <c r="I776" s="13"/>
      <c r="J776" s="229"/>
      <c r="K776" s="13"/>
      <c r="L776" s="229"/>
      <c r="M776" s="13"/>
      <c r="N776" s="229"/>
      <c r="O776" s="13"/>
      <c r="P776" s="229"/>
      <c r="Q776" s="13"/>
      <c r="R776" s="229"/>
      <c r="S776" s="13"/>
      <c r="T776" s="229"/>
      <c r="U776" s="13"/>
      <c r="V776" s="229"/>
      <c r="W776" s="13"/>
      <c r="X776" s="229"/>
      <c r="Y776" s="13"/>
      <c r="Z776" s="229"/>
      <c r="AA776" s="13"/>
      <c r="AB776" s="229">
        <f t="shared" si="290"/>
        <v>0</v>
      </c>
      <c r="AC776" s="228">
        <f t="shared" si="291"/>
        <v>0</v>
      </c>
      <c r="AD776" s="19">
        <v>1</v>
      </c>
      <c r="AE776" s="229"/>
      <c r="AF776" s="20"/>
      <c r="AG776" s="229"/>
      <c r="AH776" s="20"/>
      <c r="AI776" s="229"/>
      <c r="AJ776" s="20"/>
      <c r="AK776" s="229"/>
      <c r="AL776" s="20"/>
      <c r="AM776" s="229"/>
      <c r="AN776" s="20"/>
      <c r="AO776" s="229"/>
      <c r="AP776" s="20"/>
      <c r="AQ776" s="229"/>
      <c r="AR776" s="20"/>
      <c r="AS776" s="229"/>
      <c r="AT776" s="20"/>
      <c r="AU776" s="229"/>
      <c r="AV776" s="20"/>
      <c r="AW776" s="229"/>
      <c r="AX776" s="20"/>
      <c r="AY776" s="229"/>
      <c r="AZ776" s="20"/>
      <c r="BA776" s="229"/>
      <c r="BB776" s="20"/>
      <c r="BC776" s="229">
        <f t="shared" si="292"/>
        <v>0</v>
      </c>
      <c r="BD776" s="48">
        <f t="shared" si="293"/>
        <v>0</v>
      </c>
      <c r="BE776" s="19">
        <v>0</v>
      </c>
      <c r="BF776" s="229">
        <f t="shared" si="294"/>
        <v>0</v>
      </c>
      <c r="BG776" s="210">
        <f t="shared" si="295"/>
        <v>0</v>
      </c>
      <c r="BH776" s="210">
        <f t="shared" si="296"/>
        <v>1</v>
      </c>
      <c r="BI776" s="213">
        <f t="shared" si="297"/>
        <v>0</v>
      </c>
      <c r="BJ776" s="270" t="s">
        <v>2857</v>
      </c>
      <c r="BK776" s="201"/>
      <c r="BL776" s="198"/>
      <c r="BM776" s="198"/>
    </row>
    <row r="777" spans="1:65" s="17" customFormat="1" ht="15.95" customHeight="1">
      <c r="A777" s="123">
        <v>6</v>
      </c>
      <c r="B777" s="9" t="s">
        <v>2134</v>
      </c>
      <c r="C777" s="11" t="s">
        <v>2135</v>
      </c>
      <c r="D777" s="229"/>
      <c r="E777" s="13"/>
      <c r="F777" s="229"/>
      <c r="G777" s="13"/>
      <c r="H777" s="229"/>
      <c r="I777" s="13"/>
      <c r="J777" s="229"/>
      <c r="K777" s="13"/>
      <c r="L777" s="229"/>
      <c r="M777" s="13"/>
      <c r="N777" s="229"/>
      <c r="O777" s="13"/>
      <c r="P777" s="229"/>
      <c r="Q777" s="13"/>
      <c r="R777" s="229"/>
      <c r="S777" s="13"/>
      <c r="T777" s="229"/>
      <c r="U777" s="13">
        <v>1</v>
      </c>
      <c r="V777" s="229"/>
      <c r="W777" s="13"/>
      <c r="X777" s="229"/>
      <c r="Y777" s="13"/>
      <c r="Z777" s="229"/>
      <c r="AA777" s="13"/>
      <c r="AB777" s="229">
        <f t="shared" si="290"/>
        <v>0</v>
      </c>
      <c r="AC777" s="228">
        <f t="shared" si="291"/>
        <v>1</v>
      </c>
      <c r="AD777" s="19">
        <v>22</v>
      </c>
      <c r="AE777" s="229"/>
      <c r="AF777" s="20"/>
      <c r="AG777" s="229"/>
      <c r="AH777" s="20"/>
      <c r="AI777" s="229">
        <v>3</v>
      </c>
      <c r="AJ777" s="20">
        <v>3</v>
      </c>
      <c r="AK777" s="229"/>
      <c r="AL777" s="20"/>
      <c r="AM777" s="229"/>
      <c r="AN777" s="20"/>
      <c r="AO777" s="229">
        <f>6+1</f>
        <v>7</v>
      </c>
      <c r="AP777" s="20">
        <f>6+1</f>
        <v>7</v>
      </c>
      <c r="AQ777" s="229"/>
      <c r="AR777" s="20"/>
      <c r="AS777" s="229"/>
      <c r="AT777" s="20"/>
      <c r="AU777" s="229"/>
      <c r="AV777" s="20">
        <v>9</v>
      </c>
      <c r="AW777" s="229"/>
      <c r="AX777" s="20"/>
      <c r="AY777" s="229"/>
      <c r="AZ777" s="20"/>
      <c r="BA777" s="229"/>
      <c r="BB777" s="20">
        <v>1</v>
      </c>
      <c r="BC777" s="229">
        <f t="shared" si="292"/>
        <v>10</v>
      </c>
      <c r="BD777" s="48">
        <f t="shared" si="293"/>
        <v>20</v>
      </c>
      <c r="BE777" s="19">
        <v>0</v>
      </c>
      <c r="BF777" s="229">
        <f t="shared" si="294"/>
        <v>10</v>
      </c>
      <c r="BG777" s="210">
        <f t="shared" si="295"/>
        <v>21</v>
      </c>
      <c r="BH777" s="210">
        <f t="shared" si="296"/>
        <v>22</v>
      </c>
      <c r="BI777" s="213">
        <f t="shared" si="297"/>
        <v>95.454545454545453</v>
      </c>
      <c r="BJ777" s="141"/>
      <c r="BK777" s="201"/>
      <c r="BL777" s="198"/>
      <c r="BM777" s="198"/>
    </row>
    <row r="778" spans="1:65" s="17" customFormat="1" ht="21.95" customHeight="1">
      <c r="A778" s="123">
        <v>7</v>
      </c>
      <c r="B778" s="9" t="s">
        <v>2326</v>
      </c>
      <c r="C778" s="10" t="s">
        <v>2327</v>
      </c>
      <c r="D778" s="229"/>
      <c r="E778" s="13"/>
      <c r="F778" s="229"/>
      <c r="G778" s="13"/>
      <c r="H778" s="229">
        <v>5</v>
      </c>
      <c r="I778" s="13">
        <v>5</v>
      </c>
      <c r="J778" s="229"/>
      <c r="K778" s="13"/>
      <c r="L778" s="229"/>
      <c r="M778" s="13"/>
      <c r="N778" s="229">
        <v>7</v>
      </c>
      <c r="O778" s="20">
        <v>7</v>
      </c>
      <c r="P778" s="229"/>
      <c r="Q778" s="13"/>
      <c r="R778" s="229"/>
      <c r="S778" s="13"/>
      <c r="T778" s="229"/>
      <c r="U778" s="13"/>
      <c r="V778" s="229"/>
      <c r="W778" s="13"/>
      <c r="X778" s="229"/>
      <c r="Y778" s="13"/>
      <c r="Z778" s="229"/>
      <c r="AA778" s="13">
        <v>1</v>
      </c>
      <c r="AB778" s="229">
        <f t="shared" si="290"/>
        <v>12</v>
      </c>
      <c r="AC778" s="228">
        <f t="shared" si="291"/>
        <v>13</v>
      </c>
      <c r="AD778" s="19">
        <v>2</v>
      </c>
      <c r="AE778" s="229"/>
      <c r="AF778" s="20"/>
      <c r="AG778" s="229"/>
      <c r="AH778" s="20"/>
      <c r="AI778" s="229"/>
      <c r="AJ778" s="20"/>
      <c r="AK778" s="229"/>
      <c r="AL778" s="20"/>
      <c r="AM778" s="229"/>
      <c r="AN778" s="20"/>
      <c r="AO778" s="229"/>
      <c r="AP778" s="20"/>
      <c r="AQ778" s="229"/>
      <c r="AR778" s="20"/>
      <c r="AS778" s="229"/>
      <c r="AT778" s="20"/>
      <c r="AU778" s="229"/>
      <c r="AV778" s="20">
        <v>1</v>
      </c>
      <c r="AW778" s="229"/>
      <c r="AX778" s="20"/>
      <c r="AY778" s="229"/>
      <c r="AZ778" s="20"/>
      <c r="BA778" s="229"/>
      <c r="BB778" s="20">
        <v>1</v>
      </c>
      <c r="BC778" s="229">
        <f t="shared" si="292"/>
        <v>0</v>
      </c>
      <c r="BD778" s="48">
        <f t="shared" si="293"/>
        <v>2</v>
      </c>
      <c r="BE778" s="19">
        <v>0</v>
      </c>
      <c r="BF778" s="229">
        <f t="shared" si="294"/>
        <v>12</v>
      </c>
      <c r="BG778" s="210">
        <f t="shared" si="295"/>
        <v>15</v>
      </c>
      <c r="BH778" s="210">
        <f t="shared" si="296"/>
        <v>2</v>
      </c>
      <c r="BI778" s="213">
        <f t="shared" si="297"/>
        <v>750</v>
      </c>
      <c r="BJ778" s="270" t="s">
        <v>2857</v>
      </c>
      <c r="BK778" s="201"/>
      <c r="BL778" s="198"/>
      <c r="BM778" s="198"/>
    </row>
    <row r="779" spans="1:65" s="17" customFormat="1" ht="21.95" customHeight="1">
      <c r="A779" s="123">
        <v>8</v>
      </c>
      <c r="B779" s="9" t="s">
        <v>2328</v>
      </c>
      <c r="C779" s="10" t="s">
        <v>2329</v>
      </c>
      <c r="D779" s="229"/>
      <c r="E779" s="13"/>
      <c r="F779" s="229"/>
      <c r="G779" s="13"/>
      <c r="H779" s="229">
        <v>2</v>
      </c>
      <c r="I779" s="13">
        <v>2</v>
      </c>
      <c r="J779" s="229"/>
      <c r="K779" s="13"/>
      <c r="L779" s="229"/>
      <c r="M779" s="13"/>
      <c r="N779" s="229">
        <v>2</v>
      </c>
      <c r="O779" s="20">
        <v>2</v>
      </c>
      <c r="P779" s="229"/>
      <c r="Q779" s="13"/>
      <c r="R779" s="229"/>
      <c r="S779" s="13"/>
      <c r="T779" s="229"/>
      <c r="U779" s="13"/>
      <c r="V779" s="229"/>
      <c r="W779" s="13"/>
      <c r="X779" s="229"/>
      <c r="Y779" s="13"/>
      <c r="Z779" s="229"/>
      <c r="AA779" s="13"/>
      <c r="AB779" s="229">
        <f t="shared" si="290"/>
        <v>4</v>
      </c>
      <c r="AC779" s="228">
        <f t="shared" si="291"/>
        <v>4</v>
      </c>
      <c r="AD779" s="19">
        <v>10</v>
      </c>
      <c r="AE779" s="229"/>
      <c r="AF779" s="20"/>
      <c r="AG779" s="229"/>
      <c r="AH779" s="20"/>
      <c r="AI779" s="229"/>
      <c r="AJ779" s="20"/>
      <c r="AK779" s="229"/>
      <c r="AL779" s="20"/>
      <c r="AM779" s="229"/>
      <c r="AN779" s="20"/>
      <c r="AO779" s="229"/>
      <c r="AP779" s="20"/>
      <c r="AQ779" s="229"/>
      <c r="AR779" s="20"/>
      <c r="AS779" s="229"/>
      <c r="AT779" s="20"/>
      <c r="AU779" s="229"/>
      <c r="AV779" s="20"/>
      <c r="AW779" s="229"/>
      <c r="AX779" s="20"/>
      <c r="AY779" s="229"/>
      <c r="AZ779" s="20"/>
      <c r="BA779" s="229"/>
      <c r="BB779" s="20">
        <v>1</v>
      </c>
      <c r="BC779" s="229">
        <f t="shared" si="292"/>
        <v>0</v>
      </c>
      <c r="BD779" s="48">
        <f t="shared" si="293"/>
        <v>1</v>
      </c>
      <c r="BE779" s="19">
        <v>0</v>
      </c>
      <c r="BF779" s="229">
        <f t="shared" si="294"/>
        <v>4</v>
      </c>
      <c r="BG779" s="210">
        <f t="shared" si="295"/>
        <v>5</v>
      </c>
      <c r="BH779" s="210">
        <f t="shared" si="296"/>
        <v>10</v>
      </c>
      <c r="BI779" s="213">
        <f t="shared" si="297"/>
        <v>50</v>
      </c>
      <c r="BJ779" s="270" t="s">
        <v>2857</v>
      </c>
      <c r="BK779" s="201"/>
      <c r="BL779" s="198"/>
      <c r="BM779" s="198"/>
    </row>
    <row r="780" spans="1:65" s="17" customFormat="1" ht="15.95" customHeight="1">
      <c r="A780" s="123">
        <v>9</v>
      </c>
      <c r="B780" s="9" t="s">
        <v>2628</v>
      </c>
      <c r="C780" s="11" t="s">
        <v>2629</v>
      </c>
      <c r="D780" s="229"/>
      <c r="E780" s="13"/>
      <c r="F780" s="229"/>
      <c r="G780" s="13"/>
      <c r="H780" s="229">
        <v>1</v>
      </c>
      <c r="I780" s="13">
        <v>1</v>
      </c>
      <c r="J780" s="229"/>
      <c r="K780" s="13"/>
      <c r="L780" s="229"/>
      <c r="M780" s="13"/>
      <c r="N780" s="229">
        <v>1</v>
      </c>
      <c r="O780" s="20">
        <v>1</v>
      </c>
      <c r="P780" s="229"/>
      <c r="Q780" s="13"/>
      <c r="R780" s="229"/>
      <c r="S780" s="13"/>
      <c r="T780" s="229"/>
      <c r="U780" s="13"/>
      <c r="V780" s="229"/>
      <c r="W780" s="13"/>
      <c r="X780" s="229"/>
      <c r="Y780" s="13"/>
      <c r="Z780" s="229"/>
      <c r="AA780" s="13"/>
      <c r="AB780" s="229">
        <f t="shared" si="290"/>
        <v>2</v>
      </c>
      <c r="AC780" s="228">
        <f t="shared" si="291"/>
        <v>2</v>
      </c>
      <c r="AD780" s="19">
        <v>2</v>
      </c>
      <c r="AE780" s="229"/>
      <c r="AF780" s="20"/>
      <c r="AG780" s="229"/>
      <c r="AH780" s="20"/>
      <c r="AI780" s="229"/>
      <c r="AJ780" s="20"/>
      <c r="AK780" s="229"/>
      <c r="AL780" s="20"/>
      <c r="AM780" s="229"/>
      <c r="AN780" s="20"/>
      <c r="AO780" s="229"/>
      <c r="AP780" s="20"/>
      <c r="AQ780" s="229"/>
      <c r="AR780" s="20"/>
      <c r="AS780" s="229"/>
      <c r="AT780" s="20"/>
      <c r="AU780" s="229"/>
      <c r="AV780" s="20"/>
      <c r="AW780" s="229"/>
      <c r="AX780" s="20"/>
      <c r="AY780" s="229"/>
      <c r="AZ780" s="20"/>
      <c r="BA780" s="229"/>
      <c r="BB780" s="20"/>
      <c r="BC780" s="229">
        <f t="shared" si="292"/>
        <v>0</v>
      </c>
      <c r="BD780" s="48">
        <f t="shared" si="293"/>
        <v>0</v>
      </c>
      <c r="BE780" s="19">
        <v>0</v>
      </c>
      <c r="BF780" s="229">
        <f t="shared" si="294"/>
        <v>2</v>
      </c>
      <c r="BG780" s="210">
        <f t="shared" si="295"/>
        <v>2</v>
      </c>
      <c r="BH780" s="210">
        <f t="shared" si="296"/>
        <v>2</v>
      </c>
      <c r="BI780" s="213">
        <f t="shared" si="297"/>
        <v>100</v>
      </c>
      <c r="BJ780" s="270" t="s">
        <v>2857</v>
      </c>
      <c r="BK780" s="201"/>
      <c r="BL780" s="198"/>
      <c r="BM780" s="198"/>
    </row>
    <row r="781" spans="1:65" s="17" customFormat="1" ht="15.95" customHeight="1">
      <c r="A781" s="123">
        <v>10</v>
      </c>
      <c r="B781" s="9" t="s">
        <v>2136</v>
      </c>
      <c r="C781" s="11" t="s">
        <v>2137</v>
      </c>
      <c r="D781" s="229"/>
      <c r="E781" s="13"/>
      <c r="F781" s="229"/>
      <c r="G781" s="13"/>
      <c r="H781" s="229"/>
      <c r="I781" s="13"/>
      <c r="J781" s="229"/>
      <c r="K781" s="13"/>
      <c r="L781" s="229"/>
      <c r="M781" s="13"/>
      <c r="N781" s="229"/>
      <c r="O781" s="13"/>
      <c r="P781" s="229"/>
      <c r="Q781" s="13"/>
      <c r="R781" s="229"/>
      <c r="S781" s="13"/>
      <c r="T781" s="229"/>
      <c r="U781" s="13"/>
      <c r="V781" s="229"/>
      <c r="W781" s="13"/>
      <c r="X781" s="229"/>
      <c r="Y781" s="13"/>
      <c r="Z781" s="229"/>
      <c r="AA781" s="13"/>
      <c r="AB781" s="229">
        <f t="shared" si="290"/>
        <v>0</v>
      </c>
      <c r="AC781" s="228">
        <f t="shared" si="291"/>
        <v>0</v>
      </c>
      <c r="AD781" s="19">
        <v>1</v>
      </c>
      <c r="AE781" s="229"/>
      <c r="AF781" s="20"/>
      <c r="AG781" s="229"/>
      <c r="AH781" s="20"/>
      <c r="AI781" s="229"/>
      <c r="AJ781" s="20"/>
      <c r="AK781" s="229"/>
      <c r="AL781" s="20"/>
      <c r="AM781" s="229"/>
      <c r="AN781" s="20"/>
      <c r="AO781" s="229"/>
      <c r="AP781" s="20"/>
      <c r="AQ781" s="229"/>
      <c r="AR781" s="20"/>
      <c r="AS781" s="229"/>
      <c r="AT781" s="20"/>
      <c r="AU781" s="229"/>
      <c r="AV781" s="20"/>
      <c r="AW781" s="229"/>
      <c r="AX781" s="20"/>
      <c r="AY781" s="229"/>
      <c r="AZ781" s="20"/>
      <c r="BA781" s="229"/>
      <c r="BB781" s="20"/>
      <c r="BC781" s="229">
        <f t="shared" si="292"/>
        <v>0</v>
      </c>
      <c r="BD781" s="48">
        <f t="shared" si="293"/>
        <v>0</v>
      </c>
      <c r="BE781" s="19">
        <v>0</v>
      </c>
      <c r="BF781" s="229">
        <f t="shared" si="294"/>
        <v>0</v>
      </c>
      <c r="BG781" s="210">
        <f t="shared" si="295"/>
        <v>0</v>
      </c>
      <c r="BH781" s="210">
        <f t="shared" si="296"/>
        <v>1</v>
      </c>
      <c r="BI781" s="213">
        <f t="shared" si="297"/>
        <v>0</v>
      </c>
      <c r="BJ781" s="270" t="s">
        <v>2857</v>
      </c>
      <c r="BK781" s="201"/>
      <c r="BL781" s="198"/>
      <c r="BM781" s="198"/>
    </row>
    <row r="782" spans="1:65" s="17" customFormat="1" ht="15.95" customHeight="1">
      <c r="A782" s="123">
        <v>11</v>
      </c>
      <c r="B782" s="9" t="s">
        <v>2330</v>
      </c>
      <c r="C782" s="11" t="s">
        <v>2331</v>
      </c>
      <c r="D782" s="229"/>
      <c r="E782" s="13"/>
      <c r="F782" s="229"/>
      <c r="G782" s="13"/>
      <c r="H782" s="229">
        <v>1</v>
      </c>
      <c r="I782" s="13">
        <v>2</v>
      </c>
      <c r="J782" s="229"/>
      <c r="K782" s="13"/>
      <c r="L782" s="229"/>
      <c r="M782" s="13"/>
      <c r="N782" s="229"/>
      <c r="O782" s="13"/>
      <c r="P782" s="229"/>
      <c r="Q782" s="13"/>
      <c r="R782" s="229"/>
      <c r="S782" s="13"/>
      <c r="T782" s="229"/>
      <c r="U782" s="13"/>
      <c r="V782" s="229"/>
      <c r="W782" s="13"/>
      <c r="X782" s="229"/>
      <c r="Y782" s="13"/>
      <c r="Z782" s="229"/>
      <c r="AA782" s="13"/>
      <c r="AB782" s="229">
        <f t="shared" si="290"/>
        <v>1</v>
      </c>
      <c r="AC782" s="228">
        <f t="shared" si="291"/>
        <v>2</v>
      </c>
      <c r="AD782" s="19">
        <v>2</v>
      </c>
      <c r="AE782" s="229"/>
      <c r="AF782" s="20"/>
      <c r="AG782" s="229"/>
      <c r="AH782" s="20"/>
      <c r="AI782" s="229"/>
      <c r="AJ782" s="20"/>
      <c r="AK782" s="229"/>
      <c r="AL782" s="20"/>
      <c r="AM782" s="229"/>
      <c r="AN782" s="20"/>
      <c r="AO782" s="229"/>
      <c r="AP782" s="20"/>
      <c r="AQ782" s="229"/>
      <c r="AR782" s="20"/>
      <c r="AS782" s="229"/>
      <c r="AT782" s="20"/>
      <c r="AU782" s="229"/>
      <c r="AV782" s="20"/>
      <c r="AW782" s="229"/>
      <c r="AX782" s="20"/>
      <c r="AY782" s="229"/>
      <c r="AZ782" s="20"/>
      <c r="BA782" s="229"/>
      <c r="BB782" s="20"/>
      <c r="BC782" s="229">
        <f t="shared" si="292"/>
        <v>0</v>
      </c>
      <c r="BD782" s="48">
        <f t="shared" si="293"/>
        <v>0</v>
      </c>
      <c r="BE782" s="19">
        <v>0</v>
      </c>
      <c r="BF782" s="229">
        <f t="shared" si="294"/>
        <v>1</v>
      </c>
      <c r="BG782" s="210">
        <f t="shared" si="295"/>
        <v>2</v>
      </c>
      <c r="BH782" s="210">
        <f t="shared" si="296"/>
        <v>2</v>
      </c>
      <c r="BI782" s="213">
        <f t="shared" si="297"/>
        <v>100</v>
      </c>
      <c r="BJ782" s="270" t="s">
        <v>2857</v>
      </c>
      <c r="BK782" s="201"/>
      <c r="BL782" s="198"/>
      <c r="BM782" s="198"/>
    </row>
    <row r="783" spans="1:65" s="17" customFormat="1" ht="15.95" customHeight="1">
      <c r="A783" s="123">
        <v>12</v>
      </c>
      <c r="B783" s="9" t="s">
        <v>2910</v>
      </c>
      <c r="C783" s="11" t="s">
        <v>2911</v>
      </c>
      <c r="D783" s="229"/>
      <c r="E783" s="13"/>
      <c r="F783" s="229"/>
      <c r="G783" s="13"/>
      <c r="H783" s="229"/>
      <c r="I783" s="13"/>
      <c r="J783" s="229"/>
      <c r="K783" s="13"/>
      <c r="L783" s="229"/>
      <c r="M783" s="13"/>
      <c r="N783" s="229"/>
      <c r="O783" s="13"/>
      <c r="P783" s="229"/>
      <c r="Q783" s="13"/>
      <c r="R783" s="229"/>
      <c r="S783" s="13"/>
      <c r="T783" s="229"/>
      <c r="U783" s="13"/>
      <c r="V783" s="229"/>
      <c r="W783" s="13"/>
      <c r="X783" s="229"/>
      <c r="Y783" s="13"/>
      <c r="Z783" s="229"/>
      <c r="AA783" s="13"/>
      <c r="AB783" s="229">
        <f t="shared" si="290"/>
        <v>0</v>
      </c>
      <c r="AC783" s="228">
        <f t="shared" si="291"/>
        <v>0</v>
      </c>
      <c r="AD783" s="19">
        <v>0</v>
      </c>
      <c r="AE783" s="229"/>
      <c r="AF783" s="20"/>
      <c r="AG783" s="229"/>
      <c r="AH783" s="20"/>
      <c r="AI783" s="229">
        <v>1</v>
      </c>
      <c r="AJ783" s="20">
        <v>1</v>
      </c>
      <c r="AK783" s="229"/>
      <c r="AL783" s="20"/>
      <c r="AM783" s="229"/>
      <c r="AN783" s="20"/>
      <c r="AO783" s="229"/>
      <c r="AP783" s="20"/>
      <c r="AQ783" s="229"/>
      <c r="AR783" s="20"/>
      <c r="AS783" s="229"/>
      <c r="AT783" s="20"/>
      <c r="AU783" s="229"/>
      <c r="AV783" s="20"/>
      <c r="AW783" s="229"/>
      <c r="AX783" s="20"/>
      <c r="AY783" s="229"/>
      <c r="AZ783" s="20"/>
      <c r="BA783" s="229"/>
      <c r="BB783" s="20"/>
      <c r="BC783" s="229">
        <f t="shared" si="292"/>
        <v>1</v>
      </c>
      <c r="BD783" s="48">
        <f t="shared" si="293"/>
        <v>1</v>
      </c>
      <c r="BE783" s="19">
        <v>0</v>
      </c>
      <c r="BF783" s="229">
        <f t="shared" si="294"/>
        <v>1</v>
      </c>
      <c r="BG783" s="210">
        <f t="shared" si="295"/>
        <v>1</v>
      </c>
      <c r="BH783" s="210">
        <f t="shared" si="296"/>
        <v>0</v>
      </c>
      <c r="BI783" s="213" t="e">
        <f t="shared" si="297"/>
        <v>#DIV/0!</v>
      </c>
      <c r="BJ783" s="270"/>
      <c r="BK783" s="201"/>
      <c r="BL783" s="198"/>
      <c r="BM783" s="198"/>
    </row>
    <row r="784" spans="1:65" s="17" customFormat="1" ht="15.95" customHeight="1">
      <c r="A784" s="123">
        <v>13</v>
      </c>
      <c r="B784" s="9" t="s">
        <v>852</v>
      </c>
      <c r="C784" s="11" t="s">
        <v>949</v>
      </c>
      <c r="D784" s="229"/>
      <c r="E784" s="13"/>
      <c r="F784" s="229"/>
      <c r="G784" s="13"/>
      <c r="H784" s="229"/>
      <c r="I784" s="13"/>
      <c r="J784" s="229"/>
      <c r="K784" s="13"/>
      <c r="L784" s="229"/>
      <c r="M784" s="13"/>
      <c r="N784" s="229"/>
      <c r="O784" s="13"/>
      <c r="P784" s="229"/>
      <c r="Q784" s="13"/>
      <c r="R784" s="229"/>
      <c r="S784" s="13"/>
      <c r="T784" s="229"/>
      <c r="U784" s="13"/>
      <c r="V784" s="229"/>
      <c r="W784" s="13"/>
      <c r="X784" s="229"/>
      <c r="Y784" s="13"/>
      <c r="Z784" s="229"/>
      <c r="AA784" s="13"/>
      <c r="AB784" s="229">
        <f t="shared" si="290"/>
        <v>0</v>
      </c>
      <c r="AC784" s="228">
        <f t="shared" si="291"/>
        <v>0</v>
      </c>
      <c r="AD784" s="19">
        <v>1</v>
      </c>
      <c r="AE784" s="229"/>
      <c r="AF784" s="20"/>
      <c r="AG784" s="229"/>
      <c r="AH784" s="20"/>
      <c r="AI784" s="229"/>
      <c r="AJ784" s="20"/>
      <c r="AK784" s="229"/>
      <c r="AL784" s="20"/>
      <c r="AM784" s="229"/>
      <c r="AN784" s="20"/>
      <c r="AO784" s="229"/>
      <c r="AP784" s="20"/>
      <c r="AQ784" s="229"/>
      <c r="AR784" s="20"/>
      <c r="AS784" s="229"/>
      <c r="AT784" s="20"/>
      <c r="AU784" s="229"/>
      <c r="AV784" s="20"/>
      <c r="AW784" s="229"/>
      <c r="AX784" s="20"/>
      <c r="AY784" s="229"/>
      <c r="AZ784" s="20"/>
      <c r="BA784" s="229"/>
      <c r="BB784" s="20"/>
      <c r="BC784" s="229">
        <f t="shared" si="292"/>
        <v>0</v>
      </c>
      <c r="BD784" s="48">
        <f t="shared" si="293"/>
        <v>0</v>
      </c>
      <c r="BE784" s="19">
        <v>0</v>
      </c>
      <c r="BF784" s="229">
        <f t="shared" si="294"/>
        <v>0</v>
      </c>
      <c r="BG784" s="210">
        <f t="shared" si="295"/>
        <v>0</v>
      </c>
      <c r="BH784" s="210">
        <f t="shared" si="296"/>
        <v>1</v>
      </c>
      <c r="BI784" s="213">
        <f t="shared" si="297"/>
        <v>0</v>
      </c>
      <c r="BJ784" s="141"/>
      <c r="BK784" s="201"/>
      <c r="BL784" s="198"/>
      <c r="BM784" s="198"/>
    </row>
    <row r="785" spans="1:65" s="17" customFormat="1" ht="15.95" customHeight="1">
      <c r="A785" s="123">
        <v>14</v>
      </c>
      <c r="B785" s="9" t="s">
        <v>540</v>
      </c>
      <c r="C785" s="11" t="s">
        <v>1953</v>
      </c>
      <c r="D785" s="229"/>
      <c r="E785" s="13"/>
      <c r="F785" s="229"/>
      <c r="G785" s="13"/>
      <c r="H785" s="229"/>
      <c r="I785" s="13"/>
      <c r="J785" s="229"/>
      <c r="K785" s="13"/>
      <c r="L785" s="229"/>
      <c r="M785" s="13"/>
      <c r="N785" s="229"/>
      <c r="O785" s="13"/>
      <c r="P785" s="229"/>
      <c r="Q785" s="13"/>
      <c r="R785" s="229"/>
      <c r="S785" s="13"/>
      <c r="T785" s="229"/>
      <c r="U785" s="13"/>
      <c r="V785" s="229"/>
      <c r="W785" s="13"/>
      <c r="X785" s="229"/>
      <c r="Y785" s="13"/>
      <c r="Z785" s="229"/>
      <c r="AA785" s="13"/>
      <c r="AB785" s="229">
        <f t="shared" si="290"/>
        <v>0</v>
      </c>
      <c r="AC785" s="228">
        <f t="shared" si="291"/>
        <v>0</v>
      </c>
      <c r="AD785" s="21">
        <v>0</v>
      </c>
      <c r="AE785" s="229"/>
      <c r="AF785" s="20"/>
      <c r="AG785" s="229"/>
      <c r="AH785" s="20"/>
      <c r="AI785" s="229"/>
      <c r="AJ785" s="20"/>
      <c r="AK785" s="229"/>
      <c r="AL785" s="20"/>
      <c r="AM785" s="229"/>
      <c r="AN785" s="20"/>
      <c r="AO785" s="229">
        <v>2</v>
      </c>
      <c r="AP785" s="20">
        <v>2</v>
      </c>
      <c r="AQ785" s="229"/>
      <c r="AR785" s="20"/>
      <c r="AS785" s="229"/>
      <c r="AT785" s="20"/>
      <c r="AU785" s="229"/>
      <c r="AV785" s="20">
        <v>2</v>
      </c>
      <c r="AW785" s="229"/>
      <c r="AX785" s="20"/>
      <c r="AY785" s="229"/>
      <c r="AZ785" s="20"/>
      <c r="BA785" s="229"/>
      <c r="BB785" s="20"/>
      <c r="BC785" s="229">
        <f t="shared" si="292"/>
        <v>2</v>
      </c>
      <c r="BD785" s="48">
        <f t="shared" si="293"/>
        <v>4</v>
      </c>
      <c r="BE785" s="19">
        <v>2</v>
      </c>
      <c r="BF785" s="229">
        <f t="shared" si="294"/>
        <v>2</v>
      </c>
      <c r="BG785" s="210">
        <f t="shared" si="295"/>
        <v>4</v>
      </c>
      <c r="BH785" s="210">
        <f t="shared" si="296"/>
        <v>2</v>
      </c>
      <c r="BI785" s="213">
        <f t="shared" si="297"/>
        <v>200</v>
      </c>
      <c r="BJ785" s="141"/>
      <c r="BK785" s="201"/>
      <c r="BL785" s="198"/>
      <c r="BM785" s="198"/>
    </row>
    <row r="786" spans="1:65" s="17" customFormat="1" ht="21.95" customHeight="1">
      <c r="A786" s="123">
        <v>15</v>
      </c>
      <c r="B786" s="9" t="s">
        <v>1099</v>
      </c>
      <c r="C786" s="10" t="s">
        <v>2257</v>
      </c>
      <c r="D786" s="229"/>
      <c r="E786" s="13"/>
      <c r="F786" s="229"/>
      <c r="G786" s="13"/>
      <c r="H786" s="229">
        <v>1</v>
      </c>
      <c r="I786" s="13">
        <v>1</v>
      </c>
      <c r="J786" s="229"/>
      <c r="K786" s="13"/>
      <c r="L786" s="229"/>
      <c r="M786" s="13"/>
      <c r="N786" s="229"/>
      <c r="O786" s="13"/>
      <c r="P786" s="229"/>
      <c r="Q786" s="13"/>
      <c r="R786" s="229"/>
      <c r="S786" s="13"/>
      <c r="T786" s="229"/>
      <c r="U786" s="13"/>
      <c r="V786" s="229"/>
      <c r="W786" s="13"/>
      <c r="X786" s="229"/>
      <c r="Y786" s="13"/>
      <c r="Z786" s="229"/>
      <c r="AA786" s="13"/>
      <c r="AB786" s="229">
        <f t="shared" si="290"/>
        <v>1</v>
      </c>
      <c r="AC786" s="228">
        <f t="shared" si="291"/>
        <v>1</v>
      </c>
      <c r="AD786" s="19">
        <v>2</v>
      </c>
      <c r="AE786" s="229"/>
      <c r="AF786" s="20"/>
      <c r="AG786" s="229"/>
      <c r="AH786" s="20"/>
      <c r="AI786" s="229"/>
      <c r="AJ786" s="20"/>
      <c r="AK786" s="229"/>
      <c r="AL786" s="20"/>
      <c r="AM786" s="229"/>
      <c r="AN786" s="20"/>
      <c r="AO786" s="229"/>
      <c r="AP786" s="20"/>
      <c r="AQ786" s="229"/>
      <c r="AR786" s="20"/>
      <c r="AS786" s="229"/>
      <c r="AT786" s="20"/>
      <c r="AU786" s="229"/>
      <c r="AV786" s="20">
        <v>4</v>
      </c>
      <c r="AW786" s="229"/>
      <c r="AX786" s="20"/>
      <c r="AY786" s="229"/>
      <c r="AZ786" s="20"/>
      <c r="BA786" s="229"/>
      <c r="BB786" s="20">
        <v>1</v>
      </c>
      <c r="BC786" s="229">
        <f t="shared" si="292"/>
        <v>0</v>
      </c>
      <c r="BD786" s="48">
        <f t="shared" si="293"/>
        <v>5</v>
      </c>
      <c r="BE786" s="19">
        <v>10</v>
      </c>
      <c r="BF786" s="229">
        <f t="shared" si="294"/>
        <v>1</v>
      </c>
      <c r="BG786" s="210">
        <f t="shared" si="295"/>
        <v>6</v>
      </c>
      <c r="BH786" s="210">
        <f t="shared" si="296"/>
        <v>12</v>
      </c>
      <c r="BI786" s="213">
        <f t="shared" si="297"/>
        <v>50</v>
      </c>
      <c r="BJ786" s="141"/>
      <c r="BK786" s="201"/>
      <c r="BL786" s="198"/>
      <c r="BM786" s="198"/>
    </row>
    <row r="787" spans="1:65" s="17" customFormat="1" ht="15.95" customHeight="1">
      <c r="A787" s="123">
        <v>16</v>
      </c>
      <c r="B787" s="9" t="s">
        <v>2912</v>
      </c>
      <c r="C787" s="11" t="s">
        <v>2913</v>
      </c>
      <c r="D787" s="229"/>
      <c r="E787" s="13"/>
      <c r="F787" s="229"/>
      <c r="G787" s="13"/>
      <c r="H787" s="229"/>
      <c r="I787" s="13"/>
      <c r="J787" s="229"/>
      <c r="K787" s="13"/>
      <c r="L787" s="229"/>
      <c r="M787" s="13"/>
      <c r="N787" s="229"/>
      <c r="O787" s="13"/>
      <c r="P787" s="229"/>
      <c r="Q787" s="13"/>
      <c r="R787" s="229"/>
      <c r="S787" s="13"/>
      <c r="T787" s="229"/>
      <c r="U787" s="13"/>
      <c r="V787" s="229"/>
      <c r="W787" s="13"/>
      <c r="X787" s="229"/>
      <c r="Y787" s="13"/>
      <c r="Z787" s="229"/>
      <c r="AA787" s="13"/>
      <c r="AB787" s="229">
        <f t="shared" si="290"/>
        <v>0</v>
      </c>
      <c r="AC787" s="228">
        <f t="shared" si="291"/>
        <v>0</v>
      </c>
      <c r="AD787" s="19">
        <v>0</v>
      </c>
      <c r="AE787" s="229"/>
      <c r="AF787" s="20"/>
      <c r="AG787" s="229"/>
      <c r="AH787" s="20"/>
      <c r="AI787" s="229">
        <v>1</v>
      </c>
      <c r="AJ787" s="20">
        <v>1</v>
      </c>
      <c r="AK787" s="229"/>
      <c r="AL787" s="20"/>
      <c r="AM787" s="229"/>
      <c r="AN787" s="20"/>
      <c r="AO787" s="229"/>
      <c r="AP787" s="20"/>
      <c r="AQ787" s="229"/>
      <c r="AR787" s="20"/>
      <c r="AS787" s="229"/>
      <c r="AT787" s="20"/>
      <c r="AU787" s="229"/>
      <c r="AV787" s="20"/>
      <c r="AW787" s="229"/>
      <c r="AX787" s="20"/>
      <c r="AY787" s="229"/>
      <c r="AZ787" s="20"/>
      <c r="BA787" s="229"/>
      <c r="BB787" s="20"/>
      <c r="BC787" s="229">
        <f t="shared" si="292"/>
        <v>1</v>
      </c>
      <c r="BD787" s="48">
        <f t="shared" si="293"/>
        <v>1</v>
      </c>
      <c r="BE787" s="19">
        <v>0</v>
      </c>
      <c r="BF787" s="229">
        <f t="shared" si="294"/>
        <v>1</v>
      </c>
      <c r="BG787" s="210">
        <f t="shared" si="295"/>
        <v>1</v>
      </c>
      <c r="BH787" s="210">
        <f t="shared" si="296"/>
        <v>0</v>
      </c>
      <c r="BI787" s="213" t="e">
        <f t="shared" si="297"/>
        <v>#DIV/0!</v>
      </c>
      <c r="BJ787" s="141"/>
      <c r="BK787" s="201"/>
      <c r="BL787" s="198"/>
      <c r="BM787" s="198"/>
    </row>
    <row r="788" spans="1:65" s="17" customFormat="1" ht="15.95" customHeight="1">
      <c r="A788" s="123">
        <v>17</v>
      </c>
      <c r="B788" s="9" t="s">
        <v>1059</v>
      </c>
      <c r="C788" s="11" t="s">
        <v>1060</v>
      </c>
      <c r="D788" s="229"/>
      <c r="E788" s="13"/>
      <c r="F788" s="229"/>
      <c r="G788" s="13"/>
      <c r="H788" s="229"/>
      <c r="I788" s="13"/>
      <c r="J788" s="229"/>
      <c r="K788" s="13"/>
      <c r="L788" s="229"/>
      <c r="M788" s="13"/>
      <c r="N788" s="229"/>
      <c r="O788" s="13"/>
      <c r="P788" s="229"/>
      <c r="Q788" s="13"/>
      <c r="R788" s="229"/>
      <c r="S788" s="13"/>
      <c r="T788" s="229"/>
      <c r="U788" s="13"/>
      <c r="V788" s="229"/>
      <c r="W788" s="13"/>
      <c r="X788" s="229"/>
      <c r="Y788" s="13"/>
      <c r="Z788" s="229"/>
      <c r="AA788" s="13"/>
      <c r="AB788" s="229">
        <f t="shared" si="290"/>
        <v>0</v>
      </c>
      <c r="AC788" s="228">
        <f t="shared" si="291"/>
        <v>0</v>
      </c>
      <c r="AD788" s="19">
        <v>0</v>
      </c>
      <c r="AE788" s="229"/>
      <c r="AF788" s="20"/>
      <c r="AG788" s="229"/>
      <c r="AH788" s="20"/>
      <c r="AI788" s="229"/>
      <c r="AJ788" s="20"/>
      <c r="AK788" s="229"/>
      <c r="AL788" s="20"/>
      <c r="AM788" s="229"/>
      <c r="AN788" s="20"/>
      <c r="AO788" s="229"/>
      <c r="AP788" s="20"/>
      <c r="AQ788" s="229"/>
      <c r="AR788" s="20"/>
      <c r="AS788" s="229"/>
      <c r="AT788" s="20"/>
      <c r="AU788" s="229"/>
      <c r="AV788" s="20"/>
      <c r="AW788" s="229"/>
      <c r="AX788" s="20"/>
      <c r="AY788" s="229"/>
      <c r="AZ788" s="20"/>
      <c r="BA788" s="229"/>
      <c r="BB788" s="20"/>
      <c r="BC788" s="229">
        <f t="shared" si="292"/>
        <v>0</v>
      </c>
      <c r="BD788" s="48">
        <f t="shared" si="293"/>
        <v>0</v>
      </c>
      <c r="BE788" s="19">
        <v>1</v>
      </c>
      <c r="BF788" s="229">
        <f t="shared" si="294"/>
        <v>0</v>
      </c>
      <c r="BG788" s="210">
        <f t="shared" si="295"/>
        <v>0</v>
      </c>
      <c r="BH788" s="210">
        <f t="shared" si="296"/>
        <v>1</v>
      </c>
      <c r="BI788" s="213">
        <f t="shared" si="297"/>
        <v>0</v>
      </c>
      <c r="BJ788" s="141"/>
      <c r="BK788" s="201"/>
      <c r="BL788" s="198"/>
      <c r="BM788" s="198"/>
    </row>
    <row r="789" spans="1:65" s="17" customFormat="1" ht="15.95" customHeight="1">
      <c r="A789" s="123">
        <v>18</v>
      </c>
      <c r="B789" s="9" t="s">
        <v>2332</v>
      </c>
      <c r="C789" s="11" t="s">
        <v>2333</v>
      </c>
      <c r="D789" s="229"/>
      <c r="E789" s="13"/>
      <c r="F789" s="229"/>
      <c r="G789" s="13"/>
      <c r="H789" s="229"/>
      <c r="I789" s="13"/>
      <c r="J789" s="229"/>
      <c r="K789" s="13"/>
      <c r="L789" s="229"/>
      <c r="M789" s="13"/>
      <c r="N789" s="229"/>
      <c r="O789" s="13"/>
      <c r="P789" s="229"/>
      <c r="Q789" s="13"/>
      <c r="R789" s="229"/>
      <c r="S789" s="13"/>
      <c r="T789" s="229"/>
      <c r="U789" s="13"/>
      <c r="V789" s="229"/>
      <c r="W789" s="13"/>
      <c r="X789" s="229"/>
      <c r="Y789" s="13"/>
      <c r="Z789" s="229"/>
      <c r="AA789" s="13"/>
      <c r="AB789" s="229">
        <f t="shared" si="290"/>
        <v>0</v>
      </c>
      <c r="AC789" s="228">
        <f t="shared" si="291"/>
        <v>0</v>
      </c>
      <c r="AD789" s="21">
        <v>0</v>
      </c>
      <c r="AE789" s="229"/>
      <c r="AF789" s="20"/>
      <c r="AG789" s="229"/>
      <c r="AH789" s="20"/>
      <c r="AI789" s="229"/>
      <c r="AJ789" s="20"/>
      <c r="AK789" s="229"/>
      <c r="AL789" s="20"/>
      <c r="AM789" s="229"/>
      <c r="AN789" s="20"/>
      <c r="AO789" s="229"/>
      <c r="AP789" s="20"/>
      <c r="AQ789" s="229"/>
      <c r="AR789" s="20"/>
      <c r="AS789" s="229"/>
      <c r="AT789" s="20"/>
      <c r="AU789" s="229"/>
      <c r="AV789" s="20"/>
      <c r="AW789" s="229"/>
      <c r="AX789" s="20"/>
      <c r="AY789" s="229"/>
      <c r="AZ789" s="20"/>
      <c r="BA789" s="229"/>
      <c r="BB789" s="20"/>
      <c r="BC789" s="229">
        <f t="shared" si="292"/>
        <v>0</v>
      </c>
      <c r="BD789" s="48">
        <f t="shared" si="293"/>
        <v>0</v>
      </c>
      <c r="BE789" s="19">
        <v>1</v>
      </c>
      <c r="BF789" s="229">
        <f t="shared" si="294"/>
        <v>0</v>
      </c>
      <c r="BG789" s="210">
        <f t="shared" si="295"/>
        <v>0</v>
      </c>
      <c r="BH789" s="210">
        <f t="shared" si="296"/>
        <v>1</v>
      </c>
      <c r="BI789" s="213">
        <f t="shared" si="297"/>
        <v>0</v>
      </c>
      <c r="BJ789" s="141"/>
      <c r="BK789" s="201"/>
      <c r="BL789" s="198"/>
      <c r="BM789" s="198"/>
    </row>
    <row r="790" spans="1:65" s="17" customFormat="1" ht="15.95" customHeight="1">
      <c r="A790" s="123">
        <v>19</v>
      </c>
      <c r="B790" s="321" t="s">
        <v>1498</v>
      </c>
      <c r="C790" s="322" t="s">
        <v>1499</v>
      </c>
      <c r="D790" s="323"/>
      <c r="E790" s="324"/>
      <c r="F790" s="323"/>
      <c r="G790" s="324"/>
      <c r="H790" s="323"/>
      <c r="I790" s="324"/>
      <c r="J790" s="323"/>
      <c r="K790" s="324"/>
      <c r="L790" s="323"/>
      <c r="M790" s="324"/>
      <c r="N790" s="323"/>
      <c r="O790" s="324"/>
      <c r="P790" s="323"/>
      <c r="Q790" s="324"/>
      <c r="R790" s="323"/>
      <c r="S790" s="324"/>
      <c r="T790" s="323"/>
      <c r="U790" s="324"/>
      <c r="V790" s="323"/>
      <c r="W790" s="324"/>
      <c r="X790" s="323"/>
      <c r="Y790" s="324"/>
      <c r="Z790" s="323"/>
      <c r="AA790" s="324"/>
      <c r="AB790" s="323"/>
      <c r="AC790" s="228">
        <f t="shared" ref="AC790:AC821" si="298">E790+G790+I790+K790+M790+O790+Q790+S790+U790+W790+Y790+AA790</f>
        <v>0</v>
      </c>
      <c r="AD790" s="329">
        <v>0</v>
      </c>
      <c r="AE790" s="323"/>
      <c r="AF790" s="327"/>
      <c r="AG790" s="323"/>
      <c r="AH790" s="327"/>
      <c r="AI790" s="323"/>
      <c r="AJ790" s="327"/>
      <c r="AK790" s="323"/>
      <c r="AL790" s="327"/>
      <c r="AM790" s="323"/>
      <c r="AN790" s="327"/>
      <c r="AO790" s="323"/>
      <c r="AP790" s="327"/>
      <c r="AQ790" s="323"/>
      <c r="AR790" s="327"/>
      <c r="AS790" s="323"/>
      <c r="AT790" s="327"/>
      <c r="AU790" s="323"/>
      <c r="AV790" s="327"/>
      <c r="AW790" s="323"/>
      <c r="AX790" s="327"/>
      <c r="AY790" s="323"/>
      <c r="AZ790" s="327"/>
      <c r="BA790" s="323"/>
      <c r="BB790" s="327">
        <v>1</v>
      </c>
      <c r="BC790" s="323"/>
      <c r="BD790" s="48">
        <f t="shared" ref="BD790:BD821" si="299">AF790+AH790+AJ790+AL790+AN790+AP790+AR790+AT790+AV790+AX790+AZ790+BB790</f>
        <v>1</v>
      </c>
      <c r="BE790" s="326">
        <v>0</v>
      </c>
      <c r="BF790" s="323"/>
      <c r="BG790" s="210">
        <f t="shared" ref="BG790:BG821" si="300">AC790+BD790</f>
        <v>1</v>
      </c>
      <c r="BH790" s="210">
        <f t="shared" ref="BH790:BH821" si="301">AD790+BE790</f>
        <v>0</v>
      </c>
      <c r="BI790" s="213" t="e">
        <f t="shared" si="297"/>
        <v>#DIV/0!</v>
      </c>
      <c r="BJ790" s="141"/>
      <c r="BK790" s="201"/>
      <c r="BL790" s="198"/>
      <c r="BM790" s="198"/>
    </row>
    <row r="791" spans="1:65" s="17" customFormat="1" ht="15.95" customHeight="1">
      <c r="A791" s="123">
        <v>20</v>
      </c>
      <c r="B791" s="9" t="s">
        <v>478</v>
      </c>
      <c r="C791" s="11" t="s">
        <v>479</v>
      </c>
      <c r="D791" s="229"/>
      <c r="E791" s="13"/>
      <c r="F791" s="229"/>
      <c r="G791" s="13"/>
      <c r="H791" s="229"/>
      <c r="I791" s="13"/>
      <c r="J791" s="229"/>
      <c r="K791" s="13"/>
      <c r="L791" s="229"/>
      <c r="M791" s="13"/>
      <c r="N791" s="229"/>
      <c r="O791" s="13"/>
      <c r="P791" s="229"/>
      <c r="Q791" s="13"/>
      <c r="R791" s="229"/>
      <c r="S791" s="13"/>
      <c r="T791" s="229"/>
      <c r="U791" s="13"/>
      <c r="V791" s="229"/>
      <c r="W791" s="13"/>
      <c r="X791" s="229"/>
      <c r="Y791" s="13"/>
      <c r="Z791" s="229"/>
      <c r="AA791" s="13"/>
      <c r="AB791" s="229">
        <f t="shared" ref="AB791:AB822" si="302">D791+F791+H791+J791+L791+N791+P791+R791+T791+V791+X791+Z791</f>
        <v>0</v>
      </c>
      <c r="AC791" s="228">
        <f t="shared" si="298"/>
        <v>0</v>
      </c>
      <c r="AD791" s="21">
        <v>0</v>
      </c>
      <c r="AE791" s="229"/>
      <c r="AF791" s="20"/>
      <c r="AG791" s="229"/>
      <c r="AH791" s="20"/>
      <c r="AI791" s="229">
        <f>3+1</f>
        <v>4</v>
      </c>
      <c r="AJ791" s="20">
        <f>3+1</f>
        <v>4</v>
      </c>
      <c r="AK791" s="229"/>
      <c r="AL791" s="20"/>
      <c r="AM791" s="229"/>
      <c r="AN791" s="20"/>
      <c r="AO791" s="229"/>
      <c r="AP791" s="20"/>
      <c r="AQ791" s="229"/>
      <c r="AR791" s="20"/>
      <c r="AS791" s="229"/>
      <c r="AT791" s="20"/>
      <c r="AU791" s="229"/>
      <c r="AV791" s="20"/>
      <c r="AW791" s="229"/>
      <c r="AX791" s="20"/>
      <c r="AY791" s="229"/>
      <c r="AZ791" s="20"/>
      <c r="BA791" s="229"/>
      <c r="BB791" s="20">
        <v>1</v>
      </c>
      <c r="BC791" s="229">
        <f t="shared" ref="BC791:BC822" si="303">AE791+AG791+AI791+AK791+AM791+AO791+AQ791+AS791+AU791+AW791+AY791+BA791</f>
        <v>4</v>
      </c>
      <c r="BD791" s="48">
        <f t="shared" si="299"/>
        <v>5</v>
      </c>
      <c r="BE791" s="19">
        <v>1</v>
      </c>
      <c r="BF791" s="229">
        <f t="shared" ref="BF791:BF822" si="304">AB791+BC791</f>
        <v>4</v>
      </c>
      <c r="BG791" s="210">
        <f t="shared" si="300"/>
        <v>5</v>
      </c>
      <c r="BH791" s="210">
        <f t="shared" si="301"/>
        <v>1</v>
      </c>
      <c r="BI791" s="213">
        <f t="shared" si="297"/>
        <v>500</v>
      </c>
      <c r="BJ791" s="141"/>
      <c r="BK791" s="201"/>
      <c r="BL791" s="198"/>
      <c r="BM791" s="198"/>
    </row>
    <row r="792" spans="1:65" s="17" customFormat="1" ht="15.95" customHeight="1">
      <c r="A792" s="123">
        <v>21</v>
      </c>
      <c r="B792" s="9" t="s">
        <v>2914</v>
      </c>
      <c r="C792" s="11" t="s">
        <v>2915</v>
      </c>
      <c r="D792" s="229"/>
      <c r="E792" s="13"/>
      <c r="F792" s="229"/>
      <c r="G792" s="13"/>
      <c r="H792" s="229"/>
      <c r="I792" s="13"/>
      <c r="J792" s="229"/>
      <c r="K792" s="13"/>
      <c r="L792" s="229"/>
      <c r="M792" s="13"/>
      <c r="N792" s="229"/>
      <c r="O792" s="13"/>
      <c r="P792" s="229"/>
      <c r="Q792" s="13"/>
      <c r="R792" s="229"/>
      <c r="S792" s="13"/>
      <c r="T792" s="229"/>
      <c r="U792" s="13"/>
      <c r="V792" s="229"/>
      <c r="W792" s="13"/>
      <c r="X792" s="229"/>
      <c r="Y792" s="13"/>
      <c r="Z792" s="229"/>
      <c r="AA792" s="13"/>
      <c r="AB792" s="229">
        <f t="shared" si="302"/>
        <v>0</v>
      </c>
      <c r="AC792" s="228">
        <f t="shared" si="298"/>
        <v>0</v>
      </c>
      <c r="AD792" s="21">
        <v>0</v>
      </c>
      <c r="AE792" s="229"/>
      <c r="AF792" s="20"/>
      <c r="AG792" s="229"/>
      <c r="AH792" s="20"/>
      <c r="AI792" s="229">
        <v>2</v>
      </c>
      <c r="AJ792" s="20">
        <v>2</v>
      </c>
      <c r="AK792" s="229"/>
      <c r="AL792" s="20"/>
      <c r="AM792" s="229"/>
      <c r="AN792" s="20"/>
      <c r="AO792" s="229">
        <v>1</v>
      </c>
      <c r="AP792" s="20">
        <v>1</v>
      </c>
      <c r="AQ792" s="229"/>
      <c r="AR792" s="20"/>
      <c r="AS792" s="229"/>
      <c r="AT792" s="20"/>
      <c r="AU792" s="229"/>
      <c r="AV792" s="20">
        <v>1</v>
      </c>
      <c r="AW792" s="229"/>
      <c r="AX792" s="20"/>
      <c r="AY792" s="229"/>
      <c r="AZ792" s="20"/>
      <c r="BA792" s="229"/>
      <c r="BB792" s="20">
        <v>1</v>
      </c>
      <c r="BC792" s="229">
        <f t="shared" si="303"/>
        <v>3</v>
      </c>
      <c r="BD792" s="48">
        <f t="shared" si="299"/>
        <v>5</v>
      </c>
      <c r="BE792" s="19">
        <v>0</v>
      </c>
      <c r="BF792" s="229">
        <f t="shared" si="304"/>
        <v>3</v>
      </c>
      <c r="BG792" s="210">
        <f t="shared" si="300"/>
        <v>5</v>
      </c>
      <c r="BH792" s="210">
        <f t="shared" si="301"/>
        <v>0</v>
      </c>
      <c r="BI792" s="213" t="e">
        <f t="shared" si="297"/>
        <v>#DIV/0!</v>
      </c>
      <c r="BJ792" s="141"/>
      <c r="BK792" s="201"/>
      <c r="BL792" s="198"/>
      <c r="BM792" s="198"/>
    </row>
    <row r="793" spans="1:65" s="17" customFormat="1" ht="15.95" customHeight="1">
      <c r="A793" s="123">
        <v>22</v>
      </c>
      <c r="B793" s="9" t="s">
        <v>391</v>
      </c>
      <c r="C793" s="11" t="s">
        <v>2595</v>
      </c>
      <c r="D793" s="229"/>
      <c r="E793" s="13"/>
      <c r="F793" s="229"/>
      <c r="G793" s="13"/>
      <c r="H793" s="229"/>
      <c r="I793" s="13"/>
      <c r="J793" s="229"/>
      <c r="K793" s="13"/>
      <c r="L793" s="229"/>
      <c r="M793" s="13"/>
      <c r="N793" s="229"/>
      <c r="O793" s="13"/>
      <c r="P793" s="229"/>
      <c r="Q793" s="13"/>
      <c r="R793" s="229"/>
      <c r="S793" s="13"/>
      <c r="T793" s="229"/>
      <c r="U793" s="13"/>
      <c r="V793" s="229"/>
      <c r="W793" s="13"/>
      <c r="X793" s="229"/>
      <c r="Y793" s="13"/>
      <c r="Z793" s="229"/>
      <c r="AA793" s="13"/>
      <c r="AB793" s="229">
        <f t="shared" si="302"/>
        <v>0</v>
      </c>
      <c r="AC793" s="228">
        <f t="shared" si="298"/>
        <v>0</v>
      </c>
      <c r="AD793" s="21">
        <v>0</v>
      </c>
      <c r="AE793" s="229"/>
      <c r="AF793" s="20"/>
      <c r="AG793" s="229"/>
      <c r="AH793" s="20"/>
      <c r="AI793" s="229">
        <v>1</v>
      </c>
      <c r="AJ793" s="20">
        <v>1</v>
      </c>
      <c r="AK793" s="229"/>
      <c r="AL793" s="20"/>
      <c r="AM793" s="229"/>
      <c r="AN793" s="20"/>
      <c r="AO793" s="229">
        <v>3</v>
      </c>
      <c r="AP793" s="20">
        <v>3</v>
      </c>
      <c r="AQ793" s="229"/>
      <c r="AR793" s="20"/>
      <c r="AS793" s="229"/>
      <c r="AT793" s="20"/>
      <c r="AU793" s="229"/>
      <c r="AV793" s="20">
        <v>1</v>
      </c>
      <c r="AW793" s="229"/>
      <c r="AX793" s="20"/>
      <c r="AY793" s="229"/>
      <c r="AZ793" s="20"/>
      <c r="BA793" s="229"/>
      <c r="BB793" s="20">
        <v>1</v>
      </c>
      <c r="BC793" s="229">
        <f t="shared" si="303"/>
        <v>4</v>
      </c>
      <c r="BD793" s="48">
        <f t="shared" si="299"/>
        <v>6</v>
      </c>
      <c r="BE793" s="19">
        <v>2</v>
      </c>
      <c r="BF793" s="229">
        <f t="shared" si="304"/>
        <v>4</v>
      </c>
      <c r="BG793" s="210">
        <f t="shared" si="300"/>
        <v>6</v>
      </c>
      <c r="BH793" s="210">
        <f t="shared" si="301"/>
        <v>2</v>
      </c>
      <c r="BI793" s="213">
        <f t="shared" si="297"/>
        <v>300</v>
      </c>
      <c r="BJ793" s="141"/>
      <c r="BK793" s="201"/>
      <c r="BL793" s="198"/>
      <c r="BM793" s="198"/>
    </row>
    <row r="794" spans="1:65" s="17" customFormat="1" ht="15.95" customHeight="1">
      <c r="A794" s="123">
        <v>23</v>
      </c>
      <c r="B794" s="9" t="s">
        <v>392</v>
      </c>
      <c r="C794" s="11" t="s">
        <v>393</v>
      </c>
      <c r="D794" s="229"/>
      <c r="E794" s="13"/>
      <c r="F794" s="229"/>
      <c r="G794" s="13"/>
      <c r="H794" s="229"/>
      <c r="I794" s="13"/>
      <c r="J794" s="229"/>
      <c r="K794" s="13"/>
      <c r="L794" s="229"/>
      <c r="M794" s="13"/>
      <c r="N794" s="229"/>
      <c r="O794" s="13"/>
      <c r="P794" s="229"/>
      <c r="Q794" s="13"/>
      <c r="R794" s="229"/>
      <c r="S794" s="13"/>
      <c r="T794" s="229"/>
      <c r="U794" s="13"/>
      <c r="V794" s="229"/>
      <c r="W794" s="13"/>
      <c r="X794" s="229"/>
      <c r="Y794" s="13"/>
      <c r="Z794" s="229"/>
      <c r="AA794" s="13"/>
      <c r="AB794" s="229">
        <f t="shared" si="302"/>
        <v>0</v>
      </c>
      <c r="AC794" s="228">
        <f t="shared" si="298"/>
        <v>0</v>
      </c>
      <c r="AD794" s="21">
        <v>0</v>
      </c>
      <c r="AE794" s="229"/>
      <c r="AF794" s="20"/>
      <c r="AG794" s="229"/>
      <c r="AH794" s="20"/>
      <c r="AI794" s="229"/>
      <c r="AJ794" s="20"/>
      <c r="AK794" s="229"/>
      <c r="AL794" s="20"/>
      <c r="AM794" s="229"/>
      <c r="AN794" s="20"/>
      <c r="AO794" s="229">
        <v>1</v>
      </c>
      <c r="AP794" s="20">
        <v>1</v>
      </c>
      <c r="AQ794" s="229"/>
      <c r="AR794" s="20"/>
      <c r="AS794" s="229"/>
      <c r="AT794" s="20"/>
      <c r="AU794" s="229"/>
      <c r="AV794" s="20">
        <v>3</v>
      </c>
      <c r="AW794" s="229"/>
      <c r="AX794" s="20"/>
      <c r="AY794" s="229"/>
      <c r="AZ794" s="20"/>
      <c r="BA794" s="229"/>
      <c r="BB794" s="20">
        <v>1</v>
      </c>
      <c r="BC794" s="229">
        <f t="shared" si="303"/>
        <v>1</v>
      </c>
      <c r="BD794" s="48">
        <f t="shared" si="299"/>
        <v>5</v>
      </c>
      <c r="BE794" s="19">
        <v>8</v>
      </c>
      <c r="BF794" s="229">
        <f t="shared" si="304"/>
        <v>1</v>
      </c>
      <c r="BG794" s="210">
        <f t="shared" si="300"/>
        <v>5</v>
      </c>
      <c r="BH794" s="210">
        <f t="shared" si="301"/>
        <v>8</v>
      </c>
      <c r="BI794" s="213">
        <f t="shared" si="297"/>
        <v>62.5</v>
      </c>
      <c r="BJ794" s="141"/>
      <c r="BK794" s="201"/>
      <c r="BL794" s="198"/>
      <c r="BM794" s="198"/>
    </row>
    <row r="795" spans="1:65" s="17" customFormat="1" ht="15.95" customHeight="1">
      <c r="A795" s="123">
        <v>24</v>
      </c>
      <c r="B795" s="9" t="s">
        <v>527</v>
      </c>
      <c r="C795" s="11" t="s">
        <v>528</v>
      </c>
      <c r="D795" s="229"/>
      <c r="E795" s="13"/>
      <c r="F795" s="229"/>
      <c r="G795" s="13"/>
      <c r="H795" s="229"/>
      <c r="I795" s="13"/>
      <c r="J795" s="229"/>
      <c r="K795" s="13"/>
      <c r="L795" s="229"/>
      <c r="M795" s="13"/>
      <c r="N795" s="229"/>
      <c r="O795" s="13"/>
      <c r="P795" s="229"/>
      <c r="Q795" s="13"/>
      <c r="R795" s="229"/>
      <c r="S795" s="13"/>
      <c r="T795" s="229"/>
      <c r="U795" s="13"/>
      <c r="V795" s="229"/>
      <c r="W795" s="13"/>
      <c r="X795" s="229"/>
      <c r="Y795" s="13"/>
      <c r="Z795" s="229"/>
      <c r="AA795" s="13"/>
      <c r="AB795" s="229">
        <f t="shared" si="302"/>
        <v>0</v>
      </c>
      <c r="AC795" s="228">
        <f t="shared" si="298"/>
        <v>0</v>
      </c>
      <c r="AD795" s="21">
        <v>0</v>
      </c>
      <c r="AE795" s="229"/>
      <c r="AF795" s="20"/>
      <c r="AG795" s="229"/>
      <c r="AH795" s="20"/>
      <c r="AI795" s="229"/>
      <c r="AJ795" s="20"/>
      <c r="AK795" s="229"/>
      <c r="AL795" s="20"/>
      <c r="AM795" s="229"/>
      <c r="AN795" s="20"/>
      <c r="AO795" s="229"/>
      <c r="AP795" s="20"/>
      <c r="AQ795" s="229"/>
      <c r="AR795" s="20"/>
      <c r="AS795" s="229"/>
      <c r="AT795" s="20"/>
      <c r="AU795" s="229"/>
      <c r="AV795" s="20"/>
      <c r="AW795" s="229"/>
      <c r="AX795" s="20"/>
      <c r="AY795" s="229"/>
      <c r="AZ795" s="20"/>
      <c r="BA795" s="229"/>
      <c r="BB795" s="20"/>
      <c r="BC795" s="229">
        <f t="shared" si="303"/>
        <v>0</v>
      </c>
      <c r="BD795" s="48">
        <f t="shared" si="299"/>
        <v>0</v>
      </c>
      <c r="BE795" s="19">
        <v>1</v>
      </c>
      <c r="BF795" s="229">
        <f t="shared" si="304"/>
        <v>0</v>
      </c>
      <c r="BG795" s="210">
        <f t="shared" si="300"/>
        <v>0</v>
      </c>
      <c r="BH795" s="210">
        <f t="shared" si="301"/>
        <v>1</v>
      </c>
      <c r="BI795" s="213">
        <f t="shared" si="297"/>
        <v>0</v>
      </c>
      <c r="BJ795" s="141"/>
      <c r="BK795" s="201"/>
      <c r="BL795" s="198"/>
      <c r="BM795" s="198"/>
    </row>
    <row r="796" spans="1:65" s="17" customFormat="1" ht="15.95" customHeight="1">
      <c r="A796" s="123">
        <v>25</v>
      </c>
      <c r="B796" s="9" t="s">
        <v>952</v>
      </c>
      <c r="C796" s="11" t="s">
        <v>953</v>
      </c>
      <c r="D796" s="229"/>
      <c r="E796" s="13"/>
      <c r="F796" s="229"/>
      <c r="G796" s="13"/>
      <c r="H796" s="229"/>
      <c r="I796" s="13"/>
      <c r="J796" s="229"/>
      <c r="K796" s="13"/>
      <c r="L796" s="229"/>
      <c r="M796" s="13"/>
      <c r="N796" s="229"/>
      <c r="O796" s="13"/>
      <c r="P796" s="229"/>
      <c r="Q796" s="13"/>
      <c r="R796" s="229"/>
      <c r="S796" s="13"/>
      <c r="T796" s="229"/>
      <c r="U796" s="13"/>
      <c r="V796" s="229"/>
      <c r="W796" s="13"/>
      <c r="X796" s="229"/>
      <c r="Y796" s="13"/>
      <c r="Z796" s="229"/>
      <c r="AA796" s="13"/>
      <c r="AB796" s="229">
        <f t="shared" si="302"/>
        <v>0</v>
      </c>
      <c r="AC796" s="228">
        <f t="shared" si="298"/>
        <v>0</v>
      </c>
      <c r="AD796" s="19">
        <v>0</v>
      </c>
      <c r="AE796" s="229"/>
      <c r="AF796" s="20"/>
      <c r="AG796" s="229"/>
      <c r="AH796" s="20"/>
      <c r="AI796" s="229">
        <v>2</v>
      </c>
      <c r="AJ796" s="20">
        <v>2</v>
      </c>
      <c r="AK796" s="229"/>
      <c r="AL796" s="20"/>
      <c r="AM796" s="229"/>
      <c r="AN796" s="20"/>
      <c r="AO796" s="229"/>
      <c r="AP796" s="20"/>
      <c r="AQ796" s="229"/>
      <c r="AR796" s="20"/>
      <c r="AS796" s="229"/>
      <c r="AT796" s="20"/>
      <c r="AU796" s="229"/>
      <c r="AV796" s="20"/>
      <c r="AW796" s="229"/>
      <c r="AX796" s="20"/>
      <c r="AY796" s="229"/>
      <c r="AZ796" s="20"/>
      <c r="BA796" s="229"/>
      <c r="BB796" s="20"/>
      <c r="BC796" s="229">
        <f t="shared" si="303"/>
        <v>2</v>
      </c>
      <c r="BD796" s="48">
        <f t="shared" si="299"/>
        <v>2</v>
      </c>
      <c r="BE796" s="19">
        <v>1</v>
      </c>
      <c r="BF796" s="229">
        <f t="shared" si="304"/>
        <v>2</v>
      </c>
      <c r="BG796" s="210">
        <f t="shared" si="300"/>
        <v>2</v>
      </c>
      <c r="BH796" s="210">
        <f t="shared" si="301"/>
        <v>1</v>
      </c>
      <c r="BI796" s="213">
        <f t="shared" si="297"/>
        <v>200</v>
      </c>
      <c r="BJ796" s="141"/>
      <c r="BK796" s="201"/>
      <c r="BL796" s="198"/>
      <c r="BM796" s="198"/>
    </row>
    <row r="797" spans="1:65" s="17" customFormat="1" ht="15.95" customHeight="1">
      <c r="A797" s="123">
        <v>26</v>
      </c>
      <c r="B797" s="9" t="s">
        <v>1406</v>
      </c>
      <c r="C797" s="11" t="s">
        <v>1407</v>
      </c>
      <c r="D797" s="229"/>
      <c r="E797" s="13"/>
      <c r="F797" s="229"/>
      <c r="G797" s="13"/>
      <c r="H797" s="229"/>
      <c r="I797" s="13"/>
      <c r="J797" s="229"/>
      <c r="K797" s="13"/>
      <c r="L797" s="229"/>
      <c r="M797" s="13"/>
      <c r="N797" s="229"/>
      <c r="O797" s="13"/>
      <c r="P797" s="229"/>
      <c r="Q797" s="13"/>
      <c r="R797" s="229"/>
      <c r="S797" s="13"/>
      <c r="T797" s="229"/>
      <c r="U797" s="13"/>
      <c r="V797" s="229"/>
      <c r="W797" s="13"/>
      <c r="X797" s="229"/>
      <c r="Y797" s="13"/>
      <c r="Z797" s="229"/>
      <c r="AA797" s="13"/>
      <c r="AB797" s="229">
        <f t="shared" si="302"/>
        <v>0</v>
      </c>
      <c r="AC797" s="228">
        <f t="shared" si="298"/>
        <v>0</v>
      </c>
      <c r="AD797" s="19">
        <v>0</v>
      </c>
      <c r="AE797" s="229"/>
      <c r="AF797" s="20"/>
      <c r="AG797" s="229"/>
      <c r="AH797" s="20"/>
      <c r="AI797" s="229">
        <v>1</v>
      </c>
      <c r="AJ797" s="20">
        <v>1</v>
      </c>
      <c r="AK797" s="229"/>
      <c r="AL797" s="20"/>
      <c r="AM797" s="229"/>
      <c r="AN797" s="20"/>
      <c r="AO797" s="229"/>
      <c r="AP797" s="20"/>
      <c r="AQ797" s="229"/>
      <c r="AR797" s="20"/>
      <c r="AS797" s="229"/>
      <c r="AT797" s="20"/>
      <c r="AU797" s="229"/>
      <c r="AV797" s="20"/>
      <c r="AW797" s="229"/>
      <c r="AX797" s="20"/>
      <c r="AY797" s="229"/>
      <c r="AZ797" s="20"/>
      <c r="BA797" s="229"/>
      <c r="BB797" s="20"/>
      <c r="BC797" s="229">
        <f t="shared" si="303"/>
        <v>1</v>
      </c>
      <c r="BD797" s="48">
        <f t="shared" si="299"/>
        <v>1</v>
      </c>
      <c r="BE797" s="19">
        <v>0</v>
      </c>
      <c r="BF797" s="229">
        <f t="shared" si="304"/>
        <v>1</v>
      </c>
      <c r="BG797" s="210">
        <f t="shared" si="300"/>
        <v>1</v>
      </c>
      <c r="BH797" s="210">
        <f t="shared" si="301"/>
        <v>0</v>
      </c>
      <c r="BI797" s="213" t="e">
        <f t="shared" si="297"/>
        <v>#DIV/0!</v>
      </c>
      <c r="BJ797" s="141"/>
      <c r="BK797" s="201"/>
      <c r="BL797" s="198"/>
      <c r="BM797" s="198"/>
    </row>
    <row r="798" spans="1:65" s="17" customFormat="1" ht="15.95" customHeight="1">
      <c r="A798" s="123">
        <v>27</v>
      </c>
      <c r="B798" s="9" t="s">
        <v>18</v>
      </c>
      <c r="C798" s="11" t="s">
        <v>19</v>
      </c>
      <c r="D798" s="229"/>
      <c r="E798" s="13"/>
      <c r="F798" s="229"/>
      <c r="G798" s="13"/>
      <c r="H798" s="229"/>
      <c r="I798" s="13"/>
      <c r="J798" s="229"/>
      <c r="K798" s="13"/>
      <c r="L798" s="229"/>
      <c r="M798" s="13"/>
      <c r="N798" s="229"/>
      <c r="O798" s="13"/>
      <c r="P798" s="229"/>
      <c r="Q798" s="13"/>
      <c r="R798" s="229"/>
      <c r="S798" s="13"/>
      <c r="T798" s="229"/>
      <c r="U798" s="13"/>
      <c r="V798" s="229"/>
      <c r="W798" s="13"/>
      <c r="X798" s="229"/>
      <c r="Y798" s="13"/>
      <c r="Z798" s="229"/>
      <c r="AA798" s="13"/>
      <c r="AB798" s="229">
        <f t="shared" si="302"/>
        <v>0</v>
      </c>
      <c r="AC798" s="228">
        <f t="shared" si="298"/>
        <v>0</v>
      </c>
      <c r="AD798" s="21">
        <v>0</v>
      </c>
      <c r="AE798" s="229"/>
      <c r="AF798" s="20"/>
      <c r="AG798" s="229"/>
      <c r="AH798" s="20"/>
      <c r="AI798" s="229"/>
      <c r="AJ798" s="20"/>
      <c r="AK798" s="229"/>
      <c r="AL798" s="20"/>
      <c r="AM798" s="229"/>
      <c r="AN798" s="20"/>
      <c r="AO798" s="229"/>
      <c r="AP798" s="20"/>
      <c r="AQ798" s="229"/>
      <c r="AR798" s="20"/>
      <c r="AS798" s="229"/>
      <c r="AT798" s="20"/>
      <c r="AU798" s="229"/>
      <c r="AV798" s="20"/>
      <c r="AW798" s="229"/>
      <c r="AX798" s="20"/>
      <c r="AY798" s="229"/>
      <c r="AZ798" s="20"/>
      <c r="BA798" s="229"/>
      <c r="BB798" s="20"/>
      <c r="BC798" s="229">
        <f t="shared" si="303"/>
        <v>0</v>
      </c>
      <c r="BD798" s="48">
        <f t="shared" si="299"/>
        <v>0</v>
      </c>
      <c r="BE798" s="19">
        <v>1</v>
      </c>
      <c r="BF798" s="229">
        <f t="shared" si="304"/>
        <v>0</v>
      </c>
      <c r="BG798" s="210">
        <f t="shared" si="300"/>
        <v>0</v>
      </c>
      <c r="BH798" s="210">
        <f t="shared" si="301"/>
        <v>1</v>
      </c>
      <c r="BI798" s="213">
        <f t="shared" si="297"/>
        <v>0</v>
      </c>
      <c r="BJ798" s="141"/>
      <c r="BK798" s="201"/>
      <c r="BL798" s="198"/>
      <c r="BM798" s="198"/>
    </row>
    <row r="799" spans="1:65" s="17" customFormat="1" ht="15.95" customHeight="1">
      <c r="A799" s="123">
        <v>28</v>
      </c>
      <c r="B799" s="9" t="s">
        <v>474</v>
      </c>
      <c r="C799" s="11" t="s">
        <v>1641</v>
      </c>
      <c r="D799" s="229"/>
      <c r="E799" s="13"/>
      <c r="F799" s="229"/>
      <c r="G799" s="13"/>
      <c r="H799" s="229">
        <v>12</v>
      </c>
      <c r="I799" s="13">
        <v>13</v>
      </c>
      <c r="J799" s="229"/>
      <c r="K799" s="13"/>
      <c r="L799" s="229"/>
      <c r="M799" s="13"/>
      <c r="N799" s="229"/>
      <c r="O799" s="13"/>
      <c r="P799" s="229"/>
      <c r="Q799" s="13"/>
      <c r="R799" s="229"/>
      <c r="S799" s="13"/>
      <c r="T799" s="229"/>
      <c r="U799" s="13">
        <v>21</v>
      </c>
      <c r="V799" s="229"/>
      <c r="W799" s="13"/>
      <c r="X799" s="229"/>
      <c r="Y799" s="13"/>
      <c r="Z799" s="229"/>
      <c r="AA799" s="13"/>
      <c r="AB799" s="229">
        <f t="shared" si="302"/>
        <v>12</v>
      </c>
      <c r="AC799" s="228">
        <f t="shared" si="298"/>
        <v>34</v>
      </c>
      <c r="AD799" s="21">
        <v>59</v>
      </c>
      <c r="AE799" s="229"/>
      <c r="AF799" s="20"/>
      <c r="AG799" s="229"/>
      <c r="AH799" s="20"/>
      <c r="AI799" s="229"/>
      <c r="AJ799" s="20"/>
      <c r="AK799" s="229"/>
      <c r="AL799" s="20"/>
      <c r="AM799" s="229"/>
      <c r="AN799" s="20"/>
      <c r="AO799" s="229">
        <f>1+8</f>
        <v>9</v>
      </c>
      <c r="AP799" s="20">
        <f>1+10</f>
        <v>11</v>
      </c>
      <c r="AQ799" s="229"/>
      <c r="AR799" s="20"/>
      <c r="AS799" s="229"/>
      <c r="AT799" s="20"/>
      <c r="AU799" s="229"/>
      <c r="AV799" s="20"/>
      <c r="AW799" s="229"/>
      <c r="AX799" s="20"/>
      <c r="AY799" s="229"/>
      <c r="AZ799" s="20"/>
      <c r="BA799" s="229"/>
      <c r="BB799" s="20"/>
      <c r="BC799" s="229">
        <f t="shared" si="303"/>
        <v>9</v>
      </c>
      <c r="BD799" s="48">
        <f t="shared" si="299"/>
        <v>11</v>
      </c>
      <c r="BE799" s="19">
        <v>1</v>
      </c>
      <c r="BF799" s="229">
        <f t="shared" si="304"/>
        <v>21</v>
      </c>
      <c r="BG799" s="210">
        <f t="shared" si="300"/>
        <v>45</v>
      </c>
      <c r="BH799" s="210">
        <f t="shared" si="301"/>
        <v>60</v>
      </c>
      <c r="BI799" s="213">
        <f t="shared" si="297"/>
        <v>75</v>
      </c>
      <c r="BJ799" s="141"/>
      <c r="BK799" s="201"/>
      <c r="BL799" s="198"/>
      <c r="BM799" s="198"/>
    </row>
    <row r="800" spans="1:65" s="17" customFormat="1" ht="15.95" customHeight="1">
      <c r="A800" s="123">
        <v>29</v>
      </c>
      <c r="B800" s="9" t="s">
        <v>541</v>
      </c>
      <c r="C800" s="11" t="s">
        <v>542</v>
      </c>
      <c r="D800" s="229"/>
      <c r="E800" s="13"/>
      <c r="F800" s="229"/>
      <c r="G800" s="13"/>
      <c r="H800" s="229"/>
      <c r="I800" s="13"/>
      <c r="J800" s="229"/>
      <c r="K800" s="13"/>
      <c r="L800" s="229"/>
      <c r="M800" s="13"/>
      <c r="N800" s="229"/>
      <c r="O800" s="13"/>
      <c r="P800" s="229"/>
      <c r="Q800" s="13"/>
      <c r="R800" s="229"/>
      <c r="S800" s="13"/>
      <c r="T800" s="229"/>
      <c r="U800" s="13"/>
      <c r="V800" s="229"/>
      <c r="W800" s="13"/>
      <c r="X800" s="229"/>
      <c r="Y800" s="13"/>
      <c r="Z800" s="229"/>
      <c r="AA800" s="13"/>
      <c r="AB800" s="229">
        <f t="shared" si="302"/>
        <v>0</v>
      </c>
      <c r="AC800" s="228">
        <f t="shared" si="298"/>
        <v>0</v>
      </c>
      <c r="AD800" s="21">
        <v>0</v>
      </c>
      <c r="AE800" s="229"/>
      <c r="AF800" s="20"/>
      <c r="AG800" s="229"/>
      <c r="AH800" s="20"/>
      <c r="AI800" s="229">
        <v>1</v>
      </c>
      <c r="AJ800" s="20">
        <v>2</v>
      </c>
      <c r="AK800" s="229"/>
      <c r="AL800" s="20"/>
      <c r="AM800" s="229"/>
      <c r="AN800" s="20"/>
      <c r="AO800" s="229"/>
      <c r="AP800" s="20"/>
      <c r="AQ800" s="229"/>
      <c r="AR800" s="20"/>
      <c r="AS800" s="229"/>
      <c r="AT800" s="20"/>
      <c r="AU800" s="229"/>
      <c r="AV800" s="20">
        <v>4</v>
      </c>
      <c r="AW800" s="229"/>
      <c r="AX800" s="20"/>
      <c r="AY800" s="229"/>
      <c r="AZ800" s="20"/>
      <c r="BA800" s="229"/>
      <c r="BB800" s="20"/>
      <c r="BC800" s="229">
        <f t="shared" si="303"/>
        <v>1</v>
      </c>
      <c r="BD800" s="48">
        <f t="shared" si="299"/>
        <v>6</v>
      </c>
      <c r="BE800" s="19">
        <v>6</v>
      </c>
      <c r="BF800" s="229">
        <f t="shared" si="304"/>
        <v>1</v>
      </c>
      <c r="BG800" s="210">
        <f t="shared" si="300"/>
        <v>6</v>
      </c>
      <c r="BH800" s="210">
        <f t="shared" si="301"/>
        <v>6</v>
      </c>
      <c r="BI800" s="213">
        <f t="shared" si="297"/>
        <v>100</v>
      </c>
      <c r="BJ800" s="141"/>
      <c r="BK800" s="201"/>
      <c r="BL800" s="198"/>
      <c r="BM800" s="198"/>
    </row>
    <row r="801" spans="1:65" s="17" customFormat="1" ht="15.95" customHeight="1">
      <c r="A801" s="123">
        <v>30</v>
      </c>
      <c r="B801" s="9" t="s">
        <v>1569</v>
      </c>
      <c r="C801" s="181" t="s">
        <v>1570</v>
      </c>
      <c r="D801" s="229"/>
      <c r="E801" s="13"/>
      <c r="F801" s="229"/>
      <c r="G801" s="13"/>
      <c r="H801" s="229"/>
      <c r="I801" s="13"/>
      <c r="J801" s="229"/>
      <c r="K801" s="13"/>
      <c r="L801" s="229"/>
      <c r="M801" s="13"/>
      <c r="N801" s="229"/>
      <c r="O801" s="13"/>
      <c r="P801" s="229"/>
      <c r="Q801" s="13"/>
      <c r="R801" s="229"/>
      <c r="S801" s="13"/>
      <c r="T801" s="229"/>
      <c r="U801" s="13"/>
      <c r="V801" s="229"/>
      <c r="W801" s="13"/>
      <c r="X801" s="229"/>
      <c r="Y801" s="13"/>
      <c r="Z801" s="229"/>
      <c r="AA801" s="13"/>
      <c r="AB801" s="229">
        <f t="shared" si="302"/>
        <v>0</v>
      </c>
      <c r="AC801" s="228">
        <f t="shared" si="298"/>
        <v>0</v>
      </c>
      <c r="AD801" s="21">
        <v>0</v>
      </c>
      <c r="AE801" s="229"/>
      <c r="AF801" s="20"/>
      <c r="AG801" s="229"/>
      <c r="AH801" s="20"/>
      <c r="AI801" s="229">
        <v>5</v>
      </c>
      <c r="AJ801" s="20">
        <v>5</v>
      </c>
      <c r="AK801" s="229"/>
      <c r="AL801" s="20"/>
      <c r="AM801" s="229"/>
      <c r="AN801" s="20"/>
      <c r="AO801" s="229">
        <v>2</v>
      </c>
      <c r="AP801" s="20">
        <v>3</v>
      </c>
      <c r="AQ801" s="229"/>
      <c r="AR801" s="20"/>
      <c r="AS801" s="229"/>
      <c r="AT801" s="20"/>
      <c r="AU801" s="229"/>
      <c r="AV801" s="20">
        <v>1</v>
      </c>
      <c r="AW801" s="229"/>
      <c r="AX801" s="20"/>
      <c r="AY801" s="229"/>
      <c r="AZ801" s="20"/>
      <c r="BA801" s="229"/>
      <c r="BB801" s="20"/>
      <c r="BC801" s="229">
        <f t="shared" si="303"/>
        <v>7</v>
      </c>
      <c r="BD801" s="48">
        <f t="shared" si="299"/>
        <v>9</v>
      </c>
      <c r="BE801" s="19">
        <v>2</v>
      </c>
      <c r="BF801" s="229">
        <f t="shared" si="304"/>
        <v>7</v>
      </c>
      <c r="BG801" s="210">
        <f t="shared" si="300"/>
        <v>9</v>
      </c>
      <c r="BH801" s="210">
        <f t="shared" si="301"/>
        <v>2</v>
      </c>
      <c r="BI801" s="213">
        <f t="shared" si="297"/>
        <v>450</v>
      </c>
      <c r="BJ801" s="141"/>
      <c r="BK801" s="201"/>
      <c r="BL801" s="198"/>
      <c r="BM801" s="198"/>
    </row>
    <row r="802" spans="1:65" s="17" customFormat="1" ht="15.95" customHeight="1">
      <c r="A802" s="123">
        <v>31</v>
      </c>
      <c r="B802" s="9" t="s">
        <v>394</v>
      </c>
      <c r="C802" s="11" t="s">
        <v>395</v>
      </c>
      <c r="D802" s="229"/>
      <c r="E802" s="13"/>
      <c r="F802" s="229"/>
      <c r="G802" s="13"/>
      <c r="H802" s="229"/>
      <c r="I802" s="13"/>
      <c r="J802" s="229"/>
      <c r="K802" s="13"/>
      <c r="L802" s="229"/>
      <c r="M802" s="13"/>
      <c r="N802" s="229"/>
      <c r="O802" s="13"/>
      <c r="P802" s="229"/>
      <c r="Q802" s="13"/>
      <c r="R802" s="229"/>
      <c r="S802" s="13"/>
      <c r="T802" s="229"/>
      <c r="U802" s="13"/>
      <c r="V802" s="229"/>
      <c r="W802" s="13"/>
      <c r="X802" s="229"/>
      <c r="Y802" s="13"/>
      <c r="Z802" s="229"/>
      <c r="AA802" s="13"/>
      <c r="AB802" s="229">
        <f t="shared" si="302"/>
        <v>0</v>
      </c>
      <c r="AC802" s="228">
        <f t="shared" si="298"/>
        <v>0</v>
      </c>
      <c r="AD802" s="21">
        <v>0</v>
      </c>
      <c r="AE802" s="229"/>
      <c r="AF802" s="20"/>
      <c r="AG802" s="229"/>
      <c r="AH802" s="20"/>
      <c r="AI802" s="229">
        <v>5</v>
      </c>
      <c r="AJ802" s="20">
        <v>6</v>
      </c>
      <c r="AK802" s="229"/>
      <c r="AL802" s="20"/>
      <c r="AM802" s="229"/>
      <c r="AN802" s="20"/>
      <c r="AO802" s="229">
        <v>10</v>
      </c>
      <c r="AP802" s="20">
        <v>10</v>
      </c>
      <c r="AQ802" s="229"/>
      <c r="AR802" s="20"/>
      <c r="AS802" s="229"/>
      <c r="AT802" s="20"/>
      <c r="AU802" s="229"/>
      <c r="AV802" s="20">
        <v>12</v>
      </c>
      <c r="AW802" s="229"/>
      <c r="AX802" s="20"/>
      <c r="AY802" s="229"/>
      <c r="AZ802" s="20"/>
      <c r="BA802" s="229"/>
      <c r="BB802" s="20">
        <v>4</v>
      </c>
      <c r="BC802" s="229">
        <f t="shared" si="303"/>
        <v>15</v>
      </c>
      <c r="BD802" s="48">
        <f t="shared" si="299"/>
        <v>32</v>
      </c>
      <c r="BE802" s="19">
        <v>19</v>
      </c>
      <c r="BF802" s="229">
        <f t="shared" si="304"/>
        <v>15</v>
      </c>
      <c r="BG802" s="210">
        <f t="shared" si="300"/>
        <v>32</v>
      </c>
      <c r="BH802" s="210">
        <f t="shared" si="301"/>
        <v>19</v>
      </c>
      <c r="BI802" s="213">
        <f t="shared" si="297"/>
        <v>168.42105263157893</v>
      </c>
      <c r="BJ802" s="141"/>
      <c r="BK802" s="201"/>
      <c r="BL802" s="198"/>
      <c r="BM802" s="198"/>
    </row>
    <row r="803" spans="1:65" s="17" customFormat="1" ht="15.95" customHeight="1">
      <c r="A803" s="123">
        <v>32</v>
      </c>
      <c r="B803" s="9" t="s">
        <v>396</v>
      </c>
      <c r="C803" s="11" t="s">
        <v>397</v>
      </c>
      <c r="D803" s="229"/>
      <c r="E803" s="13"/>
      <c r="F803" s="229"/>
      <c r="G803" s="13"/>
      <c r="H803" s="229"/>
      <c r="I803" s="13"/>
      <c r="J803" s="229"/>
      <c r="K803" s="13"/>
      <c r="L803" s="229"/>
      <c r="M803" s="13"/>
      <c r="N803" s="229"/>
      <c r="O803" s="13"/>
      <c r="P803" s="229"/>
      <c r="Q803" s="13"/>
      <c r="R803" s="229"/>
      <c r="S803" s="13"/>
      <c r="T803" s="229"/>
      <c r="U803" s="13"/>
      <c r="V803" s="229"/>
      <c r="W803" s="13"/>
      <c r="X803" s="229"/>
      <c r="Y803" s="13"/>
      <c r="Z803" s="229"/>
      <c r="AA803" s="13"/>
      <c r="AB803" s="229">
        <f t="shared" si="302"/>
        <v>0</v>
      </c>
      <c r="AC803" s="228">
        <f t="shared" si="298"/>
        <v>0</v>
      </c>
      <c r="AD803" s="21">
        <v>0</v>
      </c>
      <c r="AE803" s="229"/>
      <c r="AF803" s="20"/>
      <c r="AG803" s="229"/>
      <c r="AH803" s="20"/>
      <c r="AI803" s="229">
        <v>3</v>
      </c>
      <c r="AJ803" s="20">
        <v>3</v>
      </c>
      <c r="AK803" s="229"/>
      <c r="AL803" s="20"/>
      <c r="AM803" s="229"/>
      <c r="AN803" s="20"/>
      <c r="AO803" s="229"/>
      <c r="AP803" s="20"/>
      <c r="AQ803" s="229"/>
      <c r="AR803" s="20"/>
      <c r="AS803" s="229"/>
      <c r="AT803" s="20"/>
      <c r="AU803" s="229"/>
      <c r="AV803" s="20"/>
      <c r="AW803" s="229"/>
      <c r="AX803" s="20"/>
      <c r="AY803" s="229"/>
      <c r="AZ803" s="20"/>
      <c r="BA803" s="229"/>
      <c r="BB803" s="20">
        <v>2</v>
      </c>
      <c r="BC803" s="229">
        <f t="shared" si="303"/>
        <v>3</v>
      </c>
      <c r="BD803" s="48">
        <f t="shared" si="299"/>
        <v>5</v>
      </c>
      <c r="BE803" s="19">
        <v>6</v>
      </c>
      <c r="BF803" s="229">
        <f t="shared" si="304"/>
        <v>3</v>
      </c>
      <c r="BG803" s="210">
        <f t="shared" si="300"/>
        <v>5</v>
      </c>
      <c r="BH803" s="210">
        <f t="shared" si="301"/>
        <v>6</v>
      </c>
      <c r="BI803" s="213">
        <f t="shared" si="297"/>
        <v>83.333333333333343</v>
      </c>
      <c r="BJ803" s="141"/>
      <c r="BK803" s="201"/>
      <c r="BL803" s="198"/>
      <c r="BM803" s="198"/>
    </row>
    <row r="804" spans="1:65" s="17" customFormat="1" ht="15.95" customHeight="1">
      <c r="A804" s="123">
        <v>33</v>
      </c>
      <c r="B804" s="9" t="s">
        <v>398</v>
      </c>
      <c r="C804" s="11" t="s">
        <v>399</v>
      </c>
      <c r="D804" s="229"/>
      <c r="E804" s="13"/>
      <c r="F804" s="229"/>
      <c r="G804" s="13"/>
      <c r="H804" s="229"/>
      <c r="I804" s="13"/>
      <c r="J804" s="229"/>
      <c r="K804" s="13"/>
      <c r="L804" s="229"/>
      <c r="M804" s="13"/>
      <c r="N804" s="229"/>
      <c r="O804" s="13"/>
      <c r="P804" s="229"/>
      <c r="Q804" s="13"/>
      <c r="R804" s="229"/>
      <c r="S804" s="13"/>
      <c r="T804" s="229"/>
      <c r="U804" s="13"/>
      <c r="V804" s="229"/>
      <c r="W804" s="13"/>
      <c r="X804" s="229"/>
      <c r="Y804" s="13"/>
      <c r="Z804" s="229"/>
      <c r="AA804" s="13"/>
      <c r="AB804" s="229">
        <f t="shared" si="302"/>
        <v>0</v>
      </c>
      <c r="AC804" s="228">
        <f t="shared" si="298"/>
        <v>0</v>
      </c>
      <c r="AD804" s="21">
        <v>0</v>
      </c>
      <c r="AE804" s="229"/>
      <c r="AF804" s="20"/>
      <c r="AG804" s="229"/>
      <c r="AH804" s="20"/>
      <c r="AI804" s="229">
        <v>1</v>
      </c>
      <c r="AJ804" s="20">
        <v>1</v>
      </c>
      <c r="AK804" s="229"/>
      <c r="AL804" s="20"/>
      <c r="AM804" s="229"/>
      <c r="AN804" s="20"/>
      <c r="AO804" s="229">
        <v>2</v>
      </c>
      <c r="AP804" s="20">
        <v>2</v>
      </c>
      <c r="AQ804" s="229"/>
      <c r="AR804" s="20"/>
      <c r="AS804" s="229"/>
      <c r="AT804" s="20"/>
      <c r="AU804" s="229"/>
      <c r="AV804" s="20"/>
      <c r="AW804" s="229"/>
      <c r="AX804" s="20"/>
      <c r="AY804" s="229"/>
      <c r="AZ804" s="20"/>
      <c r="BA804" s="229"/>
      <c r="BB804" s="20"/>
      <c r="BC804" s="229">
        <f t="shared" si="303"/>
        <v>3</v>
      </c>
      <c r="BD804" s="48">
        <f t="shared" si="299"/>
        <v>3</v>
      </c>
      <c r="BE804" s="19">
        <v>2</v>
      </c>
      <c r="BF804" s="229">
        <f t="shared" si="304"/>
        <v>3</v>
      </c>
      <c r="BG804" s="210">
        <f t="shared" si="300"/>
        <v>3</v>
      </c>
      <c r="BH804" s="210">
        <f t="shared" si="301"/>
        <v>2</v>
      </c>
      <c r="BI804" s="213">
        <f t="shared" ref="BI804:BI835" si="305">BG804/BH804*100</f>
        <v>150</v>
      </c>
      <c r="BJ804" s="141"/>
      <c r="BK804" s="201"/>
      <c r="BL804" s="198"/>
      <c r="BM804" s="198"/>
    </row>
    <row r="805" spans="1:65" s="17" customFormat="1" ht="15.95" customHeight="1">
      <c r="A805" s="123">
        <v>34</v>
      </c>
      <c r="B805" s="9" t="s">
        <v>2140</v>
      </c>
      <c r="C805" s="11" t="s">
        <v>2141</v>
      </c>
      <c r="D805" s="229"/>
      <c r="E805" s="13"/>
      <c r="F805" s="229"/>
      <c r="G805" s="13"/>
      <c r="H805" s="229"/>
      <c r="I805" s="13"/>
      <c r="J805" s="229"/>
      <c r="K805" s="13"/>
      <c r="L805" s="229"/>
      <c r="M805" s="13"/>
      <c r="N805" s="229"/>
      <c r="O805" s="13"/>
      <c r="P805" s="229"/>
      <c r="Q805" s="13"/>
      <c r="R805" s="229"/>
      <c r="S805" s="13"/>
      <c r="T805" s="229"/>
      <c r="U805" s="13"/>
      <c r="V805" s="229"/>
      <c r="W805" s="13"/>
      <c r="X805" s="229"/>
      <c r="Y805" s="13"/>
      <c r="Z805" s="229"/>
      <c r="AA805" s="13"/>
      <c r="AB805" s="229">
        <f t="shared" si="302"/>
        <v>0</v>
      </c>
      <c r="AC805" s="228">
        <f t="shared" si="298"/>
        <v>0</v>
      </c>
      <c r="AD805" s="21">
        <v>0</v>
      </c>
      <c r="AE805" s="229"/>
      <c r="AF805" s="20"/>
      <c r="AG805" s="229"/>
      <c r="AH805" s="20"/>
      <c r="AI805" s="229"/>
      <c r="AJ805" s="20"/>
      <c r="AK805" s="229"/>
      <c r="AL805" s="20"/>
      <c r="AM805" s="229"/>
      <c r="AN805" s="20"/>
      <c r="AO805" s="229"/>
      <c r="AP805" s="20"/>
      <c r="AQ805" s="229"/>
      <c r="AR805" s="20"/>
      <c r="AS805" s="229"/>
      <c r="AT805" s="20"/>
      <c r="AU805" s="229"/>
      <c r="AV805" s="20"/>
      <c r="AW805" s="229"/>
      <c r="AX805" s="20"/>
      <c r="AY805" s="229"/>
      <c r="AZ805" s="20"/>
      <c r="BA805" s="229"/>
      <c r="BB805" s="20"/>
      <c r="BC805" s="229">
        <f t="shared" si="303"/>
        <v>0</v>
      </c>
      <c r="BD805" s="48">
        <f t="shared" si="299"/>
        <v>0</v>
      </c>
      <c r="BE805" s="19">
        <v>1</v>
      </c>
      <c r="BF805" s="229">
        <f t="shared" si="304"/>
        <v>0</v>
      </c>
      <c r="BG805" s="210">
        <f t="shared" si="300"/>
        <v>0</v>
      </c>
      <c r="BH805" s="210">
        <f t="shared" si="301"/>
        <v>1</v>
      </c>
      <c r="BI805" s="213">
        <f t="shared" si="305"/>
        <v>0</v>
      </c>
      <c r="BJ805" s="141"/>
      <c r="BK805" s="201"/>
      <c r="BL805" s="198"/>
      <c r="BM805" s="198"/>
    </row>
    <row r="806" spans="1:65" s="17" customFormat="1" ht="15.95" customHeight="1">
      <c r="A806" s="123">
        <v>35</v>
      </c>
      <c r="B806" s="9" t="s">
        <v>529</v>
      </c>
      <c r="C806" s="11" t="s">
        <v>2142</v>
      </c>
      <c r="D806" s="229"/>
      <c r="E806" s="13"/>
      <c r="F806" s="229"/>
      <c r="G806" s="13"/>
      <c r="H806" s="229"/>
      <c r="I806" s="13"/>
      <c r="J806" s="229"/>
      <c r="K806" s="13"/>
      <c r="L806" s="229"/>
      <c r="M806" s="13"/>
      <c r="N806" s="229"/>
      <c r="O806" s="13"/>
      <c r="P806" s="229"/>
      <c r="Q806" s="13"/>
      <c r="R806" s="229"/>
      <c r="S806" s="13"/>
      <c r="T806" s="229"/>
      <c r="U806" s="13"/>
      <c r="V806" s="229"/>
      <c r="W806" s="13"/>
      <c r="X806" s="229"/>
      <c r="Y806" s="13"/>
      <c r="Z806" s="229"/>
      <c r="AA806" s="13"/>
      <c r="AB806" s="229">
        <f t="shared" si="302"/>
        <v>0</v>
      </c>
      <c r="AC806" s="228">
        <f t="shared" si="298"/>
        <v>0</v>
      </c>
      <c r="AD806" s="21">
        <v>0</v>
      </c>
      <c r="AE806" s="229"/>
      <c r="AF806" s="20"/>
      <c r="AG806" s="229"/>
      <c r="AH806" s="20"/>
      <c r="AI806" s="229"/>
      <c r="AJ806" s="20"/>
      <c r="AK806" s="229"/>
      <c r="AL806" s="20"/>
      <c r="AM806" s="229"/>
      <c r="AN806" s="20"/>
      <c r="AO806" s="229"/>
      <c r="AP806" s="20"/>
      <c r="AQ806" s="229"/>
      <c r="AR806" s="20"/>
      <c r="AS806" s="229"/>
      <c r="AT806" s="20"/>
      <c r="AU806" s="229"/>
      <c r="AV806" s="20"/>
      <c r="AW806" s="229"/>
      <c r="AX806" s="20"/>
      <c r="AY806" s="229"/>
      <c r="AZ806" s="20"/>
      <c r="BA806" s="229"/>
      <c r="BB806" s="20"/>
      <c r="BC806" s="229">
        <f t="shared" si="303"/>
        <v>0</v>
      </c>
      <c r="BD806" s="48">
        <f t="shared" si="299"/>
        <v>0</v>
      </c>
      <c r="BE806" s="19">
        <v>1</v>
      </c>
      <c r="BF806" s="229">
        <f t="shared" si="304"/>
        <v>0</v>
      </c>
      <c r="BG806" s="210">
        <f t="shared" si="300"/>
        <v>0</v>
      </c>
      <c r="BH806" s="210">
        <f t="shared" si="301"/>
        <v>1</v>
      </c>
      <c r="BI806" s="213">
        <f t="shared" si="305"/>
        <v>0</v>
      </c>
      <c r="BJ806" s="141"/>
      <c r="BK806" s="201"/>
      <c r="BL806" s="198"/>
      <c r="BM806" s="198"/>
    </row>
    <row r="807" spans="1:65" s="17" customFormat="1" ht="15.95" customHeight="1">
      <c r="A807" s="123">
        <v>36</v>
      </c>
      <c r="B807" s="9" t="s">
        <v>400</v>
      </c>
      <c r="C807" s="11" t="s">
        <v>401</v>
      </c>
      <c r="D807" s="229"/>
      <c r="E807" s="13"/>
      <c r="F807" s="229"/>
      <c r="G807" s="13"/>
      <c r="H807" s="229"/>
      <c r="I807" s="13"/>
      <c r="J807" s="229"/>
      <c r="K807" s="13"/>
      <c r="L807" s="229"/>
      <c r="M807" s="13"/>
      <c r="N807" s="229"/>
      <c r="O807" s="13"/>
      <c r="P807" s="229"/>
      <c r="Q807" s="13"/>
      <c r="R807" s="229"/>
      <c r="S807" s="13"/>
      <c r="T807" s="229"/>
      <c r="U807" s="13"/>
      <c r="V807" s="229"/>
      <c r="W807" s="13"/>
      <c r="X807" s="229"/>
      <c r="Y807" s="13"/>
      <c r="Z807" s="229"/>
      <c r="AA807" s="13"/>
      <c r="AB807" s="229">
        <f t="shared" si="302"/>
        <v>0</v>
      </c>
      <c r="AC807" s="228">
        <f t="shared" si="298"/>
        <v>0</v>
      </c>
      <c r="AD807" s="21">
        <v>0</v>
      </c>
      <c r="AE807" s="229"/>
      <c r="AF807" s="20"/>
      <c r="AG807" s="229"/>
      <c r="AH807" s="20"/>
      <c r="AI807" s="229"/>
      <c r="AJ807" s="20"/>
      <c r="AK807" s="229"/>
      <c r="AL807" s="20"/>
      <c r="AM807" s="229"/>
      <c r="AN807" s="20"/>
      <c r="AO807" s="229">
        <v>2</v>
      </c>
      <c r="AP807" s="20">
        <v>2</v>
      </c>
      <c r="AQ807" s="229"/>
      <c r="AR807" s="20"/>
      <c r="AS807" s="229"/>
      <c r="AT807" s="20"/>
      <c r="AU807" s="229"/>
      <c r="AV807" s="20"/>
      <c r="AW807" s="229"/>
      <c r="AX807" s="20"/>
      <c r="AY807" s="229"/>
      <c r="AZ807" s="20"/>
      <c r="BA807" s="229"/>
      <c r="BB807" s="20">
        <v>2</v>
      </c>
      <c r="BC807" s="229">
        <f t="shared" si="303"/>
        <v>2</v>
      </c>
      <c r="BD807" s="48">
        <f t="shared" si="299"/>
        <v>4</v>
      </c>
      <c r="BE807" s="19">
        <v>4</v>
      </c>
      <c r="BF807" s="229">
        <f t="shared" si="304"/>
        <v>2</v>
      </c>
      <c r="BG807" s="210">
        <f t="shared" si="300"/>
        <v>4</v>
      </c>
      <c r="BH807" s="210">
        <f t="shared" si="301"/>
        <v>4</v>
      </c>
      <c r="BI807" s="213">
        <f t="shared" si="305"/>
        <v>100</v>
      </c>
      <c r="BJ807" s="141"/>
      <c r="BK807" s="201"/>
      <c r="BL807" s="198"/>
      <c r="BM807" s="198"/>
    </row>
    <row r="808" spans="1:65" s="17" customFormat="1" ht="15.95" customHeight="1">
      <c r="A808" s="123">
        <v>37</v>
      </c>
      <c r="B808" s="9" t="s">
        <v>402</v>
      </c>
      <c r="C808" s="11" t="s">
        <v>403</v>
      </c>
      <c r="D808" s="229"/>
      <c r="E808" s="13"/>
      <c r="F808" s="229"/>
      <c r="G808" s="13"/>
      <c r="H808" s="229"/>
      <c r="I808" s="13"/>
      <c r="J808" s="229"/>
      <c r="K808" s="13"/>
      <c r="L808" s="229"/>
      <c r="M808" s="13"/>
      <c r="N808" s="229"/>
      <c r="O808" s="13"/>
      <c r="P808" s="229"/>
      <c r="Q808" s="13"/>
      <c r="R808" s="229"/>
      <c r="S808" s="13"/>
      <c r="T808" s="229"/>
      <c r="U808" s="13"/>
      <c r="V808" s="229"/>
      <c r="W808" s="13"/>
      <c r="X808" s="229"/>
      <c r="Y808" s="13"/>
      <c r="Z808" s="229"/>
      <c r="AA808" s="13"/>
      <c r="AB808" s="229">
        <f t="shared" si="302"/>
        <v>0</v>
      </c>
      <c r="AC808" s="228">
        <f t="shared" si="298"/>
        <v>0</v>
      </c>
      <c r="AD808" s="21">
        <v>0</v>
      </c>
      <c r="AE808" s="229"/>
      <c r="AF808" s="20"/>
      <c r="AG808" s="229"/>
      <c r="AH808" s="20"/>
      <c r="AI808" s="229"/>
      <c r="AJ808" s="20"/>
      <c r="AK808" s="229"/>
      <c r="AL808" s="20"/>
      <c r="AM808" s="229"/>
      <c r="AN808" s="20"/>
      <c r="AO808" s="229"/>
      <c r="AP808" s="20"/>
      <c r="AQ808" s="229"/>
      <c r="AR808" s="20"/>
      <c r="AS808" s="229"/>
      <c r="AT808" s="20"/>
      <c r="AU808" s="229"/>
      <c r="AV808" s="20">
        <v>1</v>
      </c>
      <c r="AW808" s="229"/>
      <c r="AX808" s="20"/>
      <c r="AY808" s="229"/>
      <c r="AZ808" s="20"/>
      <c r="BA808" s="229"/>
      <c r="BB808" s="20">
        <v>1</v>
      </c>
      <c r="BC808" s="229">
        <f t="shared" si="303"/>
        <v>0</v>
      </c>
      <c r="BD808" s="48">
        <f t="shared" si="299"/>
        <v>2</v>
      </c>
      <c r="BE808" s="19">
        <v>1</v>
      </c>
      <c r="BF808" s="229">
        <f t="shared" si="304"/>
        <v>0</v>
      </c>
      <c r="BG808" s="210">
        <f t="shared" si="300"/>
        <v>2</v>
      </c>
      <c r="BH808" s="210">
        <f t="shared" si="301"/>
        <v>1</v>
      </c>
      <c r="BI808" s="213">
        <f t="shared" si="305"/>
        <v>200</v>
      </c>
      <c r="BJ808" s="141"/>
      <c r="BK808" s="201"/>
      <c r="BL808" s="198"/>
      <c r="BM808" s="198"/>
    </row>
    <row r="809" spans="1:65" s="17" customFormat="1" ht="15.95" customHeight="1">
      <c r="A809" s="123">
        <v>38</v>
      </c>
      <c r="B809" s="9" t="s">
        <v>404</v>
      </c>
      <c r="C809" s="11" t="s">
        <v>2593</v>
      </c>
      <c r="D809" s="229"/>
      <c r="E809" s="13"/>
      <c r="F809" s="229"/>
      <c r="G809" s="13"/>
      <c r="H809" s="229"/>
      <c r="I809" s="13"/>
      <c r="J809" s="229"/>
      <c r="K809" s="13"/>
      <c r="L809" s="229"/>
      <c r="M809" s="13"/>
      <c r="N809" s="229"/>
      <c r="O809" s="13"/>
      <c r="P809" s="229"/>
      <c r="Q809" s="13"/>
      <c r="R809" s="229"/>
      <c r="S809" s="13"/>
      <c r="T809" s="229"/>
      <c r="U809" s="13"/>
      <c r="V809" s="229"/>
      <c r="W809" s="13"/>
      <c r="X809" s="229"/>
      <c r="Y809" s="13"/>
      <c r="Z809" s="229"/>
      <c r="AA809" s="13"/>
      <c r="AB809" s="229">
        <f t="shared" si="302"/>
        <v>0</v>
      </c>
      <c r="AC809" s="228">
        <f t="shared" si="298"/>
        <v>0</v>
      </c>
      <c r="AD809" s="21">
        <v>0</v>
      </c>
      <c r="AE809" s="229"/>
      <c r="AF809" s="20"/>
      <c r="AG809" s="229"/>
      <c r="AH809" s="20"/>
      <c r="AI809" s="229"/>
      <c r="AJ809" s="20"/>
      <c r="AK809" s="229"/>
      <c r="AL809" s="20"/>
      <c r="AM809" s="229"/>
      <c r="AN809" s="20"/>
      <c r="AO809" s="229"/>
      <c r="AP809" s="20"/>
      <c r="AQ809" s="229"/>
      <c r="AR809" s="20"/>
      <c r="AS809" s="229"/>
      <c r="AT809" s="20"/>
      <c r="AU809" s="229"/>
      <c r="AV809" s="20"/>
      <c r="AW809" s="229"/>
      <c r="AX809" s="20"/>
      <c r="AY809" s="229"/>
      <c r="AZ809" s="20"/>
      <c r="BA809" s="229"/>
      <c r="BB809" s="20"/>
      <c r="BC809" s="229">
        <f t="shared" si="303"/>
        <v>0</v>
      </c>
      <c r="BD809" s="48">
        <f t="shared" si="299"/>
        <v>0</v>
      </c>
      <c r="BE809" s="19">
        <v>1</v>
      </c>
      <c r="BF809" s="229">
        <f t="shared" si="304"/>
        <v>0</v>
      </c>
      <c r="BG809" s="210">
        <f t="shared" si="300"/>
        <v>0</v>
      </c>
      <c r="BH809" s="210">
        <f t="shared" si="301"/>
        <v>1</v>
      </c>
      <c r="BI809" s="213">
        <f t="shared" si="305"/>
        <v>0</v>
      </c>
      <c r="BJ809" s="141"/>
      <c r="BK809" s="201"/>
      <c r="BL809" s="198"/>
      <c r="BM809" s="198"/>
    </row>
    <row r="810" spans="1:65" s="17" customFormat="1" ht="15.95" customHeight="1">
      <c r="A810" s="123">
        <v>39</v>
      </c>
      <c r="B810" s="9" t="s">
        <v>2916</v>
      </c>
      <c r="C810" s="11" t="s">
        <v>2917</v>
      </c>
      <c r="D810" s="229"/>
      <c r="E810" s="13"/>
      <c r="F810" s="229"/>
      <c r="G810" s="13"/>
      <c r="H810" s="229"/>
      <c r="I810" s="13"/>
      <c r="J810" s="229"/>
      <c r="K810" s="13"/>
      <c r="L810" s="229"/>
      <c r="M810" s="13"/>
      <c r="N810" s="229"/>
      <c r="O810" s="13"/>
      <c r="P810" s="229"/>
      <c r="Q810" s="13"/>
      <c r="R810" s="229"/>
      <c r="S810" s="13"/>
      <c r="T810" s="229"/>
      <c r="U810" s="13"/>
      <c r="V810" s="229"/>
      <c r="W810" s="13"/>
      <c r="X810" s="229"/>
      <c r="Y810" s="13"/>
      <c r="Z810" s="229"/>
      <c r="AA810" s="13"/>
      <c r="AB810" s="229">
        <f t="shared" si="302"/>
        <v>0</v>
      </c>
      <c r="AC810" s="228">
        <f t="shared" si="298"/>
        <v>0</v>
      </c>
      <c r="AD810" s="21">
        <v>0</v>
      </c>
      <c r="AE810" s="229"/>
      <c r="AF810" s="20"/>
      <c r="AG810" s="229"/>
      <c r="AH810" s="20"/>
      <c r="AI810" s="229">
        <v>1</v>
      </c>
      <c r="AJ810" s="20">
        <v>1</v>
      </c>
      <c r="AK810" s="229"/>
      <c r="AL810" s="20"/>
      <c r="AM810" s="229"/>
      <c r="AN810" s="20"/>
      <c r="AO810" s="229"/>
      <c r="AP810" s="20"/>
      <c r="AQ810" s="229"/>
      <c r="AR810" s="20"/>
      <c r="AS810" s="229"/>
      <c r="AT810" s="20"/>
      <c r="AU810" s="229"/>
      <c r="AV810" s="20"/>
      <c r="AW810" s="229"/>
      <c r="AX810" s="20"/>
      <c r="AY810" s="229"/>
      <c r="AZ810" s="20"/>
      <c r="BA810" s="229"/>
      <c r="BB810" s="20"/>
      <c r="BC810" s="229">
        <f t="shared" si="303"/>
        <v>1</v>
      </c>
      <c r="BD810" s="48">
        <f t="shared" si="299"/>
        <v>1</v>
      </c>
      <c r="BE810" s="19">
        <v>0</v>
      </c>
      <c r="BF810" s="229">
        <f t="shared" si="304"/>
        <v>1</v>
      </c>
      <c r="BG810" s="210">
        <f t="shared" si="300"/>
        <v>1</v>
      </c>
      <c r="BH810" s="210">
        <f t="shared" si="301"/>
        <v>0</v>
      </c>
      <c r="BI810" s="213" t="e">
        <f t="shared" si="305"/>
        <v>#DIV/0!</v>
      </c>
      <c r="BJ810" s="141"/>
      <c r="BK810" s="201"/>
      <c r="BL810" s="198"/>
      <c r="BM810" s="198"/>
    </row>
    <row r="811" spans="1:65" s="17" customFormat="1" ht="15.95" customHeight="1">
      <c r="A811" s="123">
        <v>40</v>
      </c>
      <c r="B811" s="9" t="s">
        <v>405</v>
      </c>
      <c r="C811" s="11" t="s">
        <v>406</v>
      </c>
      <c r="D811" s="229"/>
      <c r="E811" s="13"/>
      <c r="F811" s="229"/>
      <c r="G811" s="13"/>
      <c r="H811" s="229"/>
      <c r="I811" s="13"/>
      <c r="J811" s="229"/>
      <c r="K811" s="13"/>
      <c r="L811" s="229"/>
      <c r="M811" s="13"/>
      <c r="N811" s="229"/>
      <c r="O811" s="13"/>
      <c r="P811" s="229"/>
      <c r="Q811" s="13"/>
      <c r="R811" s="229"/>
      <c r="S811" s="13"/>
      <c r="T811" s="229"/>
      <c r="U811" s="13"/>
      <c r="V811" s="229"/>
      <c r="W811" s="13"/>
      <c r="X811" s="229"/>
      <c r="Y811" s="13"/>
      <c r="Z811" s="229"/>
      <c r="AA811" s="13"/>
      <c r="AB811" s="229">
        <f t="shared" si="302"/>
        <v>0</v>
      </c>
      <c r="AC811" s="228">
        <f t="shared" si="298"/>
        <v>0</v>
      </c>
      <c r="AD811" s="21">
        <v>0</v>
      </c>
      <c r="AE811" s="229"/>
      <c r="AF811" s="20"/>
      <c r="AG811" s="229"/>
      <c r="AH811" s="20"/>
      <c r="AI811" s="229">
        <v>1</v>
      </c>
      <c r="AJ811" s="20">
        <v>1</v>
      </c>
      <c r="AK811" s="229"/>
      <c r="AL811" s="20"/>
      <c r="AM811" s="229"/>
      <c r="AN811" s="20"/>
      <c r="AO811" s="229">
        <v>1</v>
      </c>
      <c r="AP811" s="20">
        <v>1</v>
      </c>
      <c r="AQ811" s="229"/>
      <c r="AR811" s="20"/>
      <c r="AS811" s="229"/>
      <c r="AT811" s="20"/>
      <c r="AU811" s="229"/>
      <c r="AV811" s="20"/>
      <c r="AW811" s="229"/>
      <c r="AX811" s="20"/>
      <c r="AY811" s="229"/>
      <c r="AZ811" s="20"/>
      <c r="BA811" s="229"/>
      <c r="BB811" s="20"/>
      <c r="BC811" s="229">
        <f t="shared" si="303"/>
        <v>2</v>
      </c>
      <c r="BD811" s="48">
        <f t="shared" si="299"/>
        <v>2</v>
      </c>
      <c r="BE811" s="19">
        <v>1</v>
      </c>
      <c r="BF811" s="229">
        <f t="shared" si="304"/>
        <v>2</v>
      </c>
      <c r="BG811" s="210">
        <f t="shared" si="300"/>
        <v>2</v>
      </c>
      <c r="BH811" s="210">
        <f t="shared" si="301"/>
        <v>1</v>
      </c>
      <c r="BI811" s="213">
        <f t="shared" si="305"/>
        <v>200</v>
      </c>
      <c r="BJ811" s="141"/>
      <c r="BK811" s="201"/>
      <c r="BL811" s="198"/>
      <c r="BM811" s="198"/>
    </row>
    <row r="812" spans="1:65" s="17" customFormat="1" ht="15.95" customHeight="1">
      <c r="A812" s="123">
        <v>41</v>
      </c>
      <c r="B812" s="9" t="s">
        <v>409</v>
      </c>
      <c r="C812" s="11" t="s">
        <v>2591</v>
      </c>
      <c r="D812" s="229"/>
      <c r="E812" s="13"/>
      <c r="F812" s="229"/>
      <c r="G812" s="13"/>
      <c r="H812" s="229"/>
      <c r="I812" s="13"/>
      <c r="J812" s="229"/>
      <c r="K812" s="13"/>
      <c r="L812" s="229"/>
      <c r="M812" s="13"/>
      <c r="N812" s="229"/>
      <c r="O812" s="13"/>
      <c r="P812" s="229"/>
      <c r="Q812" s="13"/>
      <c r="R812" s="229"/>
      <c r="S812" s="13"/>
      <c r="T812" s="229"/>
      <c r="U812" s="13"/>
      <c r="V812" s="229"/>
      <c r="W812" s="13"/>
      <c r="X812" s="229"/>
      <c r="Y812" s="13"/>
      <c r="Z812" s="229"/>
      <c r="AA812" s="13"/>
      <c r="AB812" s="229">
        <f t="shared" si="302"/>
        <v>0</v>
      </c>
      <c r="AC812" s="228">
        <f t="shared" si="298"/>
        <v>0</v>
      </c>
      <c r="AD812" s="21">
        <v>0</v>
      </c>
      <c r="AE812" s="229"/>
      <c r="AF812" s="20"/>
      <c r="AG812" s="229"/>
      <c r="AH812" s="20"/>
      <c r="AI812" s="229"/>
      <c r="AJ812" s="20"/>
      <c r="AK812" s="229"/>
      <c r="AL812" s="20"/>
      <c r="AM812" s="229"/>
      <c r="AN812" s="20"/>
      <c r="AO812" s="229">
        <v>2</v>
      </c>
      <c r="AP812" s="20">
        <v>2</v>
      </c>
      <c r="AQ812" s="229"/>
      <c r="AR812" s="20"/>
      <c r="AS812" s="229"/>
      <c r="AT812" s="20"/>
      <c r="AU812" s="229"/>
      <c r="AV812" s="20"/>
      <c r="AW812" s="229"/>
      <c r="AX812" s="20"/>
      <c r="AY812" s="229"/>
      <c r="AZ812" s="20"/>
      <c r="BA812" s="229"/>
      <c r="BB812" s="20"/>
      <c r="BC812" s="229">
        <f t="shared" si="303"/>
        <v>2</v>
      </c>
      <c r="BD812" s="48">
        <f t="shared" si="299"/>
        <v>2</v>
      </c>
      <c r="BE812" s="19">
        <v>4</v>
      </c>
      <c r="BF812" s="229">
        <f t="shared" si="304"/>
        <v>2</v>
      </c>
      <c r="BG812" s="210">
        <f t="shared" si="300"/>
        <v>2</v>
      </c>
      <c r="BH812" s="210">
        <f t="shared" si="301"/>
        <v>4</v>
      </c>
      <c r="BI812" s="213">
        <f t="shared" si="305"/>
        <v>50</v>
      </c>
      <c r="BJ812" s="141"/>
      <c r="BK812" s="201"/>
      <c r="BL812" s="198"/>
      <c r="BM812" s="198"/>
    </row>
    <row r="813" spans="1:65" s="17" customFormat="1" ht="15.95" customHeight="1">
      <c r="A813" s="123">
        <v>42</v>
      </c>
      <c r="B813" s="9" t="s">
        <v>410</v>
      </c>
      <c r="C813" s="11" t="s">
        <v>2592</v>
      </c>
      <c r="D813" s="229"/>
      <c r="E813" s="13"/>
      <c r="F813" s="229"/>
      <c r="G813" s="13"/>
      <c r="H813" s="229"/>
      <c r="I813" s="13"/>
      <c r="J813" s="229"/>
      <c r="K813" s="13"/>
      <c r="L813" s="229"/>
      <c r="M813" s="13"/>
      <c r="N813" s="229"/>
      <c r="O813" s="13"/>
      <c r="P813" s="229"/>
      <c r="Q813" s="13"/>
      <c r="R813" s="229"/>
      <c r="S813" s="13"/>
      <c r="T813" s="229"/>
      <c r="U813" s="13"/>
      <c r="V813" s="229"/>
      <c r="W813" s="13"/>
      <c r="X813" s="229"/>
      <c r="Y813" s="13"/>
      <c r="Z813" s="229"/>
      <c r="AA813" s="13"/>
      <c r="AB813" s="229">
        <f t="shared" si="302"/>
        <v>0</v>
      </c>
      <c r="AC813" s="228">
        <f t="shared" si="298"/>
        <v>0</v>
      </c>
      <c r="AD813" s="21">
        <v>0</v>
      </c>
      <c r="AE813" s="229"/>
      <c r="AF813" s="20"/>
      <c r="AG813" s="229"/>
      <c r="AH813" s="20"/>
      <c r="AI813" s="229">
        <v>2</v>
      </c>
      <c r="AJ813" s="20">
        <v>2</v>
      </c>
      <c r="AK813" s="229"/>
      <c r="AL813" s="20"/>
      <c r="AM813" s="229"/>
      <c r="AN813" s="20"/>
      <c r="AO813" s="229">
        <v>2</v>
      </c>
      <c r="AP813" s="20">
        <v>2</v>
      </c>
      <c r="AQ813" s="229"/>
      <c r="AR813" s="20"/>
      <c r="AS813" s="229"/>
      <c r="AT813" s="20"/>
      <c r="AU813" s="229"/>
      <c r="AV813" s="20">
        <v>3</v>
      </c>
      <c r="AW813" s="229"/>
      <c r="AX813" s="20"/>
      <c r="AY813" s="229"/>
      <c r="AZ813" s="20"/>
      <c r="BA813" s="229"/>
      <c r="BB813" s="20">
        <v>3</v>
      </c>
      <c r="BC813" s="229">
        <f t="shared" si="303"/>
        <v>4</v>
      </c>
      <c r="BD813" s="48">
        <f t="shared" si="299"/>
        <v>10</v>
      </c>
      <c r="BE813" s="19">
        <v>2</v>
      </c>
      <c r="BF813" s="229">
        <f t="shared" si="304"/>
        <v>4</v>
      </c>
      <c r="BG813" s="210">
        <f t="shared" si="300"/>
        <v>10</v>
      </c>
      <c r="BH813" s="210">
        <f t="shared" si="301"/>
        <v>2</v>
      </c>
      <c r="BI813" s="213">
        <f t="shared" si="305"/>
        <v>500</v>
      </c>
      <c r="BJ813" s="141"/>
      <c r="BK813" s="201"/>
      <c r="BL813" s="198"/>
      <c r="BM813" s="198"/>
    </row>
    <row r="814" spans="1:65" s="17" customFormat="1" ht="15.95" customHeight="1">
      <c r="A814" s="123">
        <v>43</v>
      </c>
      <c r="B814" s="9" t="s">
        <v>122</v>
      </c>
      <c r="C814" s="11" t="s">
        <v>411</v>
      </c>
      <c r="D814" s="229"/>
      <c r="E814" s="13"/>
      <c r="F814" s="229"/>
      <c r="G814" s="13"/>
      <c r="H814" s="229"/>
      <c r="I814" s="13"/>
      <c r="J814" s="229"/>
      <c r="K814" s="13"/>
      <c r="L814" s="229"/>
      <c r="M814" s="13"/>
      <c r="N814" s="229"/>
      <c r="O814" s="13"/>
      <c r="P814" s="229"/>
      <c r="Q814" s="13"/>
      <c r="R814" s="229"/>
      <c r="S814" s="13"/>
      <c r="T814" s="229"/>
      <c r="U814" s="13"/>
      <c r="V814" s="229"/>
      <c r="W814" s="13"/>
      <c r="X814" s="229"/>
      <c r="Y814" s="13"/>
      <c r="Z814" s="229"/>
      <c r="AA814" s="13"/>
      <c r="AB814" s="229">
        <f t="shared" si="302"/>
        <v>0</v>
      </c>
      <c r="AC814" s="228">
        <f t="shared" si="298"/>
        <v>0</v>
      </c>
      <c r="AD814" s="21">
        <v>0</v>
      </c>
      <c r="AE814" s="229"/>
      <c r="AF814" s="20"/>
      <c r="AG814" s="229"/>
      <c r="AH814" s="20"/>
      <c r="AI814" s="229">
        <v>1</v>
      </c>
      <c r="AJ814" s="20">
        <v>1</v>
      </c>
      <c r="AK814" s="229"/>
      <c r="AL814" s="20"/>
      <c r="AM814" s="229"/>
      <c r="AN814" s="20"/>
      <c r="AO814" s="229"/>
      <c r="AP814" s="20"/>
      <c r="AQ814" s="229"/>
      <c r="AR814" s="20"/>
      <c r="AS814" s="229"/>
      <c r="AT814" s="20"/>
      <c r="AU814" s="229"/>
      <c r="AV814" s="20"/>
      <c r="AW814" s="229"/>
      <c r="AX814" s="20"/>
      <c r="AY814" s="229"/>
      <c r="AZ814" s="20"/>
      <c r="BA814" s="229"/>
      <c r="BB814" s="20"/>
      <c r="BC814" s="229">
        <f t="shared" si="303"/>
        <v>1</v>
      </c>
      <c r="BD814" s="48">
        <f t="shared" si="299"/>
        <v>1</v>
      </c>
      <c r="BE814" s="19">
        <v>1</v>
      </c>
      <c r="BF814" s="229">
        <f t="shared" si="304"/>
        <v>1</v>
      </c>
      <c r="BG814" s="210">
        <f t="shared" si="300"/>
        <v>1</v>
      </c>
      <c r="BH814" s="210">
        <f t="shared" si="301"/>
        <v>1</v>
      </c>
      <c r="BI814" s="213">
        <f t="shared" si="305"/>
        <v>100</v>
      </c>
      <c r="BJ814" s="141"/>
      <c r="BK814" s="201"/>
      <c r="BL814" s="198"/>
      <c r="BM814" s="198"/>
    </row>
    <row r="815" spans="1:65" s="17" customFormat="1" ht="15.95" customHeight="1">
      <c r="A815" s="123">
        <v>44</v>
      </c>
      <c r="B815" s="9" t="s">
        <v>2918</v>
      </c>
      <c r="C815" s="11" t="s">
        <v>2919</v>
      </c>
      <c r="D815" s="229"/>
      <c r="E815" s="13"/>
      <c r="F815" s="229"/>
      <c r="G815" s="13"/>
      <c r="H815" s="229"/>
      <c r="I815" s="13"/>
      <c r="J815" s="229"/>
      <c r="K815" s="13"/>
      <c r="L815" s="229"/>
      <c r="M815" s="13"/>
      <c r="N815" s="229"/>
      <c r="O815" s="13"/>
      <c r="P815" s="229"/>
      <c r="Q815" s="13"/>
      <c r="R815" s="229"/>
      <c r="S815" s="13"/>
      <c r="T815" s="229"/>
      <c r="U815" s="13"/>
      <c r="V815" s="229"/>
      <c r="W815" s="13"/>
      <c r="X815" s="229"/>
      <c r="Y815" s="13"/>
      <c r="Z815" s="229"/>
      <c r="AA815" s="13"/>
      <c r="AB815" s="229">
        <f t="shared" si="302"/>
        <v>0</v>
      </c>
      <c r="AC815" s="228">
        <f t="shared" si="298"/>
        <v>0</v>
      </c>
      <c r="AD815" s="21">
        <v>0</v>
      </c>
      <c r="AE815" s="229"/>
      <c r="AF815" s="20"/>
      <c r="AG815" s="229"/>
      <c r="AH815" s="20"/>
      <c r="AI815" s="229">
        <v>1</v>
      </c>
      <c r="AJ815" s="20">
        <v>1</v>
      </c>
      <c r="AK815" s="229"/>
      <c r="AL815" s="20"/>
      <c r="AM815" s="229"/>
      <c r="AN815" s="20"/>
      <c r="AO815" s="229">
        <v>1</v>
      </c>
      <c r="AP815" s="20">
        <v>1</v>
      </c>
      <c r="AQ815" s="229"/>
      <c r="AR815" s="20"/>
      <c r="AS815" s="229"/>
      <c r="AT815" s="20"/>
      <c r="AU815" s="229"/>
      <c r="AV815" s="20">
        <v>1</v>
      </c>
      <c r="AW815" s="229"/>
      <c r="AX815" s="20"/>
      <c r="AY815" s="229"/>
      <c r="AZ815" s="20"/>
      <c r="BA815" s="229"/>
      <c r="BB815" s="20"/>
      <c r="BC815" s="229">
        <f t="shared" si="303"/>
        <v>2</v>
      </c>
      <c r="BD815" s="48">
        <f t="shared" si="299"/>
        <v>3</v>
      </c>
      <c r="BE815" s="19">
        <v>0</v>
      </c>
      <c r="BF815" s="229">
        <f t="shared" si="304"/>
        <v>2</v>
      </c>
      <c r="BG815" s="210">
        <f t="shared" si="300"/>
        <v>3</v>
      </c>
      <c r="BH815" s="210">
        <f t="shared" si="301"/>
        <v>0</v>
      </c>
      <c r="BI815" s="213" t="e">
        <f t="shared" si="305"/>
        <v>#DIV/0!</v>
      </c>
      <c r="BJ815" s="141"/>
      <c r="BK815" s="201"/>
      <c r="BL815" s="198"/>
      <c r="BM815" s="198"/>
    </row>
    <row r="816" spans="1:65" s="17" customFormat="1" ht="15.95" customHeight="1">
      <c r="A816" s="123">
        <v>45</v>
      </c>
      <c r="B816" s="9" t="s">
        <v>190</v>
      </c>
      <c r="C816" s="11" t="s">
        <v>2557</v>
      </c>
      <c r="D816" s="229"/>
      <c r="E816" s="13"/>
      <c r="F816" s="229"/>
      <c r="G816" s="13"/>
      <c r="H816" s="229">
        <v>1</v>
      </c>
      <c r="I816" s="13">
        <v>1</v>
      </c>
      <c r="J816" s="229"/>
      <c r="K816" s="13"/>
      <c r="L816" s="229"/>
      <c r="M816" s="13"/>
      <c r="N816" s="229"/>
      <c r="O816" s="13"/>
      <c r="P816" s="229"/>
      <c r="Q816" s="13"/>
      <c r="R816" s="229"/>
      <c r="S816" s="13"/>
      <c r="T816" s="229"/>
      <c r="U816" s="13"/>
      <c r="V816" s="229"/>
      <c r="W816" s="13"/>
      <c r="X816" s="229"/>
      <c r="Y816" s="13"/>
      <c r="Z816" s="229"/>
      <c r="AA816" s="13"/>
      <c r="AB816" s="229">
        <f t="shared" si="302"/>
        <v>1</v>
      </c>
      <c r="AC816" s="228">
        <f t="shared" si="298"/>
        <v>1</v>
      </c>
      <c r="AD816" s="21">
        <v>0</v>
      </c>
      <c r="AE816" s="229"/>
      <c r="AF816" s="20"/>
      <c r="AG816" s="229"/>
      <c r="AH816" s="20"/>
      <c r="AI816" s="229"/>
      <c r="AJ816" s="20"/>
      <c r="AK816" s="229"/>
      <c r="AL816" s="20"/>
      <c r="AM816" s="229"/>
      <c r="AN816" s="20"/>
      <c r="AO816" s="229">
        <v>1</v>
      </c>
      <c r="AP816" s="20">
        <v>1</v>
      </c>
      <c r="AQ816" s="229"/>
      <c r="AR816" s="20"/>
      <c r="AS816" s="229"/>
      <c r="AT816" s="20"/>
      <c r="AU816" s="229"/>
      <c r="AV816" s="20">
        <v>2</v>
      </c>
      <c r="AW816" s="229"/>
      <c r="AX816" s="20"/>
      <c r="AY816" s="229"/>
      <c r="AZ816" s="20"/>
      <c r="BA816" s="229"/>
      <c r="BB816" s="20">
        <v>1</v>
      </c>
      <c r="BC816" s="229">
        <f t="shared" si="303"/>
        <v>1</v>
      </c>
      <c r="BD816" s="48">
        <f t="shared" si="299"/>
        <v>4</v>
      </c>
      <c r="BE816" s="19">
        <v>2</v>
      </c>
      <c r="BF816" s="229">
        <f t="shared" si="304"/>
        <v>2</v>
      </c>
      <c r="BG816" s="210">
        <f t="shared" si="300"/>
        <v>5</v>
      </c>
      <c r="BH816" s="210">
        <f t="shared" si="301"/>
        <v>2</v>
      </c>
      <c r="BI816" s="213">
        <f t="shared" si="305"/>
        <v>250</v>
      </c>
      <c r="BJ816" s="141"/>
      <c r="BK816" s="201"/>
      <c r="BL816" s="198"/>
      <c r="BM816" s="198"/>
    </row>
    <row r="817" spans="1:65" s="17" customFormat="1" ht="15.95" customHeight="1">
      <c r="A817" s="123">
        <v>46</v>
      </c>
      <c r="B817" s="9" t="s">
        <v>1101</v>
      </c>
      <c r="C817" s="11" t="s">
        <v>2556</v>
      </c>
      <c r="D817" s="229"/>
      <c r="E817" s="13"/>
      <c r="F817" s="229"/>
      <c r="G817" s="13"/>
      <c r="H817" s="229"/>
      <c r="I817" s="13"/>
      <c r="J817" s="229"/>
      <c r="K817" s="13"/>
      <c r="L817" s="229"/>
      <c r="M817" s="13"/>
      <c r="N817" s="229"/>
      <c r="O817" s="13"/>
      <c r="P817" s="229"/>
      <c r="Q817" s="13"/>
      <c r="R817" s="229"/>
      <c r="S817" s="13"/>
      <c r="T817" s="229"/>
      <c r="U817" s="13"/>
      <c r="V817" s="229"/>
      <c r="W817" s="13"/>
      <c r="X817" s="229"/>
      <c r="Y817" s="13"/>
      <c r="Z817" s="229"/>
      <c r="AA817" s="13"/>
      <c r="AB817" s="229">
        <f t="shared" si="302"/>
        <v>0</v>
      </c>
      <c r="AC817" s="228">
        <f t="shared" si="298"/>
        <v>0</v>
      </c>
      <c r="AD817" s="21">
        <v>0</v>
      </c>
      <c r="AE817" s="229"/>
      <c r="AF817" s="20"/>
      <c r="AG817" s="229"/>
      <c r="AH817" s="20"/>
      <c r="AI817" s="229"/>
      <c r="AJ817" s="20"/>
      <c r="AK817" s="229"/>
      <c r="AL817" s="20"/>
      <c r="AM817" s="229"/>
      <c r="AN817" s="20"/>
      <c r="AO817" s="229">
        <v>2</v>
      </c>
      <c r="AP817" s="20">
        <v>2</v>
      </c>
      <c r="AQ817" s="229"/>
      <c r="AR817" s="20"/>
      <c r="AS817" s="229"/>
      <c r="AT817" s="20"/>
      <c r="AU817" s="229"/>
      <c r="AV817" s="20"/>
      <c r="AW817" s="229"/>
      <c r="AX817" s="20"/>
      <c r="AY817" s="229"/>
      <c r="AZ817" s="20"/>
      <c r="BA817" s="229"/>
      <c r="BB817" s="20"/>
      <c r="BC817" s="229">
        <f t="shared" si="303"/>
        <v>2</v>
      </c>
      <c r="BD817" s="48">
        <f t="shared" si="299"/>
        <v>2</v>
      </c>
      <c r="BE817" s="19">
        <v>2</v>
      </c>
      <c r="BF817" s="229">
        <f t="shared" si="304"/>
        <v>2</v>
      </c>
      <c r="BG817" s="210">
        <f t="shared" si="300"/>
        <v>2</v>
      </c>
      <c r="BH817" s="210">
        <f t="shared" si="301"/>
        <v>2</v>
      </c>
      <c r="BI817" s="213">
        <f t="shared" si="305"/>
        <v>100</v>
      </c>
      <c r="BJ817" s="141"/>
      <c r="BK817" s="201"/>
      <c r="BL817" s="198"/>
      <c r="BM817" s="198"/>
    </row>
    <row r="818" spans="1:65" s="17" customFormat="1" ht="15.95" customHeight="1">
      <c r="A818" s="123">
        <v>47</v>
      </c>
      <c r="B818" s="9" t="s">
        <v>412</v>
      </c>
      <c r="C818" s="11" t="s">
        <v>2334</v>
      </c>
      <c r="D818" s="229"/>
      <c r="E818" s="13"/>
      <c r="F818" s="229"/>
      <c r="G818" s="13"/>
      <c r="H818" s="229"/>
      <c r="I818" s="13"/>
      <c r="J818" s="229"/>
      <c r="K818" s="13"/>
      <c r="L818" s="229"/>
      <c r="M818" s="13"/>
      <c r="N818" s="229"/>
      <c r="O818" s="13"/>
      <c r="P818" s="229"/>
      <c r="Q818" s="13"/>
      <c r="R818" s="229"/>
      <c r="S818" s="13"/>
      <c r="T818" s="229"/>
      <c r="U818" s="13"/>
      <c r="V818" s="229"/>
      <c r="W818" s="13"/>
      <c r="X818" s="229"/>
      <c r="Y818" s="13"/>
      <c r="Z818" s="229"/>
      <c r="AA818" s="13"/>
      <c r="AB818" s="229">
        <f t="shared" si="302"/>
        <v>0</v>
      </c>
      <c r="AC818" s="228">
        <f t="shared" si="298"/>
        <v>0</v>
      </c>
      <c r="AD818" s="21">
        <v>0</v>
      </c>
      <c r="AE818" s="229"/>
      <c r="AF818" s="20"/>
      <c r="AG818" s="229"/>
      <c r="AH818" s="20"/>
      <c r="AI818" s="229">
        <v>1</v>
      </c>
      <c r="AJ818" s="20">
        <v>1</v>
      </c>
      <c r="AK818" s="229"/>
      <c r="AL818" s="20"/>
      <c r="AM818" s="229"/>
      <c r="AN818" s="20"/>
      <c r="AO818" s="229">
        <v>3</v>
      </c>
      <c r="AP818" s="20">
        <v>3</v>
      </c>
      <c r="AQ818" s="229"/>
      <c r="AR818" s="20"/>
      <c r="AS818" s="229"/>
      <c r="AT818" s="20"/>
      <c r="AU818" s="229"/>
      <c r="AV818" s="20">
        <v>4</v>
      </c>
      <c r="AW818" s="229"/>
      <c r="AX818" s="20"/>
      <c r="AY818" s="229"/>
      <c r="AZ818" s="20"/>
      <c r="BA818" s="229"/>
      <c r="BB818" s="20">
        <v>9</v>
      </c>
      <c r="BC818" s="229">
        <f t="shared" si="303"/>
        <v>4</v>
      </c>
      <c r="BD818" s="48">
        <f t="shared" si="299"/>
        <v>17</v>
      </c>
      <c r="BE818" s="19">
        <v>2</v>
      </c>
      <c r="BF818" s="229">
        <f t="shared" si="304"/>
        <v>4</v>
      </c>
      <c r="BG818" s="210">
        <f t="shared" si="300"/>
        <v>17</v>
      </c>
      <c r="BH818" s="210">
        <f t="shared" si="301"/>
        <v>2</v>
      </c>
      <c r="BI818" s="213">
        <f t="shared" si="305"/>
        <v>850</v>
      </c>
      <c r="BJ818" s="141"/>
      <c r="BK818" s="201"/>
      <c r="BL818" s="198"/>
      <c r="BM818" s="198"/>
    </row>
    <row r="819" spans="1:65" s="17" customFormat="1" ht="15.95" customHeight="1">
      <c r="A819" s="123">
        <v>48</v>
      </c>
      <c r="B819" s="9" t="s">
        <v>413</v>
      </c>
      <c r="C819" s="11" t="s">
        <v>414</v>
      </c>
      <c r="D819" s="229"/>
      <c r="E819" s="13"/>
      <c r="F819" s="229"/>
      <c r="G819" s="13"/>
      <c r="H819" s="229"/>
      <c r="I819" s="13"/>
      <c r="J819" s="229"/>
      <c r="K819" s="13"/>
      <c r="L819" s="229"/>
      <c r="M819" s="13"/>
      <c r="N819" s="229"/>
      <c r="O819" s="13"/>
      <c r="P819" s="229"/>
      <c r="Q819" s="13"/>
      <c r="R819" s="229"/>
      <c r="S819" s="13"/>
      <c r="T819" s="229"/>
      <c r="U819" s="13"/>
      <c r="V819" s="229"/>
      <c r="W819" s="13"/>
      <c r="X819" s="229"/>
      <c r="Y819" s="13"/>
      <c r="Z819" s="229"/>
      <c r="AA819" s="13"/>
      <c r="AB819" s="229">
        <f t="shared" si="302"/>
        <v>0</v>
      </c>
      <c r="AC819" s="228">
        <f t="shared" si="298"/>
        <v>0</v>
      </c>
      <c r="AD819" s="21">
        <v>0</v>
      </c>
      <c r="AE819" s="229"/>
      <c r="AF819" s="20"/>
      <c r="AG819" s="229"/>
      <c r="AH819" s="20"/>
      <c r="AI819" s="229"/>
      <c r="AJ819" s="20"/>
      <c r="AK819" s="229"/>
      <c r="AL819" s="20"/>
      <c r="AM819" s="229"/>
      <c r="AN819" s="20"/>
      <c r="AO819" s="229"/>
      <c r="AP819" s="20"/>
      <c r="AQ819" s="229"/>
      <c r="AR819" s="20"/>
      <c r="AS819" s="229"/>
      <c r="AT819" s="20"/>
      <c r="AU819" s="229"/>
      <c r="AV819" s="20"/>
      <c r="AW819" s="229"/>
      <c r="AX819" s="20"/>
      <c r="AY819" s="229"/>
      <c r="AZ819" s="20"/>
      <c r="BA819" s="229"/>
      <c r="BB819" s="20">
        <v>2</v>
      </c>
      <c r="BC819" s="229">
        <f t="shared" si="303"/>
        <v>0</v>
      </c>
      <c r="BD819" s="48">
        <f t="shared" si="299"/>
        <v>2</v>
      </c>
      <c r="BE819" s="19">
        <v>1</v>
      </c>
      <c r="BF819" s="229">
        <f t="shared" si="304"/>
        <v>0</v>
      </c>
      <c r="BG819" s="210">
        <f t="shared" si="300"/>
        <v>2</v>
      </c>
      <c r="BH819" s="210">
        <f t="shared" si="301"/>
        <v>1</v>
      </c>
      <c r="BI819" s="213">
        <f t="shared" si="305"/>
        <v>200</v>
      </c>
      <c r="BJ819" s="141"/>
      <c r="BK819" s="201"/>
      <c r="BL819" s="198"/>
      <c r="BM819" s="198"/>
    </row>
    <row r="820" spans="1:65" s="17" customFormat="1" ht="15.95" customHeight="1">
      <c r="A820" s="123">
        <v>49</v>
      </c>
      <c r="B820" s="9" t="s">
        <v>192</v>
      </c>
      <c r="C820" s="11" t="s">
        <v>321</v>
      </c>
      <c r="D820" s="229"/>
      <c r="E820" s="13"/>
      <c r="F820" s="229"/>
      <c r="G820" s="13"/>
      <c r="H820" s="229">
        <v>1</v>
      </c>
      <c r="I820" s="13">
        <v>1</v>
      </c>
      <c r="J820" s="229"/>
      <c r="K820" s="13"/>
      <c r="L820" s="229"/>
      <c r="M820" s="13"/>
      <c r="N820" s="229"/>
      <c r="O820" s="13"/>
      <c r="P820" s="229"/>
      <c r="Q820" s="13"/>
      <c r="R820" s="229"/>
      <c r="S820" s="13"/>
      <c r="T820" s="229"/>
      <c r="U820" s="13"/>
      <c r="V820" s="229"/>
      <c r="W820" s="13"/>
      <c r="X820" s="229"/>
      <c r="Y820" s="13"/>
      <c r="Z820" s="229"/>
      <c r="AA820" s="13">
        <v>4</v>
      </c>
      <c r="AB820" s="229">
        <f t="shared" si="302"/>
        <v>1</v>
      </c>
      <c r="AC820" s="228">
        <f t="shared" si="298"/>
        <v>5</v>
      </c>
      <c r="AD820" s="19">
        <f>22+1</f>
        <v>23</v>
      </c>
      <c r="AE820" s="229"/>
      <c r="AF820" s="20"/>
      <c r="AG820" s="229"/>
      <c r="AH820" s="20"/>
      <c r="AI820" s="290">
        <v>12</v>
      </c>
      <c r="AJ820" s="291">
        <v>12</v>
      </c>
      <c r="AK820" s="229"/>
      <c r="AL820" s="20"/>
      <c r="AM820" s="229"/>
      <c r="AN820" s="20"/>
      <c r="AO820" s="229">
        <f>99+1</f>
        <v>100</v>
      </c>
      <c r="AP820" s="20">
        <f>105+1</f>
        <v>106</v>
      </c>
      <c r="AQ820" s="229"/>
      <c r="AR820" s="20"/>
      <c r="AS820" s="229"/>
      <c r="AT820" s="20"/>
      <c r="AU820" s="229"/>
      <c r="AV820" s="20">
        <v>92</v>
      </c>
      <c r="AW820" s="229"/>
      <c r="AX820" s="20"/>
      <c r="AY820" s="229"/>
      <c r="AZ820" s="20"/>
      <c r="BA820" s="229"/>
      <c r="BB820" s="20">
        <v>124</v>
      </c>
      <c r="BC820" s="229">
        <f t="shared" si="303"/>
        <v>112</v>
      </c>
      <c r="BD820" s="48">
        <f t="shared" si="299"/>
        <v>334</v>
      </c>
      <c r="BE820" s="19">
        <f>4+44</f>
        <v>48</v>
      </c>
      <c r="BF820" s="229">
        <f t="shared" si="304"/>
        <v>113</v>
      </c>
      <c r="BG820" s="210">
        <f t="shared" si="300"/>
        <v>339</v>
      </c>
      <c r="BH820" s="210">
        <f t="shared" si="301"/>
        <v>71</v>
      </c>
      <c r="BI820" s="213">
        <f t="shared" si="305"/>
        <v>477.46478873239437</v>
      </c>
      <c r="BJ820" s="141"/>
      <c r="BK820" s="201"/>
      <c r="BL820" s="198"/>
      <c r="BM820" s="198"/>
    </row>
    <row r="821" spans="1:65" s="17" customFormat="1" ht="15.95" customHeight="1">
      <c r="A821" s="123">
        <v>50</v>
      </c>
      <c r="B821" s="9" t="s">
        <v>415</v>
      </c>
      <c r="C821" s="11" t="s">
        <v>1355</v>
      </c>
      <c r="D821" s="229"/>
      <c r="E821" s="13"/>
      <c r="F821" s="229"/>
      <c r="G821" s="13"/>
      <c r="H821" s="229"/>
      <c r="I821" s="13"/>
      <c r="J821" s="229"/>
      <c r="K821" s="13"/>
      <c r="L821" s="229"/>
      <c r="M821" s="13"/>
      <c r="N821" s="229"/>
      <c r="O821" s="13"/>
      <c r="P821" s="229"/>
      <c r="Q821" s="13"/>
      <c r="R821" s="229"/>
      <c r="S821" s="13"/>
      <c r="T821" s="229"/>
      <c r="U821" s="13"/>
      <c r="V821" s="229"/>
      <c r="W821" s="13"/>
      <c r="X821" s="229"/>
      <c r="Y821" s="13"/>
      <c r="Z821" s="229"/>
      <c r="AA821" s="13"/>
      <c r="AB821" s="229">
        <f t="shared" si="302"/>
        <v>0</v>
      </c>
      <c r="AC821" s="228">
        <f t="shared" si="298"/>
        <v>0</v>
      </c>
      <c r="AD821" s="21">
        <v>0</v>
      </c>
      <c r="AE821" s="229"/>
      <c r="AF821" s="20"/>
      <c r="AG821" s="229"/>
      <c r="AH821" s="20"/>
      <c r="AI821" s="290">
        <v>2</v>
      </c>
      <c r="AJ821" s="291">
        <v>2</v>
      </c>
      <c r="AK821" s="229"/>
      <c r="AL821" s="20"/>
      <c r="AM821" s="229"/>
      <c r="AN821" s="20"/>
      <c r="AO821" s="229">
        <v>3</v>
      </c>
      <c r="AP821" s="20">
        <v>3</v>
      </c>
      <c r="AQ821" s="229"/>
      <c r="AR821" s="20"/>
      <c r="AS821" s="229"/>
      <c r="AT821" s="20"/>
      <c r="AU821" s="229"/>
      <c r="AV821" s="20">
        <v>4</v>
      </c>
      <c r="AW821" s="229"/>
      <c r="AX821" s="20"/>
      <c r="AY821" s="229"/>
      <c r="AZ821" s="20"/>
      <c r="BA821" s="229"/>
      <c r="BB821" s="20">
        <v>6</v>
      </c>
      <c r="BC821" s="229">
        <f t="shared" si="303"/>
        <v>5</v>
      </c>
      <c r="BD821" s="48">
        <f t="shared" si="299"/>
        <v>15</v>
      </c>
      <c r="BE821" s="19">
        <v>10</v>
      </c>
      <c r="BF821" s="229">
        <f t="shared" si="304"/>
        <v>5</v>
      </c>
      <c r="BG821" s="210">
        <f t="shared" si="300"/>
        <v>15</v>
      </c>
      <c r="BH821" s="210">
        <f t="shared" si="301"/>
        <v>10</v>
      </c>
      <c r="BI821" s="213">
        <f t="shared" si="305"/>
        <v>150</v>
      </c>
      <c r="BJ821" s="141"/>
      <c r="BK821" s="201"/>
      <c r="BL821" s="198"/>
      <c r="BM821" s="198"/>
    </row>
    <row r="822" spans="1:65" s="17" customFormat="1" ht="15.95" customHeight="1">
      <c r="A822" s="123">
        <v>51</v>
      </c>
      <c r="B822" s="9" t="s">
        <v>2143</v>
      </c>
      <c r="C822" s="11" t="s">
        <v>2144</v>
      </c>
      <c r="D822" s="229"/>
      <c r="E822" s="13"/>
      <c r="F822" s="229"/>
      <c r="G822" s="13"/>
      <c r="H822" s="229"/>
      <c r="I822" s="13"/>
      <c r="J822" s="229"/>
      <c r="K822" s="13"/>
      <c r="L822" s="229"/>
      <c r="M822" s="13"/>
      <c r="N822" s="229"/>
      <c r="O822" s="13"/>
      <c r="P822" s="229"/>
      <c r="Q822" s="13"/>
      <c r="R822" s="229"/>
      <c r="S822" s="13"/>
      <c r="T822" s="229"/>
      <c r="U822" s="13"/>
      <c r="V822" s="229"/>
      <c r="W822" s="13"/>
      <c r="X822" s="229"/>
      <c r="Y822" s="13"/>
      <c r="Z822" s="229"/>
      <c r="AA822" s="13"/>
      <c r="AB822" s="229">
        <f t="shared" si="302"/>
        <v>0</v>
      </c>
      <c r="AC822" s="228">
        <f t="shared" ref="AC822:AC853" si="306">E822+G822+I822+K822+M822+O822+Q822+S822+U822+W822+Y822+AA822</f>
        <v>0</v>
      </c>
      <c r="AD822" s="21">
        <v>0</v>
      </c>
      <c r="AE822" s="229"/>
      <c r="AF822" s="20"/>
      <c r="AG822" s="229"/>
      <c r="AH822" s="20"/>
      <c r="AI822" s="229"/>
      <c r="AJ822" s="20"/>
      <c r="AK822" s="229"/>
      <c r="AL822" s="20"/>
      <c r="AM822" s="229"/>
      <c r="AN822" s="20"/>
      <c r="AO822" s="229"/>
      <c r="AP822" s="20"/>
      <c r="AQ822" s="229"/>
      <c r="AR822" s="20"/>
      <c r="AS822" s="229"/>
      <c r="AT822" s="20"/>
      <c r="AU822" s="229"/>
      <c r="AV822" s="20">
        <v>1</v>
      </c>
      <c r="AW822" s="229"/>
      <c r="AX822" s="20"/>
      <c r="AY822" s="229"/>
      <c r="AZ822" s="20"/>
      <c r="BA822" s="229"/>
      <c r="BB822" s="20"/>
      <c r="BC822" s="229">
        <f t="shared" si="303"/>
        <v>0</v>
      </c>
      <c r="BD822" s="48">
        <f t="shared" ref="BD822:BD853" si="307">AF822+AH822+AJ822+AL822+AN822+AP822+AR822+AT822+AV822+AX822+AZ822+BB822</f>
        <v>1</v>
      </c>
      <c r="BE822" s="19">
        <v>4</v>
      </c>
      <c r="BF822" s="229">
        <f t="shared" si="304"/>
        <v>0</v>
      </c>
      <c r="BG822" s="210">
        <f t="shared" ref="BG822:BG853" si="308">AC822+BD822</f>
        <v>1</v>
      </c>
      <c r="BH822" s="210">
        <f t="shared" ref="BH822:BH853" si="309">AD822+BE822</f>
        <v>4</v>
      </c>
      <c r="BI822" s="213">
        <f t="shared" si="305"/>
        <v>25</v>
      </c>
      <c r="BJ822" s="141"/>
      <c r="BK822" s="201"/>
      <c r="BL822" s="198"/>
      <c r="BM822" s="198"/>
    </row>
    <row r="823" spans="1:65" s="17" customFormat="1" ht="15.95" customHeight="1">
      <c r="A823" s="123">
        <v>52</v>
      </c>
      <c r="B823" s="146" t="s">
        <v>12</v>
      </c>
      <c r="C823" s="172" t="s">
        <v>2555</v>
      </c>
      <c r="D823" s="229"/>
      <c r="E823" s="13"/>
      <c r="F823" s="229"/>
      <c r="G823" s="13"/>
      <c r="H823" s="229"/>
      <c r="I823" s="13"/>
      <c r="J823" s="229"/>
      <c r="K823" s="13"/>
      <c r="L823" s="229"/>
      <c r="M823" s="13"/>
      <c r="N823" s="229"/>
      <c r="O823" s="13"/>
      <c r="P823" s="229"/>
      <c r="Q823" s="13"/>
      <c r="R823" s="229"/>
      <c r="S823" s="13"/>
      <c r="T823" s="229"/>
      <c r="U823" s="13"/>
      <c r="V823" s="229"/>
      <c r="W823" s="13"/>
      <c r="X823" s="229"/>
      <c r="Y823" s="13"/>
      <c r="Z823" s="229"/>
      <c r="AA823" s="13"/>
      <c r="AB823" s="229">
        <f t="shared" ref="AB823:AB852" si="310">D823+F823+H823+J823+L823+N823+P823+R823+T823+V823+X823+Z823</f>
        <v>0</v>
      </c>
      <c r="AC823" s="228">
        <f t="shared" si="306"/>
        <v>0</v>
      </c>
      <c r="AD823" s="21">
        <v>2</v>
      </c>
      <c r="AE823" s="229"/>
      <c r="AF823" s="20"/>
      <c r="AG823" s="229"/>
      <c r="AH823" s="20"/>
      <c r="AI823" s="229">
        <f>3+1</f>
        <v>4</v>
      </c>
      <c r="AJ823" s="20">
        <f>3+1</f>
        <v>4</v>
      </c>
      <c r="AK823" s="229"/>
      <c r="AL823" s="20"/>
      <c r="AM823" s="229"/>
      <c r="AN823" s="20"/>
      <c r="AO823" s="229">
        <f>5+1</f>
        <v>6</v>
      </c>
      <c r="AP823" s="20">
        <f>5+1</f>
        <v>6</v>
      </c>
      <c r="AQ823" s="229"/>
      <c r="AR823" s="20"/>
      <c r="AS823" s="229"/>
      <c r="AT823" s="20"/>
      <c r="AU823" s="229"/>
      <c r="AV823" s="20">
        <f>4+1+1</f>
        <v>6</v>
      </c>
      <c r="AW823" s="229"/>
      <c r="AX823" s="20"/>
      <c r="AY823" s="229"/>
      <c r="AZ823" s="20"/>
      <c r="BA823" s="229"/>
      <c r="BB823" s="20">
        <v>7</v>
      </c>
      <c r="BC823" s="229">
        <f t="shared" ref="BC823:BC852" si="311">AE823+AG823+AI823+AK823+AM823+AO823+AQ823+AS823+AU823+AW823+AY823+BA823</f>
        <v>10</v>
      </c>
      <c r="BD823" s="48">
        <f t="shared" si="307"/>
        <v>23</v>
      </c>
      <c r="BE823" s="19">
        <v>6</v>
      </c>
      <c r="BF823" s="229">
        <f t="shared" ref="BF823:BF852" si="312">AB823+BC823</f>
        <v>10</v>
      </c>
      <c r="BG823" s="210">
        <f t="shared" si="308"/>
        <v>23</v>
      </c>
      <c r="BH823" s="210">
        <f t="shared" si="309"/>
        <v>8</v>
      </c>
      <c r="BI823" s="213">
        <f t="shared" si="305"/>
        <v>287.5</v>
      </c>
      <c r="BJ823" s="141"/>
      <c r="BK823" s="201"/>
      <c r="BL823" s="198"/>
      <c r="BM823" s="198"/>
    </row>
    <row r="824" spans="1:65" s="17" customFormat="1" ht="15.95" customHeight="1">
      <c r="A824" s="123">
        <v>53</v>
      </c>
      <c r="B824" s="145" t="s">
        <v>1756</v>
      </c>
      <c r="C824" s="161" t="s">
        <v>1769</v>
      </c>
      <c r="D824" s="229"/>
      <c r="E824" s="13"/>
      <c r="F824" s="229"/>
      <c r="G824" s="13"/>
      <c r="H824" s="229"/>
      <c r="I824" s="13"/>
      <c r="J824" s="229"/>
      <c r="K824" s="13"/>
      <c r="L824" s="229"/>
      <c r="M824" s="13"/>
      <c r="N824" s="229"/>
      <c r="O824" s="13"/>
      <c r="P824" s="229"/>
      <c r="Q824" s="13"/>
      <c r="R824" s="229"/>
      <c r="S824" s="13"/>
      <c r="T824" s="229"/>
      <c r="U824" s="13"/>
      <c r="V824" s="229"/>
      <c r="W824" s="13"/>
      <c r="X824" s="229"/>
      <c r="Y824" s="13"/>
      <c r="Z824" s="229"/>
      <c r="AA824" s="13"/>
      <c r="AB824" s="229">
        <f t="shared" si="310"/>
        <v>0</v>
      </c>
      <c r="AC824" s="228">
        <f t="shared" si="306"/>
        <v>0</v>
      </c>
      <c r="AD824" s="21">
        <v>0</v>
      </c>
      <c r="AE824" s="229"/>
      <c r="AF824" s="20"/>
      <c r="AG824" s="229"/>
      <c r="AH824" s="20"/>
      <c r="AI824" s="229">
        <v>2</v>
      </c>
      <c r="AJ824" s="20">
        <v>3</v>
      </c>
      <c r="AK824" s="229"/>
      <c r="AL824" s="20"/>
      <c r="AM824" s="229"/>
      <c r="AN824" s="20"/>
      <c r="AO824" s="229">
        <f>1+1</f>
        <v>2</v>
      </c>
      <c r="AP824" s="20">
        <f>1+1</f>
        <v>2</v>
      </c>
      <c r="AQ824" s="229"/>
      <c r="AR824" s="20"/>
      <c r="AS824" s="229"/>
      <c r="AT824" s="20"/>
      <c r="AU824" s="229"/>
      <c r="AV824" s="20">
        <v>1</v>
      </c>
      <c r="AW824" s="229"/>
      <c r="AX824" s="20"/>
      <c r="AY824" s="229"/>
      <c r="AZ824" s="20"/>
      <c r="BA824" s="229"/>
      <c r="BB824" s="20">
        <v>1</v>
      </c>
      <c r="BC824" s="229">
        <f t="shared" si="311"/>
        <v>4</v>
      </c>
      <c r="BD824" s="48">
        <f t="shared" si="307"/>
        <v>7</v>
      </c>
      <c r="BE824" s="19">
        <v>2</v>
      </c>
      <c r="BF824" s="229">
        <f t="shared" si="312"/>
        <v>4</v>
      </c>
      <c r="BG824" s="210">
        <f t="shared" si="308"/>
        <v>7</v>
      </c>
      <c r="BH824" s="210">
        <f t="shared" si="309"/>
        <v>2</v>
      </c>
      <c r="BI824" s="213">
        <f t="shared" si="305"/>
        <v>350</v>
      </c>
      <c r="BJ824" s="141"/>
      <c r="BK824" s="201"/>
      <c r="BL824" s="198"/>
      <c r="BM824" s="198"/>
    </row>
    <row r="825" spans="1:65" s="17" customFormat="1" ht="15.95" customHeight="1">
      <c r="A825" s="123">
        <v>54</v>
      </c>
      <c r="B825" s="146" t="s">
        <v>1642</v>
      </c>
      <c r="C825" s="172" t="s">
        <v>1783</v>
      </c>
      <c r="D825" s="229"/>
      <c r="E825" s="13"/>
      <c r="F825" s="229"/>
      <c r="G825" s="13"/>
      <c r="H825" s="229"/>
      <c r="I825" s="13"/>
      <c r="J825" s="229"/>
      <c r="K825" s="13"/>
      <c r="L825" s="229"/>
      <c r="M825" s="13"/>
      <c r="N825" s="229"/>
      <c r="O825" s="13"/>
      <c r="P825" s="229"/>
      <c r="Q825" s="13"/>
      <c r="R825" s="229"/>
      <c r="S825" s="13"/>
      <c r="T825" s="229"/>
      <c r="U825" s="13"/>
      <c r="V825" s="229"/>
      <c r="W825" s="13"/>
      <c r="X825" s="229"/>
      <c r="Y825" s="13"/>
      <c r="Z825" s="229"/>
      <c r="AA825" s="13"/>
      <c r="AB825" s="229">
        <f t="shared" si="310"/>
        <v>0</v>
      </c>
      <c r="AC825" s="228">
        <f t="shared" si="306"/>
        <v>0</v>
      </c>
      <c r="AD825" s="21">
        <v>0</v>
      </c>
      <c r="AE825" s="229"/>
      <c r="AF825" s="20"/>
      <c r="AG825" s="229"/>
      <c r="AH825" s="20"/>
      <c r="AI825" s="229">
        <v>1</v>
      </c>
      <c r="AJ825" s="20">
        <v>1</v>
      </c>
      <c r="AK825" s="229"/>
      <c r="AL825" s="20"/>
      <c r="AM825" s="229"/>
      <c r="AN825" s="20"/>
      <c r="AO825" s="229">
        <v>1</v>
      </c>
      <c r="AP825" s="20">
        <v>1</v>
      </c>
      <c r="AQ825" s="229"/>
      <c r="AR825" s="20"/>
      <c r="AS825" s="229"/>
      <c r="AT825" s="20"/>
      <c r="AU825" s="229"/>
      <c r="AV825" s="20">
        <v>1</v>
      </c>
      <c r="AW825" s="229"/>
      <c r="AX825" s="20"/>
      <c r="AY825" s="229"/>
      <c r="AZ825" s="20"/>
      <c r="BA825" s="229"/>
      <c r="BB825" s="20">
        <v>3</v>
      </c>
      <c r="BC825" s="229">
        <f t="shared" si="311"/>
        <v>2</v>
      </c>
      <c r="BD825" s="48">
        <f t="shared" si="307"/>
        <v>6</v>
      </c>
      <c r="BE825" s="19">
        <f>1+5+5</f>
        <v>11</v>
      </c>
      <c r="BF825" s="229">
        <f t="shared" si="312"/>
        <v>2</v>
      </c>
      <c r="BG825" s="210">
        <f t="shared" si="308"/>
        <v>6</v>
      </c>
      <c r="BH825" s="210">
        <f t="shared" si="309"/>
        <v>11</v>
      </c>
      <c r="BI825" s="213">
        <f t="shared" si="305"/>
        <v>54.54545454545454</v>
      </c>
      <c r="BJ825" s="141"/>
      <c r="BK825" s="201"/>
      <c r="BL825" s="198"/>
      <c r="BM825" s="198"/>
    </row>
    <row r="826" spans="1:65" s="17" customFormat="1" ht="15.95" customHeight="1">
      <c r="A826" s="123">
        <v>55</v>
      </c>
      <c r="B826" s="9" t="s">
        <v>1103</v>
      </c>
      <c r="C826" s="11" t="s">
        <v>1104</v>
      </c>
      <c r="D826" s="229"/>
      <c r="E826" s="13"/>
      <c r="F826" s="229"/>
      <c r="G826" s="13"/>
      <c r="H826" s="229"/>
      <c r="I826" s="13"/>
      <c r="J826" s="229"/>
      <c r="K826" s="13"/>
      <c r="L826" s="229"/>
      <c r="M826" s="13"/>
      <c r="N826" s="229"/>
      <c r="O826" s="13"/>
      <c r="P826" s="229"/>
      <c r="Q826" s="13"/>
      <c r="R826" s="229"/>
      <c r="S826" s="13"/>
      <c r="T826" s="229"/>
      <c r="U826" s="13">
        <v>1</v>
      </c>
      <c r="V826" s="229"/>
      <c r="W826" s="13"/>
      <c r="X826" s="229"/>
      <c r="Y826" s="13"/>
      <c r="Z826" s="229"/>
      <c r="AA826" s="13"/>
      <c r="AB826" s="229">
        <f t="shared" si="310"/>
        <v>0</v>
      </c>
      <c r="AC826" s="228">
        <f t="shared" si="306"/>
        <v>1</v>
      </c>
      <c r="AD826" s="19">
        <v>7</v>
      </c>
      <c r="AE826" s="229"/>
      <c r="AF826" s="20"/>
      <c r="AG826" s="229"/>
      <c r="AH826" s="20"/>
      <c r="AI826" s="229">
        <v>9</v>
      </c>
      <c r="AJ826" s="20">
        <v>9</v>
      </c>
      <c r="AK826" s="229"/>
      <c r="AL826" s="20"/>
      <c r="AM826" s="229"/>
      <c r="AN826" s="20"/>
      <c r="AO826" s="229">
        <f>6+2</f>
        <v>8</v>
      </c>
      <c r="AP826" s="20">
        <f>6+2</f>
        <v>8</v>
      </c>
      <c r="AQ826" s="229"/>
      <c r="AR826" s="20"/>
      <c r="AS826" s="229"/>
      <c r="AT826" s="20"/>
      <c r="AU826" s="229"/>
      <c r="AV826" s="20">
        <v>5</v>
      </c>
      <c r="AW826" s="229"/>
      <c r="AX826" s="20"/>
      <c r="AY826" s="229"/>
      <c r="AZ826" s="20"/>
      <c r="BA826" s="229"/>
      <c r="BB826" s="20">
        <v>1</v>
      </c>
      <c r="BC826" s="229">
        <f t="shared" si="311"/>
        <v>17</v>
      </c>
      <c r="BD826" s="48">
        <f t="shared" si="307"/>
        <v>23</v>
      </c>
      <c r="BE826" s="19">
        <v>5</v>
      </c>
      <c r="BF826" s="229">
        <f t="shared" si="312"/>
        <v>17</v>
      </c>
      <c r="BG826" s="210">
        <f t="shared" si="308"/>
        <v>24</v>
      </c>
      <c r="BH826" s="210">
        <f t="shared" si="309"/>
        <v>12</v>
      </c>
      <c r="BI826" s="213">
        <f t="shared" si="305"/>
        <v>200</v>
      </c>
      <c r="BJ826" s="141"/>
      <c r="BK826" s="201"/>
      <c r="BL826" s="198"/>
      <c r="BM826" s="198"/>
    </row>
    <row r="827" spans="1:65" s="17" customFormat="1" ht="15.95" customHeight="1">
      <c r="A827" s="123">
        <v>56</v>
      </c>
      <c r="B827" s="9" t="s">
        <v>1105</v>
      </c>
      <c r="C827" s="11" t="s">
        <v>1106</v>
      </c>
      <c r="D827" s="229"/>
      <c r="E827" s="13"/>
      <c r="F827" s="229"/>
      <c r="G827" s="13"/>
      <c r="H827" s="229"/>
      <c r="I827" s="13"/>
      <c r="J827" s="229"/>
      <c r="K827" s="13"/>
      <c r="L827" s="229"/>
      <c r="M827" s="13"/>
      <c r="N827" s="229"/>
      <c r="O827" s="13"/>
      <c r="P827" s="229"/>
      <c r="Q827" s="13"/>
      <c r="R827" s="229"/>
      <c r="S827" s="13"/>
      <c r="T827" s="229"/>
      <c r="U827" s="13"/>
      <c r="V827" s="229"/>
      <c r="W827" s="13"/>
      <c r="X827" s="229"/>
      <c r="Y827" s="13"/>
      <c r="Z827" s="229"/>
      <c r="AA827" s="13"/>
      <c r="AB827" s="229">
        <f t="shared" si="310"/>
        <v>0</v>
      </c>
      <c r="AC827" s="228">
        <f t="shared" si="306"/>
        <v>0</v>
      </c>
      <c r="AD827" s="19">
        <v>0</v>
      </c>
      <c r="AE827" s="229"/>
      <c r="AF827" s="20"/>
      <c r="AG827" s="229"/>
      <c r="AH827" s="20"/>
      <c r="AI827" s="229">
        <v>2</v>
      </c>
      <c r="AJ827" s="20">
        <v>2</v>
      </c>
      <c r="AK827" s="229"/>
      <c r="AL827" s="20"/>
      <c r="AM827" s="229"/>
      <c r="AN827" s="20"/>
      <c r="AO827" s="229">
        <v>3</v>
      </c>
      <c r="AP827" s="20">
        <v>3</v>
      </c>
      <c r="AQ827" s="229"/>
      <c r="AR827" s="20"/>
      <c r="AS827" s="229"/>
      <c r="AT827" s="20"/>
      <c r="AU827" s="229"/>
      <c r="AV827" s="20">
        <v>4</v>
      </c>
      <c r="AW827" s="229"/>
      <c r="AX827" s="20"/>
      <c r="AY827" s="229"/>
      <c r="AZ827" s="20"/>
      <c r="BA827" s="229"/>
      <c r="BB827" s="20"/>
      <c r="BC827" s="229">
        <f t="shared" si="311"/>
        <v>5</v>
      </c>
      <c r="BD827" s="48">
        <f t="shared" si="307"/>
        <v>9</v>
      </c>
      <c r="BE827" s="19">
        <v>8</v>
      </c>
      <c r="BF827" s="229">
        <f t="shared" si="312"/>
        <v>5</v>
      </c>
      <c r="BG827" s="210">
        <f t="shared" si="308"/>
        <v>9</v>
      </c>
      <c r="BH827" s="210">
        <f t="shared" si="309"/>
        <v>8</v>
      </c>
      <c r="BI827" s="213">
        <f t="shared" si="305"/>
        <v>112.5</v>
      </c>
      <c r="BJ827" s="141"/>
      <c r="BK827" s="201"/>
      <c r="BL827" s="198"/>
      <c r="BM827" s="198"/>
    </row>
    <row r="828" spans="1:65" s="17" customFormat="1" ht="15.95" customHeight="1">
      <c r="A828" s="123">
        <v>57</v>
      </c>
      <c r="B828" s="9" t="s">
        <v>416</v>
      </c>
      <c r="C828" s="11" t="s">
        <v>417</v>
      </c>
      <c r="D828" s="229"/>
      <c r="E828" s="13"/>
      <c r="F828" s="229"/>
      <c r="G828" s="13"/>
      <c r="H828" s="229"/>
      <c r="I828" s="13"/>
      <c r="J828" s="229"/>
      <c r="K828" s="13"/>
      <c r="L828" s="229"/>
      <c r="M828" s="13"/>
      <c r="N828" s="229"/>
      <c r="O828" s="13"/>
      <c r="P828" s="229"/>
      <c r="Q828" s="13"/>
      <c r="R828" s="229"/>
      <c r="S828" s="13"/>
      <c r="T828" s="229"/>
      <c r="U828" s="13"/>
      <c r="V828" s="229"/>
      <c r="W828" s="13"/>
      <c r="X828" s="229"/>
      <c r="Y828" s="13"/>
      <c r="Z828" s="229"/>
      <c r="AA828" s="13"/>
      <c r="AB828" s="229">
        <f t="shared" si="310"/>
        <v>0</v>
      </c>
      <c r="AC828" s="228">
        <f t="shared" si="306"/>
        <v>0</v>
      </c>
      <c r="AD828" s="21">
        <v>2</v>
      </c>
      <c r="AE828" s="229"/>
      <c r="AF828" s="20"/>
      <c r="AG828" s="229"/>
      <c r="AH828" s="20"/>
      <c r="AI828" s="229">
        <v>3</v>
      </c>
      <c r="AJ828" s="20">
        <v>3</v>
      </c>
      <c r="AK828" s="229"/>
      <c r="AL828" s="20"/>
      <c r="AM828" s="229"/>
      <c r="AN828" s="20"/>
      <c r="AO828" s="229">
        <v>4</v>
      </c>
      <c r="AP828" s="20">
        <v>4</v>
      </c>
      <c r="AQ828" s="229"/>
      <c r="AR828" s="20"/>
      <c r="AS828" s="229"/>
      <c r="AT828" s="20"/>
      <c r="AU828" s="229"/>
      <c r="AV828" s="20">
        <v>2</v>
      </c>
      <c r="AW828" s="229"/>
      <c r="AX828" s="20"/>
      <c r="AY828" s="229"/>
      <c r="AZ828" s="20"/>
      <c r="BA828" s="229"/>
      <c r="BB828" s="20">
        <v>3</v>
      </c>
      <c r="BC828" s="229">
        <f t="shared" si="311"/>
        <v>7</v>
      </c>
      <c r="BD828" s="48">
        <f t="shared" si="307"/>
        <v>12</v>
      </c>
      <c r="BE828" s="19">
        <v>5</v>
      </c>
      <c r="BF828" s="229">
        <f t="shared" si="312"/>
        <v>7</v>
      </c>
      <c r="BG828" s="210">
        <f t="shared" si="308"/>
        <v>12</v>
      </c>
      <c r="BH828" s="210">
        <f t="shared" si="309"/>
        <v>7</v>
      </c>
      <c r="BI828" s="213">
        <f t="shared" si="305"/>
        <v>171.42857142857142</v>
      </c>
      <c r="BJ828" s="141"/>
      <c r="BK828" s="201"/>
      <c r="BL828" s="198"/>
      <c r="BM828" s="198"/>
    </row>
    <row r="829" spans="1:65" s="17" customFormat="1" ht="15.95" customHeight="1">
      <c r="A829" s="123">
        <v>58</v>
      </c>
      <c r="B829" s="9" t="s">
        <v>418</v>
      </c>
      <c r="C829" s="11" t="s">
        <v>419</v>
      </c>
      <c r="D829" s="229"/>
      <c r="E829" s="13"/>
      <c r="F829" s="229"/>
      <c r="G829" s="13"/>
      <c r="H829" s="229"/>
      <c r="I829" s="13"/>
      <c r="J829" s="229"/>
      <c r="K829" s="13"/>
      <c r="L829" s="229"/>
      <c r="M829" s="13"/>
      <c r="N829" s="229"/>
      <c r="O829" s="13"/>
      <c r="P829" s="229"/>
      <c r="Q829" s="13"/>
      <c r="R829" s="229"/>
      <c r="S829" s="13"/>
      <c r="T829" s="229"/>
      <c r="U829" s="13"/>
      <c r="V829" s="229"/>
      <c r="W829" s="13"/>
      <c r="X829" s="229"/>
      <c r="Y829" s="13"/>
      <c r="Z829" s="229"/>
      <c r="AA829" s="13"/>
      <c r="AB829" s="229">
        <f t="shared" si="310"/>
        <v>0</v>
      </c>
      <c r="AC829" s="228">
        <f t="shared" si="306"/>
        <v>0</v>
      </c>
      <c r="AD829" s="21">
        <v>2</v>
      </c>
      <c r="AE829" s="229"/>
      <c r="AF829" s="20"/>
      <c r="AG829" s="229"/>
      <c r="AH829" s="20"/>
      <c r="AI829" s="229">
        <v>1</v>
      </c>
      <c r="AJ829" s="20">
        <v>1</v>
      </c>
      <c r="AK829" s="229"/>
      <c r="AL829" s="20"/>
      <c r="AM829" s="229"/>
      <c r="AN829" s="20"/>
      <c r="AO829" s="229">
        <v>5</v>
      </c>
      <c r="AP829" s="20">
        <v>5</v>
      </c>
      <c r="AQ829" s="229"/>
      <c r="AR829" s="20"/>
      <c r="AS829" s="229"/>
      <c r="AT829" s="20"/>
      <c r="AU829" s="229"/>
      <c r="AV829" s="20">
        <v>3</v>
      </c>
      <c r="AW829" s="229"/>
      <c r="AX829" s="20"/>
      <c r="AY829" s="229"/>
      <c r="AZ829" s="20"/>
      <c r="BA829" s="229"/>
      <c r="BB829" s="20">
        <v>3</v>
      </c>
      <c r="BC829" s="229">
        <f t="shared" si="311"/>
        <v>6</v>
      </c>
      <c r="BD829" s="48">
        <f t="shared" si="307"/>
        <v>12</v>
      </c>
      <c r="BE829" s="19">
        <v>2</v>
      </c>
      <c r="BF829" s="229">
        <f t="shared" si="312"/>
        <v>6</v>
      </c>
      <c r="BG829" s="210">
        <f t="shared" si="308"/>
        <v>12</v>
      </c>
      <c r="BH829" s="210">
        <f t="shared" si="309"/>
        <v>4</v>
      </c>
      <c r="BI829" s="213">
        <f t="shared" si="305"/>
        <v>300</v>
      </c>
      <c r="BJ829" s="141"/>
      <c r="BK829" s="201"/>
      <c r="BL829" s="198"/>
      <c r="BM829" s="198"/>
    </row>
    <row r="830" spans="1:65" s="17" customFormat="1" ht="15.95" customHeight="1">
      <c r="A830" s="123">
        <v>59</v>
      </c>
      <c r="B830" s="9" t="s">
        <v>1890</v>
      </c>
      <c r="C830" s="11" t="s">
        <v>1891</v>
      </c>
      <c r="D830" s="229"/>
      <c r="E830" s="13"/>
      <c r="F830" s="229"/>
      <c r="G830" s="13"/>
      <c r="H830" s="229"/>
      <c r="I830" s="13"/>
      <c r="J830" s="229"/>
      <c r="K830" s="13"/>
      <c r="L830" s="229"/>
      <c r="M830" s="13"/>
      <c r="N830" s="229"/>
      <c r="O830" s="13"/>
      <c r="P830" s="229"/>
      <c r="Q830" s="13"/>
      <c r="R830" s="229"/>
      <c r="S830" s="13"/>
      <c r="T830" s="229"/>
      <c r="U830" s="13"/>
      <c r="V830" s="229"/>
      <c r="W830" s="13"/>
      <c r="X830" s="229"/>
      <c r="Y830" s="13"/>
      <c r="Z830" s="229"/>
      <c r="AA830" s="13"/>
      <c r="AB830" s="229">
        <f t="shared" si="310"/>
        <v>0</v>
      </c>
      <c r="AC830" s="228">
        <f t="shared" si="306"/>
        <v>0</v>
      </c>
      <c r="AD830" s="19">
        <v>0</v>
      </c>
      <c r="AE830" s="229"/>
      <c r="AF830" s="20"/>
      <c r="AG830" s="229"/>
      <c r="AH830" s="20"/>
      <c r="AI830" s="229"/>
      <c r="AJ830" s="20"/>
      <c r="AK830" s="229"/>
      <c r="AL830" s="20"/>
      <c r="AM830" s="229"/>
      <c r="AN830" s="20"/>
      <c r="AO830" s="229"/>
      <c r="AP830" s="20"/>
      <c r="AQ830" s="229"/>
      <c r="AR830" s="20"/>
      <c r="AS830" s="229"/>
      <c r="AT830" s="20"/>
      <c r="AU830" s="229"/>
      <c r="AV830" s="20"/>
      <c r="AW830" s="229"/>
      <c r="AX830" s="20"/>
      <c r="AY830" s="229"/>
      <c r="AZ830" s="20"/>
      <c r="BA830" s="229"/>
      <c r="BB830" s="20"/>
      <c r="BC830" s="229">
        <f t="shared" si="311"/>
        <v>0</v>
      </c>
      <c r="BD830" s="48">
        <f t="shared" si="307"/>
        <v>0</v>
      </c>
      <c r="BE830" s="19">
        <v>1</v>
      </c>
      <c r="BF830" s="229">
        <f t="shared" si="312"/>
        <v>0</v>
      </c>
      <c r="BG830" s="210">
        <f t="shared" si="308"/>
        <v>0</v>
      </c>
      <c r="BH830" s="210">
        <f t="shared" si="309"/>
        <v>1</v>
      </c>
      <c r="BI830" s="213">
        <f t="shared" si="305"/>
        <v>0</v>
      </c>
      <c r="BJ830" s="141"/>
      <c r="BK830" s="201"/>
      <c r="BL830" s="198"/>
      <c r="BM830" s="198"/>
    </row>
    <row r="831" spans="1:65" s="17" customFormat="1" ht="15.95" customHeight="1">
      <c r="A831" s="123">
        <v>60</v>
      </c>
      <c r="B831" s="9" t="s">
        <v>420</v>
      </c>
      <c r="C831" s="11" t="s">
        <v>421</v>
      </c>
      <c r="D831" s="229"/>
      <c r="E831" s="13"/>
      <c r="F831" s="229"/>
      <c r="G831" s="13"/>
      <c r="H831" s="229"/>
      <c r="I831" s="13"/>
      <c r="J831" s="229"/>
      <c r="K831" s="13"/>
      <c r="L831" s="229"/>
      <c r="M831" s="13"/>
      <c r="N831" s="229"/>
      <c r="O831" s="13"/>
      <c r="P831" s="229"/>
      <c r="Q831" s="13"/>
      <c r="R831" s="229"/>
      <c r="S831" s="13"/>
      <c r="T831" s="229"/>
      <c r="U831" s="13"/>
      <c r="V831" s="229"/>
      <c r="W831" s="13"/>
      <c r="X831" s="229"/>
      <c r="Y831" s="13"/>
      <c r="Z831" s="229"/>
      <c r="AA831" s="13"/>
      <c r="AB831" s="229">
        <f t="shared" si="310"/>
        <v>0</v>
      </c>
      <c r="AC831" s="228">
        <f t="shared" si="306"/>
        <v>0</v>
      </c>
      <c r="AD831" s="21">
        <v>0</v>
      </c>
      <c r="AE831" s="229"/>
      <c r="AF831" s="20"/>
      <c r="AG831" s="229"/>
      <c r="AH831" s="20"/>
      <c r="AI831" s="229">
        <v>11</v>
      </c>
      <c r="AJ831" s="20">
        <v>12</v>
      </c>
      <c r="AK831" s="229"/>
      <c r="AL831" s="20"/>
      <c r="AM831" s="229"/>
      <c r="AN831" s="20"/>
      <c r="AO831" s="229">
        <v>6</v>
      </c>
      <c r="AP831" s="20">
        <v>7</v>
      </c>
      <c r="AQ831" s="229"/>
      <c r="AR831" s="20"/>
      <c r="AS831" s="229"/>
      <c r="AT831" s="20"/>
      <c r="AU831" s="229"/>
      <c r="AV831" s="20">
        <v>12</v>
      </c>
      <c r="AW831" s="229"/>
      <c r="AX831" s="20"/>
      <c r="AY831" s="229"/>
      <c r="AZ831" s="20"/>
      <c r="BA831" s="229"/>
      <c r="BB831" s="20">
        <v>8</v>
      </c>
      <c r="BC831" s="229">
        <f t="shared" si="311"/>
        <v>17</v>
      </c>
      <c r="BD831" s="48">
        <f t="shared" si="307"/>
        <v>39</v>
      </c>
      <c r="BE831" s="19">
        <v>15</v>
      </c>
      <c r="BF831" s="229">
        <f t="shared" si="312"/>
        <v>17</v>
      </c>
      <c r="BG831" s="210">
        <f t="shared" si="308"/>
        <v>39</v>
      </c>
      <c r="BH831" s="210">
        <f t="shared" si="309"/>
        <v>15</v>
      </c>
      <c r="BI831" s="213">
        <f t="shared" si="305"/>
        <v>260</v>
      </c>
      <c r="BJ831" s="141"/>
      <c r="BK831" s="201"/>
      <c r="BL831" s="198"/>
      <c r="BM831" s="198"/>
    </row>
    <row r="832" spans="1:65" s="17" customFormat="1" ht="15.95" customHeight="1">
      <c r="A832" s="123">
        <v>61</v>
      </c>
      <c r="B832" s="9" t="s">
        <v>269</v>
      </c>
      <c r="C832" s="11" t="s">
        <v>270</v>
      </c>
      <c r="D832" s="229"/>
      <c r="E832" s="13"/>
      <c r="F832" s="229"/>
      <c r="G832" s="13"/>
      <c r="H832" s="229"/>
      <c r="I832" s="13"/>
      <c r="J832" s="229"/>
      <c r="K832" s="13"/>
      <c r="L832" s="229"/>
      <c r="M832" s="13"/>
      <c r="N832" s="229"/>
      <c r="O832" s="13"/>
      <c r="P832" s="229"/>
      <c r="Q832" s="13"/>
      <c r="R832" s="229"/>
      <c r="S832" s="13"/>
      <c r="T832" s="229"/>
      <c r="U832" s="13"/>
      <c r="V832" s="229"/>
      <c r="W832" s="13"/>
      <c r="X832" s="229"/>
      <c r="Y832" s="13"/>
      <c r="Z832" s="229"/>
      <c r="AA832" s="13"/>
      <c r="AB832" s="229">
        <f t="shared" si="310"/>
        <v>0</v>
      </c>
      <c r="AC832" s="228">
        <f t="shared" si="306"/>
        <v>0</v>
      </c>
      <c r="AD832" s="21">
        <v>1</v>
      </c>
      <c r="AE832" s="229"/>
      <c r="AF832" s="20"/>
      <c r="AG832" s="229"/>
      <c r="AH832" s="20"/>
      <c r="AI832" s="229">
        <v>1</v>
      </c>
      <c r="AJ832" s="20">
        <v>1</v>
      </c>
      <c r="AK832" s="229"/>
      <c r="AL832" s="20"/>
      <c r="AM832" s="229"/>
      <c r="AN832" s="20"/>
      <c r="AO832" s="229"/>
      <c r="AP832" s="20"/>
      <c r="AQ832" s="229"/>
      <c r="AR832" s="20"/>
      <c r="AS832" s="229"/>
      <c r="AT832" s="20"/>
      <c r="AU832" s="229"/>
      <c r="AV832" s="20">
        <v>24</v>
      </c>
      <c r="AW832" s="229"/>
      <c r="AX832" s="20"/>
      <c r="AY832" s="229"/>
      <c r="AZ832" s="20"/>
      <c r="BA832" s="229"/>
      <c r="BB832" s="20"/>
      <c r="BC832" s="229">
        <f t="shared" si="311"/>
        <v>1</v>
      </c>
      <c r="BD832" s="48">
        <f t="shared" si="307"/>
        <v>25</v>
      </c>
      <c r="BE832" s="19">
        <v>3</v>
      </c>
      <c r="BF832" s="229">
        <f t="shared" si="312"/>
        <v>1</v>
      </c>
      <c r="BG832" s="210">
        <f t="shared" si="308"/>
        <v>25</v>
      </c>
      <c r="BH832" s="210">
        <f t="shared" si="309"/>
        <v>4</v>
      </c>
      <c r="BI832" s="213">
        <f t="shared" si="305"/>
        <v>625</v>
      </c>
      <c r="BJ832" s="141"/>
      <c r="BK832" s="201"/>
      <c r="BL832" s="198"/>
      <c r="BM832" s="198"/>
    </row>
    <row r="833" spans="1:65" s="17" customFormat="1" ht="15.95" customHeight="1">
      <c r="A833" s="123">
        <v>62</v>
      </c>
      <c r="B833" s="9" t="s">
        <v>422</v>
      </c>
      <c r="C833" s="11" t="s">
        <v>423</v>
      </c>
      <c r="D833" s="229"/>
      <c r="E833" s="13"/>
      <c r="F833" s="229"/>
      <c r="G833" s="13"/>
      <c r="H833" s="229"/>
      <c r="I833" s="13"/>
      <c r="J833" s="229"/>
      <c r="K833" s="13"/>
      <c r="L833" s="229"/>
      <c r="M833" s="13"/>
      <c r="N833" s="229"/>
      <c r="O833" s="13"/>
      <c r="P833" s="229"/>
      <c r="Q833" s="13"/>
      <c r="R833" s="229"/>
      <c r="S833" s="13"/>
      <c r="T833" s="229"/>
      <c r="U833" s="13"/>
      <c r="V833" s="229"/>
      <c r="W833" s="13"/>
      <c r="X833" s="229"/>
      <c r="Y833" s="13"/>
      <c r="Z833" s="229"/>
      <c r="AA833" s="13"/>
      <c r="AB833" s="229">
        <f t="shared" si="310"/>
        <v>0</v>
      </c>
      <c r="AC833" s="228">
        <f t="shared" si="306"/>
        <v>0</v>
      </c>
      <c r="AD833" s="21">
        <v>0</v>
      </c>
      <c r="AE833" s="229"/>
      <c r="AF833" s="20"/>
      <c r="AG833" s="229"/>
      <c r="AH833" s="20"/>
      <c r="AI833" s="290">
        <v>14</v>
      </c>
      <c r="AJ833" s="291">
        <v>14</v>
      </c>
      <c r="AK833" s="229"/>
      <c r="AL833" s="20"/>
      <c r="AM833" s="229"/>
      <c r="AN833" s="20"/>
      <c r="AO833" s="229">
        <f>31+1</f>
        <v>32</v>
      </c>
      <c r="AP833" s="20">
        <f>31+1</f>
        <v>32</v>
      </c>
      <c r="AQ833" s="229"/>
      <c r="AR833" s="20"/>
      <c r="AS833" s="229"/>
      <c r="AT833" s="20"/>
      <c r="AU833" s="229"/>
      <c r="AV833" s="20"/>
      <c r="AW833" s="229"/>
      <c r="AX833" s="20"/>
      <c r="AY833" s="229"/>
      <c r="AZ833" s="20"/>
      <c r="BA833" s="229"/>
      <c r="BB833" s="20">
        <v>28</v>
      </c>
      <c r="BC833" s="229">
        <f t="shared" si="311"/>
        <v>46</v>
      </c>
      <c r="BD833" s="48">
        <f t="shared" si="307"/>
        <v>74</v>
      </c>
      <c r="BE833" s="19">
        <v>15</v>
      </c>
      <c r="BF833" s="229">
        <f t="shared" si="312"/>
        <v>46</v>
      </c>
      <c r="BG833" s="210">
        <f t="shared" si="308"/>
        <v>74</v>
      </c>
      <c r="BH833" s="210">
        <f t="shared" si="309"/>
        <v>15</v>
      </c>
      <c r="BI833" s="213">
        <f t="shared" si="305"/>
        <v>493.33333333333337</v>
      </c>
      <c r="BJ833" s="141"/>
      <c r="BK833" s="201"/>
      <c r="BL833" s="198"/>
      <c r="BM833" s="198"/>
    </row>
    <row r="834" spans="1:65" s="17" customFormat="1" ht="15.95" customHeight="1">
      <c r="A834" s="123">
        <v>63</v>
      </c>
      <c r="B834" s="9" t="s">
        <v>2147</v>
      </c>
      <c r="C834" s="11" t="s">
        <v>2486</v>
      </c>
      <c r="D834" s="229"/>
      <c r="E834" s="13"/>
      <c r="F834" s="229"/>
      <c r="G834" s="13"/>
      <c r="H834" s="229"/>
      <c r="I834" s="13"/>
      <c r="J834" s="229"/>
      <c r="K834" s="13"/>
      <c r="L834" s="229"/>
      <c r="M834" s="13"/>
      <c r="N834" s="229"/>
      <c r="O834" s="13"/>
      <c r="P834" s="229"/>
      <c r="Q834" s="13"/>
      <c r="R834" s="229"/>
      <c r="S834" s="13"/>
      <c r="T834" s="229"/>
      <c r="U834" s="13"/>
      <c r="V834" s="229"/>
      <c r="W834" s="13"/>
      <c r="X834" s="229"/>
      <c r="Y834" s="13"/>
      <c r="Z834" s="229"/>
      <c r="AA834" s="13"/>
      <c r="AB834" s="229">
        <f t="shared" si="310"/>
        <v>0</v>
      </c>
      <c r="AC834" s="228">
        <f t="shared" si="306"/>
        <v>0</v>
      </c>
      <c r="AD834" s="21">
        <v>0</v>
      </c>
      <c r="AE834" s="229"/>
      <c r="AF834" s="20"/>
      <c r="AG834" s="229"/>
      <c r="AH834" s="20"/>
      <c r="AI834" s="229"/>
      <c r="AJ834" s="20"/>
      <c r="AK834" s="229"/>
      <c r="AL834" s="20"/>
      <c r="AM834" s="229"/>
      <c r="AN834" s="20"/>
      <c r="AO834" s="229"/>
      <c r="AP834" s="20"/>
      <c r="AQ834" s="229"/>
      <c r="AR834" s="20"/>
      <c r="AS834" s="229"/>
      <c r="AT834" s="20"/>
      <c r="AU834" s="229"/>
      <c r="AV834" s="20"/>
      <c r="AW834" s="229"/>
      <c r="AX834" s="20"/>
      <c r="AY834" s="229"/>
      <c r="AZ834" s="20"/>
      <c r="BA834" s="229"/>
      <c r="BB834" s="20">
        <v>4</v>
      </c>
      <c r="BC834" s="229">
        <f t="shared" si="311"/>
        <v>0</v>
      </c>
      <c r="BD834" s="48">
        <f t="shared" si="307"/>
        <v>4</v>
      </c>
      <c r="BE834" s="19">
        <v>6</v>
      </c>
      <c r="BF834" s="229">
        <f t="shared" si="312"/>
        <v>0</v>
      </c>
      <c r="BG834" s="210">
        <f t="shared" si="308"/>
        <v>4</v>
      </c>
      <c r="BH834" s="210">
        <f t="shared" si="309"/>
        <v>6</v>
      </c>
      <c r="BI834" s="213">
        <f t="shared" si="305"/>
        <v>66.666666666666657</v>
      </c>
      <c r="BJ834" s="141"/>
      <c r="BK834" s="201"/>
      <c r="BL834" s="198"/>
      <c r="BM834" s="198"/>
    </row>
    <row r="835" spans="1:65" s="17" customFormat="1" ht="15.95" customHeight="1">
      <c r="A835" s="123">
        <v>64</v>
      </c>
      <c r="B835" s="9" t="s">
        <v>2920</v>
      </c>
      <c r="C835" s="11" t="s">
        <v>2921</v>
      </c>
      <c r="D835" s="229"/>
      <c r="E835" s="13"/>
      <c r="F835" s="229"/>
      <c r="G835" s="13"/>
      <c r="H835" s="229"/>
      <c r="I835" s="13"/>
      <c r="J835" s="229"/>
      <c r="K835" s="13"/>
      <c r="L835" s="229"/>
      <c r="M835" s="13"/>
      <c r="N835" s="229"/>
      <c r="O835" s="13"/>
      <c r="P835" s="229"/>
      <c r="Q835" s="13"/>
      <c r="R835" s="229"/>
      <c r="S835" s="13"/>
      <c r="T835" s="229"/>
      <c r="U835" s="13"/>
      <c r="V835" s="229"/>
      <c r="W835" s="13"/>
      <c r="X835" s="229"/>
      <c r="Y835" s="13"/>
      <c r="Z835" s="229"/>
      <c r="AA835" s="13"/>
      <c r="AB835" s="229">
        <f t="shared" si="310"/>
        <v>0</v>
      </c>
      <c r="AC835" s="228">
        <f t="shared" si="306"/>
        <v>0</v>
      </c>
      <c r="AD835" s="21">
        <v>0</v>
      </c>
      <c r="AE835" s="229"/>
      <c r="AF835" s="20"/>
      <c r="AG835" s="229"/>
      <c r="AH835" s="20"/>
      <c r="AI835" s="229">
        <v>1</v>
      </c>
      <c r="AJ835" s="20">
        <v>1</v>
      </c>
      <c r="AK835" s="229"/>
      <c r="AL835" s="20"/>
      <c r="AM835" s="229"/>
      <c r="AN835" s="20"/>
      <c r="AO835" s="229">
        <v>1</v>
      </c>
      <c r="AP835" s="20">
        <v>1</v>
      </c>
      <c r="AQ835" s="229"/>
      <c r="AR835" s="20"/>
      <c r="AS835" s="229"/>
      <c r="AT835" s="20"/>
      <c r="AU835" s="229"/>
      <c r="AV835" s="20"/>
      <c r="AW835" s="229"/>
      <c r="AX835" s="20"/>
      <c r="AY835" s="229"/>
      <c r="AZ835" s="20"/>
      <c r="BA835" s="229"/>
      <c r="BB835" s="20">
        <v>5</v>
      </c>
      <c r="BC835" s="229">
        <f t="shared" si="311"/>
        <v>2</v>
      </c>
      <c r="BD835" s="48">
        <f t="shared" si="307"/>
        <v>7</v>
      </c>
      <c r="BE835" s="19">
        <v>0</v>
      </c>
      <c r="BF835" s="229">
        <f t="shared" si="312"/>
        <v>2</v>
      </c>
      <c r="BG835" s="210">
        <f t="shared" si="308"/>
        <v>7</v>
      </c>
      <c r="BH835" s="210">
        <f t="shared" si="309"/>
        <v>0</v>
      </c>
      <c r="BI835" s="213" t="e">
        <f t="shared" si="305"/>
        <v>#DIV/0!</v>
      </c>
      <c r="BJ835" s="141"/>
      <c r="BK835" s="201"/>
      <c r="BL835" s="198"/>
      <c r="BM835" s="198"/>
    </row>
    <row r="836" spans="1:65" s="17" customFormat="1" ht="15.95" customHeight="1">
      <c r="A836" s="123">
        <v>65</v>
      </c>
      <c r="B836" s="9" t="s">
        <v>1573</v>
      </c>
      <c r="C836" s="11" t="s">
        <v>2485</v>
      </c>
      <c r="D836" s="229"/>
      <c r="E836" s="13"/>
      <c r="F836" s="229"/>
      <c r="G836" s="13"/>
      <c r="H836" s="229"/>
      <c r="I836" s="13"/>
      <c r="J836" s="229"/>
      <c r="K836" s="13"/>
      <c r="L836" s="229"/>
      <c r="M836" s="13"/>
      <c r="N836" s="229"/>
      <c r="O836" s="13"/>
      <c r="P836" s="229"/>
      <c r="Q836" s="13"/>
      <c r="R836" s="229"/>
      <c r="S836" s="13"/>
      <c r="T836" s="229"/>
      <c r="U836" s="13"/>
      <c r="V836" s="229"/>
      <c r="W836" s="13"/>
      <c r="X836" s="229"/>
      <c r="Y836" s="13"/>
      <c r="Z836" s="229"/>
      <c r="AA836" s="13"/>
      <c r="AB836" s="229">
        <f t="shared" si="310"/>
        <v>0</v>
      </c>
      <c r="AC836" s="228">
        <f t="shared" si="306"/>
        <v>0</v>
      </c>
      <c r="AD836" s="21">
        <v>0</v>
      </c>
      <c r="AE836" s="229"/>
      <c r="AF836" s="20"/>
      <c r="AG836" s="229"/>
      <c r="AH836" s="20"/>
      <c r="AI836" s="229"/>
      <c r="AJ836" s="20"/>
      <c r="AK836" s="229"/>
      <c r="AL836" s="20"/>
      <c r="AM836" s="229"/>
      <c r="AN836" s="20"/>
      <c r="AO836" s="229"/>
      <c r="AP836" s="20"/>
      <c r="AQ836" s="229"/>
      <c r="AR836" s="20"/>
      <c r="AS836" s="229"/>
      <c r="AT836" s="20"/>
      <c r="AU836" s="229"/>
      <c r="AV836" s="20"/>
      <c r="AW836" s="229"/>
      <c r="AX836" s="20"/>
      <c r="AY836" s="229"/>
      <c r="AZ836" s="20"/>
      <c r="BA836" s="229"/>
      <c r="BB836" s="20"/>
      <c r="BC836" s="229">
        <f t="shared" si="311"/>
        <v>0</v>
      </c>
      <c r="BD836" s="48">
        <f t="shared" si="307"/>
        <v>0</v>
      </c>
      <c r="BE836" s="19">
        <v>1</v>
      </c>
      <c r="BF836" s="229">
        <f t="shared" si="312"/>
        <v>0</v>
      </c>
      <c r="BG836" s="210">
        <f t="shared" si="308"/>
        <v>0</v>
      </c>
      <c r="BH836" s="210">
        <f t="shared" si="309"/>
        <v>1</v>
      </c>
      <c r="BI836" s="213">
        <f t="shared" ref="BI836:BI867" si="313">BG836/BH836*100</f>
        <v>0</v>
      </c>
      <c r="BJ836" s="141"/>
      <c r="BK836" s="201"/>
      <c r="BL836" s="198"/>
      <c r="BM836" s="198"/>
    </row>
    <row r="837" spans="1:65" s="17" customFormat="1" ht="15.95" customHeight="1">
      <c r="A837" s="123">
        <v>66</v>
      </c>
      <c r="B837" s="9" t="s">
        <v>2335</v>
      </c>
      <c r="C837" s="11" t="s">
        <v>2336</v>
      </c>
      <c r="D837" s="229"/>
      <c r="E837" s="13"/>
      <c r="F837" s="229"/>
      <c r="G837" s="13"/>
      <c r="H837" s="229"/>
      <c r="I837" s="13"/>
      <c r="J837" s="229"/>
      <c r="K837" s="13"/>
      <c r="L837" s="229"/>
      <c r="M837" s="13"/>
      <c r="N837" s="229"/>
      <c r="O837" s="13"/>
      <c r="P837" s="229"/>
      <c r="Q837" s="13"/>
      <c r="R837" s="229"/>
      <c r="S837" s="13"/>
      <c r="T837" s="229"/>
      <c r="U837" s="13"/>
      <c r="V837" s="229"/>
      <c r="W837" s="13"/>
      <c r="X837" s="229"/>
      <c r="Y837" s="13"/>
      <c r="Z837" s="229"/>
      <c r="AA837" s="13"/>
      <c r="AB837" s="229">
        <f t="shared" si="310"/>
        <v>0</v>
      </c>
      <c r="AC837" s="228">
        <f t="shared" si="306"/>
        <v>0</v>
      </c>
      <c r="AD837" s="21">
        <v>0</v>
      </c>
      <c r="AE837" s="229"/>
      <c r="AF837" s="20"/>
      <c r="AG837" s="229"/>
      <c r="AH837" s="20"/>
      <c r="AI837" s="229"/>
      <c r="AJ837" s="20"/>
      <c r="AK837" s="229"/>
      <c r="AL837" s="20"/>
      <c r="AM837" s="229"/>
      <c r="AN837" s="20"/>
      <c r="AO837" s="229">
        <v>1</v>
      </c>
      <c r="AP837" s="20">
        <v>1</v>
      </c>
      <c r="AQ837" s="229"/>
      <c r="AR837" s="20"/>
      <c r="AS837" s="229"/>
      <c r="AT837" s="20"/>
      <c r="AU837" s="229"/>
      <c r="AV837" s="20"/>
      <c r="AW837" s="229"/>
      <c r="AX837" s="20"/>
      <c r="AY837" s="229"/>
      <c r="AZ837" s="20"/>
      <c r="BA837" s="229"/>
      <c r="BB837" s="20">
        <v>2</v>
      </c>
      <c r="BC837" s="229">
        <f t="shared" si="311"/>
        <v>1</v>
      </c>
      <c r="BD837" s="48">
        <f t="shared" si="307"/>
        <v>3</v>
      </c>
      <c r="BE837" s="19">
        <v>1</v>
      </c>
      <c r="BF837" s="229">
        <f t="shared" si="312"/>
        <v>1</v>
      </c>
      <c r="BG837" s="210">
        <f t="shared" si="308"/>
        <v>3</v>
      </c>
      <c r="BH837" s="210">
        <f t="shared" si="309"/>
        <v>1</v>
      </c>
      <c r="BI837" s="213">
        <f t="shared" si="313"/>
        <v>300</v>
      </c>
      <c r="BJ837" s="141"/>
      <c r="BK837" s="201"/>
      <c r="BL837" s="198"/>
      <c r="BM837" s="198"/>
    </row>
    <row r="838" spans="1:65" s="17" customFormat="1" ht="15.95" customHeight="1">
      <c r="A838" s="123">
        <v>67</v>
      </c>
      <c r="B838" s="9" t="s">
        <v>1865</v>
      </c>
      <c r="C838" s="11" t="s">
        <v>2148</v>
      </c>
      <c r="D838" s="229"/>
      <c r="E838" s="13"/>
      <c r="F838" s="229"/>
      <c r="G838" s="13"/>
      <c r="H838" s="229"/>
      <c r="I838" s="13"/>
      <c r="J838" s="229"/>
      <c r="K838" s="13"/>
      <c r="L838" s="229"/>
      <c r="M838" s="13"/>
      <c r="N838" s="229"/>
      <c r="O838" s="13"/>
      <c r="P838" s="229"/>
      <c r="Q838" s="13"/>
      <c r="R838" s="229"/>
      <c r="S838" s="13"/>
      <c r="T838" s="229"/>
      <c r="U838" s="13"/>
      <c r="V838" s="229"/>
      <c r="W838" s="13"/>
      <c r="X838" s="229"/>
      <c r="Y838" s="13"/>
      <c r="Z838" s="229"/>
      <c r="AA838" s="13"/>
      <c r="AB838" s="229">
        <f t="shared" si="310"/>
        <v>0</v>
      </c>
      <c r="AC838" s="228">
        <f t="shared" si="306"/>
        <v>0</v>
      </c>
      <c r="AD838" s="19">
        <v>0</v>
      </c>
      <c r="AE838" s="229"/>
      <c r="AF838" s="20"/>
      <c r="AG838" s="229"/>
      <c r="AH838" s="20"/>
      <c r="AI838" s="290">
        <v>6</v>
      </c>
      <c r="AJ838" s="291">
        <v>6</v>
      </c>
      <c r="AK838" s="229"/>
      <c r="AL838" s="20"/>
      <c r="AM838" s="229"/>
      <c r="AN838" s="20"/>
      <c r="AO838" s="229">
        <v>11</v>
      </c>
      <c r="AP838" s="20">
        <v>11</v>
      </c>
      <c r="AQ838" s="229"/>
      <c r="AR838" s="20"/>
      <c r="AS838" s="229"/>
      <c r="AT838" s="20"/>
      <c r="AU838" s="229"/>
      <c r="AV838" s="20">
        <v>4</v>
      </c>
      <c r="AW838" s="229"/>
      <c r="AX838" s="20"/>
      <c r="AY838" s="229"/>
      <c r="AZ838" s="20"/>
      <c r="BA838" s="229"/>
      <c r="BB838" s="20">
        <v>2</v>
      </c>
      <c r="BC838" s="229">
        <f t="shared" si="311"/>
        <v>17</v>
      </c>
      <c r="BD838" s="48">
        <f t="shared" si="307"/>
        <v>23</v>
      </c>
      <c r="BE838" s="19">
        <f>1+10</f>
        <v>11</v>
      </c>
      <c r="BF838" s="229">
        <f t="shared" si="312"/>
        <v>17</v>
      </c>
      <c r="BG838" s="210">
        <f t="shared" si="308"/>
        <v>23</v>
      </c>
      <c r="BH838" s="210">
        <f t="shared" si="309"/>
        <v>11</v>
      </c>
      <c r="BI838" s="213">
        <f t="shared" si="313"/>
        <v>209.09090909090909</v>
      </c>
      <c r="BJ838" s="141"/>
      <c r="BK838" s="201"/>
      <c r="BL838" s="198"/>
      <c r="BM838" s="198"/>
    </row>
    <row r="839" spans="1:65" s="17" customFormat="1" ht="15.95" customHeight="1">
      <c r="A839" s="123">
        <v>68</v>
      </c>
      <c r="B839" s="9" t="s">
        <v>1342</v>
      </c>
      <c r="C839" s="11" t="s">
        <v>1343</v>
      </c>
      <c r="D839" s="229"/>
      <c r="E839" s="13"/>
      <c r="F839" s="229"/>
      <c r="G839" s="13"/>
      <c r="H839" s="229"/>
      <c r="I839" s="13"/>
      <c r="J839" s="229"/>
      <c r="K839" s="13"/>
      <c r="L839" s="229"/>
      <c r="M839" s="13"/>
      <c r="N839" s="229"/>
      <c r="O839" s="13"/>
      <c r="P839" s="229"/>
      <c r="Q839" s="13"/>
      <c r="R839" s="229"/>
      <c r="S839" s="13"/>
      <c r="T839" s="229"/>
      <c r="U839" s="13"/>
      <c r="V839" s="229"/>
      <c r="W839" s="13"/>
      <c r="X839" s="229"/>
      <c r="Y839" s="13"/>
      <c r="Z839" s="229"/>
      <c r="AA839" s="13"/>
      <c r="AB839" s="229">
        <f t="shared" si="310"/>
        <v>0</v>
      </c>
      <c r="AC839" s="228">
        <f t="shared" si="306"/>
        <v>0</v>
      </c>
      <c r="AD839" s="21">
        <v>0</v>
      </c>
      <c r="AE839" s="229"/>
      <c r="AF839" s="20"/>
      <c r="AG839" s="229"/>
      <c r="AH839" s="20"/>
      <c r="AI839" s="229"/>
      <c r="AJ839" s="20"/>
      <c r="AK839" s="229"/>
      <c r="AL839" s="20"/>
      <c r="AM839" s="229"/>
      <c r="AN839" s="20"/>
      <c r="AO839" s="229">
        <v>9</v>
      </c>
      <c r="AP839" s="20">
        <v>9</v>
      </c>
      <c r="AQ839" s="229"/>
      <c r="AR839" s="20"/>
      <c r="AS839" s="229"/>
      <c r="AT839" s="20"/>
      <c r="AU839" s="229"/>
      <c r="AV839" s="20">
        <v>13</v>
      </c>
      <c r="AW839" s="229"/>
      <c r="AX839" s="20"/>
      <c r="AY839" s="229"/>
      <c r="AZ839" s="20"/>
      <c r="BA839" s="229"/>
      <c r="BB839" s="20">
        <v>10</v>
      </c>
      <c r="BC839" s="229">
        <f t="shared" si="311"/>
        <v>9</v>
      </c>
      <c r="BD839" s="48">
        <f t="shared" si="307"/>
        <v>32</v>
      </c>
      <c r="BE839" s="19">
        <v>7</v>
      </c>
      <c r="BF839" s="229">
        <f t="shared" si="312"/>
        <v>9</v>
      </c>
      <c r="BG839" s="210">
        <f t="shared" si="308"/>
        <v>32</v>
      </c>
      <c r="BH839" s="210">
        <f t="shared" si="309"/>
        <v>7</v>
      </c>
      <c r="BI839" s="213">
        <f t="shared" si="313"/>
        <v>457.14285714285711</v>
      </c>
      <c r="BJ839" s="141"/>
      <c r="BK839" s="201"/>
      <c r="BL839" s="198"/>
      <c r="BM839" s="198"/>
    </row>
    <row r="840" spans="1:65" s="17" customFormat="1" ht="15.95" customHeight="1">
      <c r="A840" s="123">
        <v>69</v>
      </c>
      <c r="B840" s="9" t="s">
        <v>2922</v>
      </c>
      <c r="C840" s="11" t="s">
        <v>2923</v>
      </c>
      <c r="D840" s="229"/>
      <c r="E840" s="13"/>
      <c r="F840" s="229"/>
      <c r="G840" s="13"/>
      <c r="H840" s="229"/>
      <c r="I840" s="13"/>
      <c r="J840" s="229"/>
      <c r="K840" s="13"/>
      <c r="L840" s="229"/>
      <c r="M840" s="13"/>
      <c r="N840" s="229"/>
      <c r="O840" s="13"/>
      <c r="P840" s="229"/>
      <c r="Q840" s="13"/>
      <c r="R840" s="229"/>
      <c r="S840" s="13"/>
      <c r="T840" s="229"/>
      <c r="U840" s="13"/>
      <c r="V840" s="229"/>
      <c r="W840" s="13"/>
      <c r="X840" s="229"/>
      <c r="Y840" s="13"/>
      <c r="Z840" s="229"/>
      <c r="AA840" s="13"/>
      <c r="AB840" s="229">
        <f t="shared" si="310"/>
        <v>0</v>
      </c>
      <c r="AC840" s="228">
        <f t="shared" si="306"/>
        <v>0</v>
      </c>
      <c r="AD840" s="21">
        <v>0</v>
      </c>
      <c r="AE840" s="229"/>
      <c r="AF840" s="20"/>
      <c r="AG840" s="229"/>
      <c r="AH840" s="20"/>
      <c r="AI840" s="229">
        <v>1</v>
      </c>
      <c r="AJ840" s="20">
        <v>1</v>
      </c>
      <c r="AK840" s="229"/>
      <c r="AL840" s="20"/>
      <c r="AM840" s="229"/>
      <c r="AN840" s="20"/>
      <c r="AO840" s="229"/>
      <c r="AP840" s="20"/>
      <c r="AQ840" s="229"/>
      <c r="AR840" s="20"/>
      <c r="AS840" s="229"/>
      <c r="AT840" s="20"/>
      <c r="AU840" s="229"/>
      <c r="AV840" s="20">
        <v>1</v>
      </c>
      <c r="AW840" s="229"/>
      <c r="AX840" s="20"/>
      <c r="AY840" s="229"/>
      <c r="AZ840" s="20"/>
      <c r="BA840" s="229"/>
      <c r="BB840" s="20"/>
      <c r="BC840" s="229">
        <f t="shared" si="311"/>
        <v>1</v>
      </c>
      <c r="BD840" s="48">
        <f t="shared" si="307"/>
        <v>2</v>
      </c>
      <c r="BE840" s="19">
        <v>0</v>
      </c>
      <c r="BF840" s="229">
        <f t="shared" si="312"/>
        <v>1</v>
      </c>
      <c r="BG840" s="210">
        <f t="shared" si="308"/>
        <v>2</v>
      </c>
      <c r="BH840" s="210">
        <f t="shared" si="309"/>
        <v>0</v>
      </c>
      <c r="BI840" s="213" t="e">
        <f t="shared" si="313"/>
        <v>#DIV/0!</v>
      </c>
      <c r="BJ840" s="141"/>
      <c r="BK840" s="201"/>
      <c r="BL840" s="198"/>
      <c r="BM840" s="198"/>
    </row>
    <row r="841" spans="1:65" s="17" customFormat="1" ht="15.95" customHeight="1">
      <c r="A841" s="123">
        <v>70</v>
      </c>
      <c r="B841" s="9" t="s">
        <v>424</v>
      </c>
      <c r="C841" s="11" t="s">
        <v>425</v>
      </c>
      <c r="D841" s="229"/>
      <c r="E841" s="13"/>
      <c r="F841" s="229"/>
      <c r="G841" s="13"/>
      <c r="H841" s="229"/>
      <c r="I841" s="13"/>
      <c r="J841" s="229"/>
      <c r="K841" s="13"/>
      <c r="L841" s="229"/>
      <c r="M841" s="13"/>
      <c r="N841" s="229"/>
      <c r="O841" s="13"/>
      <c r="P841" s="229"/>
      <c r="Q841" s="13"/>
      <c r="R841" s="229"/>
      <c r="S841" s="13"/>
      <c r="T841" s="229"/>
      <c r="U841" s="13"/>
      <c r="V841" s="229"/>
      <c r="W841" s="13"/>
      <c r="X841" s="229"/>
      <c r="Y841" s="13"/>
      <c r="Z841" s="229"/>
      <c r="AA841" s="13"/>
      <c r="AB841" s="229">
        <f t="shared" si="310"/>
        <v>0</v>
      </c>
      <c r="AC841" s="228">
        <f t="shared" si="306"/>
        <v>0</v>
      </c>
      <c r="AD841" s="21">
        <v>0</v>
      </c>
      <c r="AE841" s="229"/>
      <c r="AF841" s="20"/>
      <c r="AG841" s="229"/>
      <c r="AH841" s="20"/>
      <c r="AI841" s="229"/>
      <c r="AJ841" s="20"/>
      <c r="AK841" s="229"/>
      <c r="AL841" s="20"/>
      <c r="AM841" s="229"/>
      <c r="AN841" s="20"/>
      <c r="AO841" s="229"/>
      <c r="AP841" s="20"/>
      <c r="AQ841" s="229"/>
      <c r="AR841" s="20"/>
      <c r="AS841" s="229"/>
      <c r="AT841" s="20"/>
      <c r="AU841" s="229"/>
      <c r="AV841" s="20"/>
      <c r="AW841" s="229"/>
      <c r="AX841" s="20"/>
      <c r="AY841" s="229"/>
      <c r="AZ841" s="20"/>
      <c r="BA841" s="229"/>
      <c r="BB841" s="20"/>
      <c r="BC841" s="229">
        <f t="shared" si="311"/>
        <v>0</v>
      </c>
      <c r="BD841" s="48">
        <f t="shared" si="307"/>
        <v>0</v>
      </c>
      <c r="BE841" s="19">
        <v>1</v>
      </c>
      <c r="BF841" s="229">
        <f t="shared" si="312"/>
        <v>0</v>
      </c>
      <c r="BG841" s="210">
        <f t="shared" si="308"/>
        <v>0</v>
      </c>
      <c r="BH841" s="210">
        <f t="shared" si="309"/>
        <v>1</v>
      </c>
      <c r="BI841" s="213">
        <f t="shared" si="313"/>
        <v>0</v>
      </c>
      <c r="BJ841" s="141"/>
      <c r="BK841" s="201"/>
      <c r="BL841" s="198"/>
      <c r="BM841" s="198"/>
    </row>
    <row r="842" spans="1:65" s="17" customFormat="1" ht="15.95" customHeight="1">
      <c r="A842" s="123">
        <v>71</v>
      </c>
      <c r="B842" s="9" t="s">
        <v>2924</v>
      </c>
      <c r="C842" s="11" t="s">
        <v>2925</v>
      </c>
      <c r="D842" s="229"/>
      <c r="E842" s="13"/>
      <c r="F842" s="229"/>
      <c r="G842" s="13"/>
      <c r="H842" s="229"/>
      <c r="I842" s="13"/>
      <c r="J842" s="229"/>
      <c r="K842" s="13"/>
      <c r="L842" s="229"/>
      <c r="M842" s="13"/>
      <c r="N842" s="229"/>
      <c r="O842" s="13"/>
      <c r="P842" s="229"/>
      <c r="Q842" s="13"/>
      <c r="R842" s="229"/>
      <c r="S842" s="13"/>
      <c r="T842" s="229"/>
      <c r="U842" s="13"/>
      <c r="V842" s="229"/>
      <c r="W842" s="13"/>
      <c r="X842" s="229"/>
      <c r="Y842" s="13"/>
      <c r="Z842" s="229"/>
      <c r="AA842" s="13"/>
      <c r="AB842" s="229">
        <f t="shared" si="310"/>
        <v>0</v>
      </c>
      <c r="AC842" s="228">
        <f t="shared" si="306"/>
        <v>0</v>
      </c>
      <c r="AD842" s="21">
        <v>0</v>
      </c>
      <c r="AE842" s="229"/>
      <c r="AF842" s="20"/>
      <c r="AG842" s="229"/>
      <c r="AH842" s="20"/>
      <c r="AI842" s="229">
        <v>1</v>
      </c>
      <c r="AJ842" s="20">
        <v>1</v>
      </c>
      <c r="AK842" s="229"/>
      <c r="AL842" s="20"/>
      <c r="AM842" s="229"/>
      <c r="AN842" s="20"/>
      <c r="AO842" s="229"/>
      <c r="AP842" s="20"/>
      <c r="AQ842" s="229"/>
      <c r="AR842" s="20"/>
      <c r="AS842" s="229"/>
      <c r="AT842" s="20"/>
      <c r="AU842" s="229"/>
      <c r="AV842" s="20">
        <v>1</v>
      </c>
      <c r="AW842" s="229"/>
      <c r="AX842" s="20"/>
      <c r="AY842" s="229"/>
      <c r="AZ842" s="20"/>
      <c r="BA842" s="229"/>
      <c r="BB842" s="20"/>
      <c r="BC842" s="229">
        <f t="shared" si="311"/>
        <v>1</v>
      </c>
      <c r="BD842" s="48">
        <f t="shared" si="307"/>
        <v>2</v>
      </c>
      <c r="BE842" s="19">
        <v>0</v>
      </c>
      <c r="BF842" s="229">
        <f t="shared" si="312"/>
        <v>1</v>
      </c>
      <c r="BG842" s="210">
        <f t="shared" si="308"/>
        <v>2</v>
      </c>
      <c r="BH842" s="210">
        <f t="shared" si="309"/>
        <v>0</v>
      </c>
      <c r="BI842" s="213" t="e">
        <f t="shared" si="313"/>
        <v>#DIV/0!</v>
      </c>
      <c r="BJ842" s="141"/>
      <c r="BK842" s="201"/>
      <c r="BL842" s="198"/>
      <c r="BM842" s="198"/>
    </row>
    <row r="843" spans="1:65" s="17" customFormat="1" ht="21.95" customHeight="1">
      <c r="A843" s="123">
        <v>72</v>
      </c>
      <c r="B843" s="9" t="s">
        <v>1344</v>
      </c>
      <c r="C843" s="10" t="s">
        <v>1345</v>
      </c>
      <c r="D843" s="229"/>
      <c r="E843" s="13"/>
      <c r="F843" s="229"/>
      <c r="G843" s="13"/>
      <c r="H843" s="229"/>
      <c r="I843" s="13"/>
      <c r="J843" s="229"/>
      <c r="K843" s="13"/>
      <c r="L843" s="229"/>
      <c r="M843" s="13"/>
      <c r="N843" s="229"/>
      <c r="O843" s="13"/>
      <c r="P843" s="229"/>
      <c r="Q843" s="13"/>
      <c r="R843" s="229"/>
      <c r="S843" s="13"/>
      <c r="T843" s="229"/>
      <c r="U843" s="13"/>
      <c r="V843" s="229"/>
      <c r="W843" s="13"/>
      <c r="X843" s="229"/>
      <c r="Y843" s="13"/>
      <c r="Z843" s="229"/>
      <c r="AA843" s="13"/>
      <c r="AB843" s="229">
        <f t="shared" si="310"/>
        <v>0</v>
      </c>
      <c r="AC843" s="228">
        <f t="shared" si="306"/>
        <v>0</v>
      </c>
      <c r="AD843" s="21">
        <v>0</v>
      </c>
      <c r="AE843" s="229"/>
      <c r="AF843" s="20"/>
      <c r="AG843" s="229"/>
      <c r="AH843" s="20"/>
      <c r="AI843" s="229">
        <v>2</v>
      </c>
      <c r="AJ843" s="20">
        <v>2</v>
      </c>
      <c r="AK843" s="229"/>
      <c r="AL843" s="20"/>
      <c r="AM843" s="229"/>
      <c r="AN843" s="20"/>
      <c r="AO843" s="229">
        <v>1</v>
      </c>
      <c r="AP843" s="20">
        <v>1</v>
      </c>
      <c r="AQ843" s="229"/>
      <c r="AR843" s="20"/>
      <c r="AS843" s="229"/>
      <c r="AT843" s="20"/>
      <c r="AU843" s="229"/>
      <c r="AV843" s="20"/>
      <c r="AW843" s="229"/>
      <c r="AX843" s="20"/>
      <c r="AY843" s="229"/>
      <c r="AZ843" s="20"/>
      <c r="BA843" s="229"/>
      <c r="BB843" s="20">
        <v>1</v>
      </c>
      <c r="BC843" s="229">
        <f t="shared" si="311"/>
        <v>3</v>
      </c>
      <c r="BD843" s="48">
        <f t="shared" si="307"/>
        <v>4</v>
      </c>
      <c r="BE843" s="19">
        <v>5</v>
      </c>
      <c r="BF843" s="229">
        <f t="shared" si="312"/>
        <v>3</v>
      </c>
      <c r="BG843" s="210">
        <f t="shared" si="308"/>
        <v>4</v>
      </c>
      <c r="BH843" s="210">
        <f t="shared" si="309"/>
        <v>5</v>
      </c>
      <c r="BI843" s="213">
        <f t="shared" si="313"/>
        <v>80</v>
      </c>
      <c r="BJ843" s="141"/>
      <c r="BK843" s="201"/>
      <c r="BL843" s="198"/>
      <c r="BM843" s="198"/>
    </row>
    <row r="844" spans="1:65" s="17" customFormat="1" ht="15.95" customHeight="1">
      <c r="A844" s="123">
        <v>73</v>
      </c>
      <c r="B844" s="9" t="s">
        <v>426</v>
      </c>
      <c r="C844" s="181" t="s">
        <v>427</v>
      </c>
      <c r="D844" s="229"/>
      <c r="E844" s="13"/>
      <c r="F844" s="229"/>
      <c r="G844" s="13"/>
      <c r="H844" s="229"/>
      <c r="I844" s="13"/>
      <c r="J844" s="229"/>
      <c r="K844" s="13"/>
      <c r="L844" s="229"/>
      <c r="M844" s="13"/>
      <c r="N844" s="229"/>
      <c r="O844" s="13"/>
      <c r="P844" s="229"/>
      <c r="Q844" s="13"/>
      <c r="R844" s="229"/>
      <c r="S844" s="13"/>
      <c r="T844" s="229"/>
      <c r="U844" s="13"/>
      <c r="V844" s="229"/>
      <c r="W844" s="13"/>
      <c r="X844" s="229"/>
      <c r="Y844" s="13"/>
      <c r="Z844" s="229"/>
      <c r="AA844" s="13"/>
      <c r="AB844" s="229">
        <f t="shared" si="310"/>
        <v>0</v>
      </c>
      <c r="AC844" s="228">
        <f t="shared" si="306"/>
        <v>0</v>
      </c>
      <c r="AD844" s="21">
        <v>0</v>
      </c>
      <c r="AE844" s="229"/>
      <c r="AF844" s="20"/>
      <c r="AG844" s="229"/>
      <c r="AH844" s="20"/>
      <c r="AI844" s="229">
        <v>5</v>
      </c>
      <c r="AJ844" s="20">
        <v>5</v>
      </c>
      <c r="AK844" s="229"/>
      <c r="AL844" s="20"/>
      <c r="AM844" s="229"/>
      <c r="AN844" s="20"/>
      <c r="AO844" s="229">
        <v>6</v>
      </c>
      <c r="AP844" s="20">
        <v>6</v>
      </c>
      <c r="AQ844" s="229"/>
      <c r="AR844" s="20"/>
      <c r="AS844" s="229"/>
      <c r="AT844" s="20"/>
      <c r="AU844" s="229"/>
      <c r="AV844" s="20">
        <v>4</v>
      </c>
      <c r="AW844" s="229"/>
      <c r="AX844" s="20"/>
      <c r="AY844" s="229"/>
      <c r="AZ844" s="20"/>
      <c r="BA844" s="229"/>
      <c r="BB844" s="20">
        <v>3</v>
      </c>
      <c r="BC844" s="229">
        <f t="shared" si="311"/>
        <v>11</v>
      </c>
      <c r="BD844" s="48">
        <f t="shared" si="307"/>
        <v>18</v>
      </c>
      <c r="BE844" s="19">
        <v>7</v>
      </c>
      <c r="BF844" s="229">
        <f t="shared" si="312"/>
        <v>11</v>
      </c>
      <c r="BG844" s="210">
        <f t="shared" si="308"/>
        <v>18</v>
      </c>
      <c r="BH844" s="210">
        <f t="shared" si="309"/>
        <v>7</v>
      </c>
      <c r="BI844" s="213">
        <f t="shared" si="313"/>
        <v>257.14285714285717</v>
      </c>
      <c r="BJ844" s="141"/>
      <c r="BK844" s="201"/>
      <c r="BL844" s="198"/>
      <c r="BM844" s="198"/>
    </row>
    <row r="845" spans="1:65" s="17" customFormat="1" ht="15.95" customHeight="1">
      <c r="A845" s="123">
        <v>74</v>
      </c>
      <c r="B845" s="9" t="s">
        <v>530</v>
      </c>
      <c r="C845" s="11" t="s">
        <v>531</v>
      </c>
      <c r="D845" s="229"/>
      <c r="E845" s="13"/>
      <c r="F845" s="229"/>
      <c r="G845" s="13"/>
      <c r="H845" s="229"/>
      <c r="I845" s="13"/>
      <c r="J845" s="229"/>
      <c r="K845" s="13"/>
      <c r="L845" s="229"/>
      <c r="M845" s="13"/>
      <c r="N845" s="229"/>
      <c r="O845" s="13"/>
      <c r="P845" s="229"/>
      <c r="Q845" s="13"/>
      <c r="R845" s="229"/>
      <c r="S845" s="13"/>
      <c r="T845" s="229"/>
      <c r="U845" s="13"/>
      <c r="V845" s="229"/>
      <c r="W845" s="13"/>
      <c r="X845" s="229"/>
      <c r="Y845" s="13"/>
      <c r="Z845" s="229"/>
      <c r="AA845" s="13"/>
      <c r="AB845" s="229">
        <f t="shared" si="310"/>
        <v>0</v>
      </c>
      <c r="AC845" s="228">
        <f t="shared" si="306"/>
        <v>0</v>
      </c>
      <c r="AD845" s="21">
        <v>0</v>
      </c>
      <c r="AE845" s="229"/>
      <c r="AF845" s="20"/>
      <c r="AG845" s="229"/>
      <c r="AH845" s="20"/>
      <c r="AI845" s="229">
        <v>5</v>
      </c>
      <c r="AJ845" s="20">
        <v>5</v>
      </c>
      <c r="AK845" s="229"/>
      <c r="AL845" s="20"/>
      <c r="AM845" s="229"/>
      <c r="AN845" s="20"/>
      <c r="AO845" s="229">
        <v>1</v>
      </c>
      <c r="AP845" s="20">
        <v>1</v>
      </c>
      <c r="AQ845" s="229"/>
      <c r="AR845" s="20"/>
      <c r="AS845" s="229"/>
      <c r="AT845" s="20"/>
      <c r="AU845" s="229"/>
      <c r="AV845" s="20">
        <v>4</v>
      </c>
      <c r="AW845" s="229"/>
      <c r="AX845" s="20"/>
      <c r="AY845" s="229"/>
      <c r="AZ845" s="20"/>
      <c r="BA845" s="229"/>
      <c r="BB845" s="20">
        <v>3</v>
      </c>
      <c r="BC845" s="229">
        <f t="shared" si="311"/>
        <v>6</v>
      </c>
      <c r="BD845" s="48">
        <f t="shared" si="307"/>
        <v>13</v>
      </c>
      <c r="BE845" s="19">
        <v>11</v>
      </c>
      <c r="BF845" s="229">
        <f t="shared" si="312"/>
        <v>6</v>
      </c>
      <c r="BG845" s="210">
        <f t="shared" si="308"/>
        <v>13</v>
      </c>
      <c r="BH845" s="210">
        <f t="shared" si="309"/>
        <v>11</v>
      </c>
      <c r="BI845" s="213">
        <f t="shared" si="313"/>
        <v>118.18181818181819</v>
      </c>
      <c r="BJ845" s="141"/>
      <c r="BK845" s="201"/>
      <c r="BL845" s="198"/>
      <c r="BM845" s="198"/>
    </row>
    <row r="846" spans="1:65" s="17" customFormat="1" ht="15.95" customHeight="1">
      <c r="A846" s="123">
        <v>75</v>
      </c>
      <c r="B846" s="9" t="s">
        <v>1900</v>
      </c>
      <c r="C846" s="11" t="s">
        <v>1901</v>
      </c>
      <c r="D846" s="229"/>
      <c r="E846" s="13"/>
      <c r="F846" s="229"/>
      <c r="G846" s="13"/>
      <c r="H846" s="229"/>
      <c r="I846" s="13"/>
      <c r="J846" s="229"/>
      <c r="K846" s="13"/>
      <c r="L846" s="229"/>
      <c r="M846" s="13"/>
      <c r="N846" s="229"/>
      <c r="O846" s="13"/>
      <c r="P846" s="229"/>
      <c r="Q846" s="13"/>
      <c r="R846" s="229"/>
      <c r="S846" s="13"/>
      <c r="T846" s="229"/>
      <c r="U846" s="13"/>
      <c r="V846" s="229"/>
      <c r="W846" s="13"/>
      <c r="X846" s="229"/>
      <c r="Y846" s="13"/>
      <c r="Z846" s="229"/>
      <c r="AA846" s="13"/>
      <c r="AB846" s="229">
        <f t="shared" si="310"/>
        <v>0</v>
      </c>
      <c r="AC846" s="228">
        <f t="shared" si="306"/>
        <v>0</v>
      </c>
      <c r="AD846" s="21">
        <v>0</v>
      </c>
      <c r="AE846" s="229"/>
      <c r="AF846" s="20"/>
      <c r="AG846" s="229"/>
      <c r="AH846" s="20"/>
      <c r="AI846" s="229"/>
      <c r="AJ846" s="20"/>
      <c r="AK846" s="229"/>
      <c r="AL846" s="20"/>
      <c r="AM846" s="229"/>
      <c r="AN846" s="20"/>
      <c r="AO846" s="229"/>
      <c r="AP846" s="20"/>
      <c r="AQ846" s="229"/>
      <c r="AR846" s="20"/>
      <c r="AS846" s="229"/>
      <c r="AT846" s="20"/>
      <c r="AU846" s="229"/>
      <c r="AV846" s="20"/>
      <c r="AW846" s="229"/>
      <c r="AX846" s="20"/>
      <c r="AY846" s="229"/>
      <c r="AZ846" s="20"/>
      <c r="BA846" s="229"/>
      <c r="BB846" s="20">
        <v>2</v>
      </c>
      <c r="BC846" s="229">
        <f t="shared" si="311"/>
        <v>0</v>
      </c>
      <c r="BD846" s="48">
        <f t="shared" si="307"/>
        <v>2</v>
      </c>
      <c r="BE846" s="19">
        <v>1</v>
      </c>
      <c r="BF846" s="229">
        <f t="shared" si="312"/>
        <v>0</v>
      </c>
      <c r="BG846" s="210">
        <f t="shared" si="308"/>
        <v>2</v>
      </c>
      <c r="BH846" s="210">
        <f t="shared" si="309"/>
        <v>1</v>
      </c>
      <c r="BI846" s="213">
        <f t="shared" si="313"/>
        <v>200</v>
      </c>
      <c r="BJ846" s="141"/>
      <c r="BK846" s="201"/>
      <c r="BL846" s="198"/>
      <c r="BM846" s="198"/>
    </row>
    <row r="847" spans="1:65" s="17" customFormat="1" ht="15.95" customHeight="1">
      <c r="A847" s="123">
        <v>76</v>
      </c>
      <c r="B847" s="9" t="s">
        <v>2149</v>
      </c>
      <c r="C847" s="11" t="s">
        <v>2150</v>
      </c>
      <c r="D847" s="229"/>
      <c r="E847" s="13"/>
      <c r="F847" s="229"/>
      <c r="G847" s="13"/>
      <c r="H847" s="229"/>
      <c r="I847" s="13"/>
      <c r="J847" s="229"/>
      <c r="K847" s="13"/>
      <c r="L847" s="229"/>
      <c r="M847" s="13"/>
      <c r="N847" s="229"/>
      <c r="O847" s="13"/>
      <c r="P847" s="229"/>
      <c r="Q847" s="13"/>
      <c r="R847" s="229"/>
      <c r="S847" s="13"/>
      <c r="T847" s="229"/>
      <c r="U847" s="13"/>
      <c r="V847" s="229"/>
      <c r="W847" s="13"/>
      <c r="X847" s="229"/>
      <c r="Y847" s="13"/>
      <c r="Z847" s="229"/>
      <c r="AA847" s="13"/>
      <c r="AB847" s="229">
        <f t="shared" si="310"/>
        <v>0</v>
      </c>
      <c r="AC847" s="228">
        <f t="shared" si="306"/>
        <v>0</v>
      </c>
      <c r="AD847" s="21">
        <v>0</v>
      </c>
      <c r="AE847" s="229"/>
      <c r="AF847" s="20"/>
      <c r="AG847" s="229"/>
      <c r="AH847" s="20"/>
      <c r="AI847" s="229">
        <v>1</v>
      </c>
      <c r="AJ847" s="20">
        <v>1</v>
      </c>
      <c r="AK847" s="229"/>
      <c r="AL847" s="20"/>
      <c r="AM847" s="229"/>
      <c r="AN847" s="20"/>
      <c r="AO847" s="229"/>
      <c r="AP847" s="20"/>
      <c r="AQ847" s="229"/>
      <c r="AR847" s="20"/>
      <c r="AS847" s="229"/>
      <c r="AT847" s="20"/>
      <c r="AU847" s="229"/>
      <c r="AV847" s="20"/>
      <c r="AW847" s="229"/>
      <c r="AX847" s="20"/>
      <c r="AY847" s="229"/>
      <c r="AZ847" s="20"/>
      <c r="BA847" s="229"/>
      <c r="BB847" s="20"/>
      <c r="BC847" s="229">
        <f t="shared" si="311"/>
        <v>1</v>
      </c>
      <c r="BD847" s="48">
        <f t="shared" si="307"/>
        <v>1</v>
      </c>
      <c r="BE847" s="19">
        <v>1</v>
      </c>
      <c r="BF847" s="229">
        <f t="shared" si="312"/>
        <v>1</v>
      </c>
      <c r="BG847" s="210">
        <f t="shared" si="308"/>
        <v>1</v>
      </c>
      <c r="BH847" s="210">
        <f t="shared" si="309"/>
        <v>1</v>
      </c>
      <c r="BI847" s="213">
        <f t="shared" si="313"/>
        <v>100</v>
      </c>
      <c r="BJ847" s="141"/>
      <c r="BK847" s="201"/>
      <c r="BL847" s="198"/>
      <c r="BM847" s="198"/>
    </row>
    <row r="848" spans="1:65" s="17" customFormat="1" ht="15.95" customHeight="1">
      <c r="A848" s="123">
        <v>77</v>
      </c>
      <c r="B848" s="9" t="s">
        <v>2151</v>
      </c>
      <c r="C848" s="11" t="s">
        <v>2152</v>
      </c>
      <c r="D848" s="229"/>
      <c r="E848" s="13"/>
      <c r="F848" s="229"/>
      <c r="G848" s="13"/>
      <c r="H848" s="229"/>
      <c r="I848" s="13"/>
      <c r="J848" s="229"/>
      <c r="K848" s="13"/>
      <c r="L848" s="229"/>
      <c r="M848" s="13"/>
      <c r="N848" s="229"/>
      <c r="O848" s="13"/>
      <c r="P848" s="229"/>
      <c r="Q848" s="13"/>
      <c r="R848" s="229"/>
      <c r="S848" s="13"/>
      <c r="T848" s="229"/>
      <c r="U848" s="13"/>
      <c r="V848" s="229"/>
      <c r="W848" s="13"/>
      <c r="X848" s="229"/>
      <c r="Y848" s="13"/>
      <c r="Z848" s="229"/>
      <c r="AA848" s="13"/>
      <c r="AB848" s="229">
        <f t="shared" si="310"/>
        <v>0</v>
      </c>
      <c r="AC848" s="228">
        <f t="shared" si="306"/>
        <v>0</v>
      </c>
      <c r="AD848" s="21">
        <v>0</v>
      </c>
      <c r="AE848" s="229"/>
      <c r="AF848" s="20"/>
      <c r="AG848" s="229"/>
      <c r="AH848" s="20"/>
      <c r="AI848" s="229"/>
      <c r="AJ848" s="20"/>
      <c r="AK848" s="229"/>
      <c r="AL848" s="20"/>
      <c r="AM848" s="229"/>
      <c r="AN848" s="20"/>
      <c r="AO848" s="229"/>
      <c r="AP848" s="20"/>
      <c r="AQ848" s="229"/>
      <c r="AR848" s="20"/>
      <c r="AS848" s="229"/>
      <c r="AT848" s="20"/>
      <c r="AU848" s="229"/>
      <c r="AV848" s="20"/>
      <c r="AW848" s="229"/>
      <c r="AX848" s="20"/>
      <c r="AY848" s="229"/>
      <c r="AZ848" s="20"/>
      <c r="BA848" s="229"/>
      <c r="BB848" s="20"/>
      <c r="BC848" s="229">
        <f t="shared" si="311"/>
        <v>0</v>
      </c>
      <c r="BD848" s="48">
        <f t="shared" si="307"/>
        <v>0</v>
      </c>
      <c r="BE848" s="19">
        <v>1</v>
      </c>
      <c r="BF848" s="229">
        <f t="shared" si="312"/>
        <v>0</v>
      </c>
      <c r="BG848" s="210">
        <f t="shared" si="308"/>
        <v>0</v>
      </c>
      <c r="BH848" s="210">
        <f t="shared" si="309"/>
        <v>1</v>
      </c>
      <c r="BI848" s="213">
        <f t="shared" si="313"/>
        <v>0</v>
      </c>
      <c r="BJ848" s="141"/>
      <c r="BK848" s="201"/>
      <c r="BL848" s="198"/>
      <c r="BM848" s="198"/>
    </row>
    <row r="849" spans="1:65" s="17" customFormat="1" ht="15.95" customHeight="1">
      <c r="A849" s="123">
        <v>78</v>
      </c>
      <c r="B849" s="9" t="s">
        <v>1724</v>
      </c>
      <c r="C849" s="11" t="s">
        <v>1725</v>
      </c>
      <c r="D849" s="229"/>
      <c r="E849" s="13"/>
      <c r="F849" s="229"/>
      <c r="G849" s="13"/>
      <c r="H849" s="229"/>
      <c r="I849" s="13"/>
      <c r="J849" s="229"/>
      <c r="K849" s="13"/>
      <c r="L849" s="229"/>
      <c r="M849" s="13"/>
      <c r="N849" s="229"/>
      <c r="O849" s="13"/>
      <c r="P849" s="229"/>
      <c r="Q849" s="13"/>
      <c r="R849" s="229"/>
      <c r="S849" s="13"/>
      <c r="T849" s="229"/>
      <c r="U849" s="13"/>
      <c r="V849" s="229"/>
      <c r="W849" s="13"/>
      <c r="X849" s="229"/>
      <c r="Y849" s="13"/>
      <c r="Z849" s="229"/>
      <c r="AA849" s="13"/>
      <c r="AB849" s="229">
        <f t="shared" si="310"/>
        <v>0</v>
      </c>
      <c r="AC849" s="228">
        <f t="shared" si="306"/>
        <v>0</v>
      </c>
      <c r="AD849" s="21">
        <v>0</v>
      </c>
      <c r="AE849" s="229"/>
      <c r="AF849" s="20"/>
      <c r="AG849" s="229"/>
      <c r="AH849" s="20"/>
      <c r="AI849" s="229"/>
      <c r="AJ849" s="20"/>
      <c r="AK849" s="229"/>
      <c r="AL849" s="20"/>
      <c r="AM849" s="229"/>
      <c r="AN849" s="20"/>
      <c r="AO849" s="229"/>
      <c r="AP849" s="20"/>
      <c r="AQ849" s="229"/>
      <c r="AR849" s="20"/>
      <c r="AS849" s="229"/>
      <c r="AT849" s="20"/>
      <c r="AU849" s="229"/>
      <c r="AV849" s="20"/>
      <c r="AW849" s="229"/>
      <c r="AX849" s="20"/>
      <c r="AY849" s="229"/>
      <c r="AZ849" s="20"/>
      <c r="BA849" s="229"/>
      <c r="BB849" s="20"/>
      <c r="BC849" s="229">
        <f t="shared" si="311"/>
        <v>0</v>
      </c>
      <c r="BD849" s="48">
        <f t="shared" si="307"/>
        <v>0</v>
      </c>
      <c r="BE849" s="19">
        <v>3</v>
      </c>
      <c r="BF849" s="229">
        <f t="shared" si="312"/>
        <v>0</v>
      </c>
      <c r="BG849" s="210">
        <f t="shared" si="308"/>
        <v>0</v>
      </c>
      <c r="BH849" s="210">
        <f t="shared" si="309"/>
        <v>3</v>
      </c>
      <c r="BI849" s="213">
        <f t="shared" si="313"/>
        <v>0</v>
      </c>
      <c r="BJ849" s="141"/>
      <c r="BK849" s="201"/>
      <c r="BL849" s="198"/>
      <c r="BM849" s="198"/>
    </row>
    <row r="850" spans="1:65" s="17" customFormat="1" ht="15.95" customHeight="1">
      <c r="A850" s="123">
        <v>79</v>
      </c>
      <c r="B850" s="9" t="s">
        <v>1902</v>
      </c>
      <c r="C850" s="11" t="s">
        <v>1903</v>
      </c>
      <c r="D850" s="229"/>
      <c r="E850" s="13"/>
      <c r="F850" s="229"/>
      <c r="G850" s="13"/>
      <c r="H850" s="229"/>
      <c r="I850" s="13"/>
      <c r="J850" s="229"/>
      <c r="K850" s="13"/>
      <c r="L850" s="229"/>
      <c r="M850" s="13"/>
      <c r="N850" s="229"/>
      <c r="O850" s="13"/>
      <c r="P850" s="229"/>
      <c r="Q850" s="13"/>
      <c r="R850" s="229"/>
      <c r="S850" s="13"/>
      <c r="T850" s="229"/>
      <c r="U850" s="13"/>
      <c r="V850" s="229"/>
      <c r="W850" s="13"/>
      <c r="X850" s="229"/>
      <c r="Y850" s="13"/>
      <c r="Z850" s="229"/>
      <c r="AA850" s="13"/>
      <c r="AB850" s="229">
        <f t="shared" si="310"/>
        <v>0</v>
      </c>
      <c r="AC850" s="228">
        <f t="shared" si="306"/>
        <v>0</v>
      </c>
      <c r="AD850" s="21">
        <v>0</v>
      </c>
      <c r="AE850" s="229"/>
      <c r="AF850" s="20"/>
      <c r="AG850" s="229"/>
      <c r="AH850" s="20"/>
      <c r="AI850" s="229"/>
      <c r="AJ850" s="20"/>
      <c r="AK850" s="229"/>
      <c r="AL850" s="20"/>
      <c r="AM850" s="229"/>
      <c r="AN850" s="20"/>
      <c r="AO850" s="229"/>
      <c r="AP850" s="20"/>
      <c r="AQ850" s="229"/>
      <c r="AR850" s="20"/>
      <c r="AS850" s="229"/>
      <c r="AT850" s="20"/>
      <c r="AU850" s="229"/>
      <c r="AV850" s="20"/>
      <c r="AW850" s="229"/>
      <c r="AX850" s="20"/>
      <c r="AY850" s="229"/>
      <c r="AZ850" s="20"/>
      <c r="BA850" s="229"/>
      <c r="BB850" s="20"/>
      <c r="BC850" s="229">
        <f t="shared" si="311"/>
        <v>0</v>
      </c>
      <c r="BD850" s="48">
        <f t="shared" si="307"/>
        <v>0</v>
      </c>
      <c r="BE850" s="19">
        <v>3</v>
      </c>
      <c r="BF850" s="229">
        <f t="shared" si="312"/>
        <v>0</v>
      </c>
      <c r="BG850" s="210">
        <f t="shared" si="308"/>
        <v>0</v>
      </c>
      <c r="BH850" s="210">
        <f t="shared" si="309"/>
        <v>3</v>
      </c>
      <c r="BI850" s="213">
        <f t="shared" si="313"/>
        <v>0</v>
      </c>
      <c r="BJ850" s="141"/>
      <c r="BK850" s="201"/>
      <c r="BL850" s="198"/>
      <c r="BM850" s="198"/>
    </row>
    <row r="851" spans="1:65" s="17" customFormat="1" ht="15.95" customHeight="1">
      <c r="A851" s="123">
        <v>80</v>
      </c>
      <c r="B851" s="9" t="s">
        <v>2153</v>
      </c>
      <c r="C851" s="11" t="s">
        <v>2154</v>
      </c>
      <c r="D851" s="229"/>
      <c r="E851" s="13"/>
      <c r="F851" s="229"/>
      <c r="G851" s="13"/>
      <c r="H851" s="229"/>
      <c r="I851" s="13"/>
      <c r="J851" s="229"/>
      <c r="K851" s="13"/>
      <c r="L851" s="229"/>
      <c r="M851" s="13"/>
      <c r="N851" s="229"/>
      <c r="O851" s="13"/>
      <c r="P851" s="229"/>
      <c r="Q851" s="13"/>
      <c r="R851" s="229"/>
      <c r="S851" s="13"/>
      <c r="T851" s="229"/>
      <c r="U851" s="13"/>
      <c r="V851" s="229"/>
      <c r="W851" s="13"/>
      <c r="X851" s="229"/>
      <c r="Y851" s="13"/>
      <c r="Z851" s="229"/>
      <c r="AA851" s="13"/>
      <c r="AB851" s="229">
        <f t="shared" si="310"/>
        <v>0</v>
      </c>
      <c r="AC851" s="228">
        <f t="shared" si="306"/>
        <v>0</v>
      </c>
      <c r="AD851" s="21">
        <v>0</v>
      </c>
      <c r="AE851" s="229"/>
      <c r="AF851" s="20"/>
      <c r="AG851" s="229"/>
      <c r="AH851" s="20"/>
      <c r="AI851" s="229">
        <v>1</v>
      </c>
      <c r="AJ851" s="20">
        <v>1</v>
      </c>
      <c r="AK851" s="229"/>
      <c r="AL851" s="20"/>
      <c r="AM851" s="229"/>
      <c r="AN851" s="20"/>
      <c r="AO851" s="229"/>
      <c r="AP851" s="20"/>
      <c r="AQ851" s="229"/>
      <c r="AR851" s="20"/>
      <c r="AS851" s="229"/>
      <c r="AT851" s="20"/>
      <c r="AU851" s="229"/>
      <c r="AV851" s="20"/>
      <c r="AW851" s="229"/>
      <c r="AX851" s="20"/>
      <c r="AY851" s="229"/>
      <c r="AZ851" s="20"/>
      <c r="BA851" s="229"/>
      <c r="BB851" s="20"/>
      <c r="BC851" s="229">
        <f t="shared" si="311"/>
        <v>1</v>
      </c>
      <c r="BD851" s="48">
        <f t="shared" si="307"/>
        <v>1</v>
      </c>
      <c r="BE851" s="19">
        <v>3</v>
      </c>
      <c r="BF851" s="229">
        <f t="shared" si="312"/>
        <v>1</v>
      </c>
      <c r="BG851" s="210">
        <f t="shared" si="308"/>
        <v>1</v>
      </c>
      <c r="BH851" s="210">
        <f t="shared" si="309"/>
        <v>3</v>
      </c>
      <c r="BI851" s="213">
        <f t="shared" si="313"/>
        <v>33.333333333333329</v>
      </c>
      <c r="BJ851" s="141"/>
      <c r="BK851" s="201"/>
      <c r="BL851" s="198"/>
      <c r="BM851" s="198"/>
    </row>
    <row r="852" spans="1:65" s="17" customFormat="1" ht="15.95" customHeight="1">
      <c r="A852" s="123">
        <v>81</v>
      </c>
      <c r="B852" s="9" t="s">
        <v>1929</v>
      </c>
      <c r="C852" s="11" t="s">
        <v>1930</v>
      </c>
      <c r="D852" s="229"/>
      <c r="E852" s="13"/>
      <c r="F852" s="229"/>
      <c r="G852" s="13"/>
      <c r="H852" s="229"/>
      <c r="I852" s="13"/>
      <c r="J852" s="229"/>
      <c r="K852" s="13"/>
      <c r="L852" s="229"/>
      <c r="M852" s="13"/>
      <c r="N852" s="229"/>
      <c r="O852" s="13"/>
      <c r="P852" s="229"/>
      <c r="Q852" s="13"/>
      <c r="R852" s="229"/>
      <c r="S852" s="13"/>
      <c r="T852" s="229"/>
      <c r="U852" s="13"/>
      <c r="V852" s="229"/>
      <c r="W852" s="13"/>
      <c r="X852" s="229"/>
      <c r="Y852" s="13"/>
      <c r="Z852" s="229"/>
      <c r="AA852" s="13"/>
      <c r="AB852" s="229">
        <f t="shared" si="310"/>
        <v>0</v>
      </c>
      <c r="AC852" s="228">
        <f t="shared" si="306"/>
        <v>0</v>
      </c>
      <c r="AD852" s="21">
        <v>0</v>
      </c>
      <c r="AE852" s="229"/>
      <c r="AF852" s="20"/>
      <c r="AG852" s="229"/>
      <c r="AH852" s="20"/>
      <c r="AI852" s="229">
        <v>1</v>
      </c>
      <c r="AJ852" s="20">
        <v>1</v>
      </c>
      <c r="AK852" s="229"/>
      <c r="AL852" s="20"/>
      <c r="AM852" s="229"/>
      <c r="AN852" s="20"/>
      <c r="AO852" s="229">
        <v>1</v>
      </c>
      <c r="AP852" s="20">
        <v>1</v>
      </c>
      <c r="AQ852" s="229"/>
      <c r="AR852" s="20"/>
      <c r="AS852" s="229"/>
      <c r="AT852" s="20"/>
      <c r="AU852" s="229"/>
      <c r="AV852" s="20">
        <v>2</v>
      </c>
      <c r="AW852" s="229"/>
      <c r="AX852" s="20"/>
      <c r="AY852" s="229"/>
      <c r="AZ852" s="20"/>
      <c r="BA852" s="229"/>
      <c r="BB852" s="20">
        <v>1</v>
      </c>
      <c r="BC852" s="229">
        <f t="shared" si="311"/>
        <v>2</v>
      </c>
      <c r="BD852" s="48">
        <f t="shared" si="307"/>
        <v>5</v>
      </c>
      <c r="BE852" s="19">
        <v>9</v>
      </c>
      <c r="BF852" s="229">
        <f t="shared" si="312"/>
        <v>2</v>
      </c>
      <c r="BG852" s="210">
        <f t="shared" si="308"/>
        <v>5</v>
      </c>
      <c r="BH852" s="210">
        <f t="shared" si="309"/>
        <v>9</v>
      </c>
      <c r="BI852" s="213">
        <f t="shared" si="313"/>
        <v>55.555555555555557</v>
      </c>
      <c r="BJ852" s="141"/>
      <c r="BK852" s="201"/>
      <c r="BL852" s="198"/>
      <c r="BM852" s="198"/>
    </row>
    <row r="853" spans="1:65" s="17" customFormat="1" ht="15.95" customHeight="1">
      <c r="A853" s="123">
        <v>82</v>
      </c>
      <c r="B853" s="9" t="s">
        <v>3115</v>
      </c>
      <c r="C853" s="11" t="s">
        <v>3116</v>
      </c>
      <c r="D853" s="229"/>
      <c r="E853" s="13"/>
      <c r="F853" s="229"/>
      <c r="G853" s="13"/>
      <c r="H853" s="229"/>
      <c r="I853" s="13"/>
      <c r="J853" s="229"/>
      <c r="K853" s="13"/>
      <c r="L853" s="229"/>
      <c r="M853" s="13"/>
      <c r="N853" s="229"/>
      <c r="O853" s="13"/>
      <c r="P853" s="229"/>
      <c r="Q853" s="13"/>
      <c r="R853" s="229"/>
      <c r="S853" s="13"/>
      <c r="T853" s="229"/>
      <c r="U853" s="13"/>
      <c r="V853" s="229"/>
      <c r="W853" s="13"/>
      <c r="X853" s="229"/>
      <c r="Y853" s="13"/>
      <c r="Z853" s="229"/>
      <c r="AA853" s="13"/>
      <c r="AB853" s="229"/>
      <c r="AC853" s="228">
        <f t="shared" si="306"/>
        <v>0</v>
      </c>
      <c r="AD853" s="21">
        <v>0</v>
      </c>
      <c r="AE853" s="229"/>
      <c r="AF853" s="20"/>
      <c r="AG853" s="229"/>
      <c r="AH853" s="20"/>
      <c r="AI853" s="229"/>
      <c r="AJ853" s="20"/>
      <c r="AK853" s="229"/>
      <c r="AL853" s="20"/>
      <c r="AM853" s="229"/>
      <c r="AN853" s="20"/>
      <c r="AO853" s="229"/>
      <c r="AP853" s="20">
        <v>1</v>
      </c>
      <c r="AQ853" s="229"/>
      <c r="AR853" s="20"/>
      <c r="AS853" s="229"/>
      <c r="AT853" s="20"/>
      <c r="AU853" s="229"/>
      <c r="AV853" s="20">
        <v>2</v>
      </c>
      <c r="AW853" s="229"/>
      <c r="AX853" s="20"/>
      <c r="AY853" s="229"/>
      <c r="AZ853" s="20"/>
      <c r="BA853" s="229"/>
      <c r="BB853" s="20"/>
      <c r="BC853" s="229"/>
      <c r="BD853" s="48">
        <f t="shared" si="307"/>
        <v>3</v>
      </c>
      <c r="BE853" s="19">
        <v>0</v>
      </c>
      <c r="BF853" s="229"/>
      <c r="BG853" s="210">
        <f t="shared" si="308"/>
        <v>3</v>
      </c>
      <c r="BH853" s="210">
        <f t="shared" si="309"/>
        <v>0</v>
      </c>
      <c r="BI853" s="213" t="e">
        <f t="shared" si="313"/>
        <v>#DIV/0!</v>
      </c>
      <c r="BJ853" s="141"/>
      <c r="BK853" s="201"/>
      <c r="BL853" s="198"/>
      <c r="BM853" s="198"/>
    </row>
    <row r="854" spans="1:65" s="17" customFormat="1" ht="15.95" customHeight="1">
      <c r="A854" s="123">
        <v>83</v>
      </c>
      <c r="B854" s="9" t="s">
        <v>532</v>
      </c>
      <c r="C854" s="11" t="s">
        <v>533</v>
      </c>
      <c r="D854" s="229"/>
      <c r="E854" s="13"/>
      <c r="F854" s="229"/>
      <c r="G854" s="13"/>
      <c r="H854" s="229"/>
      <c r="I854" s="13"/>
      <c r="J854" s="229"/>
      <c r="K854" s="13"/>
      <c r="L854" s="229"/>
      <c r="M854" s="13"/>
      <c r="N854" s="229"/>
      <c r="O854" s="13"/>
      <c r="P854" s="229"/>
      <c r="Q854" s="13"/>
      <c r="R854" s="229"/>
      <c r="S854" s="13"/>
      <c r="T854" s="229"/>
      <c r="U854" s="13"/>
      <c r="V854" s="229"/>
      <c r="W854" s="13"/>
      <c r="X854" s="229"/>
      <c r="Y854" s="13"/>
      <c r="Z854" s="229"/>
      <c r="AA854" s="13"/>
      <c r="AB854" s="229">
        <f>D854+F854+H854+J854+L854+N854+P854+R854+T854+V854+X854+Z854</f>
        <v>0</v>
      </c>
      <c r="AC854" s="228">
        <f t="shared" ref="AC854:AC885" si="314">E854+G854+I854+K854+M854+O854+Q854+S854+U854+W854+Y854+AA854</f>
        <v>0</v>
      </c>
      <c r="AD854" s="21">
        <v>0</v>
      </c>
      <c r="AE854" s="229"/>
      <c r="AF854" s="20"/>
      <c r="AG854" s="229"/>
      <c r="AH854" s="20"/>
      <c r="AI854" s="229">
        <v>2</v>
      </c>
      <c r="AJ854" s="20">
        <v>2</v>
      </c>
      <c r="AK854" s="229"/>
      <c r="AL854" s="20"/>
      <c r="AM854" s="229"/>
      <c r="AN854" s="20"/>
      <c r="AO854" s="229">
        <v>2</v>
      </c>
      <c r="AP854" s="20">
        <v>2</v>
      </c>
      <c r="AQ854" s="229"/>
      <c r="AR854" s="20"/>
      <c r="AS854" s="229"/>
      <c r="AT854" s="20"/>
      <c r="AU854" s="229"/>
      <c r="AV854" s="20">
        <v>6</v>
      </c>
      <c r="AW854" s="229"/>
      <c r="AX854" s="20"/>
      <c r="AY854" s="229"/>
      <c r="AZ854" s="20"/>
      <c r="BA854" s="229"/>
      <c r="BB854" s="20">
        <v>2</v>
      </c>
      <c r="BC854" s="229">
        <f>AE854+AG854+AI854+AK854+AM854+AO854+AQ854+AS854+AU854+AW854+AY854+BA854</f>
        <v>4</v>
      </c>
      <c r="BD854" s="48">
        <f t="shared" ref="BD854:BD885" si="315">AF854+AH854+AJ854+AL854+AN854+AP854+AR854+AT854+AV854+AX854+AZ854+BB854</f>
        <v>12</v>
      </c>
      <c r="BE854" s="19">
        <v>10</v>
      </c>
      <c r="BF854" s="229">
        <f>AB854+BC854</f>
        <v>4</v>
      </c>
      <c r="BG854" s="210">
        <f t="shared" ref="BG854:BG885" si="316">AC854+BD854</f>
        <v>12</v>
      </c>
      <c r="BH854" s="210">
        <f t="shared" ref="BH854:BH885" si="317">AD854+BE854</f>
        <v>10</v>
      </c>
      <c r="BI854" s="213">
        <f t="shared" si="313"/>
        <v>120</v>
      </c>
      <c r="BJ854" s="141"/>
      <c r="BK854" s="201"/>
      <c r="BL854" s="198"/>
      <c r="BM854" s="198"/>
    </row>
    <row r="855" spans="1:65" s="17" customFormat="1" ht="15.95" customHeight="1">
      <c r="A855" s="123">
        <v>84</v>
      </c>
      <c r="B855" s="9" t="s">
        <v>1838</v>
      </c>
      <c r="C855" s="11" t="s">
        <v>1839</v>
      </c>
      <c r="D855" s="229"/>
      <c r="E855" s="13"/>
      <c r="F855" s="229"/>
      <c r="G855" s="13"/>
      <c r="H855" s="229"/>
      <c r="I855" s="13"/>
      <c r="J855" s="229"/>
      <c r="K855" s="13"/>
      <c r="L855" s="229"/>
      <c r="M855" s="13"/>
      <c r="N855" s="229"/>
      <c r="O855" s="13"/>
      <c r="P855" s="229"/>
      <c r="Q855" s="13"/>
      <c r="R855" s="229"/>
      <c r="S855" s="13"/>
      <c r="T855" s="229"/>
      <c r="U855" s="13"/>
      <c r="V855" s="229"/>
      <c r="W855" s="13"/>
      <c r="X855" s="229"/>
      <c r="Y855" s="13"/>
      <c r="Z855" s="229"/>
      <c r="AA855" s="13"/>
      <c r="AB855" s="229">
        <f>D855+F855+H855+J855+L855+N855+P855+R855+T855+V855+X855+Z855</f>
        <v>0</v>
      </c>
      <c r="AC855" s="228">
        <f t="shared" si="314"/>
        <v>0</v>
      </c>
      <c r="AD855" s="21">
        <v>0</v>
      </c>
      <c r="AE855" s="229"/>
      <c r="AF855" s="20"/>
      <c r="AG855" s="229"/>
      <c r="AH855" s="20"/>
      <c r="AI855" s="229"/>
      <c r="AJ855" s="20"/>
      <c r="AK855" s="229"/>
      <c r="AL855" s="20"/>
      <c r="AM855" s="229"/>
      <c r="AN855" s="20"/>
      <c r="AO855" s="229"/>
      <c r="AP855" s="20"/>
      <c r="AQ855" s="229"/>
      <c r="AR855" s="20"/>
      <c r="AS855" s="229"/>
      <c r="AT855" s="20"/>
      <c r="AU855" s="229"/>
      <c r="AV855" s="20"/>
      <c r="AW855" s="229"/>
      <c r="AX855" s="20"/>
      <c r="AY855" s="229"/>
      <c r="AZ855" s="20"/>
      <c r="BA855" s="229"/>
      <c r="BB855" s="20"/>
      <c r="BC855" s="229">
        <f>AE855+AG855+AI855+AK855+AM855+AO855+AQ855+AS855+AU855+AW855+AY855+BA855</f>
        <v>0</v>
      </c>
      <c r="BD855" s="48">
        <f t="shared" si="315"/>
        <v>0</v>
      </c>
      <c r="BE855" s="19">
        <v>1</v>
      </c>
      <c r="BF855" s="229">
        <f>AB855+BC855</f>
        <v>0</v>
      </c>
      <c r="BG855" s="210">
        <f t="shared" si="316"/>
        <v>0</v>
      </c>
      <c r="BH855" s="210">
        <f t="shared" si="317"/>
        <v>1</v>
      </c>
      <c r="BI855" s="213">
        <f t="shared" si="313"/>
        <v>0</v>
      </c>
      <c r="BJ855" s="141"/>
      <c r="BK855" s="201"/>
      <c r="BL855" s="198"/>
      <c r="BM855" s="198"/>
    </row>
    <row r="856" spans="1:65" s="17" customFormat="1" ht="15.95" customHeight="1">
      <c r="A856" s="123">
        <v>85</v>
      </c>
      <c r="B856" s="9" t="s">
        <v>429</v>
      </c>
      <c r="C856" s="11" t="s">
        <v>430</v>
      </c>
      <c r="D856" s="229"/>
      <c r="E856" s="13"/>
      <c r="F856" s="229"/>
      <c r="G856" s="13"/>
      <c r="H856" s="229"/>
      <c r="I856" s="13"/>
      <c r="J856" s="229"/>
      <c r="K856" s="13"/>
      <c r="L856" s="229"/>
      <c r="M856" s="13"/>
      <c r="N856" s="229"/>
      <c r="O856" s="13"/>
      <c r="P856" s="229"/>
      <c r="Q856" s="13"/>
      <c r="R856" s="229"/>
      <c r="S856" s="13"/>
      <c r="T856" s="229"/>
      <c r="U856" s="13"/>
      <c r="V856" s="229"/>
      <c r="W856" s="13"/>
      <c r="X856" s="229"/>
      <c r="Y856" s="13"/>
      <c r="Z856" s="229"/>
      <c r="AA856" s="13"/>
      <c r="AB856" s="229">
        <f>D856+F856+H856+J856+L856+N856+P856+R856+T856+V856+X856+Z856</f>
        <v>0</v>
      </c>
      <c r="AC856" s="228">
        <f t="shared" si="314"/>
        <v>0</v>
      </c>
      <c r="AD856" s="21">
        <v>0</v>
      </c>
      <c r="AE856" s="229"/>
      <c r="AF856" s="20"/>
      <c r="AG856" s="229"/>
      <c r="AH856" s="20"/>
      <c r="AI856" s="229">
        <v>11</v>
      </c>
      <c r="AJ856" s="20">
        <v>11</v>
      </c>
      <c r="AK856" s="229"/>
      <c r="AL856" s="20"/>
      <c r="AM856" s="229"/>
      <c r="AN856" s="20"/>
      <c r="AO856" s="229">
        <v>8</v>
      </c>
      <c r="AP856" s="20">
        <v>8</v>
      </c>
      <c r="AQ856" s="229"/>
      <c r="AR856" s="20"/>
      <c r="AS856" s="229"/>
      <c r="AT856" s="20"/>
      <c r="AU856" s="229"/>
      <c r="AV856" s="20">
        <v>4</v>
      </c>
      <c r="AW856" s="229"/>
      <c r="AX856" s="20"/>
      <c r="AY856" s="229"/>
      <c r="AZ856" s="20"/>
      <c r="BA856" s="229"/>
      <c r="BB856" s="20">
        <v>7</v>
      </c>
      <c r="BC856" s="229">
        <f>AE856+AG856+AI856+AK856+AM856+AO856+AQ856+AS856+AU856+AW856+AY856+BA856</f>
        <v>19</v>
      </c>
      <c r="BD856" s="48">
        <f t="shared" si="315"/>
        <v>30</v>
      </c>
      <c r="BE856" s="19">
        <v>7</v>
      </c>
      <c r="BF856" s="229">
        <f>AB856+BC856</f>
        <v>19</v>
      </c>
      <c r="BG856" s="210">
        <f t="shared" si="316"/>
        <v>30</v>
      </c>
      <c r="BH856" s="210">
        <f t="shared" si="317"/>
        <v>7</v>
      </c>
      <c r="BI856" s="213">
        <f t="shared" si="313"/>
        <v>428.57142857142856</v>
      </c>
      <c r="BJ856" s="141"/>
      <c r="BK856" s="201"/>
      <c r="BL856" s="198"/>
      <c r="BM856" s="198"/>
    </row>
    <row r="857" spans="1:65" s="17" customFormat="1" ht="15.95" customHeight="1">
      <c r="A857" s="123">
        <v>86</v>
      </c>
      <c r="B857" s="9" t="s">
        <v>3117</v>
      </c>
      <c r="C857" s="11" t="s">
        <v>3118</v>
      </c>
      <c r="D857" s="229"/>
      <c r="E857" s="13"/>
      <c r="F857" s="229"/>
      <c r="G857" s="13"/>
      <c r="H857" s="229"/>
      <c r="I857" s="13"/>
      <c r="J857" s="229"/>
      <c r="K857" s="13"/>
      <c r="L857" s="229"/>
      <c r="M857" s="13"/>
      <c r="N857" s="229"/>
      <c r="O857" s="13"/>
      <c r="P857" s="229"/>
      <c r="Q857" s="13"/>
      <c r="R857" s="229"/>
      <c r="S857" s="13"/>
      <c r="T857" s="229"/>
      <c r="U857" s="13"/>
      <c r="V857" s="229"/>
      <c r="W857" s="13"/>
      <c r="X857" s="229"/>
      <c r="Y857" s="13"/>
      <c r="Z857" s="229"/>
      <c r="AA857" s="13"/>
      <c r="AB857" s="229"/>
      <c r="AC857" s="228">
        <f t="shared" si="314"/>
        <v>0</v>
      </c>
      <c r="AD857" s="21">
        <v>0</v>
      </c>
      <c r="AE857" s="229"/>
      <c r="AF857" s="20"/>
      <c r="AG857" s="229"/>
      <c r="AH857" s="20"/>
      <c r="AI857" s="229"/>
      <c r="AJ857" s="20"/>
      <c r="AK857" s="229"/>
      <c r="AL857" s="20"/>
      <c r="AM857" s="229"/>
      <c r="AN857" s="20"/>
      <c r="AO857" s="229"/>
      <c r="AP857" s="20">
        <v>1</v>
      </c>
      <c r="AQ857" s="229"/>
      <c r="AR857" s="20"/>
      <c r="AS857" s="229"/>
      <c r="AT857" s="20"/>
      <c r="AU857" s="229"/>
      <c r="AV857" s="20"/>
      <c r="AW857" s="229"/>
      <c r="AX857" s="20"/>
      <c r="AY857" s="229"/>
      <c r="AZ857" s="20"/>
      <c r="BA857" s="229"/>
      <c r="BB857" s="20"/>
      <c r="BC857" s="229"/>
      <c r="BD857" s="48">
        <f t="shared" si="315"/>
        <v>1</v>
      </c>
      <c r="BE857" s="19">
        <v>0</v>
      </c>
      <c r="BF857" s="229"/>
      <c r="BG857" s="210">
        <f t="shared" si="316"/>
        <v>1</v>
      </c>
      <c r="BH857" s="210">
        <f t="shared" si="317"/>
        <v>0</v>
      </c>
      <c r="BI857" s="213" t="e">
        <f t="shared" si="313"/>
        <v>#DIV/0!</v>
      </c>
      <c r="BJ857" s="141"/>
      <c r="BK857" s="201"/>
      <c r="BL857" s="198"/>
      <c r="BM857" s="198"/>
    </row>
    <row r="858" spans="1:65" s="17" customFormat="1" ht="15.95" customHeight="1">
      <c r="A858" s="123">
        <v>87</v>
      </c>
      <c r="B858" s="9" t="s">
        <v>431</v>
      </c>
      <c r="C858" s="11" t="s">
        <v>432</v>
      </c>
      <c r="D858" s="229"/>
      <c r="E858" s="13"/>
      <c r="F858" s="229"/>
      <c r="G858" s="13"/>
      <c r="H858" s="229"/>
      <c r="I858" s="13"/>
      <c r="J858" s="229"/>
      <c r="K858" s="13"/>
      <c r="L858" s="229"/>
      <c r="M858" s="13"/>
      <c r="N858" s="229"/>
      <c r="O858" s="13"/>
      <c r="P858" s="229"/>
      <c r="Q858" s="13"/>
      <c r="R858" s="229"/>
      <c r="S858" s="13"/>
      <c r="T858" s="229"/>
      <c r="U858" s="13"/>
      <c r="V858" s="229"/>
      <c r="W858" s="13"/>
      <c r="X858" s="229"/>
      <c r="Y858" s="13"/>
      <c r="Z858" s="229"/>
      <c r="AA858" s="13"/>
      <c r="AB858" s="229">
        <f t="shared" ref="AB858:AB889" si="318">D858+F858+H858+J858+L858+N858+P858+R858+T858+V858+X858+Z858</f>
        <v>0</v>
      </c>
      <c r="AC858" s="228">
        <f t="shared" si="314"/>
        <v>0</v>
      </c>
      <c r="AD858" s="21">
        <v>0</v>
      </c>
      <c r="AE858" s="229"/>
      <c r="AF858" s="20"/>
      <c r="AG858" s="229"/>
      <c r="AH858" s="20"/>
      <c r="AI858" s="229"/>
      <c r="AJ858" s="20"/>
      <c r="AK858" s="229"/>
      <c r="AL858" s="20"/>
      <c r="AM858" s="229"/>
      <c r="AN858" s="20"/>
      <c r="AO858" s="229">
        <v>2</v>
      </c>
      <c r="AP858" s="20">
        <v>2</v>
      </c>
      <c r="AQ858" s="229"/>
      <c r="AR858" s="20"/>
      <c r="AS858" s="229"/>
      <c r="AT858" s="20"/>
      <c r="AU858" s="229"/>
      <c r="AV858" s="20">
        <v>2</v>
      </c>
      <c r="AW858" s="229"/>
      <c r="AX858" s="20"/>
      <c r="AY858" s="229"/>
      <c r="AZ858" s="20"/>
      <c r="BA858" s="229"/>
      <c r="BB858" s="20"/>
      <c r="BC858" s="229">
        <f t="shared" ref="BC858:BC889" si="319">AE858+AG858+AI858+AK858+AM858+AO858+AQ858+AS858+AU858+AW858+AY858+BA858</f>
        <v>2</v>
      </c>
      <c r="BD858" s="48">
        <f t="shared" si="315"/>
        <v>4</v>
      </c>
      <c r="BE858" s="19">
        <v>1</v>
      </c>
      <c r="BF858" s="229">
        <f t="shared" ref="BF858:BF889" si="320">AB858+BC858</f>
        <v>2</v>
      </c>
      <c r="BG858" s="210">
        <f t="shared" si="316"/>
        <v>4</v>
      </c>
      <c r="BH858" s="210">
        <f t="shared" si="317"/>
        <v>1</v>
      </c>
      <c r="BI858" s="213">
        <f t="shared" si="313"/>
        <v>400</v>
      </c>
      <c r="BJ858" s="141"/>
      <c r="BK858" s="201"/>
      <c r="BL858" s="198"/>
      <c r="BM858" s="198"/>
    </row>
    <row r="859" spans="1:65" s="17" customFormat="1" ht="15.95" customHeight="1">
      <c r="A859" s="123">
        <v>88</v>
      </c>
      <c r="B859" s="9" t="s">
        <v>1904</v>
      </c>
      <c r="C859" s="11" t="s">
        <v>1905</v>
      </c>
      <c r="D859" s="229"/>
      <c r="E859" s="13"/>
      <c r="F859" s="229"/>
      <c r="G859" s="13"/>
      <c r="H859" s="229"/>
      <c r="I859" s="13"/>
      <c r="J859" s="229"/>
      <c r="K859" s="13"/>
      <c r="L859" s="229"/>
      <c r="M859" s="13"/>
      <c r="N859" s="229"/>
      <c r="O859" s="13"/>
      <c r="P859" s="229"/>
      <c r="Q859" s="13"/>
      <c r="R859" s="229"/>
      <c r="S859" s="13"/>
      <c r="T859" s="229"/>
      <c r="U859" s="13"/>
      <c r="V859" s="229"/>
      <c r="W859" s="13"/>
      <c r="X859" s="229"/>
      <c r="Y859" s="13"/>
      <c r="Z859" s="229"/>
      <c r="AA859" s="13"/>
      <c r="AB859" s="229">
        <f t="shared" si="318"/>
        <v>0</v>
      </c>
      <c r="AC859" s="228">
        <f t="shared" si="314"/>
        <v>0</v>
      </c>
      <c r="AD859" s="21">
        <v>0</v>
      </c>
      <c r="AE859" s="229"/>
      <c r="AF859" s="20"/>
      <c r="AG859" s="229"/>
      <c r="AH859" s="20"/>
      <c r="AI859" s="229"/>
      <c r="AJ859" s="20"/>
      <c r="AK859" s="229"/>
      <c r="AL859" s="20"/>
      <c r="AM859" s="229"/>
      <c r="AN859" s="20"/>
      <c r="AO859" s="229"/>
      <c r="AP859" s="20"/>
      <c r="AQ859" s="229"/>
      <c r="AR859" s="20"/>
      <c r="AS859" s="229"/>
      <c r="AT859" s="20"/>
      <c r="AU859" s="229"/>
      <c r="AV859" s="20"/>
      <c r="AW859" s="229"/>
      <c r="AX859" s="20"/>
      <c r="AY859" s="229"/>
      <c r="AZ859" s="20"/>
      <c r="BA859" s="229"/>
      <c r="BB859" s="20"/>
      <c r="BC859" s="229">
        <f t="shared" si="319"/>
        <v>0</v>
      </c>
      <c r="BD859" s="48">
        <f t="shared" si="315"/>
        <v>0</v>
      </c>
      <c r="BE859" s="19">
        <v>1</v>
      </c>
      <c r="BF859" s="229">
        <f t="shared" si="320"/>
        <v>0</v>
      </c>
      <c r="BG859" s="210">
        <f t="shared" si="316"/>
        <v>0</v>
      </c>
      <c r="BH859" s="210">
        <f t="shared" si="317"/>
        <v>1</v>
      </c>
      <c r="BI859" s="213">
        <f t="shared" si="313"/>
        <v>0</v>
      </c>
      <c r="BJ859" s="141"/>
      <c r="BK859" s="201"/>
      <c r="BL859" s="198"/>
      <c r="BM859" s="198"/>
    </row>
    <row r="860" spans="1:65" s="17" customFormat="1" ht="15.95" customHeight="1">
      <c r="A860" s="123">
        <v>89</v>
      </c>
      <c r="B860" s="9" t="s">
        <v>433</v>
      </c>
      <c r="C860" s="11" t="s">
        <v>434</v>
      </c>
      <c r="D860" s="229"/>
      <c r="E860" s="13"/>
      <c r="F860" s="229"/>
      <c r="G860" s="13"/>
      <c r="H860" s="229"/>
      <c r="I860" s="13"/>
      <c r="J860" s="229"/>
      <c r="K860" s="13"/>
      <c r="L860" s="229"/>
      <c r="M860" s="13"/>
      <c r="N860" s="229"/>
      <c r="O860" s="13"/>
      <c r="P860" s="229"/>
      <c r="Q860" s="13"/>
      <c r="R860" s="229"/>
      <c r="S860" s="13"/>
      <c r="T860" s="229"/>
      <c r="U860" s="13"/>
      <c r="V860" s="229"/>
      <c r="W860" s="13"/>
      <c r="X860" s="229"/>
      <c r="Y860" s="13"/>
      <c r="Z860" s="229"/>
      <c r="AA860" s="13"/>
      <c r="AB860" s="229">
        <f t="shared" si="318"/>
        <v>0</v>
      </c>
      <c r="AC860" s="228">
        <f t="shared" si="314"/>
        <v>0</v>
      </c>
      <c r="AD860" s="21">
        <v>0</v>
      </c>
      <c r="AE860" s="229"/>
      <c r="AF860" s="20"/>
      <c r="AG860" s="229"/>
      <c r="AH860" s="20"/>
      <c r="AI860" s="290">
        <v>17</v>
      </c>
      <c r="AJ860" s="291">
        <v>17</v>
      </c>
      <c r="AK860" s="229"/>
      <c r="AL860" s="20"/>
      <c r="AM860" s="229"/>
      <c r="AN860" s="20"/>
      <c r="AO860" s="229">
        <v>45</v>
      </c>
      <c r="AP860" s="20">
        <v>45</v>
      </c>
      <c r="AQ860" s="229"/>
      <c r="AR860" s="20"/>
      <c r="AS860" s="229"/>
      <c r="AT860" s="20"/>
      <c r="AU860" s="229"/>
      <c r="AV860" s="20">
        <v>18</v>
      </c>
      <c r="AW860" s="229"/>
      <c r="AX860" s="20"/>
      <c r="AY860" s="229"/>
      <c r="AZ860" s="20"/>
      <c r="BA860" s="229"/>
      <c r="BB860" s="20">
        <v>47</v>
      </c>
      <c r="BC860" s="229">
        <f t="shared" si="319"/>
        <v>62</v>
      </c>
      <c r="BD860" s="48">
        <f t="shared" si="315"/>
        <v>127</v>
      </c>
      <c r="BE860" s="19">
        <v>40</v>
      </c>
      <c r="BF860" s="229">
        <f t="shared" si="320"/>
        <v>62</v>
      </c>
      <c r="BG860" s="210">
        <f t="shared" si="316"/>
        <v>127</v>
      </c>
      <c r="BH860" s="210">
        <f t="shared" si="317"/>
        <v>40</v>
      </c>
      <c r="BI860" s="213">
        <f t="shared" si="313"/>
        <v>317.5</v>
      </c>
      <c r="BJ860" s="141"/>
      <c r="BK860" s="201"/>
      <c r="BL860" s="198"/>
      <c r="BM860" s="198"/>
    </row>
    <row r="861" spans="1:65" s="17" customFormat="1" ht="15.95" customHeight="1">
      <c r="A861" s="123">
        <v>90</v>
      </c>
      <c r="B861" s="9" t="s">
        <v>435</v>
      </c>
      <c r="C861" s="11" t="s">
        <v>436</v>
      </c>
      <c r="D861" s="229"/>
      <c r="E861" s="13"/>
      <c r="F861" s="229"/>
      <c r="G861" s="13"/>
      <c r="H861" s="229"/>
      <c r="I861" s="13"/>
      <c r="J861" s="229"/>
      <c r="K861" s="13"/>
      <c r="L861" s="229"/>
      <c r="M861" s="13"/>
      <c r="N861" s="229"/>
      <c r="O861" s="13"/>
      <c r="P861" s="229"/>
      <c r="Q861" s="13"/>
      <c r="R861" s="229"/>
      <c r="S861" s="13"/>
      <c r="T861" s="229"/>
      <c r="U861" s="13"/>
      <c r="V861" s="229"/>
      <c r="W861" s="13"/>
      <c r="X861" s="229"/>
      <c r="Y861" s="13"/>
      <c r="Z861" s="229"/>
      <c r="AA861" s="13"/>
      <c r="AB861" s="229">
        <f t="shared" si="318"/>
        <v>0</v>
      </c>
      <c r="AC861" s="228">
        <f t="shared" si="314"/>
        <v>0</v>
      </c>
      <c r="AD861" s="21">
        <v>0</v>
      </c>
      <c r="AE861" s="229"/>
      <c r="AF861" s="20"/>
      <c r="AG861" s="229"/>
      <c r="AH861" s="20"/>
      <c r="AI861" s="290">
        <v>8</v>
      </c>
      <c r="AJ861" s="291">
        <v>8</v>
      </c>
      <c r="AK861" s="229"/>
      <c r="AL861" s="20"/>
      <c r="AM861" s="229"/>
      <c r="AN861" s="20"/>
      <c r="AO861" s="229">
        <v>15</v>
      </c>
      <c r="AP861" s="20">
        <v>15</v>
      </c>
      <c r="AQ861" s="229"/>
      <c r="AR861" s="20"/>
      <c r="AS861" s="229"/>
      <c r="AT861" s="20"/>
      <c r="AU861" s="229"/>
      <c r="AV861" s="20">
        <v>14</v>
      </c>
      <c r="AW861" s="229"/>
      <c r="AX861" s="20"/>
      <c r="AY861" s="229"/>
      <c r="AZ861" s="20"/>
      <c r="BA861" s="229"/>
      <c r="BB861" s="20">
        <v>16</v>
      </c>
      <c r="BC861" s="229">
        <f t="shared" si="319"/>
        <v>23</v>
      </c>
      <c r="BD861" s="48">
        <f t="shared" si="315"/>
        <v>53</v>
      </c>
      <c r="BE861" s="19">
        <v>15</v>
      </c>
      <c r="BF861" s="229">
        <f t="shared" si="320"/>
        <v>23</v>
      </c>
      <c r="BG861" s="210">
        <f t="shared" si="316"/>
        <v>53</v>
      </c>
      <c r="BH861" s="210">
        <f t="shared" si="317"/>
        <v>15</v>
      </c>
      <c r="BI861" s="213">
        <f t="shared" si="313"/>
        <v>353.33333333333331</v>
      </c>
      <c r="BJ861" s="141"/>
      <c r="BK861" s="201"/>
      <c r="BL861" s="198"/>
      <c r="BM861" s="198"/>
    </row>
    <row r="862" spans="1:65" s="17" customFormat="1" ht="15.95" customHeight="1">
      <c r="A862" s="123">
        <v>91</v>
      </c>
      <c r="B862" s="9" t="s">
        <v>437</v>
      </c>
      <c r="C862" s="11" t="s">
        <v>2483</v>
      </c>
      <c r="D862" s="229"/>
      <c r="E862" s="13"/>
      <c r="F862" s="229"/>
      <c r="G862" s="13"/>
      <c r="H862" s="229"/>
      <c r="I862" s="13"/>
      <c r="J862" s="229"/>
      <c r="K862" s="13"/>
      <c r="L862" s="229"/>
      <c r="M862" s="13"/>
      <c r="N862" s="229"/>
      <c r="O862" s="13"/>
      <c r="P862" s="229"/>
      <c r="Q862" s="13"/>
      <c r="R862" s="229"/>
      <c r="S862" s="13"/>
      <c r="T862" s="229"/>
      <c r="U862" s="13"/>
      <c r="V862" s="229"/>
      <c r="W862" s="13"/>
      <c r="X862" s="229"/>
      <c r="Y862" s="13"/>
      <c r="Z862" s="229"/>
      <c r="AA862" s="13"/>
      <c r="AB862" s="229">
        <f t="shared" si="318"/>
        <v>0</v>
      </c>
      <c r="AC862" s="228">
        <f t="shared" si="314"/>
        <v>0</v>
      </c>
      <c r="AD862" s="19">
        <v>0</v>
      </c>
      <c r="AE862" s="229"/>
      <c r="AF862" s="20"/>
      <c r="AG862" s="229"/>
      <c r="AH862" s="20"/>
      <c r="AI862" s="229"/>
      <c r="AJ862" s="20"/>
      <c r="AK862" s="229"/>
      <c r="AL862" s="20"/>
      <c r="AM862" s="229"/>
      <c r="AN862" s="20"/>
      <c r="AO862" s="229"/>
      <c r="AP862" s="20"/>
      <c r="AQ862" s="229"/>
      <c r="AR862" s="20"/>
      <c r="AS862" s="229"/>
      <c r="AT862" s="20"/>
      <c r="AU862" s="229"/>
      <c r="AV862" s="20">
        <v>2</v>
      </c>
      <c r="AW862" s="229"/>
      <c r="AX862" s="20"/>
      <c r="AY862" s="229"/>
      <c r="AZ862" s="20"/>
      <c r="BA862" s="229"/>
      <c r="BB862" s="20">
        <v>3</v>
      </c>
      <c r="BC862" s="229">
        <f t="shared" si="319"/>
        <v>0</v>
      </c>
      <c r="BD862" s="48">
        <f t="shared" si="315"/>
        <v>5</v>
      </c>
      <c r="BE862" s="19">
        <v>5</v>
      </c>
      <c r="BF862" s="229">
        <f t="shared" si="320"/>
        <v>0</v>
      </c>
      <c r="BG862" s="210">
        <f t="shared" si="316"/>
        <v>5</v>
      </c>
      <c r="BH862" s="210">
        <f t="shared" si="317"/>
        <v>5</v>
      </c>
      <c r="BI862" s="213">
        <f t="shared" si="313"/>
        <v>100</v>
      </c>
      <c r="BJ862" s="141"/>
      <c r="BK862" s="201"/>
      <c r="BL862" s="198"/>
      <c r="BM862" s="198"/>
    </row>
    <row r="863" spans="1:65" s="17" customFormat="1" ht="15.95" customHeight="1">
      <c r="A863" s="123">
        <v>92</v>
      </c>
      <c r="B863" s="9" t="s">
        <v>438</v>
      </c>
      <c r="C863" s="11" t="s">
        <v>439</v>
      </c>
      <c r="D863" s="229"/>
      <c r="E863" s="13"/>
      <c r="F863" s="229"/>
      <c r="G863" s="13"/>
      <c r="H863" s="229"/>
      <c r="I863" s="13"/>
      <c r="J863" s="229"/>
      <c r="K863" s="13"/>
      <c r="L863" s="229"/>
      <c r="M863" s="13"/>
      <c r="N863" s="229"/>
      <c r="O863" s="13"/>
      <c r="P863" s="229"/>
      <c r="Q863" s="13"/>
      <c r="R863" s="229"/>
      <c r="S863" s="13"/>
      <c r="T863" s="229"/>
      <c r="U863" s="13"/>
      <c r="V863" s="229"/>
      <c r="W863" s="13"/>
      <c r="X863" s="229"/>
      <c r="Y863" s="13"/>
      <c r="Z863" s="229"/>
      <c r="AA863" s="13"/>
      <c r="AB863" s="229">
        <f t="shared" si="318"/>
        <v>0</v>
      </c>
      <c r="AC863" s="228">
        <f t="shared" si="314"/>
        <v>0</v>
      </c>
      <c r="AD863" s="21">
        <v>0</v>
      </c>
      <c r="AE863" s="229"/>
      <c r="AF863" s="20"/>
      <c r="AG863" s="229"/>
      <c r="AH863" s="20"/>
      <c r="AI863" s="229">
        <v>7</v>
      </c>
      <c r="AJ863" s="20">
        <v>7</v>
      </c>
      <c r="AK863" s="229"/>
      <c r="AL863" s="20"/>
      <c r="AM863" s="229"/>
      <c r="AN863" s="20"/>
      <c r="AO863" s="229">
        <v>8</v>
      </c>
      <c r="AP863" s="20">
        <v>8</v>
      </c>
      <c r="AQ863" s="229"/>
      <c r="AR863" s="20"/>
      <c r="AS863" s="229"/>
      <c r="AT863" s="20"/>
      <c r="AU863" s="229"/>
      <c r="AV863" s="20">
        <v>9</v>
      </c>
      <c r="AW863" s="229"/>
      <c r="AX863" s="20"/>
      <c r="AY863" s="229"/>
      <c r="AZ863" s="20"/>
      <c r="BA863" s="229"/>
      <c r="BB863" s="20">
        <v>4</v>
      </c>
      <c r="BC863" s="229">
        <f t="shared" si="319"/>
        <v>15</v>
      </c>
      <c r="BD863" s="48">
        <f t="shared" si="315"/>
        <v>28</v>
      </c>
      <c r="BE863" s="19">
        <v>4</v>
      </c>
      <c r="BF863" s="229">
        <f t="shared" si="320"/>
        <v>15</v>
      </c>
      <c r="BG863" s="210">
        <f t="shared" si="316"/>
        <v>28</v>
      </c>
      <c r="BH863" s="210">
        <f t="shared" si="317"/>
        <v>4</v>
      </c>
      <c r="BI863" s="213">
        <f t="shared" si="313"/>
        <v>700</v>
      </c>
      <c r="BJ863" s="141"/>
      <c r="BK863" s="201"/>
      <c r="BL863" s="198"/>
      <c r="BM863" s="198"/>
    </row>
    <row r="864" spans="1:65" s="17" customFormat="1" ht="15.95" customHeight="1">
      <c r="A864" s="123">
        <v>93</v>
      </c>
      <c r="B864" s="9" t="s">
        <v>441</v>
      </c>
      <c r="C864" s="11" t="s">
        <v>442</v>
      </c>
      <c r="D864" s="229"/>
      <c r="E864" s="13"/>
      <c r="F864" s="229"/>
      <c r="G864" s="13"/>
      <c r="H864" s="229"/>
      <c r="I864" s="13"/>
      <c r="J864" s="229"/>
      <c r="K864" s="13"/>
      <c r="L864" s="229"/>
      <c r="M864" s="13"/>
      <c r="N864" s="229"/>
      <c r="O864" s="13"/>
      <c r="P864" s="229"/>
      <c r="Q864" s="13"/>
      <c r="R864" s="229"/>
      <c r="S864" s="13"/>
      <c r="T864" s="229"/>
      <c r="U864" s="13"/>
      <c r="V864" s="229"/>
      <c r="W864" s="13"/>
      <c r="X864" s="229"/>
      <c r="Y864" s="13"/>
      <c r="Z864" s="229"/>
      <c r="AA864" s="13"/>
      <c r="AB864" s="229">
        <f t="shared" si="318"/>
        <v>0</v>
      </c>
      <c r="AC864" s="228">
        <f t="shared" si="314"/>
        <v>0</v>
      </c>
      <c r="AD864" s="21">
        <v>0</v>
      </c>
      <c r="AE864" s="229"/>
      <c r="AF864" s="20"/>
      <c r="AG864" s="229"/>
      <c r="AH864" s="20"/>
      <c r="AI864" s="229">
        <v>1</v>
      </c>
      <c r="AJ864" s="20">
        <v>1</v>
      </c>
      <c r="AK864" s="229"/>
      <c r="AL864" s="20"/>
      <c r="AM864" s="229"/>
      <c r="AN864" s="20"/>
      <c r="AO864" s="229"/>
      <c r="AP864" s="20"/>
      <c r="AQ864" s="229"/>
      <c r="AR864" s="20"/>
      <c r="AS864" s="229"/>
      <c r="AT864" s="20"/>
      <c r="AU864" s="229"/>
      <c r="AV864" s="20"/>
      <c r="AW864" s="229"/>
      <c r="AX864" s="20"/>
      <c r="AY864" s="229"/>
      <c r="AZ864" s="20"/>
      <c r="BA864" s="229"/>
      <c r="BB864" s="20"/>
      <c r="BC864" s="229">
        <f t="shared" si="319"/>
        <v>1</v>
      </c>
      <c r="BD864" s="48">
        <f t="shared" si="315"/>
        <v>1</v>
      </c>
      <c r="BE864" s="19">
        <v>1</v>
      </c>
      <c r="BF864" s="229">
        <f t="shared" si="320"/>
        <v>1</v>
      </c>
      <c r="BG864" s="210">
        <f t="shared" si="316"/>
        <v>1</v>
      </c>
      <c r="BH864" s="210">
        <f t="shared" si="317"/>
        <v>1</v>
      </c>
      <c r="BI864" s="213">
        <f t="shared" si="313"/>
        <v>100</v>
      </c>
      <c r="BJ864" s="141"/>
      <c r="BK864" s="201"/>
      <c r="BL864" s="198"/>
      <c r="BM864" s="198"/>
    </row>
    <row r="865" spans="1:65" s="17" customFormat="1" ht="15.95" customHeight="1">
      <c r="A865" s="123">
        <v>94</v>
      </c>
      <c r="B865" s="9" t="s">
        <v>1117</v>
      </c>
      <c r="C865" s="11" t="s">
        <v>2482</v>
      </c>
      <c r="D865" s="229"/>
      <c r="E865" s="13"/>
      <c r="F865" s="229"/>
      <c r="G865" s="13"/>
      <c r="H865" s="229"/>
      <c r="I865" s="13"/>
      <c r="J865" s="229"/>
      <c r="K865" s="13"/>
      <c r="L865" s="229"/>
      <c r="M865" s="13"/>
      <c r="N865" s="229"/>
      <c r="O865" s="13"/>
      <c r="P865" s="229"/>
      <c r="Q865" s="13"/>
      <c r="R865" s="229"/>
      <c r="S865" s="13"/>
      <c r="T865" s="229"/>
      <c r="U865" s="13"/>
      <c r="V865" s="229"/>
      <c r="W865" s="13"/>
      <c r="X865" s="229"/>
      <c r="Y865" s="13"/>
      <c r="Z865" s="229"/>
      <c r="AA865" s="13"/>
      <c r="AB865" s="229">
        <f t="shared" si="318"/>
        <v>0</v>
      </c>
      <c r="AC865" s="228">
        <f t="shared" si="314"/>
        <v>0</v>
      </c>
      <c r="AD865" s="19">
        <v>0</v>
      </c>
      <c r="AE865" s="229"/>
      <c r="AF865" s="20"/>
      <c r="AG865" s="229"/>
      <c r="AH865" s="20"/>
      <c r="AI865" s="229">
        <v>3</v>
      </c>
      <c r="AJ865" s="20">
        <v>3</v>
      </c>
      <c r="AK865" s="229"/>
      <c r="AL865" s="20"/>
      <c r="AM865" s="229"/>
      <c r="AN865" s="20"/>
      <c r="AO865" s="229">
        <v>3</v>
      </c>
      <c r="AP865" s="20">
        <v>3</v>
      </c>
      <c r="AQ865" s="229"/>
      <c r="AR865" s="20"/>
      <c r="AS865" s="229"/>
      <c r="AT865" s="20"/>
      <c r="AU865" s="229"/>
      <c r="AV865" s="20">
        <v>4</v>
      </c>
      <c r="AW865" s="229"/>
      <c r="AX865" s="20"/>
      <c r="AY865" s="229"/>
      <c r="AZ865" s="20"/>
      <c r="BA865" s="229"/>
      <c r="BB865" s="20"/>
      <c r="BC865" s="229">
        <f t="shared" si="319"/>
        <v>6</v>
      </c>
      <c r="BD865" s="48">
        <f t="shared" si="315"/>
        <v>10</v>
      </c>
      <c r="BE865" s="19">
        <v>12</v>
      </c>
      <c r="BF865" s="229">
        <f t="shared" si="320"/>
        <v>6</v>
      </c>
      <c r="BG865" s="210">
        <f t="shared" si="316"/>
        <v>10</v>
      </c>
      <c r="BH865" s="210">
        <f t="shared" si="317"/>
        <v>12</v>
      </c>
      <c r="BI865" s="213">
        <f t="shared" si="313"/>
        <v>83.333333333333343</v>
      </c>
      <c r="BJ865" s="141"/>
      <c r="BK865" s="201"/>
      <c r="BL865" s="198"/>
      <c r="BM865" s="198"/>
    </row>
    <row r="866" spans="1:65" s="17" customFormat="1" ht="15.95" customHeight="1">
      <c r="A866" s="123">
        <v>95</v>
      </c>
      <c r="B866" s="9" t="s">
        <v>1118</v>
      </c>
      <c r="C866" s="11" t="s">
        <v>1119</v>
      </c>
      <c r="D866" s="229"/>
      <c r="E866" s="13"/>
      <c r="F866" s="229"/>
      <c r="G866" s="13"/>
      <c r="H866" s="229"/>
      <c r="I866" s="13"/>
      <c r="J866" s="229"/>
      <c r="K866" s="13"/>
      <c r="L866" s="229"/>
      <c r="M866" s="13"/>
      <c r="N866" s="229"/>
      <c r="O866" s="13"/>
      <c r="P866" s="229"/>
      <c r="Q866" s="13"/>
      <c r="R866" s="229"/>
      <c r="S866" s="13"/>
      <c r="T866" s="229"/>
      <c r="U866" s="13"/>
      <c r="V866" s="229"/>
      <c r="W866" s="13"/>
      <c r="X866" s="229"/>
      <c r="Y866" s="13"/>
      <c r="Z866" s="229"/>
      <c r="AA866" s="13"/>
      <c r="AB866" s="229">
        <f t="shared" si="318"/>
        <v>0</v>
      </c>
      <c r="AC866" s="228">
        <f t="shared" si="314"/>
        <v>0</v>
      </c>
      <c r="AD866" s="19">
        <v>0</v>
      </c>
      <c r="AE866" s="229"/>
      <c r="AF866" s="20"/>
      <c r="AG866" s="229"/>
      <c r="AH866" s="20"/>
      <c r="AI866" s="229">
        <v>1</v>
      </c>
      <c r="AJ866" s="20">
        <v>1</v>
      </c>
      <c r="AK866" s="229"/>
      <c r="AL866" s="20"/>
      <c r="AM866" s="229"/>
      <c r="AN866" s="20"/>
      <c r="AO866" s="229"/>
      <c r="AP866" s="20"/>
      <c r="AQ866" s="229"/>
      <c r="AR866" s="20"/>
      <c r="AS866" s="229"/>
      <c r="AT866" s="20"/>
      <c r="AU866" s="229"/>
      <c r="AV866" s="20"/>
      <c r="AW866" s="229"/>
      <c r="AX866" s="20"/>
      <c r="AY866" s="229"/>
      <c r="AZ866" s="20"/>
      <c r="BA866" s="229"/>
      <c r="BB866" s="20"/>
      <c r="BC866" s="229">
        <f t="shared" si="319"/>
        <v>1</v>
      </c>
      <c r="BD866" s="48">
        <f t="shared" si="315"/>
        <v>1</v>
      </c>
      <c r="BE866" s="19">
        <v>2</v>
      </c>
      <c r="BF866" s="229">
        <f t="shared" si="320"/>
        <v>1</v>
      </c>
      <c r="BG866" s="210">
        <f t="shared" si="316"/>
        <v>1</v>
      </c>
      <c r="BH866" s="210">
        <f t="shared" si="317"/>
        <v>2</v>
      </c>
      <c r="BI866" s="213">
        <f t="shared" si="313"/>
        <v>50</v>
      </c>
      <c r="BJ866" s="141"/>
      <c r="BK866" s="201"/>
      <c r="BL866" s="198"/>
      <c r="BM866" s="198"/>
    </row>
    <row r="867" spans="1:65" s="17" customFormat="1" ht="15.95" customHeight="1">
      <c r="A867" s="123">
        <v>96</v>
      </c>
      <c r="B867" s="9" t="s">
        <v>443</v>
      </c>
      <c r="C867" s="11" t="s">
        <v>444</v>
      </c>
      <c r="D867" s="229"/>
      <c r="E867" s="13"/>
      <c r="F867" s="229"/>
      <c r="G867" s="13"/>
      <c r="H867" s="229"/>
      <c r="I867" s="13"/>
      <c r="J867" s="229"/>
      <c r="K867" s="13"/>
      <c r="L867" s="229"/>
      <c r="M867" s="13"/>
      <c r="N867" s="229"/>
      <c r="O867" s="13"/>
      <c r="P867" s="229"/>
      <c r="Q867" s="13"/>
      <c r="R867" s="229"/>
      <c r="S867" s="13"/>
      <c r="T867" s="229"/>
      <c r="U867" s="13"/>
      <c r="V867" s="229"/>
      <c r="W867" s="13"/>
      <c r="X867" s="229"/>
      <c r="Y867" s="13"/>
      <c r="Z867" s="229"/>
      <c r="AA867" s="13"/>
      <c r="AB867" s="229">
        <f t="shared" si="318"/>
        <v>0</v>
      </c>
      <c r="AC867" s="228">
        <f t="shared" si="314"/>
        <v>0</v>
      </c>
      <c r="AD867" s="21">
        <v>0</v>
      </c>
      <c r="AE867" s="229"/>
      <c r="AF867" s="20"/>
      <c r="AG867" s="229"/>
      <c r="AH867" s="20"/>
      <c r="AI867" s="229">
        <v>1</v>
      </c>
      <c r="AJ867" s="20">
        <v>2</v>
      </c>
      <c r="AK867" s="229"/>
      <c r="AL867" s="20"/>
      <c r="AM867" s="229"/>
      <c r="AN867" s="20"/>
      <c r="AO867" s="229"/>
      <c r="AP867" s="20"/>
      <c r="AQ867" s="229"/>
      <c r="AR867" s="20"/>
      <c r="AS867" s="229"/>
      <c r="AT867" s="20"/>
      <c r="AU867" s="229"/>
      <c r="AV867" s="20">
        <v>1</v>
      </c>
      <c r="AW867" s="229"/>
      <c r="AX867" s="20"/>
      <c r="AY867" s="229"/>
      <c r="AZ867" s="20"/>
      <c r="BA867" s="229"/>
      <c r="BB867" s="20">
        <v>1</v>
      </c>
      <c r="BC867" s="229">
        <f t="shared" si="319"/>
        <v>1</v>
      </c>
      <c r="BD867" s="48">
        <f t="shared" si="315"/>
        <v>4</v>
      </c>
      <c r="BE867" s="19">
        <v>6</v>
      </c>
      <c r="BF867" s="229">
        <f t="shared" si="320"/>
        <v>1</v>
      </c>
      <c r="BG867" s="210">
        <f t="shared" si="316"/>
        <v>4</v>
      </c>
      <c r="BH867" s="210">
        <f t="shared" si="317"/>
        <v>6</v>
      </c>
      <c r="BI867" s="213">
        <f t="shared" si="313"/>
        <v>66.666666666666657</v>
      </c>
      <c r="BJ867" s="141"/>
      <c r="BK867" s="201"/>
      <c r="BL867" s="198"/>
      <c r="BM867" s="198"/>
    </row>
    <row r="868" spans="1:65" s="17" customFormat="1" ht="15.95" customHeight="1">
      <c r="A868" s="123">
        <v>97</v>
      </c>
      <c r="B868" s="9" t="s">
        <v>534</v>
      </c>
      <c r="C868" s="11" t="s">
        <v>535</v>
      </c>
      <c r="D868" s="229"/>
      <c r="E868" s="13"/>
      <c r="F868" s="229"/>
      <c r="G868" s="13"/>
      <c r="H868" s="229"/>
      <c r="I868" s="13"/>
      <c r="J868" s="229"/>
      <c r="K868" s="13"/>
      <c r="L868" s="229"/>
      <c r="M868" s="13"/>
      <c r="N868" s="229"/>
      <c r="O868" s="13"/>
      <c r="P868" s="229"/>
      <c r="Q868" s="13"/>
      <c r="R868" s="229"/>
      <c r="S868" s="13"/>
      <c r="T868" s="229"/>
      <c r="U868" s="13"/>
      <c r="V868" s="229"/>
      <c r="W868" s="13"/>
      <c r="X868" s="229"/>
      <c r="Y868" s="13"/>
      <c r="Z868" s="229"/>
      <c r="AA868" s="13"/>
      <c r="AB868" s="229">
        <f t="shared" si="318"/>
        <v>0</v>
      </c>
      <c r="AC868" s="228">
        <f t="shared" si="314"/>
        <v>0</v>
      </c>
      <c r="AD868" s="21">
        <v>0</v>
      </c>
      <c r="AE868" s="229"/>
      <c r="AF868" s="20"/>
      <c r="AG868" s="229"/>
      <c r="AH868" s="20"/>
      <c r="AI868" s="229"/>
      <c r="AJ868" s="20"/>
      <c r="AK868" s="229"/>
      <c r="AL868" s="20"/>
      <c r="AM868" s="229"/>
      <c r="AN868" s="20"/>
      <c r="AO868" s="229"/>
      <c r="AP868" s="20"/>
      <c r="AQ868" s="229"/>
      <c r="AR868" s="20"/>
      <c r="AS868" s="229"/>
      <c r="AT868" s="20"/>
      <c r="AU868" s="229"/>
      <c r="AV868" s="20"/>
      <c r="AW868" s="229"/>
      <c r="AX868" s="20"/>
      <c r="AY868" s="229"/>
      <c r="AZ868" s="20"/>
      <c r="BA868" s="229"/>
      <c r="BB868" s="20"/>
      <c r="BC868" s="229">
        <f t="shared" si="319"/>
        <v>0</v>
      </c>
      <c r="BD868" s="48">
        <f t="shared" si="315"/>
        <v>0</v>
      </c>
      <c r="BE868" s="19">
        <f>2+1</f>
        <v>3</v>
      </c>
      <c r="BF868" s="229">
        <f t="shared" si="320"/>
        <v>0</v>
      </c>
      <c r="BG868" s="210">
        <f t="shared" si="316"/>
        <v>0</v>
      </c>
      <c r="BH868" s="210">
        <f t="shared" si="317"/>
        <v>3</v>
      </c>
      <c r="BI868" s="213">
        <f t="shared" ref="BI868:BI899" si="321">BG868/BH868*100</f>
        <v>0</v>
      </c>
      <c r="BJ868" s="141"/>
      <c r="BK868" s="201"/>
      <c r="BL868" s="198"/>
      <c r="BM868" s="198"/>
    </row>
    <row r="869" spans="1:65" s="17" customFormat="1" ht="15.95" customHeight="1">
      <c r="A869" s="123">
        <v>98</v>
      </c>
      <c r="B869" s="9" t="s">
        <v>445</v>
      </c>
      <c r="C869" s="11" t="s">
        <v>446</v>
      </c>
      <c r="D869" s="229"/>
      <c r="E869" s="13"/>
      <c r="F869" s="229"/>
      <c r="G869" s="13"/>
      <c r="H869" s="229"/>
      <c r="I869" s="13"/>
      <c r="J869" s="229"/>
      <c r="K869" s="13"/>
      <c r="L869" s="229"/>
      <c r="M869" s="13"/>
      <c r="N869" s="229"/>
      <c r="O869" s="13"/>
      <c r="P869" s="229"/>
      <c r="Q869" s="13"/>
      <c r="R869" s="229"/>
      <c r="S869" s="13"/>
      <c r="T869" s="229"/>
      <c r="U869" s="13"/>
      <c r="V869" s="229"/>
      <c r="W869" s="13"/>
      <c r="X869" s="229"/>
      <c r="Y869" s="13"/>
      <c r="Z869" s="229"/>
      <c r="AA869" s="13"/>
      <c r="AB869" s="229">
        <f t="shared" si="318"/>
        <v>0</v>
      </c>
      <c r="AC869" s="228">
        <f t="shared" si="314"/>
        <v>0</v>
      </c>
      <c r="AD869" s="21">
        <v>0</v>
      </c>
      <c r="AE869" s="229"/>
      <c r="AF869" s="20"/>
      <c r="AG869" s="229"/>
      <c r="AH869" s="20"/>
      <c r="AI869" s="229"/>
      <c r="AJ869" s="20"/>
      <c r="AK869" s="229"/>
      <c r="AL869" s="20"/>
      <c r="AM869" s="229"/>
      <c r="AN869" s="20"/>
      <c r="AO869" s="229">
        <v>1</v>
      </c>
      <c r="AP869" s="20">
        <v>1</v>
      </c>
      <c r="AQ869" s="229"/>
      <c r="AR869" s="20"/>
      <c r="AS869" s="229"/>
      <c r="AT869" s="20"/>
      <c r="AU869" s="229"/>
      <c r="AV869" s="20"/>
      <c r="AW869" s="229"/>
      <c r="AX869" s="20"/>
      <c r="AY869" s="229"/>
      <c r="AZ869" s="20"/>
      <c r="BA869" s="229"/>
      <c r="BB869" s="20"/>
      <c r="BC869" s="229">
        <f t="shared" si="319"/>
        <v>1</v>
      </c>
      <c r="BD869" s="48">
        <f t="shared" si="315"/>
        <v>1</v>
      </c>
      <c r="BE869" s="19">
        <v>1</v>
      </c>
      <c r="BF869" s="229">
        <f t="shared" si="320"/>
        <v>1</v>
      </c>
      <c r="BG869" s="210">
        <f t="shared" si="316"/>
        <v>1</v>
      </c>
      <c r="BH869" s="210">
        <f t="shared" si="317"/>
        <v>1</v>
      </c>
      <c r="BI869" s="213">
        <f t="shared" si="321"/>
        <v>100</v>
      </c>
      <c r="BJ869" s="141"/>
      <c r="BK869" s="201"/>
      <c r="BL869" s="198"/>
      <c r="BM869" s="198"/>
    </row>
    <row r="870" spans="1:65" s="17" customFormat="1" ht="15.95" customHeight="1">
      <c r="A870" s="123">
        <v>99</v>
      </c>
      <c r="B870" s="9" t="s">
        <v>763</v>
      </c>
      <c r="C870" s="11" t="s">
        <v>1120</v>
      </c>
      <c r="D870" s="229"/>
      <c r="E870" s="13"/>
      <c r="F870" s="229"/>
      <c r="G870" s="13"/>
      <c r="H870" s="229"/>
      <c r="I870" s="13"/>
      <c r="J870" s="229"/>
      <c r="K870" s="13"/>
      <c r="L870" s="229"/>
      <c r="M870" s="13"/>
      <c r="N870" s="229"/>
      <c r="O870" s="13"/>
      <c r="P870" s="229"/>
      <c r="Q870" s="13"/>
      <c r="R870" s="229"/>
      <c r="S870" s="13"/>
      <c r="T870" s="229"/>
      <c r="U870" s="13"/>
      <c r="V870" s="229"/>
      <c r="W870" s="13"/>
      <c r="X870" s="229"/>
      <c r="Y870" s="13"/>
      <c r="Z870" s="229"/>
      <c r="AA870" s="13"/>
      <c r="AB870" s="229">
        <f t="shared" si="318"/>
        <v>0</v>
      </c>
      <c r="AC870" s="228">
        <f t="shared" si="314"/>
        <v>0</v>
      </c>
      <c r="AD870" s="19">
        <v>9</v>
      </c>
      <c r="AE870" s="229"/>
      <c r="AF870" s="20"/>
      <c r="AG870" s="229"/>
      <c r="AH870" s="20"/>
      <c r="AI870" s="290">
        <v>5</v>
      </c>
      <c r="AJ870" s="291">
        <v>5</v>
      </c>
      <c r="AK870" s="229"/>
      <c r="AL870" s="20"/>
      <c r="AM870" s="229"/>
      <c r="AN870" s="20"/>
      <c r="AO870" s="229">
        <v>17</v>
      </c>
      <c r="AP870" s="20">
        <v>18</v>
      </c>
      <c r="AQ870" s="229"/>
      <c r="AR870" s="20"/>
      <c r="AS870" s="229"/>
      <c r="AT870" s="20"/>
      <c r="AU870" s="229"/>
      <c r="AV870" s="20">
        <v>7</v>
      </c>
      <c r="AW870" s="229"/>
      <c r="AX870" s="20"/>
      <c r="AY870" s="229"/>
      <c r="AZ870" s="20"/>
      <c r="BA870" s="229"/>
      <c r="BB870" s="20">
        <v>1</v>
      </c>
      <c r="BC870" s="229">
        <f t="shared" si="319"/>
        <v>22</v>
      </c>
      <c r="BD870" s="48">
        <f t="shared" si="315"/>
        <v>31</v>
      </c>
      <c r="BE870" s="19">
        <v>7</v>
      </c>
      <c r="BF870" s="229">
        <f t="shared" si="320"/>
        <v>22</v>
      </c>
      <c r="BG870" s="210">
        <f t="shared" si="316"/>
        <v>31</v>
      </c>
      <c r="BH870" s="210">
        <f t="shared" si="317"/>
        <v>16</v>
      </c>
      <c r="BI870" s="213">
        <f t="shared" si="321"/>
        <v>193.75</v>
      </c>
      <c r="BJ870" s="141"/>
      <c r="BK870" s="201"/>
      <c r="BL870" s="198"/>
      <c r="BM870" s="198"/>
    </row>
    <row r="871" spans="1:65" s="17" customFormat="1" ht="15.95" customHeight="1">
      <c r="A871" s="123">
        <v>100</v>
      </c>
      <c r="B871" s="9" t="s">
        <v>447</v>
      </c>
      <c r="C871" s="11" t="s">
        <v>448</v>
      </c>
      <c r="D871" s="229"/>
      <c r="E871" s="13"/>
      <c r="F871" s="229"/>
      <c r="G871" s="13"/>
      <c r="H871" s="229"/>
      <c r="I871" s="13"/>
      <c r="J871" s="229"/>
      <c r="K871" s="13"/>
      <c r="L871" s="229"/>
      <c r="M871" s="13"/>
      <c r="N871" s="229"/>
      <c r="O871" s="13"/>
      <c r="P871" s="229"/>
      <c r="Q871" s="13"/>
      <c r="R871" s="229"/>
      <c r="S871" s="13"/>
      <c r="T871" s="229"/>
      <c r="U871" s="13"/>
      <c r="V871" s="229"/>
      <c r="W871" s="13"/>
      <c r="X871" s="229"/>
      <c r="Y871" s="13"/>
      <c r="Z871" s="229"/>
      <c r="AA871" s="13"/>
      <c r="AB871" s="229">
        <f t="shared" si="318"/>
        <v>0</v>
      </c>
      <c r="AC871" s="228">
        <f t="shared" si="314"/>
        <v>0</v>
      </c>
      <c r="AD871" s="21">
        <v>0</v>
      </c>
      <c r="AE871" s="229"/>
      <c r="AF871" s="20"/>
      <c r="AG871" s="229"/>
      <c r="AH871" s="20"/>
      <c r="AI871" s="229">
        <v>5</v>
      </c>
      <c r="AJ871" s="20">
        <v>5</v>
      </c>
      <c r="AK871" s="229"/>
      <c r="AL871" s="20"/>
      <c r="AM871" s="229"/>
      <c r="AN871" s="20"/>
      <c r="AO871" s="229">
        <v>3</v>
      </c>
      <c r="AP871" s="20">
        <v>3</v>
      </c>
      <c r="AQ871" s="229"/>
      <c r="AR871" s="20"/>
      <c r="AS871" s="229"/>
      <c r="AT871" s="20"/>
      <c r="AU871" s="229"/>
      <c r="AV871" s="20">
        <v>4</v>
      </c>
      <c r="AW871" s="229"/>
      <c r="AX871" s="20"/>
      <c r="AY871" s="229"/>
      <c r="AZ871" s="20"/>
      <c r="BA871" s="229"/>
      <c r="BB871" s="20">
        <v>3</v>
      </c>
      <c r="BC871" s="229">
        <f t="shared" si="319"/>
        <v>8</v>
      </c>
      <c r="BD871" s="48">
        <f t="shared" si="315"/>
        <v>15</v>
      </c>
      <c r="BE871" s="19">
        <v>1</v>
      </c>
      <c r="BF871" s="229">
        <f t="shared" si="320"/>
        <v>8</v>
      </c>
      <c r="BG871" s="210">
        <f t="shared" si="316"/>
        <v>15</v>
      </c>
      <c r="BH871" s="210">
        <f t="shared" si="317"/>
        <v>1</v>
      </c>
      <c r="BI871" s="213">
        <f t="shared" si="321"/>
        <v>1500</v>
      </c>
      <c r="BJ871" s="141"/>
      <c r="BK871" s="201"/>
      <c r="BL871" s="198"/>
      <c r="BM871" s="198"/>
    </row>
    <row r="872" spans="1:65" s="17" customFormat="1" ht="15.95" customHeight="1">
      <c r="A872" s="123">
        <v>101</v>
      </c>
      <c r="B872" s="9" t="s">
        <v>1121</v>
      </c>
      <c r="C872" s="11" t="s">
        <v>1122</v>
      </c>
      <c r="D872" s="229"/>
      <c r="E872" s="13"/>
      <c r="F872" s="229"/>
      <c r="G872" s="13"/>
      <c r="H872" s="229"/>
      <c r="I872" s="13"/>
      <c r="J872" s="229"/>
      <c r="K872" s="13"/>
      <c r="L872" s="229"/>
      <c r="M872" s="13"/>
      <c r="N872" s="229"/>
      <c r="O872" s="13"/>
      <c r="P872" s="229"/>
      <c r="Q872" s="13"/>
      <c r="R872" s="229"/>
      <c r="S872" s="13"/>
      <c r="T872" s="229"/>
      <c r="U872" s="13"/>
      <c r="V872" s="229"/>
      <c r="W872" s="13"/>
      <c r="X872" s="229"/>
      <c r="Y872" s="13"/>
      <c r="Z872" s="229"/>
      <c r="AA872" s="13"/>
      <c r="AB872" s="229">
        <f t="shared" si="318"/>
        <v>0</v>
      </c>
      <c r="AC872" s="228">
        <f t="shared" si="314"/>
        <v>0</v>
      </c>
      <c r="AD872" s="19">
        <v>0</v>
      </c>
      <c r="AE872" s="229"/>
      <c r="AF872" s="20"/>
      <c r="AG872" s="229"/>
      <c r="AH872" s="20"/>
      <c r="AI872" s="229">
        <v>2</v>
      </c>
      <c r="AJ872" s="20">
        <v>2</v>
      </c>
      <c r="AK872" s="229"/>
      <c r="AL872" s="20"/>
      <c r="AM872" s="229"/>
      <c r="AN872" s="20"/>
      <c r="AO872" s="229">
        <v>5</v>
      </c>
      <c r="AP872" s="20">
        <v>5</v>
      </c>
      <c r="AQ872" s="229"/>
      <c r="AR872" s="20"/>
      <c r="AS872" s="229"/>
      <c r="AT872" s="20"/>
      <c r="AU872" s="229"/>
      <c r="AV872" s="20">
        <v>8</v>
      </c>
      <c r="AW872" s="229"/>
      <c r="AX872" s="20"/>
      <c r="AY872" s="229"/>
      <c r="AZ872" s="20"/>
      <c r="BA872" s="229"/>
      <c r="BB872" s="20">
        <v>3</v>
      </c>
      <c r="BC872" s="229">
        <f t="shared" si="319"/>
        <v>7</v>
      </c>
      <c r="BD872" s="48">
        <f t="shared" si="315"/>
        <v>18</v>
      </c>
      <c r="BE872" s="19">
        <v>7</v>
      </c>
      <c r="BF872" s="229">
        <f t="shared" si="320"/>
        <v>7</v>
      </c>
      <c r="BG872" s="210">
        <f t="shared" si="316"/>
        <v>18</v>
      </c>
      <c r="BH872" s="210">
        <f t="shared" si="317"/>
        <v>7</v>
      </c>
      <c r="BI872" s="213">
        <f t="shared" si="321"/>
        <v>257.14285714285717</v>
      </c>
      <c r="BJ872" s="141"/>
      <c r="BK872" s="201"/>
      <c r="BL872" s="198"/>
      <c r="BM872" s="198"/>
    </row>
    <row r="873" spans="1:65" s="17" customFormat="1" ht="15.95" customHeight="1">
      <c r="A873" s="123">
        <v>102</v>
      </c>
      <c r="B873" s="9" t="s">
        <v>449</v>
      </c>
      <c r="C873" s="11" t="s">
        <v>450</v>
      </c>
      <c r="D873" s="229"/>
      <c r="E873" s="13"/>
      <c r="F873" s="229"/>
      <c r="G873" s="13"/>
      <c r="H873" s="229"/>
      <c r="I873" s="13"/>
      <c r="J873" s="229"/>
      <c r="K873" s="13"/>
      <c r="L873" s="229"/>
      <c r="M873" s="13"/>
      <c r="N873" s="229"/>
      <c r="O873" s="13"/>
      <c r="P873" s="229"/>
      <c r="Q873" s="13"/>
      <c r="R873" s="229"/>
      <c r="S873" s="13"/>
      <c r="T873" s="229"/>
      <c r="U873" s="13"/>
      <c r="V873" s="229"/>
      <c r="W873" s="13"/>
      <c r="X873" s="229"/>
      <c r="Y873" s="13"/>
      <c r="Z873" s="229"/>
      <c r="AA873" s="13"/>
      <c r="AB873" s="229">
        <f t="shared" si="318"/>
        <v>0</v>
      </c>
      <c r="AC873" s="228">
        <f t="shared" si="314"/>
        <v>0</v>
      </c>
      <c r="AD873" s="21">
        <v>0</v>
      </c>
      <c r="AE873" s="229"/>
      <c r="AF873" s="20"/>
      <c r="AG873" s="229"/>
      <c r="AH873" s="20"/>
      <c r="AI873" s="229">
        <v>8</v>
      </c>
      <c r="AJ873" s="20">
        <v>8</v>
      </c>
      <c r="AK873" s="229"/>
      <c r="AL873" s="20"/>
      <c r="AM873" s="229"/>
      <c r="AN873" s="20"/>
      <c r="AO873" s="229">
        <v>18</v>
      </c>
      <c r="AP873" s="20">
        <v>19</v>
      </c>
      <c r="AQ873" s="229"/>
      <c r="AR873" s="20"/>
      <c r="AS873" s="229"/>
      <c r="AT873" s="20"/>
      <c r="AU873" s="229"/>
      <c r="AV873" s="20">
        <v>19</v>
      </c>
      <c r="AW873" s="229"/>
      <c r="AX873" s="20"/>
      <c r="AY873" s="229"/>
      <c r="AZ873" s="20"/>
      <c r="BA873" s="229"/>
      <c r="BB873" s="20">
        <v>16</v>
      </c>
      <c r="BC873" s="229">
        <f t="shared" si="319"/>
        <v>26</v>
      </c>
      <c r="BD873" s="48">
        <f t="shared" si="315"/>
        <v>62</v>
      </c>
      <c r="BE873" s="19">
        <v>26</v>
      </c>
      <c r="BF873" s="229">
        <f t="shared" si="320"/>
        <v>26</v>
      </c>
      <c r="BG873" s="210">
        <f t="shared" si="316"/>
        <v>62</v>
      </c>
      <c r="BH873" s="210">
        <f t="shared" si="317"/>
        <v>26</v>
      </c>
      <c r="BI873" s="213">
        <f t="shared" si="321"/>
        <v>238.46153846153845</v>
      </c>
      <c r="BJ873" s="141"/>
      <c r="BK873" s="201"/>
      <c r="BL873" s="198"/>
      <c r="BM873" s="198"/>
    </row>
    <row r="874" spans="1:65" s="17" customFormat="1" ht="15.95" customHeight="1">
      <c r="A874" s="123">
        <v>103</v>
      </c>
      <c r="B874" s="9" t="s">
        <v>2926</v>
      </c>
      <c r="C874" s="11" t="s">
        <v>2927</v>
      </c>
      <c r="D874" s="229"/>
      <c r="E874" s="13"/>
      <c r="F874" s="229"/>
      <c r="G874" s="13"/>
      <c r="H874" s="229"/>
      <c r="I874" s="13"/>
      <c r="J874" s="229"/>
      <c r="K874" s="13"/>
      <c r="L874" s="229"/>
      <c r="M874" s="13"/>
      <c r="N874" s="229"/>
      <c r="O874" s="13"/>
      <c r="P874" s="229"/>
      <c r="Q874" s="13"/>
      <c r="R874" s="229"/>
      <c r="S874" s="13"/>
      <c r="T874" s="229"/>
      <c r="U874" s="13"/>
      <c r="V874" s="229"/>
      <c r="W874" s="13"/>
      <c r="X874" s="229"/>
      <c r="Y874" s="13"/>
      <c r="Z874" s="229"/>
      <c r="AA874" s="13"/>
      <c r="AB874" s="229">
        <f t="shared" si="318"/>
        <v>0</v>
      </c>
      <c r="AC874" s="228">
        <f t="shared" si="314"/>
        <v>0</v>
      </c>
      <c r="AD874" s="21">
        <v>0</v>
      </c>
      <c r="AE874" s="229"/>
      <c r="AF874" s="20"/>
      <c r="AG874" s="229"/>
      <c r="AH874" s="20"/>
      <c r="AI874" s="229">
        <v>1</v>
      </c>
      <c r="AJ874" s="20">
        <v>1</v>
      </c>
      <c r="AK874" s="229"/>
      <c r="AL874" s="20"/>
      <c r="AM874" s="229"/>
      <c r="AN874" s="20"/>
      <c r="AO874" s="229"/>
      <c r="AP874" s="20"/>
      <c r="AQ874" s="229"/>
      <c r="AR874" s="20"/>
      <c r="AS874" s="229"/>
      <c r="AT874" s="20"/>
      <c r="AU874" s="229"/>
      <c r="AV874" s="20"/>
      <c r="AW874" s="229"/>
      <c r="AX874" s="20"/>
      <c r="AY874" s="229"/>
      <c r="AZ874" s="20"/>
      <c r="BA874" s="229"/>
      <c r="BB874" s="20"/>
      <c r="BC874" s="229">
        <f t="shared" si="319"/>
        <v>1</v>
      </c>
      <c r="BD874" s="48">
        <f t="shared" si="315"/>
        <v>1</v>
      </c>
      <c r="BE874" s="19">
        <v>0</v>
      </c>
      <c r="BF874" s="229">
        <f t="shared" si="320"/>
        <v>1</v>
      </c>
      <c r="BG874" s="210">
        <f t="shared" si="316"/>
        <v>1</v>
      </c>
      <c r="BH874" s="210">
        <f t="shared" si="317"/>
        <v>0</v>
      </c>
      <c r="BI874" s="213" t="e">
        <f t="shared" si="321"/>
        <v>#DIV/0!</v>
      </c>
      <c r="BJ874" s="141"/>
      <c r="BK874" s="201"/>
      <c r="BL874" s="198"/>
      <c r="BM874" s="198"/>
    </row>
    <row r="875" spans="1:65" s="17" customFormat="1" ht="15.95" customHeight="1">
      <c r="A875" s="123">
        <v>104</v>
      </c>
      <c r="B875" s="9" t="s">
        <v>451</v>
      </c>
      <c r="C875" s="11" t="s">
        <v>452</v>
      </c>
      <c r="D875" s="229"/>
      <c r="E875" s="13"/>
      <c r="F875" s="229"/>
      <c r="G875" s="13"/>
      <c r="H875" s="229"/>
      <c r="I875" s="13"/>
      <c r="J875" s="229"/>
      <c r="K875" s="13"/>
      <c r="L875" s="229"/>
      <c r="M875" s="13"/>
      <c r="N875" s="229"/>
      <c r="O875" s="13"/>
      <c r="P875" s="229"/>
      <c r="Q875" s="13"/>
      <c r="R875" s="229"/>
      <c r="S875" s="13"/>
      <c r="T875" s="229"/>
      <c r="U875" s="13"/>
      <c r="V875" s="229"/>
      <c r="W875" s="13"/>
      <c r="X875" s="229"/>
      <c r="Y875" s="13"/>
      <c r="Z875" s="229"/>
      <c r="AA875" s="13"/>
      <c r="AB875" s="229">
        <f t="shared" si="318"/>
        <v>0</v>
      </c>
      <c r="AC875" s="228">
        <f t="shared" si="314"/>
        <v>0</v>
      </c>
      <c r="AD875" s="21">
        <v>0</v>
      </c>
      <c r="AE875" s="229"/>
      <c r="AF875" s="20"/>
      <c r="AG875" s="229"/>
      <c r="AH875" s="20"/>
      <c r="AI875" s="229">
        <v>3</v>
      </c>
      <c r="AJ875" s="20">
        <v>3</v>
      </c>
      <c r="AK875" s="229"/>
      <c r="AL875" s="20"/>
      <c r="AM875" s="229"/>
      <c r="AN875" s="20"/>
      <c r="AO875" s="229">
        <v>4</v>
      </c>
      <c r="AP875" s="20">
        <v>4</v>
      </c>
      <c r="AQ875" s="229"/>
      <c r="AR875" s="20"/>
      <c r="AS875" s="229"/>
      <c r="AT875" s="20"/>
      <c r="AU875" s="229"/>
      <c r="AV875" s="20">
        <v>1</v>
      </c>
      <c r="AW875" s="229"/>
      <c r="AX875" s="20"/>
      <c r="AY875" s="229"/>
      <c r="AZ875" s="20"/>
      <c r="BA875" s="229"/>
      <c r="BB875" s="20">
        <v>3</v>
      </c>
      <c r="BC875" s="229">
        <f t="shared" si="319"/>
        <v>7</v>
      </c>
      <c r="BD875" s="48">
        <f t="shared" si="315"/>
        <v>11</v>
      </c>
      <c r="BE875" s="19">
        <v>4</v>
      </c>
      <c r="BF875" s="229">
        <f t="shared" si="320"/>
        <v>7</v>
      </c>
      <c r="BG875" s="210">
        <f t="shared" si="316"/>
        <v>11</v>
      </c>
      <c r="BH875" s="210">
        <f t="shared" si="317"/>
        <v>4</v>
      </c>
      <c r="BI875" s="213">
        <f t="shared" si="321"/>
        <v>275</v>
      </c>
      <c r="BJ875" s="141"/>
      <c r="BK875" s="201"/>
      <c r="BL875" s="198"/>
      <c r="BM875" s="198"/>
    </row>
    <row r="876" spans="1:65" s="17" customFormat="1" ht="15.95" customHeight="1">
      <c r="A876" s="123">
        <v>105</v>
      </c>
      <c r="B876" s="9" t="s">
        <v>7</v>
      </c>
      <c r="C876" s="11" t="s">
        <v>8</v>
      </c>
      <c r="D876" s="229"/>
      <c r="E876" s="13"/>
      <c r="F876" s="229"/>
      <c r="G876" s="13"/>
      <c r="H876" s="229"/>
      <c r="I876" s="13"/>
      <c r="J876" s="229"/>
      <c r="K876" s="13"/>
      <c r="L876" s="229"/>
      <c r="M876" s="13"/>
      <c r="N876" s="229"/>
      <c r="O876" s="13"/>
      <c r="P876" s="229"/>
      <c r="Q876" s="13"/>
      <c r="R876" s="229"/>
      <c r="S876" s="13"/>
      <c r="T876" s="229"/>
      <c r="U876" s="13"/>
      <c r="V876" s="229"/>
      <c r="W876" s="13"/>
      <c r="X876" s="229"/>
      <c r="Y876" s="13"/>
      <c r="Z876" s="229"/>
      <c r="AA876" s="13"/>
      <c r="AB876" s="229">
        <f t="shared" si="318"/>
        <v>0</v>
      </c>
      <c r="AC876" s="228">
        <f t="shared" si="314"/>
        <v>0</v>
      </c>
      <c r="AD876" s="21">
        <v>0</v>
      </c>
      <c r="AE876" s="229"/>
      <c r="AF876" s="20"/>
      <c r="AG876" s="229"/>
      <c r="AH876" s="20"/>
      <c r="AI876" s="229">
        <v>4</v>
      </c>
      <c r="AJ876" s="20">
        <v>5</v>
      </c>
      <c r="AK876" s="229"/>
      <c r="AL876" s="20"/>
      <c r="AM876" s="229"/>
      <c r="AN876" s="20"/>
      <c r="AO876" s="229">
        <f>1+1+2</f>
        <v>4</v>
      </c>
      <c r="AP876" s="20">
        <f>1+1+2</f>
        <v>4</v>
      </c>
      <c r="AQ876" s="229"/>
      <c r="AR876" s="20"/>
      <c r="AS876" s="229"/>
      <c r="AT876" s="20"/>
      <c r="AU876" s="229"/>
      <c r="AV876" s="20">
        <f>1+5</f>
        <v>6</v>
      </c>
      <c r="AW876" s="229"/>
      <c r="AX876" s="20"/>
      <c r="AY876" s="229"/>
      <c r="AZ876" s="20"/>
      <c r="BA876" s="229"/>
      <c r="BB876" s="20">
        <f>1+2</f>
        <v>3</v>
      </c>
      <c r="BC876" s="229">
        <f t="shared" si="319"/>
        <v>8</v>
      </c>
      <c r="BD876" s="48">
        <f t="shared" si="315"/>
        <v>18</v>
      </c>
      <c r="BE876" s="19">
        <v>9</v>
      </c>
      <c r="BF876" s="229">
        <f t="shared" si="320"/>
        <v>8</v>
      </c>
      <c r="BG876" s="210">
        <f t="shared" si="316"/>
        <v>18</v>
      </c>
      <c r="BH876" s="210">
        <f t="shared" si="317"/>
        <v>9</v>
      </c>
      <c r="BI876" s="213">
        <f t="shared" si="321"/>
        <v>200</v>
      </c>
      <c r="BJ876" s="141"/>
      <c r="BK876" s="201"/>
      <c r="BL876" s="198"/>
      <c r="BM876" s="198"/>
    </row>
    <row r="877" spans="1:65" s="17" customFormat="1" ht="15.95" customHeight="1">
      <c r="A877" s="123">
        <v>106</v>
      </c>
      <c r="B877" s="9" t="s">
        <v>20</v>
      </c>
      <c r="C877" s="11" t="s">
        <v>1341</v>
      </c>
      <c r="D877" s="229"/>
      <c r="E877" s="13"/>
      <c r="F877" s="229"/>
      <c r="G877" s="13"/>
      <c r="H877" s="229"/>
      <c r="I877" s="13"/>
      <c r="J877" s="229"/>
      <c r="K877" s="13"/>
      <c r="L877" s="229"/>
      <c r="M877" s="13"/>
      <c r="N877" s="229"/>
      <c r="O877" s="13"/>
      <c r="P877" s="229"/>
      <c r="Q877" s="13"/>
      <c r="R877" s="229"/>
      <c r="S877" s="13"/>
      <c r="T877" s="229"/>
      <c r="U877" s="13"/>
      <c r="V877" s="229"/>
      <c r="W877" s="13"/>
      <c r="X877" s="229"/>
      <c r="Y877" s="13"/>
      <c r="Z877" s="229"/>
      <c r="AA877" s="13"/>
      <c r="AB877" s="229">
        <f t="shared" si="318"/>
        <v>0</v>
      </c>
      <c r="AC877" s="228">
        <f t="shared" si="314"/>
        <v>0</v>
      </c>
      <c r="AD877" s="21">
        <v>0</v>
      </c>
      <c r="AE877" s="229"/>
      <c r="AF877" s="20"/>
      <c r="AG877" s="229"/>
      <c r="AH877" s="20"/>
      <c r="AI877" s="229">
        <f>1+2</f>
        <v>3</v>
      </c>
      <c r="AJ877" s="20">
        <f>1+2</f>
        <v>3</v>
      </c>
      <c r="AK877" s="229"/>
      <c r="AL877" s="20"/>
      <c r="AM877" s="229"/>
      <c r="AN877" s="20"/>
      <c r="AO877" s="229">
        <f>2+4</f>
        <v>6</v>
      </c>
      <c r="AP877" s="20">
        <f>2+4</f>
        <v>6</v>
      </c>
      <c r="AQ877" s="229"/>
      <c r="AR877" s="20"/>
      <c r="AS877" s="229"/>
      <c r="AT877" s="20"/>
      <c r="AU877" s="229"/>
      <c r="AV877" s="20">
        <v>1</v>
      </c>
      <c r="AW877" s="229"/>
      <c r="AX877" s="20"/>
      <c r="AY877" s="229"/>
      <c r="AZ877" s="20"/>
      <c r="BA877" s="229"/>
      <c r="BB877" s="20">
        <f>4+4</f>
        <v>8</v>
      </c>
      <c r="BC877" s="229">
        <f t="shared" si="319"/>
        <v>9</v>
      </c>
      <c r="BD877" s="48">
        <f t="shared" si="315"/>
        <v>18</v>
      </c>
      <c r="BE877" s="19">
        <v>11</v>
      </c>
      <c r="BF877" s="229">
        <f t="shared" si="320"/>
        <v>9</v>
      </c>
      <c r="BG877" s="210">
        <f t="shared" si="316"/>
        <v>18</v>
      </c>
      <c r="BH877" s="210">
        <f t="shared" si="317"/>
        <v>11</v>
      </c>
      <c r="BI877" s="213">
        <f t="shared" si="321"/>
        <v>163.63636363636365</v>
      </c>
      <c r="BJ877" s="141"/>
      <c r="BK877" s="201"/>
      <c r="BL877" s="198"/>
      <c r="BM877" s="198"/>
    </row>
    <row r="878" spans="1:65" s="17" customFormat="1" ht="15.95" customHeight="1">
      <c r="A878" s="123">
        <v>107</v>
      </c>
      <c r="B878" s="9" t="s">
        <v>1693</v>
      </c>
      <c r="C878" s="11" t="s">
        <v>1694</v>
      </c>
      <c r="D878" s="229"/>
      <c r="E878" s="13"/>
      <c r="F878" s="229"/>
      <c r="G878" s="13"/>
      <c r="H878" s="229"/>
      <c r="I878" s="13"/>
      <c r="J878" s="229"/>
      <c r="K878" s="13"/>
      <c r="L878" s="229"/>
      <c r="M878" s="13"/>
      <c r="N878" s="229"/>
      <c r="O878" s="13"/>
      <c r="P878" s="229"/>
      <c r="Q878" s="13"/>
      <c r="R878" s="229"/>
      <c r="S878" s="13"/>
      <c r="T878" s="229"/>
      <c r="U878" s="13"/>
      <c r="V878" s="229"/>
      <c r="W878" s="13"/>
      <c r="X878" s="229"/>
      <c r="Y878" s="13"/>
      <c r="Z878" s="229"/>
      <c r="AA878" s="13"/>
      <c r="AB878" s="229">
        <f t="shared" si="318"/>
        <v>0</v>
      </c>
      <c r="AC878" s="228">
        <f t="shared" si="314"/>
        <v>0</v>
      </c>
      <c r="AD878" s="21">
        <v>0</v>
      </c>
      <c r="AE878" s="229"/>
      <c r="AF878" s="20"/>
      <c r="AG878" s="229"/>
      <c r="AH878" s="20"/>
      <c r="AI878" s="229"/>
      <c r="AJ878" s="20"/>
      <c r="AK878" s="229"/>
      <c r="AL878" s="20"/>
      <c r="AM878" s="229"/>
      <c r="AN878" s="20"/>
      <c r="AO878" s="229"/>
      <c r="AP878" s="20"/>
      <c r="AQ878" s="229"/>
      <c r="AR878" s="20"/>
      <c r="AS878" s="229"/>
      <c r="AT878" s="20"/>
      <c r="AU878" s="229"/>
      <c r="AV878" s="20">
        <v>1</v>
      </c>
      <c r="AW878" s="229"/>
      <c r="AX878" s="20"/>
      <c r="AY878" s="229"/>
      <c r="AZ878" s="20"/>
      <c r="BA878" s="229"/>
      <c r="BB878" s="20">
        <v>1</v>
      </c>
      <c r="BC878" s="229">
        <f t="shared" si="319"/>
        <v>0</v>
      </c>
      <c r="BD878" s="48">
        <f t="shared" si="315"/>
        <v>2</v>
      </c>
      <c r="BE878" s="19">
        <v>17</v>
      </c>
      <c r="BF878" s="229">
        <f t="shared" si="320"/>
        <v>0</v>
      </c>
      <c r="BG878" s="210">
        <f t="shared" si="316"/>
        <v>2</v>
      </c>
      <c r="BH878" s="210">
        <f t="shared" si="317"/>
        <v>17</v>
      </c>
      <c r="BI878" s="213">
        <f t="shared" si="321"/>
        <v>11.76470588235294</v>
      </c>
      <c r="BJ878" s="141"/>
      <c r="BK878" s="201"/>
      <c r="BL878" s="198"/>
      <c r="BM878" s="198"/>
    </row>
    <row r="879" spans="1:65" s="17" customFormat="1" ht="15.95" customHeight="1">
      <c r="A879" s="123">
        <v>108</v>
      </c>
      <c r="B879" s="9" t="s">
        <v>1680</v>
      </c>
      <c r="C879" s="11" t="s">
        <v>1681</v>
      </c>
      <c r="D879" s="229"/>
      <c r="E879" s="13"/>
      <c r="F879" s="229"/>
      <c r="G879" s="13"/>
      <c r="H879" s="229"/>
      <c r="I879" s="13"/>
      <c r="J879" s="229"/>
      <c r="K879" s="13"/>
      <c r="L879" s="229"/>
      <c r="M879" s="13"/>
      <c r="N879" s="229"/>
      <c r="O879" s="13"/>
      <c r="P879" s="229"/>
      <c r="Q879" s="13"/>
      <c r="R879" s="229"/>
      <c r="S879" s="13"/>
      <c r="T879" s="229"/>
      <c r="U879" s="13"/>
      <c r="V879" s="229"/>
      <c r="W879" s="13"/>
      <c r="X879" s="229"/>
      <c r="Y879" s="13"/>
      <c r="Z879" s="229"/>
      <c r="AA879" s="13"/>
      <c r="AB879" s="229">
        <f t="shared" si="318"/>
        <v>0</v>
      </c>
      <c r="AC879" s="228">
        <f t="shared" si="314"/>
        <v>0</v>
      </c>
      <c r="AD879" s="19">
        <v>0</v>
      </c>
      <c r="AE879" s="229"/>
      <c r="AF879" s="20"/>
      <c r="AG879" s="229"/>
      <c r="AH879" s="20"/>
      <c r="AI879" s="229"/>
      <c r="AJ879" s="20"/>
      <c r="AK879" s="229"/>
      <c r="AL879" s="20"/>
      <c r="AM879" s="229"/>
      <c r="AN879" s="20"/>
      <c r="AO879" s="229"/>
      <c r="AP879" s="20"/>
      <c r="AQ879" s="229"/>
      <c r="AR879" s="20"/>
      <c r="AS879" s="229"/>
      <c r="AT879" s="20"/>
      <c r="AU879" s="229"/>
      <c r="AV879" s="20"/>
      <c r="AW879" s="229"/>
      <c r="AX879" s="20"/>
      <c r="AY879" s="229"/>
      <c r="AZ879" s="20"/>
      <c r="BA879" s="229"/>
      <c r="BB879" s="20"/>
      <c r="BC879" s="229">
        <f t="shared" si="319"/>
        <v>0</v>
      </c>
      <c r="BD879" s="48">
        <f t="shared" si="315"/>
        <v>0</v>
      </c>
      <c r="BE879" s="19">
        <v>1</v>
      </c>
      <c r="BF879" s="229">
        <f t="shared" si="320"/>
        <v>0</v>
      </c>
      <c r="BG879" s="210">
        <f t="shared" si="316"/>
        <v>0</v>
      </c>
      <c r="BH879" s="210">
        <f t="shared" si="317"/>
        <v>1</v>
      </c>
      <c r="BI879" s="213">
        <f t="shared" si="321"/>
        <v>0</v>
      </c>
      <c r="BJ879" s="141"/>
      <c r="BK879" s="201"/>
      <c r="BL879" s="198"/>
      <c r="BM879" s="198"/>
    </row>
    <row r="880" spans="1:65" s="17" customFormat="1" ht="15.95" customHeight="1">
      <c r="A880" s="123">
        <v>109</v>
      </c>
      <c r="B880" s="9" t="s">
        <v>688</v>
      </c>
      <c r="C880" s="11" t="s">
        <v>689</v>
      </c>
      <c r="D880" s="229"/>
      <c r="E880" s="13"/>
      <c r="F880" s="229"/>
      <c r="G880" s="13"/>
      <c r="H880" s="229"/>
      <c r="I880" s="13"/>
      <c r="J880" s="229"/>
      <c r="K880" s="13"/>
      <c r="L880" s="229"/>
      <c r="M880" s="13"/>
      <c r="N880" s="229"/>
      <c r="O880" s="13"/>
      <c r="P880" s="229"/>
      <c r="Q880" s="13"/>
      <c r="R880" s="229"/>
      <c r="S880" s="13"/>
      <c r="T880" s="229"/>
      <c r="U880" s="13"/>
      <c r="V880" s="229"/>
      <c r="W880" s="13"/>
      <c r="X880" s="229"/>
      <c r="Y880" s="13"/>
      <c r="Z880" s="229"/>
      <c r="AA880" s="13"/>
      <c r="AB880" s="229">
        <f t="shared" si="318"/>
        <v>0</v>
      </c>
      <c r="AC880" s="228">
        <f t="shared" si="314"/>
        <v>0</v>
      </c>
      <c r="AD880" s="19">
        <v>0</v>
      </c>
      <c r="AE880" s="229"/>
      <c r="AF880" s="20"/>
      <c r="AG880" s="229"/>
      <c r="AH880" s="20"/>
      <c r="AI880" s="229"/>
      <c r="AJ880" s="20"/>
      <c r="AK880" s="229"/>
      <c r="AL880" s="20"/>
      <c r="AM880" s="229"/>
      <c r="AN880" s="20"/>
      <c r="AO880" s="229"/>
      <c r="AP880" s="20"/>
      <c r="AQ880" s="229"/>
      <c r="AR880" s="20"/>
      <c r="AS880" s="229"/>
      <c r="AT880" s="20"/>
      <c r="AU880" s="229"/>
      <c r="AV880" s="20"/>
      <c r="AW880" s="229"/>
      <c r="AX880" s="20"/>
      <c r="AY880" s="229"/>
      <c r="AZ880" s="20"/>
      <c r="BA880" s="229"/>
      <c r="BB880" s="20"/>
      <c r="BC880" s="229">
        <f t="shared" si="319"/>
        <v>0</v>
      </c>
      <c r="BD880" s="48">
        <f t="shared" si="315"/>
        <v>0</v>
      </c>
      <c r="BE880" s="19">
        <v>1</v>
      </c>
      <c r="BF880" s="229">
        <f t="shared" si="320"/>
        <v>0</v>
      </c>
      <c r="BG880" s="210">
        <f t="shared" si="316"/>
        <v>0</v>
      </c>
      <c r="BH880" s="210">
        <f t="shared" si="317"/>
        <v>1</v>
      </c>
      <c r="BI880" s="213">
        <f t="shared" si="321"/>
        <v>0</v>
      </c>
      <c r="BJ880" s="141"/>
      <c r="BK880" s="201"/>
      <c r="BL880" s="198"/>
      <c r="BM880" s="198"/>
    </row>
    <row r="881" spans="1:65" s="17" customFormat="1" ht="15.95" customHeight="1">
      <c r="A881" s="123">
        <v>110</v>
      </c>
      <c r="B881" s="9" t="s">
        <v>1742</v>
      </c>
      <c r="C881" s="11" t="s">
        <v>1743</v>
      </c>
      <c r="D881" s="229"/>
      <c r="E881" s="13"/>
      <c r="F881" s="229"/>
      <c r="G881" s="13"/>
      <c r="H881" s="229"/>
      <c r="I881" s="13"/>
      <c r="J881" s="229"/>
      <c r="K881" s="13"/>
      <c r="L881" s="229"/>
      <c r="M881" s="13"/>
      <c r="N881" s="229"/>
      <c r="O881" s="13"/>
      <c r="P881" s="229"/>
      <c r="Q881" s="13"/>
      <c r="R881" s="229"/>
      <c r="S881" s="13"/>
      <c r="T881" s="229"/>
      <c r="U881" s="13"/>
      <c r="V881" s="229"/>
      <c r="W881" s="13"/>
      <c r="X881" s="229"/>
      <c r="Y881" s="13"/>
      <c r="Z881" s="229"/>
      <c r="AA881" s="13"/>
      <c r="AB881" s="229">
        <f t="shared" si="318"/>
        <v>0</v>
      </c>
      <c r="AC881" s="228">
        <f t="shared" si="314"/>
        <v>0</v>
      </c>
      <c r="AD881" s="19">
        <v>0</v>
      </c>
      <c r="AE881" s="229"/>
      <c r="AF881" s="20"/>
      <c r="AG881" s="229"/>
      <c r="AH881" s="20"/>
      <c r="AI881" s="229"/>
      <c r="AJ881" s="20"/>
      <c r="AK881" s="229"/>
      <c r="AL881" s="20"/>
      <c r="AM881" s="229"/>
      <c r="AN881" s="20"/>
      <c r="AO881" s="229"/>
      <c r="AP881" s="20"/>
      <c r="AQ881" s="229"/>
      <c r="AR881" s="20"/>
      <c r="AS881" s="229"/>
      <c r="AT881" s="20"/>
      <c r="AU881" s="229"/>
      <c r="AV881" s="20"/>
      <c r="AW881" s="229"/>
      <c r="AX881" s="20"/>
      <c r="AY881" s="229"/>
      <c r="AZ881" s="20"/>
      <c r="BA881" s="229"/>
      <c r="BB881" s="20"/>
      <c r="BC881" s="229">
        <f t="shared" si="319"/>
        <v>0</v>
      </c>
      <c r="BD881" s="48">
        <f t="shared" si="315"/>
        <v>0</v>
      </c>
      <c r="BE881" s="19">
        <v>1</v>
      </c>
      <c r="BF881" s="229">
        <f t="shared" si="320"/>
        <v>0</v>
      </c>
      <c r="BG881" s="210">
        <f t="shared" si="316"/>
        <v>0</v>
      </c>
      <c r="BH881" s="210">
        <f t="shared" si="317"/>
        <v>1</v>
      </c>
      <c r="BI881" s="213">
        <f t="shared" si="321"/>
        <v>0</v>
      </c>
      <c r="BJ881" s="141"/>
      <c r="BK881" s="201"/>
      <c r="BL881" s="198"/>
      <c r="BM881" s="198"/>
    </row>
    <row r="882" spans="1:65" s="17" customFormat="1" ht="15.95" customHeight="1">
      <c r="A882" s="123">
        <v>111</v>
      </c>
      <c r="B882" s="9" t="s">
        <v>2337</v>
      </c>
      <c r="C882" s="11" t="s">
        <v>2338</v>
      </c>
      <c r="D882" s="229"/>
      <c r="E882" s="13"/>
      <c r="F882" s="229"/>
      <c r="G882" s="13"/>
      <c r="H882" s="229"/>
      <c r="I882" s="13"/>
      <c r="J882" s="229"/>
      <c r="K882" s="13"/>
      <c r="L882" s="229"/>
      <c r="M882" s="13"/>
      <c r="N882" s="229"/>
      <c r="O882" s="13"/>
      <c r="P882" s="229"/>
      <c r="Q882" s="13"/>
      <c r="R882" s="229"/>
      <c r="S882" s="13"/>
      <c r="T882" s="229"/>
      <c r="U882" s="13"/>
      <c r="V882" s="229"/>
      <c r="W882" s="13"/>
      <c r="X882" s="229"/>
      <c r="Y882" s="13"/>
      <c r="Z882" s="229"/>
      <c r="AA882" s="13"/>
      <c r="AB882" s="229">
        <f t="shared" si="318"/>
        <v>0</v>
      </c>
      <c r="AC882" s="228">
        <f t="shared" si="314"/>
        <v>0</v>
      </c>
      <c r="AD882" s="21">
        <v>0</v>
      </c>
      <c r="AE882" s="229"/>
      <c r="AF882" s="20"/>
      <c r="AG882" s="229"/>
      <c r="AH882" s="20"/>
      <c r="AI882" s="229"/>
      <c r="AJ882" s="20"/>
      <c r="AK882" s="229"/>
      <c r="AL882" s="20"/>
      <c r="AM882" s="229"/>
      <c r="AN882" s="20"/>
      <c r="AO882" s="229"/>
      <c r="AP882" s="20"/>
      <c r="AQ882" s="229"/>
      <c r="AR882" s="20"/>
      <c r="AS882" s="229"/>
      <c r="AT882" s="20"/>
      <c r="AU882" s="229"/>
      <c r="AV882" s="20"/>
      <c r="AW882" s="229"/>
      <c r="AX882" s="20"/>
      <c r="AY882" s="229"/>
      <c r="AZ882" s="20"/>
      <c r="BA882" s="229"/>
      <c r="BB882" s="20"/>
      <c r="BC882" s="229">
        <f t="shared" si="319"/>
        <v>0</v>
      </c>
      <c r="BD882" s="48">
        <f t="shared" si="315"/>
        <v>0</v>
      </c>
      <c r="BE882" s="19">
        <v>1</v>
      </c>
      <c r="BF882" s="229">
        <f t="shared" si="320"/>
        <v>0</v>
      </c>
      <c r="BG882" s="210">
        <f t="shared" si="316"/>
        <v>0</v>
      </c>
      <c r="BH882" s="210">
        <f t="shared" si="317"/>
        <v>1</v>
      </c>
      <c r="BI882" s="213">
        <f t="shared" si="321"/>
        <v>0</v>
      </c>
      <c r="BJ882" s="141"/>
      <c r="BK882" s="201"/>
      <c r="BL882" s="198"/>
      <c r="BM882" s="198"/>
    </row>
    <row r="883" spans="1:65" s="17" customFormat="1" ht="15.95" customHeight="1">
      <c r="A883" s="123">
        <v>112</v>
      </c>
      <c r="B883" s="9" t="s">
        <v>454</v>
      </c>
      <c r="C883" s="11" t="s">
        <v>455</v>
      </c>
      <c r="D883" s="229"/>
      <c r="E883" s="13"/>
      <c r="F883" s="229"/>
      <c r="G883" s="13"/>
      <c r="H883" s="229"/>
      <c r="I883" s="13"/>
      <c r="J883" s="229"/>
      <c r="K883" s="13"/>
      <c r="L883" s="229"/>
      <c r="M883" s="13"/>
      <c r="N883" s="229"/>
      <c r="O883" s="13"/>
      <c r="P883" s="229"/>
      <c r="Q883" s="13"/>
      <c r="R883" s="229"/>
      <c r="S883" s="13"/>
      <c r="T883" s="229"/>
      <c r="U883" s="13"/>
      <c r="V883" s="229"/>
      <c r="W883" s="13"/>
      <c r="X883" s="229"/>
      <c r="Y883" s="13"/>
      <c r="Z883" s="229"/>
      <c r="AA883" s="13"/>
      <c r="AB883" s="229">
        <f t="shared" si="318"/>
        <v>0</v>
      </c>
      <c r="AC883" s="228">
        <f t="shared" si="314"/>
        <v>0</v>
      </c>
      <c r="AD883" s="21">
        <v>0</v>
      </c>
      <c r="AE883" s="229"/>
      <c r="AF883" s="20"/>
      <c r="AG883" s="229"/>
      <c r="AH883" s="20"/>
      <c r="AI883" s="229">
        <v>2</v>
      </c>
      <c r="AJ883" s="20">
        <v>2</v>
      </c>
      <c r="AK883" s="229"/>
      <c r="AL883" s="20"/>
      <c r="AM883" s="229"/>
      <c r="AN883" s="20"/>
      <c r="AO883" s="229">
        <v>2</v>
      </c>
      <c r="AP883" s="20">
        <v>2</v>
      </c>
      <c r="AQ883" s="229"/>
      <c r="AR883" s="20"/>
      <c r="AS883" s="229"/>
      <c r="AT883" s="20"/>
      <c r="AU883" s="229"/>
      <c r="AV883" s="20"/>
      <c r="AW883" s="229"/>
      <c r="AX883" s="20"/>
      <c r="AY883" s="229"/>
      <c r="AZ883" s="20"/>
      <c r="BA883" s="229"/>
      <c r="BB883" s="20">
        <v>1</v>
      </c>
      <c r="BC883" s="229">
        <f t="shared" si="319"/>
        <v>4</v>
      </c>
      <c r="BD883" s="48">
        <f t="shared" si="315"/>
        <v>5</v>
      </c>
      <c r="BE883" s="19">
        <v>3</v>
      </c>
      <c r="BF883" s="229">
        <f t="shared" si="320"/>
        <v>4</v>
      </c>
      <c r="BG883" s="210">
        <f t="shared" si="316"/>
        <v>5</v>
      </c>
      <c r="BH883" s="210">
        <f t="shared" si="317"/>
        <v>3</v>
      </c>
      <c r="BI883" s="213">
        <f t="shared" si="321"/>
        <v>166.66666666666669</v>
      </c>
      <c r="BJ883" s="141"/>
      <c r="BK883" s="201"/>
      <c r="BL883" s="198"/>
      <c r="BM883" s="198"/>
    </row>
    <row r="884" spans="1:65" s="17" customFormat="1" ht="15.95" customHeight="1">
      <c r="A884" s="123">
        <v>113</v>
      </c>
      <c r="B884" s="9" t="s">
        <v>456</v>
      </c>
      <c r="C884" s="11" t="s">
        <v>457</v>
      </c>
      <c r="D884" s="229"/>
      <c r="E884" s="13"/>
      <c r="F884" s="229"/>
      <c r="G884" s="13"/>
      <c r="H884" s="229"/>
      <c r="I884" s="13"/>
      <c r="J884" s="229"/>
      <c r="K884" s="13"/>
      <c r="L884" s="229"/>
      <c r="M884" s="13"/>
      <c r="N884" s="229"/>
      <c r="O884" s="13"/>
      <c r="P884" s="229"/>
      <c r="Q884" s="13"/>
      <c r="R884" s="229"/>
      <c r="S884" s="13"/>
      <c r="T884" s="229"/>
      <c r="U884" s="13"/>
      <c r="V884" s="229"/>
      <c r="W884" s="13"/>
      <c r="X884" s="229"/>
      <c r="Y884" s="13"/>
      <c r="Z884" s="229"/>
      <c r="AA884" s="13"/>
      <c r="AB884" s="229">
        <f t="shared" si="318"/>
        <v>0</v>
      </c>
      <c r="AC884" s="228">
        <f t="shared" si="314"/>
        <v>0</v>
      </c>
      <c r="AD884" s="21">
        <v>0</v>
      </c>
      <c r="AE884" s="229"/>
      <c r="AF884" s="20"/>
      <c r="AG884" s="229"/>
      <c r="AH884" s="20"/>
      <c r="AI884" s="229">
        <v>3</v>
      </c>
      <c r="AJ884" s="20">
        <v>3</v>
      </c>
      <c r="AK884" s="229"/>
      <c r="AL884" s="20"/>
      <c r="AM884" s="229"/>
      <c r="AN884" s="20"/>
      <c r="AO884" s="229">
        <v>6</v>
      </c>
      <c r="AP884" s="20">
        <v>6</v>
      </c>
      <c r="AQ884" s="229"/>
      <c r="AR884" s="20"/>
      <c r="AS884" s="229"/>
      <c r="AT884" s="20"/>
      <c r="AU884" s="229"/>
      <c r="AV884" s="20">
        <v>5</v>
      </c>
      <c r="AW884" s="229"/>
      <c r="AX884" s="20"/>
      <c r="AY884" s="229"/>
      <c r="AZ884" s="20"/>
      <c r="BA884" s="229"/>
      <c r="BB884" s="20">
        <v>5</v>
      </c>
      <c r="BC884" s="229">
        <f t="shared" si="319"/>
        <v>9</v>
      </c>
      <c r="BD884" s="48">
        <f t="shared" si="315"/>
        <v>19</v>
      </c>
      <c r="BE884" s="19">
        <v>3</v>
      </c>
      <c r="BF884" s="229">
        <f t="shared" si="320"/>
        <v>9</v>
      </c>
      <c r="BG884" s="210">
        <f t="shared" si="316"/>
        <v>19</v>
      </c>
      <c r="BH884" s="210">
        <f t="shared" si="317"/>
        <v>3</v>
      </c>
      <c r="BI884" s="213">
        <f t="shared" si="321"/>
        <v>633.33333333333326</v>
      </c>
      <c r="BJ884" s="141"/>
      <c r="BK884" s="201"/>
      <c r="BL884" s="198"/>
      <c r="BM884" s="198"/>
    </row>
    <row r="885" spans="1:65" s="17" customFormat="1" ht="15.95" customHeight="1">
      <c r="A885" s="123">
        <v>114</v>
      </c>
      <c r="B885" s="9" t="s">
        <v>2928</v>
      </c>
      <c r="C885" s="11" t="s">
        <v>2929</v>
      </c>
      <c r="D885" s="229"/>
      <c r="E885" s="13"/>
      <c r="F885" s="229"/>
      <c r="G885" s="13"/>
      <c r="H885" s="229"/>
      <c r="I885" s="13"/>
      <c r="J885" s="229"/>
      <c r="K885" s="13"/>
      <c r="L885" s="229"/>
      <c r="M885" s="13"/>
      <c r="N885" s="229"/>
      <c r="O885" s="13"/>
      <c r="P885" s="229"/>
      <c r="Q885" s="13"/>
      <c r="R885" s="229"/>
      <c r="S885" s="13"/>
      <c r="T885" s="229"/>
      <c r="U885" s="13"/>
      <c r="V885" s="229"/>
      <c r="W885" s="13"/>
      <c r="X885" s="229"/>
      <c r="Y885" s="13"/>
      <c r="Z885" s="229"/>
      <c r="AA885" s="13"/>
      <c r="AB885" s="229">
        <f t="shared" si="318"/>
        <v>0</v>
      </c>
      <c r="AC885" s="228">
        <f t="shared" si="314"/>
        <v>0</v>
      </c>
      <c r="AD885" s="21">
        <v>0</v>
      </c>
      <c r="AE885" s="229"/>
      <c r="AF885" s="20"/>
      <c r="AG885" s="229"/>
      <c r="AH885" s="20"/>
      <c r="AI885" s="229">
        <v>1</v>
      </c>
      <c r="AJ885" s="20">
        <v>1</v>
      </c>
      <c r="AK885" s="229"/>
      <c r="AL885" s="20"/>
      <c r="AM885" s="229"/>
      <c r="AN885" s="20"/>
      <c r="AO885" s="229">
        <v>1</v>
      </c>
      <c r="AP885" s="20">
        <v>1</v>
      </c>
      <c r="AQ885" s="229"/>
      <c r="AR885" s="20"/>
      <c r="AS885" s="229"/>
      <c r="AT885" s="20"/>
      <c r="AU885" s="229"/>
      <c r="AV885" s="20"/>
      <c r="AW885" s="229"/>
      <c r="AX885" s="20"/>
      <c r="AY885" s="229"/>
      <c r="AZ885" s="20"/>
      <c r="BA885" s="229"/>
      <c r="BB885" s="20"/>
      <c r="BC885" s="229">
        <f t="shared" si="319"/>
        <v>2</v>
      </c>
      <c r="BD885" s="48">
        <f t="shared" si="315"/>
        <v>2</v>
      </c>
      <c r="BE885" s="19">
        <v>0</v>
      </c>
      <c r="BF885" s="229">
        <f t="shared" si="320"/>
        <v>2</v>
      </c>
      <c r="BG885" s="210">
        <f t="shared" si="316"/>
        <v>2</v>
      </c>
      <c r="BH885" s="210">
        <f t="shared" si="317"/>
        <v>0</v>
      </c>
      <c r="BI885" s="213" t="e">
        <f t="shared" si="321"/>
        <v>#DIV/0!</v>
      </c>
      <c r="BJ885" s="141"/>
      <c r="BK885" s="201"/>
      <c r="BL885" s="198"/>
      <c r="BM885" s="198"/>
    </row>
    <row r="886" spans="1:65" s="17" customFormat="1" ht="15.95" customHeight="1">
      <c r="A886" s="123">
        <v>115</v>
      </c>
      <c r="B886" s="9" t="s">
        <v>458</v>
      </c>
      <c r="C886" s="11" t="s">
        <v>1954</v>
      </c>
      <c r="D886" s="229"/>
      <c r="E886" s="13"/>
      <c r="F886" s="229"/>
      <c r="G886" s="13"/>
      <c r="H886" s="229"/>
      <c r="I886" s="13"/>
      <c r="J886" s="229"/>
      <c r="K886" s="13"/>
      <c r="L886" s="229"/>
      <c r="M886" s="13"/>
      <c r="N886" s="229"/>
      <c r="O886" s="13"/>
      <c r="P886" s="229"/>
      <c r="Q886" s="13"/>
      <c r="R886" s="229"/>
      <c r="S886" s="13"/>
      <c r="T886" s="229"/>
      <c r="U886" s="13"/>
      <c r="V886" s="229"/>
      <c r="W886" s="13"/>
      <c r="X886" s="229"/>
      <c r="Y886" s="13"/>
      <c r="Z886" s="229"/>
      <c r="AA886" s="13"/>
      <c r="AB886" s="229">
        <f t="shared" si="318"/>
        <v>0</v>
      </c>
      <c r="AC886" s="228">
        <f t="shared" ref="AC886:AC917" si="322">E886+G886+I886+K886+M886+O886+Q886+S886+U886+W886+Y886+AA886</f>
        <v>0</v>
      </c>
      <c r="AD886" s="21">
        <v>0</v>
      </c>
      <c r="AE886" s="229"/>
      <c r="AF886" s="20"/>
      <c r="AG886" s="229"/>
      <c r="AH886" s="20"/>
      <c r="AI886" s="229"/>
      <c r="AJ886" s="20"/>
      <c r="AK886" s="229"/>
      <c r="AL886" s="20"/>
      <c r="AM886" s="229"/>
      <c r="AN886" s="20"/>
      <c r="AO886" s="229">
        <v>2</v>
      </c>
      <c r="AP886" s="20">
        <v>2</v>
      </c>
      <c r="AQ886" s="229"/>
      <c r="AR886" s="20"/>
      <c r="AS886" s="229"/>
      <c r="AT886" s="20"/>
      <c r="AU886" s="229"/>
      <c r="AV886" s="20">
        <v>1</v>
      </c>
      <c r="AW886" s="229"/>
      <c r="AX886" s="20"/>
      <c r="AY886" s="229"/>
      <c r="AZ886" s="20"/>
      <c r="BA886" s="229"/>
      <c r="BB886" s="20">
        <v>1</v>
      </c>
      <c r="BC886" s="229">
        <f t="shared" si="319"/>
        <v>2</v>
      </c>
      <c r="BD886" s="48">
        <f t="shared" ref="BD886:BD917" si="323">AF886+AH886+AJ886+AL886+AN886+AP886+AR886+AT886+AV886+AX886+AZ886+BB886</f>
        <v>4</v>
      </c>
      <c r="BE886" s="19">
        <v>1</v>
      </c>
      <c r="BF886" s="229">
        <f t="shared" si="320"/>
        <v>2</v>
      </c>
      <c r="BG886" s="210">
        <f t="shared" ref="BG886:BG917" si="324">AC886+BD886</f>
        <v>4</v>
      </c>
      <c r="BH886" s="210">
        <f t="shared" ref="BH886:BH917" si="325">AD886+BE886</f>
        <v>1</v>
      </c>
      <c r="BI886" s="213">
        <f t="shared" si="321"/>
        <v>400</v>
      </c>
      <c r="BJ886" s="141"/>
      <c r="BK886" s="201"/>
      <c r="BL886" s="198"/>
      <c r="BM886" s="198"/>
    </row>
    <row r="887" spans="1:65" s="17" customFormat="1" ht="15.95" customHeight="1">
      <c r="A887" s="123">
        <v>116</v>
      </c>
      <c r="B887" s="9" t="s">
        <v>459</v>
      </c>
      <c r="C887" s="11" t="s">
        <v>2480</v>
      </c>
      <c r="D887" s="229"/>
      <c r="E887" s="13"/>
      <c r="F887" s="229"/>
      <c r="G887" s="13"/>
      <c r="H887" s="229"/>
      <c r="I887" s="13"/>
      <c r="J887" s="229"/>
      <c r="K887" s="13"/>
      <c r="L887" s="229"/>
      <c r="M887" s="13"/>
      <c r="N887" s="229"/>
      <c r="O887" s="13"/>
      <c r="P887" s="229"/>
      <c r="Q887" s="13"/>
      <c r="R887" s="229"/>
      <c r="S887" s="13"/>
      <c r="T887" s="229"/>
      <c r="U887" s="13"/>
      <c r="V887" s="229"/>
      <c r="W887" s="13"/>
      <c r="X887" s="229"/>
      <c r="Y887" s="13"/>
      <c r="Z887" s="229"/>
      <c r="AA887" s="13"/>
      <c r="AB887" s="229">
        <f t="shared" si="318"/>
        <v>0</v>
      </c>
      <c r="AC887" s="228">
        <f t="shared" si="322"/>
        <v>0</v>
      </c>
      <c r="AD887" s="21">
        <v>0</v>
      </c>
      <c r="AE887" s="229"/>
      <c r="AF887" s="20"/>
      <c r="AG887" s="229"/>
      <c r="AH887" s="20"/>
      <c r="AI887" s="229">
        <v>3</v>
      </c>
      <c r="AJ887" s="20">
        <v>3</v>
      </c>
      <c r="AK887" s="229"/>
      <c r="AL887" s="20"/>
      <c r="AM887" s="229"/>
      <c r="AN887" s="20"/>
      <c r="AO887" s="229">
        <v>1</v>
      </c>
      <c r="AP887" s="20">
        <v>1</v>
      </c>
      <c r="AQ887" s="229"/>
      <c r="AR887" s="20"/>
      <c r="AS887" s="229"/>
      <c r="AT887" s="20"/>
      <c r="AU887" s="229"/>
      <c r="AV887" s="20">
        <v>8</v>
      </c>
      <c r="AW887" s="229"/>
      <c r="AX887" s="20"/>
      <c r="AY887" s="229"/>
      <c r="AZ887" s="20"/>
      <c r="BA887" s="229"/>
      <c r="BB887" s="20">
        <v>2</v>
      </c>
      <c r="BC887" s="229">
        <f t="shared" si="319"/>
        <v>4</v>
      </c>
      <c r="BD887" s="48">
        <f t="shared" si="323"/>
        <v>14</v>
      </c>
      <c r="BE887" s="19">
        <v>3</v>
      </c>
      <c r="BF887" s="229">
        <f t="shared" si="320"/>
        <v>4</v>
      </c>
      <c r="BG887" s="210">
        <f t="shared" si="324"/>
        <v>14</v>
      </c>
      <c r="BH887" s="210">
        <f t="shared" si="325"/>
        <v>3</v>
      </c>
      <c r="BI887" s="213">
        <f t="shared" si="321"/>
        <v>466.66666666666669</v>
      </c>
      <c r="BJ887" s="141"/>
      <c r="BK887" s="201"/>
      <c r="BL887" s="198"/>
      <c r="BM887" s="198"/>
    </row>
    <row r="888" spans="1:65" s="17" customFormat="1" ht="15.95" customHeight="1">
      <c r="A888" s="123">
        <v>117</v>
      </c>
      <c r="B888" s="9" t="s">
        <v>460</v>
      </c>
      <c r="C888" s="11" t="s">
        <v>2824</v>
      </c>
      <c r="D888" s="229"/>
      <c r="E888" s="13"/>
      <c r="F888" s="229"/>
      <c r="G888" s="13"/>
      <c r="H888" s="229"/>
      <c r="I888" s="13"/>
      <c r="J888" s="229"/>
      <c r="K888" s="13"/>
      <c r="L888" s="229"/>
      <c r="M888" s="13"/>
      <c r="N888" s="229"/>
      <c r="O888" s="13"/>
      <c r="P888" s="229"/>
      <c r="Q888" s="13"/>
      <c r="R888" s="229"/>
      <c r="S888" s="13"/>
      <c r="T888" s="229"/>
      <c r="U888" s="13"/>
      <c r="V888" s="229"/>
      <c r="W888" s="13"/>
      <c r="X888" s="229"/>
      <c r="Y888" s="13"/>
      <c r="Z888" s="229"/>
      <c r="AA888" s="13">
        <v>1</v>
      </c>
      <c r="AB888" s="229">
        <f t="shared" si="318"/>
        <v>0</v>
      </c>
      <c r="AC888" s="228">
        <f t="shared" si="322"/>
        <v>1</v>
      </c>
      <c r="AD888" s="21">
        <v>2</v>
      </c>
      <c r="AE888" s="229"/>
      <c r="AF888" s="20"/>
      <c r="AG888" s="229"/>
      <c r="AH888" s="20"/>
      <c r="AI888" s="290">
        <v>10</v>
      </c>
      <c r="AJ888" s="291">
        <v>10</v>
      </c>
      <c r="AK888" s="229"/>
      <c r="AL888" s="20"/>
      <c r="AM888" s="229"/>
      <c r="AN888" s="20"/>
      <c r="AO888" s="229">
        <v>11</v>
      </c>
      <c r="AP888" s="20">
        <v>11</v>
      </c>
      <c r="AQ888" s="229"/>
      <c r="AR888" s="20"/>
      <c r="AS888" s="229"/>
      <c r="AT888" s="20"/>
      <c r="AU888" s="229"/>
      <c r="AV888" s="20">
        <v>17</v>
      </c>
      <c r="AW888" s="229"/>
      <c r="AX888" s="20"/>
      <c r="AY888" s="229"/>
      <c r="AZ888" s="20"/>
      <c r="BA888" s="229"/>
      <c r="BB888" s="20">
        <v>32</v>
      </c>
      <c r="BC888" s="229">
        <f t="shared" si="319"/>
        <v>21</v>
      </c>
      <c r="BD888" s="48">
        <f t="shared" si="323"/>
        <v>70</v>
      </c>
      <c r="BE888" s="19">
        <v>27</v>
      </c>
      <c r="BF888" s="229">
        <f t="shared" si="320"/>
        <v>21</v>
      </c>
      <c r="BG888" s="210">
        <f t="shared" si="324"/>
        <v>71</v>
      </c>
      <c r="BH888" s="210">
        <f t="shared" si="325"/>
        <v>29</v>
      </c>
      <c r="BI888" s="213">
        <f t="shared" si="321"/>
        <v>244.82758620689654</v>
      </c>
      <c r="BJ888" s="141"/>
      <c r="BK888" s="201"/>
      <c r="BL888" s="198"/>
      <c r="BM888" s="198"/>
    </row>
    <row r="889" spans="1:65" s="17" customFormat="1" ht="29.25" customHeight="1">
      <c r="A889" s="123">
        <v>118</v>
      </c>
      <c r="B889" s="146" t="s">
        <v>1784</v>
      </c>
      <c r="C889" s="175" t="s">
        <v>1785</v>
      </c>
      <c r="D889" s="229"/>
      <c r="E889" s="13"/>
      <c r="F889" s="229"/>
      <c r="G889" s="13"/>
      <c r="H889" s="229"/>
      <c r="I889" s="13"/>
      <c r="J889" s="229"/>
      <c r="K889" s="13"/>
      <c r="L889" s="229"/>
      <c r="M889" s="13"/>
      <c r="N889" s="229"/>
      <c r="O889" s="13"/>
      <c r="P889" s="229"/>
      <c r="Q889" s="13"/>
      <c r="R889" s="229"/>
      <c r="S889" s="13"/>
      <c r="T889" s="229"/>
      <c r="U889" s="13"/>
      <c r="V889" s="229"/>
      <c r="W889" s="13"/>
      <c r="X889" s="229"/>
      <c r="Y889" s="13"/>
      <c r="Z889" s="229"/>
      <c r="AA889" s="13"/>
      <c r="AB889" s="229">
        <f t="shared" si="318"/>
        <v>0</v>
      </c>
      <c r="AC889" s="228">
        <f t="shared" si="322"/>
        <v>0</v>
      </c>
      <c r="AD889" s="21">
        <v>0</v>
      </c>
      <c r="AE889" s="229"/>
      <c r="AF889" s="20"/>
      <c r="AG889" s="229"/>
      <c r="AH889" s="20"/>
      <c r="AI889" s="229"/>
      <c r="AJ889" s="20"/>
      <c r="AK889" s="229"/>
      <c r="AL889" s="20"/>
      <c r="AM889" s="229"/>
      <c r="AN889" s="20"/>
      <c r="AO889" s="229"/>
      <c r="AP889" s="20"/>
      <c r="AQ889" s="229"/>
      <c r="AR889" s="20"/>
      <c r="AS889" s="229"/>
      <c r="AT889" s="20"/>
      <c r="AU889" s="229"/>
      <c r="AV889" s="20"/>
      <c r="AW889" s="229"/>
      <c r="AX889" s="20"/>
      <c r="AY889" s="229"/>
      <c r="AZ889" s="20"/>
      <c r="BA889" s="229"/>
      <c r="BB889" s="20"/>
      <c r="BC889" s="229">
        <f t="shared" si="319"/>
        <v>0</v>
      </c>
      <c r="BD889" s="48">
        <f t="shared" si="323"/>
        <v>0</v>
      </c>
      <c r="BE889" s="19">
        <v>1</v>
      </c>
      <c r="BF889" s="229">
        <f t="shared" si="320"/>
        <v>0</v>
      </c>
      <c r="BG889" s="210">
        <f t="shared" si="324"/>
        <v>0</v>
      </c>
      <c r="BH889" s="210">
        <f t="shared" si="325"/>
        <v>1</v>
      </c>
      <c r="BI889" s="213">
        <f t="shared" si="321"/>
        <v>0</v>
      </c>
      <c r="BJ889" s="141"/>
      <c r="BK889" s="201"/>
      <c r="BL889" s="198"/>
      <c r="BM889" s="198"/>
    </row>
    <row r="890" spans="1:65" s="17" customFormat="1" ht="27.75" customHeight="1">
      <c r="A890" s="123">
        <v>119</v>
      </c>
      <c r="B890" s="145" t="s">
        <v>1786</v>
      </c>
      <c r="C890" s="176" t="s">
        <v>1787</v>
      </c>
      <c r="D890" s="229"/>
      <c r="E890" s="13"/>
      <c r="F890" s="229"/>
      <c r="G890" s="13"/>
      <c r="H890" s="229"/>
      <c r="I890" s="13"/>
      <c r="J890" s="229"/>
      <c r="K890" s="13"/>
      <c r="L890" s="229"/>
      <c r="M890" s="13"/>
      <c r="N890" s="229"/>
      <c r="O890" s="13"/>
      <c r="P890" s="229"/>
      <c r="Q890" s="13"/>
      <c r="R890" s="229"/>
      <c r="S890" s="13"/>
      <c r="T890" s="229"/>
      <c r="U890" s="13"/>
      <c r="V890" s="229"/>
      <c r="W890" s="13"/>
      <c r="X890" s="229"/>
      <c r="Y890" s="13"/>
      <c r="Z890" s="229"/>
      <c r="AA890" s="13"/>
      <c r="AB890" s="229">
        <f t="shared" ref="AB890:AB908" si="326">D890+F890+H890+J890+L890+N890+P890+R890+T890+V890+X890+Z890</f>
        <v>0</v>
      </c>
      <c r="AC890" s="228">
        <f t="shared" si="322"/>
        <v>0</v>
      </c>
      <c r="AD890" s="21">
        <v>0</v>
      </c>
      <c r="AE890" s="229"/>
      <c r="AF890" s="20"/>
      <c r="AG890" s="229"/>
      <c r="AH890" s="20"/>
      <c r="AI890" s="229"/>
      <c r="AJ890" s="20"/>
      <c r="AK890" s="229"/>
      <c r="AL890" s="20"/>
      <c r="AM890" s="229"/>
      <c r="AN890" s="20"/>
      <c r="AO890" s="229"/>
      <c r="AP890" s="20"/>
      <c r="AQ890" s="229"/>
      <c r="AR890" s="20"/>
      <c r="AS890" s="229"/>
      <c r="AT890" s="20"/>
      <c r="AU890" s="229"/>
      <c r="AV890" s="20"/>
      <c r="AW890" s="229"/>
      <c r="AX890" s="20"/>
      <c r="AY890" s="229"/>
      <c r="AZ890" s="20"/>
      <c r="BA890" s="229"/>
      <c r="BB890" s="20"/>
      <c r="BC890" s="229">
        <f t="shared" ref="BC890:BC908" si="327">AE890+AG890+AI890+AK890+AM890+AO890+AQ890+AS890+AU890+AW890+AY890+BA890</f>
        <v>0</v>
      </c>
      <c r="BD890" s="48">
        <f t="shared" si="323"/>
        <v>0</v>
      </c>
      <c r="BE890" s="19">
        <v>1</v>
      </c>
      <c r="BF890" s="229">
        <f t="shared" ref="BF890:BF908" si="328">AB890+BC890</f>
        <v>0</v>
      </c>
      <c r="BG890" s="210">
        <f t="shared" si="324"/>
        <v>0</v>
      </c>
      <c r="BH890" s="210">
        <f t="shared" si="325"/>
        <v>1</v>
      </c>
      <c r="BI890" s="213">
        <f t="shared" si="321"/>
        <v>0</v>
      </c>
      <c r="BJ890" s="141"/>
      <c r="BK890" s="201"/>
      <c r="BL890" s="198"/>
      <c r="BM890" s="198"/>
    </row>
    <row r="891" spans="1:65" s="17" customFormat="1" ht="21.95" customHeight="1">
      <c r="A891" s="123">
        <v>120</v>
      </c>
      <c r="B891" s="131" t="s">
        <v>2155</v>
      </c>
      <c r="C891" s="132" t="s">
        <v>2479</v>
      </c>
      <c r="D891" s="229"/>
      <c r="E891" s="13"/>
      <c r="F891" s="229"/>
      <c r="G891" s="13"/>
      <c r="H891" s="229"/>
      <c r="I891" s="13"/>
      <c r="J891" s="229"/>
      <c r="K891" s="13"/>
      <c r="L891" s="229"/>
      <c r="M891" s="13"/>
      <c r="N891" s="229"/>
      <c r="O891" s="13"/>
      <c r="P891" s="229"/>
      <c r="Q891" s="13"/>
      <c r="R891" s="229"/>
      <c r="S891" s="13"/>
      <c r="T891" s="229"/>
      <c r="U891" s="13"/>
      <c r="V891" s="229"/>
      <c r="W891" s="13"/>
      <c r="X891" s="229"/>
      <c r="Y891" s="13"/>
      <c r="Z891" s="229"/>
      <c r="AA891" s="13"/>
      <c r="AB891" s="229">
        <f t="shared" si="326"/>
        <v>0</v>
      </c>
      <c r="AC891" s="228">
        <f t="shared" si="322"/>
        <v>0</v>
      </c>
      <c r="AD891" s="21">
        <v>0</v>
      </c>
      <c r="AE891" s="229"/>
      <c r="AF891" s="20"/>
      <c r="AG891" s="229"/>
      <c r="AH891" s="20"/>
      <c r="AI891" s="229"/>
      <c r="AJ891" s="20"/>
      <c r="AK891" s="229"/>
      <c r="AL891" s="20"/>
      <c r="AM891" s="229"/>
      <c r="AN891" s="20"/>
      <c r="AO891" s="229"/>
      <c r="AP891" s="20"/>
      <c r="AQ891" s="229"/>
      <c r="AR891" s="20"/>
      <c r="AS891" s="229"/>
      <c r="AT891" s="20"/>
      <c r="AU891" s="229"/>
      <c r="AV891" s="20"/>
      <c r="AW891" s="229"/>
      <c r="AX891" s="20"/>
      <c r="AY891" s="229"/>
      <c r="AZ891" s="20"/>
      <c r="BA891" s="229"/>
      <c r="BB891" s="20"/>
      <c r="BC891" s="229">
        <f t="shared" si="327"/>
        <v>0</v>
      </c>
      <c r="BD891" s="48">
        <f t="shared" si="323"/>
        <v>0</v>
      </c>
      <c r="BE891" s="19">
        <v>3</v>
      </c>
      <c r="BF891" s="229">
        <f t="shared" si="328"/>
        <v>0</v>
      </c>
      <c r="BG891" s="210">
        <f t="shared" si="324"/>
        <v>0</v>
      </c>
      <c r="BH891" s="210">
        <f t="shared" si="325"/>
        <v>3</v>
      </c>
      <c r="BI891" s="213">
        <f t="shared" si="321"/>
        <v>0</v>
      </c>
      <c r="BJ891" s="141"/>
      <c r="BK891" s="201"/>
      <c r="BL891" s="198"/>
      <c r="BM891" s="198"/>
    </row>
    <row r="892" spans="1:65" s="17" customFormat="1" ht="15.95" customHeight="1">
      <c r="A892" s="123">
        <v>121</v>
      </c>
      <c r="B892" s="131" t="s">
        <v>2948</v>
      </c>
      <c r="C892" s="133" t="s">
        <v>2949</v>
      </c>
      <c r="D892" s="229"/>
      <c r="E892" s="13"/>
      <c r="F892" s="229"/>
      <c r="G892" s="13"/>
      <c r="H892" s="229"/>
      <c r="I892" s="13"/>
      <c r="J892" s="229"/>
      <c r="K892" s="13"/>
      <c r="L892" s="229"/>
      <c r="M892" s="13"/>
      <c r="N892" s="229"/>
      <c r="O892" s="13"/>
      <c r="P892" s="229"/>
      <c r="Q892" s="13"/>
      <c r="R892" s="229"/>
      <c r="S892" s="13"/>
      <c r="T892" s="229"/>
      <c r="U892" s="13"/>
      <c r="V892" s="229"/>
      <c r="W892" s="13"/>
      <c r="X892" s="229"/>
      <c r="Y892" s="13"/>
      <c r="Z892" s="229"/>
      <c r="AA892" s="13"/>
      <c r="AB892" s="229">
        <f t="shared" si="326"/>
        <v>0</v>
      </c>
      <c r="AC892" s="228">
        <f t="shared" si="322"/>
        <v>0</v>
      </c>
      <c r="AD892" s="21">
        <v>0</v>
      </c>
      <c r="AE892" s="229"/>
      <c r="AF892" s="20"/>
      <c r="AG892" s="229"/>
      <c r="AH892" s="20"/>
      <c r="AI892" s="229">
        <v>1</v>
      </c>
      <c r="AJ892" s="20">
        <v>1</v>
      </c>
      <c r="AK892" s="229"/>
      <c r="AL892" s="20"/>
      <c r="AM892" s="229"/>
      <c r="AN892" s="20"/>
      <c r="AO892" s="229"/>
      <c r="AP892" s="20"/>
      <c r="AQ892" s="229"/>
      <c r="AR892" s="20"/>
      <c r="AS892" s="229"/>
      <c r="AT892" s="20"/>
      <c r="AU892" s="229"/>
      <c r="AV892" s="20"/>
      <c r="AW892" s="229"/>
      <c r="AX892" s="20"/>
      <c r="AY892" s="229"/>
      <c r="AZ892" s="20"/>
      <c r="BA892" s="229"/>
      <c r="BB892" s="20"/>
      <c r="BC892" s="229">
        <f t="shared" si="327"/>
        <v>1</v>
      </c>
      <c r="BD892" s="48">
        <f t="shared" si="323"/>
        <v>1</v>
      </c>
      <c r="BE892" s="19">
        <v>0</v>
      </c>
      <c r="BF892" s="229">
        <f t="shared" si="328"/>
        <v>1</v>
      </c>
      <c r="BG892" s="210">
        <f t="shared" si="324"/>
        <v>1</v>
      </c>
      <c r="BH892" s="210">
        <f t="shared" si="325"/>
        <v>0</v>
      </c>
      <c r="BI892" s="213" t="e">
        <f t="shared" si="321"/>
        <v>#DIV/0!</v>
      </c>
      <c r="BJ892" s="141"/>
      <c r="BK892" s="201"/>
      <c r="BL892" s="198"/>
      <c r="BM892" s="198"/>
    </row>
    <row r="893" spans="1:65" s="17" customFormat="1" ht="15.95" customHeight="1">
      <c r="A893" s="123">
        <v>122</v>
      </c>
      <c r="B893" s="131" t="s">
        <v>2156</v>
      </c>
      <c r="C893" s="133" t="s">
        <v>2157</v>
      </c>
      <c r="D893" s="229"/>
      <c r="E893" s="13"/>
      <c r="F893" s="229"/>
      <c r="G893" s="13"/>
      <c r="H893" s="229"/>
      <c r="I893" s="13"/>
      <c r="J893" s="229"/>
      <c r="K893" s="13"/>
      <c r="L893" s="229"/>
      <c r="M893" s="13"/>
      <c r="N893" s="229"/>
      <c r="O893" s="13"/>
      <c r="P893" s="229"/>
      <c r="Q893" s="13"/>
      <c r="R893" s="229"/>
      <c r="S893" s="13"/>
      <c r="T893" s="229"/>
      <c r="U893" s="13"/>
      <c r="V893" s="229"/>
      <c r="W893" s="13"/>
      <c r="X893" s="229"/>
      <c r="Y893" s="13"/>
      <c r="Z893" s="229"/>
      <c r="AA893" s="13"/>
      <c r="AB893" s="229">
        <f t="shared" si="326"/>
        <v>0</v>
      </c>
      <c r="AC893" s="228">
        <f t="shared" si="322"/>
        <v>0</v>
      </c>
      <c r="AD893" s="21">
        <v>0</v>
      </c>
      <c r="AE893" s="229"/>
      <c r="AF893" s="20"/>
      <c r="AG893" s="229"/>
      <c r="AH893" s="20"/>
      <c r="AI893" s="229"/>
      <c r="AJ893" s="20"/>
      <c r="AK893" s="229"/>
      <c r="AL893" s="20"/>
      <c r="AM893" s="229"/>
      <c r="AN893" s="20"/>
      <c r="AO893" s="229"/>
      <c r="AP893" s="20"/>
      <c r="AQ893" s="229"/>
      <c r="AR893" s="20"/>
      <c r="AS893" s="229"/>
      <c r="AT893" s="20"/>
      <c r="AU893" s="229"/>
      <c r="AV893" s="20"/>
      <c r="AW893" s="229"/>
      <c r="AX893" s="20"/>
      <c r="AY893" s="229"/>
      <c r="AZ893" s="20"/>
      <c r="BA893" s="229"/>
      <c r="BB893" s="20"/>
      <c r="BC893" s="229">
        <f t="shared" si="327"/>
        <v>0</v>
      </c>
      <c r="BD893" s="48">
        <f t="shared" si="323"/>
        <v>0</v>
      </c>
      <c r="BE893" s="19">
        <v>1</v>
      </c>
      <c r="BF893" s="229">
        <f t="shared" si="328"/>
        <v>0</v>
      </c>
      <c r="BG893" s="210">
        <f t="shared" si="324"/>
        <v>0</v>
      </c>
      <c r="BH893" s="210">
        <f t="shared" si="325"/>
        <v>1</v>
      </c>
      <c r="BI893" s="213">
        <f t="shared" si="321"/>
        <v>0</v>
      </c>
      <c r="BJ893" s="141"/>
      <c r="BK893" s="201"/>
      <c r="BL893" s="198"/>
      <c r="BM893" s="198"/>
    </row>
    <row r="894" spans="1:65" s="17" customFormat="1" ht="15.95" customHeight="1">
      <c r="A894" s="123">
        <v>123</v>
      </c>
      <c r="B894" s="9" t="s">
        <v>2339</v>
      </c>
      <c r="C894" s="11" t="s">
        <v>2340</v>
      </c>
      <c r="D894" s="229"/>
      <c r="E894" s="13"/>
      <c r="F894" s="229"/>
      <c r="G894" s="13"/>
      <c r="H894" s="229"/>
      <c r="I894" s="13"/>
      <c r="J894" s="229"/>
      <c r="K894" s="13"/>
      <c r="L894" s="229"/>
      <c r="M894" s="13"/>
      <c r="N894" s="229"/>
      <c r="O894" s="13"/>
      <c r="P894" s="229"/>
      <c r="Q894" s="13"/>
      <c r="R894" s="229"/>
      <c r="S894" s="13"/>
      <c r="T894" s="229"/>
      <c r="U894" s="13"/>
      <c r="V894" s="229"/>
      <c r="W894" s="13"/>
      <c r="X894" s="229"/>
      <c r="Y894" s="13"/>
      <c r="Z894" s="229"/>
      <c r="AA894" s="13"/>
      <c r="AB894" s="229">
        <f t="shared" si="326"/>
        <v>0</v>
      </c>
      <c r="AC894" s="228">
        <f t="shared" si="322"/>
        <v>0</v>
      </c>
      <c r="AD894" s="21">
        <v>0</v>
      </c>
      <c r="AE894" s="229"/>
      <c r="AF894" s="20"/>
      <c r="AG894" s="229"/>
      <c r="AH894" s="20"/>
      <c r="AI894" s="229"/>
      <c r="AJ894" s="20"/>
      <c r="AK894" s="229"/>
      <c r="AL894" s="20"/>
      <c r="AM894" s="229"/>
      <c r="AN894" s="20"/>
      <c r="AO894" s="229"/>
      <c r="AP894" s="20"/>
      <c r="AQ894" s="229"/>
      <c r="AR894" s="20"/>
      <c r="AS894" s="229"/>
      <c r="AT894" s="20"/>
      <c r="AU894" s="229"/>
      <c r="AV894" s="20"/>
      <c r="AW894" s="229"/>
      <c r="AX894" s="20"/>
      <c r="AY894" s="229"/>
      <c r="AZ894" s="20"/>
      <c r="BA894" s="229"/>
      <c r="BB894" s="20"/>
      <c r="BC894" s="229">
        <f t="shared" si="327"/>
        <v>0</v>
      </c>
      <c r="BD894" s="48">
        <f t="shared" si="323"/>
        <v>0</v>
      </c>
      <c r="BE894" s="19">
        <v>1</v>
      </c>
      <c r="BF894" s="229">
        <f t="shared" si="328"/>
        <v>0</v>
      </c>
      <c r="BG894" s="210">
        <f t="shared" si="324"/>
        <v>0</v>
      </c>
      <c r="BH894" s="210">
        <f t="shared" si="325"/>
        <v>1</v>
      </c>
      <c r="BI894" s="213">
        <f t="shared" si="321"/>
        <v>0</v>
      </c>
      <c r="BJ894" s="141"/>
      <c r="BK894" s="201"/>
      <c r="BL894" s="198"/>
      <c r="BM894" s="198"/>
    </row>
    <row r="895" spans="1:65" s="17" customFormat="1" ht="15.95" customHeight="1">
      <c r="A895" s="123">
        <v>124</v>
      </c>
      <c r="B895" s="9" t="s">
        <v>2158</v>
      </c>
      <c r="C895" s="11" t="s">
        <v>2159</v>
      </c>
      <c r="D895" s="229"/>
      <c r="E895" s="13"/>
      <c r="F895" s="229"/>
      <c r="G895" s="13"/>
      <c r="H895" s="229"/>
      <c r="I895" s="13"/>
      <c r="J895" s="229"/>
      <c r="K895" s="13"/>
      <c r="L895" s="229"/>
      <c r="M895" s="13"/>
      <c r="N895" s="229"/>
      <c r="O895" s="13"/>
      <c r="P895" s="229"/>
      <c r="Q895" s="13"/>
      <c r="R895" s="229"/>
      <c r="S895" s="13"/>
      <c r="T895" s="229"/>
      <c r="U895" s="13"/>
      <c r="V895" s="229"/>
      <c r="W895" s="13"/>
      <c r="X895" s="229"/>
      <c r="Y895" s="13"/>
      <c r="Z895" s="229"/>
      <c r="AA895" s="13"/>
      <c r="AB895" s="229">
        <f t="shared" si="326"/>
        <v>0</v>
      </c>
      <c r="AC895" s="228">
        <f t="shared" si="322"/>
        <v>0</v>
      </c>
      <c r="AD895" s="21">
        <v>0</v>
      </c>
      <c r="AE895" s="229"/>
      <c r="AF895" s="20"/>
      <c r="AG895" s="229"/>
      <c r="AH895" s="20"/>
      <c r="AI895" s="229"/>
      <c r="AJ895" s="20"/>
      <c r="AK895" s="229"/>
      <c r="AL895" s="20"/>
      <c r="AM895" s="229"/>
      <c r="AN895" s="20"/>
      <c r="AO895" s="229"/>
      <c r="AP895" s="20"/>
      <c r="AQ895" s="229"/>
      <c r="AR895" s="20"/>
      <c r="AS895" s="229"/>
      <c r="AT895" s="20"/>
      <c r="AU895" s="229"/>
      <c r="AV895" s="20"/>
      <c r="AW895" s="229"/>
      <c r="AX895" s="20"/>
      <c r="AY895" s="229"/>
      <c r="AZ895" s="20"/>
      <c r="BA895" s="229"/>
      <c r="BB895" s="20">
        <v>1</v>
      </c>
      <c r="BC895" s="229">
        <f t="shared" si="327"/>
        <v>0</v>
      </c>
      <c r="BD895" s="48">
        <f t="shared" si="323"/>
        <v>1</v>
      </c>
      <c r="BE895" s="19">
        <v>3</v>
      </c>
      <c r="BF895" s="229">
        <f t="shared" si="328"/>
        <v>0</v>
      </c>
      <c r="BG895" s="210">
        <f t="shared" si="324"/>
        <v>1</v>
      </c>
      <c r="BH895" s="210">
        <f t="shared" si="325"/>
        <v>3</v>
      </c>
      <c r="BI895" s="213">
        <f t="shared" si="321"/>
        <v>33.333333333333329</v>
      </c>
      <c r="BJ895" s="141"/>
      <c r="BK895" s="201"/>
      <c r="BL895" s="198"/>
      <c r="BM895" s="198"/>
    </row>
    <row r="896" spans="1:65" s="17" customFormat="1" ht="15.95" customHeight="1">
      <c r="A896" s="123">
        <v>125</v>
      </c>
      <c r="B896" s="9" t="s">
        <v>2160</v>
      </c>
      <c r="C896" s="11" t="s">
        <v>2161</v>
      </c>
      <c r="D896" s="229"/>
      <c r="E896" s="13"/>
      <c r="F896" s="229"/>
      <c r="G896" s="13"/>
      <c r="H896" s="229"/>
      <c r="I896" s="13"/>
      <c r="J896" s="229"/>
      <c r="K896" s="13"/>
      <c r="L896" s="229"/>
      <c r="M896" s="13"/>
      <c r="N896" s="229"/>
      <c r="O896" s="13"/>
      <c r="P896" s="229"/>
      <c r="Q896" s="13"/>
      <c r="R896" s="229"/>
      <c r="S896" s="13"/>
      <c r="T896" s="229"/>
      <c r="U896" s="13"/>
      <c r="V896" s="229"/>
      <c r="W896" s="13"/>
      <c r="X896" s="229"/>
      <c r="Y896" s="13"/>
      <c r="Z896" s="229"/>
      <c r="AA896" s="13"/>
      <c r="AB896" s="229">
        <f t="shared" si="326"/>
        <v>0</v>
      </c>
      <c r="AC896" s="228">
        <f t="shared" si="322"/>
        <v>0</v>
      </c>
      <c r="AD896" s="21">
        <v>0</v>
      </c>
      <c r="AE896" s="229"/>
      <c r="AF896" s="20"/>
      <c r="AG896" s="229"/>
      <c r="AH896" s="20"/>
      <c r="AI896" s="229"/>
      <c r="AJ896" s="20"/>
      <c r="AK896" s="229"/>
      <c r="AL896" s="20"/>
      <c r="AM896" s="229"/>
      <c r="AN896" s="20"/>
      <c r="AO896" s="229">
        <v>2</v>
      </c>
      <c r="AP896" s="20">
        <v>2</v>
      </c>
      <c r="AQ896" s="229"/>
      <c r="AR896" s="20"/>
      <c r="AS896" s="229"/>
      <c r="AT896" s="20"/>
      <c r="AU896" s="229"/>
      <c r="AV896" s="20"/>
      <c r="AW896" s="229"/>
      <c r="AX896" s="20"/>
      <c r="AY896" s="229"/>
      <c r="AZ896" s="20"/>
      <c r="BA896" s="229"/>
      <c r="BB896" s="20"/>
      <c r="BC896" s="229">
        <f t="shared" si="327"/>
        <v>2</v>
      </c>
      <c r="BD896" s="48">
        <f t="shared" si="323"/>
        <v>2</v>
      </c>
      <c r="BE896" s="19">
        <v>3</v>
      </c>
      <c r="BF896" s="229">
        <f t="shared" si="328"/>
        <v>2</v>
      </c>
      <c r="BG896" s="210">
        <f t="shared" si="324"/>
        <v>2</v>
      </c>
      <c r="BH896" s="210">
        <f t="shared" si="325"/>
        <v>3</v>
      </c>
      <c r="BI896" s="213">
        <f t="shared" si="321"/>
        <v>66.666666666666657</v>
      </c>
      <c r="BJ896" s="141"/>
      <c r="BK896" s="201"/>
      <c r="BL896" s="198"/>
      <c r="BM896" s="198"/>
    </row>
    <row r="897" spans="1:65" s="17" customFormat="1" ht="15.95" customHeight="1">
      <c r="A897" s="123">
        <v>126</v>
      </c>
      <c r="B897" s="9" t="s">
        <v>2162</v>
      </c>
      <c r="C897" s="11" t="s">
        <v>2163</v>
      </c>
      <c r="D897" s="229"/>
      <c r="E897" s="13"/>
      <c r="F897" s="229"/>
      <c r="G897" s="13"/>
      <c r="H897" s="229"/>
      <c r="I897" s="13"/>
      <c r="J897" s="229"/>
      <c r="K897" s="13"/>
      <c r="L897" s="229"/>
      <c r="M897" s="13"/>
      <c r="N897" s="229"/>
      <c r="O897" s="13"/>
      <c r="P897" s="229"/>
      <c r="Q897" s="13"/>
      <c r="R897" s="229"/>
      <c r="S897" s="13"/>
      <c r="T897" s="229"/>
      <c r="U897" s="13"/>
      <c r="V897" s="229"/>
      <c r="W897" s="13"/>
      <c r="X897" s="229"/>
      <c r="Y897" s="13"/>
      <c r="Z897" s="229"/>
      <c r="AA897" s="13"/>
      <c r="AB897" s="229">
        <f t="shared" si="326"/>
        <v>0</v>
      </c>
      <c r="AC897" s="228">
        <f t="shared" si="322"/>
        <v>0</v>
      </c>
      <c r="AD897" s="21">
        <v>0</v>
      </c>
      <c r="AE897" s="229"/>
      <c r="AF897" s="20"/>
      <c r="AG897" s="229"/>
      <c r="AH897" s="20"/>
      <c r="AI897" s="229"/>
      <c r="AJ897" s="20"/>
      <c r="AK897" s="229"/>
      <c r="AL897" s="20"/>
      <c r="AM897" s="229"/>
      <c r="AN897" s="20"/>
      <c r="AO897" s="229"/>
      <c r="AP897" s="20"/>
      <c r="AQ897" s="229"/>
      <c r="AR897" s="20"/>
      <c r="AS897" s="229"/>
      <c r="AT897" s="20"/>
      <c r="AU897" s="229"/>
      <c r="AV897" s="20"/>
      <c r="AW897" s="229"/>
      <c r="AX897" s="20"/>
      <c r="AY897" s="229"/>
      <c r="AZ897" s="20"/>
      <c r="BA897" s="229"/>
      <c r="BB897" s="20"/>
      <c r="BC897" s="229">
        <f t="shared" si="327"/>
        <v>0</v>
      </c>
      <c r="BD897" s="48">
        <f t="shared" si="323"/>
        <v>0</v>
      </c>
      <c r="BE897" s="19">
        <v>1</v>
      </c>
      <c r="BF897" s="229">
        <f t="shared" si="328"/>
        <v>0</v>
      </c>
      <c r="BG897" s="210">
        <f t="shared" si="324"/>
        <v>0</v>
      </c>
      <c r="BH897" s="210">
        <f t="shared" si="325"/>
        <v>1</v>
      </c>
      <c r="BI897" s="213">
        <f t="shared" si="321"/>
        <v>0</v>
      </c>
      <c r="BJ897" s="141"/>
      <c r="BK897" s="201"/>
      <c r="BL897" s="198"/>
      <c r="BM897" s="198"/>
    </row>
    <row r="898" spans="1:65" s="17" customFormat="1" ht="15.95" customHeight="1">
      <c r="A898" s="123">
        <v>127</v>
      </c>
      <c r="B898" s="9" t="s">
        <v>2930</v>
      </c>
      <c r="C898" s="11" t="s">
        <v>2931</v>
      </c>
      <c r="D898" s="229"/>
      <c r="E898" s="13"/>
      <c r="F898" s="229"/>
      <c r="G898" s="13"/>
      <c r="H898" s="229"/>
      <c r="I898" s="13"/>
      <c r="J898" s="229"/>
      <c r="K898" s="13"/>
      <c r="L898" s="229"/>
      <c r="M898" s="13"/>
      <c r="N898" s="229"/>
      <c r="O898" s="13"/>
      <c r="P898" s="229"/>
      <c r="Q898" s="13"/>
      <c r="R898" s="229"/>
      <c r="S898" s="13"/>
      <c r="T898" s="229"/>
      <c r="U898" s="13"/>
      <c r="V898" s="229"/>
      <c r="W898" s="13"/>
      <c r="X898" s="229"/>
      <c r="Y898" s="13"/>
      <c r="Z898" s="229"/>
      <c r="AA898" s="13"/>
      <c r="AB898" s="229">
        <f t="shared" si="326"/>
        <v>0</v>
      </c>
      <c r="AC898" s="228">
        <f t="shared" si="322"/>
        <v>0</v>
      </c>
      <c r="AD898" s="21">
        <v>0</v>
      </c>
      <c r="AE898" s="229"/>
      <c r="AF898" s="20"/>
      <c r="AG898" s="229"/>
      <c r="AH898" s="20"/>
      <c r="AI898" s="229"/>
      <c r="AJ898" s="20"/>
      <c r="AK898" s="229"/>
      <c r="AL898" s="20"/>
      <c r="AM898" s="229"/>
      <c r="AN898" s="20"/>
      <c r="AO898" s="229"/>
      <c r="AP898" s="20"/>
      <c r="AQ898" s="229"/>
      <c r="AR898" s="20"/>
      <c r="AS898" s="229"/>
      <c r="AT898" s="20"/>
      <c r="AU898" s="229"/>
      <c r="AV898" s="20"/>
      <c r="AW898" s="229"/>
      <c r="AX898" s="20"/>
      <c r="AY898" s="229"/>
      <c r="AZ898" s="20"/>
      <c r="BA898" s="229"/>
      <c r="BB898" s="20"/>
      <c r="BC898" s="229">
        <f t="shared" si="327"/>
        <v>0</v>
      </c>
      <c r="BD898" s="48">
        <f t="shared" si="323"/>
        <v>0</v>
      </c>
      <c r="BE898" s="19">
        <v>0</v>
      </c>
      <c r="BF898" s="229">
        <f t="shared" si="328"/>
        <v>0</v>
      </c>
      <c r="BG898" s="210">
        <f t="shared" si="324"/>
        <v>0</v>
      </c>
      <c r="BH898" s="210">
        <f t="shared" si="325"/>
        <v>0</v>
      </c>
      <c r="BI898" s="213" t="e">
        <f t="shared" si="321"/>
        <v>#DIV/0!</v>
      </c>
      <c r="BJ898" s="141"/>
      <c r="BK898" s="201"/>
      <c r="BL898" s="198"/>
      <c r="BM898" s="198"/>
    </row>
    <row r="899" spans="1:65" s="17" customFormat="1" ht="15.95" customHeight="1">
      <c r="A899" s="123">
        <v>128</v>
      </c>
      <c r="B899" s="9" t="s">
        <v>2341</v>
      </c>
      <c r="C899" s="11" t="s">
        <v>2342</v>
      </c>
      <c r="D899" s="229"/>
      <c r="E899" s="13"/>
      <c r="F899" s="229"/>
      <c r="G899" s="13"/>
      <c r="H899" s="229"/>
      <c r="I899" s="13"/>
      <c r="J899" s="229"/>
      <c r="K899" s="13"/>
      <c r="L899" s="229"/>
      <c r="M899" s="13"/>
      <c r="N899" s="229"/>
      <c r="O899" s="13"/>
      <c r="P899" s="229"/>
      <c r="Q899" s="13"/>
      <c r="R899" s="229"/>
      <c r="S899" s="13"/>
      <c r="T899" s="229"/>
      <c r="U899" s="13"/>
      <c r="V899" s="229"/>
      <c r="W899" s="13"/>
      <c r="X899" s="229"/>
      <c r="Y899" s="13"/>
      <c r="Z899" s="229"/>
      <c r="AA899" s="13"/>
      <c r="AB899" s="229">
        <f t="shared" si="326"/>
        <v>0</v>
      </c>
      <c r="AC899" s="228">
        <f t="shared" si="322"/>
        <v>0</v>
      </c>
      <c r="AD899" s="21">
        <v>0</v>
      </c>
      <c r="AE899" s="229"/>
      <c r="AF899" s="20"/>
      <c r="AG899" s="229"/>
      <c r="AH899" s="20"/>
      <c r="AI899" s="229"/>
      <c r="AJ899" s="20"/>
      <c r="AK899" s="229"/>
      <c r="AL899" s="20"/>
      <c r="AM899" s="229"/>
      <c r="AN899" s="20"/>
      <c r="AO899" s="229"/>
      <c r="AP899" s="20"/>
      <c r="AQ899" s="229"/>
      <c r="AR899" s="20"/>
      <c r="AS899" s="229"/>
      <c r="AT899" s="20"/>
      <c r="AU899" s="229"/>
      <c r="AV899" s="20"/>
      <c r="AW899" s="229"/>
      <c r="AX899" s="20"/>
      <c r="AY899" s="229"/>
      <c r="AZ899" s="20"/>
      <c r="BA899" s="229"/>
      <c r="BB899" s="20"/>
      <c r="BC899" s="229">
        <f t="shared" si="327"/>
        <v>0</v>
      </c>
      <c r="BD899" s="48">
        <f t="shared" si="323"/>
        <v>0</v>
      </c>
      <c r="BE899" s="19">
        <v>1</v>
      </c>
      <c r="BF899" s="229">
        <f t="shared" si="328"/>
        <v>0</v>
      </c>
      <c r="BG899" s="210">
        <f t="shared" si="324"/>
        <v>0</v>
      </c>
      <c r="BH899" s="210">
        <f t="shared" si="325"/>
        <v>1</v>
      </c>
      <c r="BI899" s="213">
        <f t="shared" si="321"/>
        <v>0</v>
      </c>
      <c r="BJ899" s="141"/>
      <c r="BK899" s="201"/>
      <c r="BL899" s="198"/>
      <c r="BM899" s="198"/>
    </row>
    <row r="900" spans="1:65" s="17" customFormat="1" ht="15.95" customHeight="1">
      <c r="A900" s="123">
        <v>129</v>
      </c>
      <c r="B900" s="9" t="s">
        <v>2164</v>
      </c>
      <c r="C900" s="11" t="s">
        <v>2478</v>
      </c>
      <c r="D900" s="229"/>
      <c r="E900" s="13"/>
      <c r="F900" s="229"/>
      <c r="G900" s="13"/>
      <c r="H900" s="229"/>
      <c r="I900" s="13"/>
      <c r="J900" s="229"/>
      <c r="K900" s="13"/>
      <c r="L900" s="229"/>
      <c r="M900" s="13"/>
      <c r="N900" s="229"/>
      <c r="O900" s="13"/>
      <c r="P900" s="229"/>
      <c r="Q900" s="13"/>
      <c r="R900" s="229"/>
      <c r="S900" s="13"/>
      <c r="T900" s="229"/>
      <c r="U900" s="13"/>
      <c r="V900" s="229"/>
      <c r="W900" s="13"/>
      <c r="X900" s="229"/>
      <c r="Y900" s="13"/>
      <c r="Z900" s="229"/>
      <c r="AA900" s="13"/>
      <c r="AB900" s="229">
        <f t="shared" si="326"/>
        <v>0</v>
      </c>
      <c r="AC900" s="228">
        <f t="shared" si="322"/>
        <v>0</v>
      </c>
      <c r="AD900" s="21">
        <v>0</v>
      </c>
      <c r="AE900" s="229"/>
      <c r="AF900" s="20"/>
      <c r="AG900" s="229"/>
      <c r="AH900" s="20"/>
      <c r="AI900" s="229"/>
      <c r="AJ900" s="20"/>
      <c r="AK900" s="229"/>
      <c r="AL900" s="20"/>
      <c r="AM900" s="229"/>
      <c r="AN900" s="20"/>
      <c r="AO900" s="229">
        <v>2</v>
      </c>
      <c r="AP900" s="20">
        <v>2</v>
      </c>
      <c r="AQ900" s="229"/>
      <c r="AR900" s="20"/>
      <c r="AS900" s="229"/>
      <c r="AT900" s="20"/>
      <c r="AU900" s="229"/>
      <c r="AV900" s="20"/>
      <c r="AW900" s="229"/>
      <c r="AX900" s="20"/>
      <c r="AY900" s="229"/>
      <c r="AZ900" s="20"/>
      <c r="BA900" s="229"/>
      <c r="BB900" s="20">
        <v>4</v>
      </c>
      <c r="BC900" s="229">
        <f t="shared" si="327"/>
        <v>2</v>
      </c>
      <c r="BD900" s="48">
        <f t="shared" si="323"/>
        <v>6</v>
      </c>
      <c r="BE900" s="19">
        <v>3</v>
      </c>
      <c r="BF900" s="229">
        <f t="shared" si="328"/>
        <v>2</v>
      </c>
      <c r="BG900" s="210">
        <f t="shared" si="324"/>
        <v>6</v>
      </c>
      <c r="BH900" s="210">
        <f t="shared" si="325"/>
        <v>3</v>
      </c>
      <c r="BI900" s="213">
        <f t="shared" ref="BI900:BI931" si="329">BG900/BH900*100</f>
        <v>200</v>
      </c>
      <c r="BJ900" s="141"/>
      <c r="BK900" s="201"/>
      <c r="BL900" s="198"/>
      <c r="BM900" s="198"/>
    </row>
    <row r="901" spans="1:65" s="17" customFormat="1" ht="15.95" customHeight="1">
      <c r="A901" s="123">
        <v>130</v>
      </c>
      <c r="B901" s="9" t="s">
        <v>2165</v>
      </c>
      <c r="C901" s="11" t="s">
        <v>2166</v>
      </c>
      <c r="D901" s="229"/>
      <c r="E901" s="13"/>
      <c r="F901" s="229"/>
      <c r="G901" s="13"/>
      <c r="H901" s="229"/>
      <c r="I901" s="13"/>
      <c r="J901" s="229"/>
      <c r="K901" s="13"/>
      <c r="L901" s="229"/>
      <c r="M901" s="13"/>
      <c r="N901" s="229"/>
      <c r="O901" s="13"/>
      <c r="P901" s="229"/>
      <c r="Q901" s="13"/>
      <c r="R901" s="229"/>
      <c r="S901" s="13"/>
      <c r="T901" s="229"/>
      <c r="U901" s="13"/>
      <c r="V901" s="229"/>
      <c r="W901" s="13"/>
      <c r="X901" s="229"/>
      <c r="Y901" s="13"/>
      <c r="Z901" s="229"/>
      <c r="AA901" s="13"/>
      <c r="AB901" s="229">
        <f t="shared" si="326"/>
        <v>0</v>
      </c>
      <c r="AC901" s="228">
        <f t="shared" si="322"/>
        <v>0</v>
      </c>
      <c r="AD901" s="21">
        <v>0</v>
      </c>
      <c r="AE901" s="229"/>
      <c r="AF901" s="20"/>
      <c r="AG901" s="229"/>
      <c r="AH901" s="20"/>
      <c r="AI901" s="229"/>
      <c r="AJ901" s="20"/>
      <c r="AK901" s="229"/>
      <c r="AL901" s="20"/>
      <c r="AM901" s="229"/>
      <c r="AN901" s="20"/>
      <c r="AO901" s="229"/>
      <c r="AP901" s="20"/>
      <c r="AQ901" s="229"/>
      <c r="AR901" s="20"/>
      <c r="AS901" s="229"/>
      <c r="AT901" s="20"/>
      <c r="AU901" s="229"/>
      <c r="AV901" s="20"/>
      <c r="AW901" s="229"/>
      <c r="AX901" s="20"/>
      <c r="AY901" s="229"/>
      <c r="AZ901" s="20"/>
      <c r="BA901" s="229"/>
      <c r="BB901" s="20"/>
      <c r="BC901" s="229">
        <f t="shared" si="327"/>
        <v>0</v>
      </c>
      <c r="BD901" s="48">
        <f t="shared" si="323"/>
        <v>0</v>
      </c>
      <c r="BE901" s="19">
        <v>1</v>
      </c>
      <c r="BF901" s="229">
        <f t="shared" si="328"/>
        <v>0</v>
      </c>
      <c r="BG901" s="210">
        <f t="shared" si="324"/>
        <v>0</v>
      </c>
      <c r="BH901" s="210">
        <f t="shared" si="325"/>
        <v>1</v>
      </c>
      <c r="BI901" s="213">
        <f t="shared" si="329"/>
        <v>0</v>
      </c>
      <c r="BJ901" s="141"/>
      <c r="BK901" s="201"/>
      <c r="BL901" s="198"/>
      <c r="BM901" s="198"/>
    </row>
    <row r="902" spans="1:65" s="17" customFormat="1" ht="15.95" customHeight="1">
      <c r="A902" s="123">
        <v>131</v>
      </c>
      <c r="B902" s="9" t="s">
        <v>536</v>
      </c>
      <c r="C902" s="11" t="s">
        <v>537</v>
      </c>
      <c r="D902" s="229"/>
      <c r="E902" s="13"/>
      <c r="F902" s="229"/>
      <c r="G902" s="13"/>
      <c r="H902" s="229"/>
      <c r="I902" s="13"/>
      <c r="J902" s="229"/>
      <c r="K902" s="13"/>
      <c r="L902" s="229"/>
      <c r="M902" s="13"/>
      <c r="N902" s="229"/>
      <c r="O902" s="13"/>
      <c r="P902" s="229"/>
      <c r="Q902" s="13"/>
      <c r="R902" s="229"/>
      <c r="S902" s="13"/>
      <c r="T902" s="229"/>
      <c r="U902" s="13"/>
      <c r="V902" s="229"/>
      <c r="W902" s="13"/>
      <c r="X902" s="229"/>
      <c r="Y902" s="13"/>
      <c r="Z902" s="229"/>
      <c r="AA902" s="13"/>
      <c r="AB902" s="229">
        <f t="shared" si="326"/>
        <v>0</v>
      </c>
      <c r="AC902" s="228">
        <f t="shared" si="322"/>
        <v>0</v>
      </c>
      <c r="AD902" s="21">
        <v>0</v>
      </c>
      <c r="AE902" s="229"/>
      <c r="AF902" s="20"/>
      <c r="AG902" s="229"/>
      <c r="AH902" s="20"/>
      <c r="AI902" s="229">
        <v>3</v>
      </c>
      <c r="AJ902" s="20">
        <v>3</v>
      </c>
      <c r="AK902" s="229"/>
      <c r="AL902" s="20"/>
      <c r="AM902" s="229"/>
      <c r="AN902" s="20"/>
      <c r="AO902" s="229">
        <v>2</v>
      </c>
      <c r="AP902" s="20">
        <v>2</v>
      </c>
      <c r="AQ902" s="229"/>
      <c r="AR902" s="20"/>
      <c r="AS902" s="229"/>
      <c r="AT902" s="20"/>
      <c r="AU902" s="229"/>
      <c r="AV902" s="20">
        <v>1</v>
      </c>
      <c r="AW902" s="229"/>
      <c r="AX902" s="20"/>
      <c r="AY902" s="229"/>
      <c r="AZ902" s="20"/>
      <c r="BA902" s="229"/>
      <c r="BB902" s="20">
        <v>1</v>
      </c>
      <c r="BC902" s="229">
        <f t="shared" si="327"/>
        <v>5</v>
      </c>
      <c r="BD902" s="48">
        <f t="shared" si="323"/>
        <v>7</v>
      </c>
      <c r="BE902" s="19">
        <v>5</v>
      </c>
      <c r="BF902" s="229">
        <f t="shared" si="328"/>
        <v>5</v>
      </c>
      <c r="BG902" s="210">
        <f t="shared" si="324"/>
        <v>7</v>
      </c>
      <c r="BH902" s="210">
        <f t="shared" si="325"/>
        <v>5</v>
      </c>
      <c r="BI902" s="213">
        <f t="shared" si="329"/>
        <v>140</v>
      </c>
      <c r="BJ902" s="141"/>
      <c r="BK902" s="201"/>
      <c r="BL902" s="198"/>
      <c r="BM902" s="198"/>
    </row>
    <row r="903" spans="1:65" s="17" customFormat="1" ht="15.95" customHeight="1">
      <c r="A903" s="123">
        <v>132</v>
      </c>
      <c r="B903" s="9" t="s">
        <v>2932</v>
      </c>
      <c r="C903" s="11" t="s">
        <v>2933</v>
      </c>
      <c r="D903" s="229"/>
      <c r="E903" s="13"/>
      <c r="F903" s="229"/>
      <c r="G903" s="13"/>
      <c r="H903" s="229"/>
      <c r="I903" s="13"/>
      <c r="J903" s="229"/>
      <c r="K903" s="13"/>
      <c r="L903" s="229"/>
      <c r="M903" s="13"/>
      <c r="N903" s="229"/>
      <c r="O903" s="13"/>
      <c r="P903" s="229"/>
      <c r="Q903" s="13"/>
      <c r="R903" s="229"/>
      <c r="S903" s="13"/>
      <c r="T903" s="229"/>
      <c r="U903" s="13"/>
      <c r="V903" s="229"/>
      <c r="W903" s="13"/>
      <c r="X903" s="229"/>
      <c r="Y903" s="13"/>
      <c r="Z903" s="229"/>
      <c r="AA903" s="13"/>
      <c r="AB903" s="229">
        <f t="shared" si="326"/>
        <v>0</v>
      </c>
      <c r="AC903" s="228">
        <f t="shared" si="322"/>
        <v>0</v>
      </c>
      <c r="AD903" s="21">
        <v>0</v>
      </c>
      <c r="AE903" s="229"/>
      <c r="AF903" s="20"/>
      <c r="AG903" s="229"/>
      <c r="AH903" s="20"/>
      <c r="AI903" s="229">
        <v>1</v>
      </c>
      <c r="AJ903" s="20">
        <v>1</v>
      </c>
      <c r="AK903" s="229"/>
      <c r="AL903" s="20"/>
      <c r="AM903" s="229"/>
      <c r="AN903" s="20"/>
      <c r="AO903" s="229">
        <v>2</v>
      </c>
      <c r="AP903" s="20">
        <v>2</v>
      </c>
      <c r="AQ903" s="229"/>
      <c r="AR903" s="20"/>
      <c r="AS903" s="229"/>
      <c r="AT903" s="20"/>
      <c r="AU903" s="229"/>
      <c r="AV903" s="20"/>
      <c r="AW903" s="229"/>
      <c r="AX903" s="20"/>
      <c r="AY903" s="229"/>
      <c r="AZ903" s="20"/>
      <c r="BA903" s="229"/>
      <c r="BB903" s="20"/>
      <c r="BC903" s="229">
        <f t="shared" si="327"/>
        <v>3</v>
      </c>
      <c r="BD903" s="48">
        <f t="shared" si="323"/>
        <v>3</v>
      </c>
      <c r="BE903" s="19">
        <v>0</v>
      </c>
      <c r="BF903" s="229">
        <f t="shared" si="328"/>
        <v>3</v>
      </c>
      <c r="BG903" s="210">
        <f t="shared" si="324"/>
        <v>3</v>
      </c>
      <c r="BH903" s="210">
        <f t="shared" si="325"/>
        <v>0</v>
      </c>
      <c r="BI903" s="213" t="e">
        <f t="shared" si="329"/>
        <v>#DIV/0!</v>
      </c>
      <c r="BJ903" s="141"/>
      <c r="BK903" s="201"/>
      <c r="BL903" s="198"/>
      <c r="BM903" s="198"/>
    </row>
    <row r="904" spans="1:65" s="17" customFormat="1" ht="15.95" customHeight="1">
      <c r="A904" s="123">
        <v>133</v>
      </c>
      <c r="B904" s="9" t="s">
        <v>2343</v>
      </c>
      <c r="C904" s="11" t="s">
        <v>2344</v>
      </c>
      <c r="D904" s="229"/>
      <c r="E904" s="13"/>
      <c r="F904" s="229"/>
      <c r="G904" s="13"/>
      <c r="H904" s="229"/>
      <c r="I904" s="13"/>
      <c r="J904" s="229"/>
      <c r="K904" s="13"/>
      <c r="L904" s="229"/>
      <c r="M904" s="13"/>
      <c r="N904" s="229"/>
      <c r="O904" s="13"/>
      <c r="P904" s="229"/>
      <c r="Q904" s="13"/>
      <c r="R904" s="229"/>
      <c r="S904" s="13"/>
      <c r="T904" s="229"/>
      <c r="U904" s="13"/>
      <c r="V904" s="229"/>
      <c r="W904" s="13"/>
      <c r="X904" s="229"/>
      <c r="Y904" s="13"/>
      <c r="Z904" s="229"/>
      <c r="AA904" s="13"/>
      <c r="AB904" s="229">
        <f t="shared" si="326"/>
        <v>0</v>
      </c>
      <c r="AC904" s="228">
        <f t="shared" si="322"/>
        <v>0</v>
      </c>
      <c r="AD904" s="21">
        <v>0</v>
      </c>
      <c r="AE904" s="229"/>
      <c r="AF904" s="20"/>
      <c r="AG904" s="229"/>
      <c r="AH904" s="20"/>
      <c r="AI904" s="229"/>
      <c r="AJ904" s="20"/>
      <c r="AK904" s="229"/>
      <c r="AL904" s="20"/>
      <c r="AM904" s="229"/>
      <c r="AN904" s="20"/>
      <c r="AO904" s="229"/>
      <c r="AP904" s="20"/>
      <c r="AQ904" s="229"/>
      <c r="AR904" s="20"/>
      <c r="AS904" s="229"/>
      <c r="AT904" s="20"/>
      <c r="AU904" s="229"/>
      <c r="AV904" s="20"/>
      <c r="AW904" s="229"/>
      <c r="AX904" s="20"/>
      <c r="AY904" s="229"/>
      <c r="AZ904" s="20"/>
      <c r="BA904" s="229"/>
      <c r="BB904" s="20"/>
      <c r="BC904" s="229">
        <f t="shared" si="327"/>
        <v>0</v>
      </c>
      <c r="BD904" s="48">
        <f t="shared" si="323"/>
        <v>0</v>
      </c>
      <c r="BE904" s="19">
        <v>1</v>
      </c>
      <c r="BF904" s="229">
        <f t="shared" si="328"/>
        <v>0</v>
      </c>
      <c r="BG904" s="210">
        <f t="shared" si="324"/>
        <v>0</v>
      </c>
      <c r="BH904" s="210">
        <f t="shared" si="325"/>
        <v>1</v>
      </c>
      <c r="BI904" s="213">
        <f t="shared" si="329"/>
        <v>0</v>
      </c>
      <c r="BJ904" s="141"/>
      <c r="BK904" s="201"/>
      <c r="BL904" s="198"/>
      <c r="BM904" s="198"/>
    </row>
    <row r="905" spans="1:65" s="17" customFormat="1" ht="15.95" customHeight="1">
      <c r="A905" s="123">
        <v>134</v>
      </c>
      <c r="B905" s="9" t="s">
        <v>461</v>
      </c>
      <c r="C905" s="11" t="s">
        <v>462</v>
      </c>
      <c r="D905" s="229"/>
      <c r="E905" s="13"/>
      <c r="F905" s="229"/>
      <c r="G905" s="13"/>
      <c r="H905" s="229"/>
      <c r="I905" s="13"/>
      <c r="J905" s="229"/>
      <c r="K905" s="13"/>
      <c r="L905" s="229"/>
      <c r="M905" s="13"/>
      <c r="N905" s="229"/>
      <c r="O905" s="13"/>
      <c r="P905" s="229"/>
      <c r="Q905" s="13"/>
      <c r="R905" s="229"/>
      <c r="S905" s="13"/>
      <c r="T905" s="229"/>
      <c r="U905" s="13"/>
      <c r="V905" s="229"/>
      <c r="W905" s="13"/>
      <c r="X905" s="229"/>
      <c r="Y905" s="13"/>
      <c r="Z905" s="229"/>
      <c r="AA905" s="13"/>
      <c r="AB905" s="229">
        <f t="shared" si="326"/>
        <v>0</v>
      </c>
      <c r="AC905" s="228">
        <f t="shared" si="322"/>
        <v>0</v>
      </c>
      <c r="AD905" s="21">
        <v>0</v>
      </c>
      <c r="AE905" s="229"/>
      <c r="AF905" s="20"/>
      <c r="AG905" s="229"/>
      <c r="AH905" s="20"/>
      <c r="AI905" s="229"/>
      <c r="AJ905" s="20"/>
      <c r="AK905" s="229"/>
      <c r="AL905" s="20"/>
      <c r="AM905" s="229"/>
      <c r="AN905" s="20"/>
      <c r="AO905" s="229"/>
      <c r="AP905" s="20"/>
      <c r="AQ905" s="229"/>
      <c r="AR905" s="20"/>
      <c r="AS905" s="229"/>
      <c r="AT905" s="20"/>
      <c r="AU905" s="229"/>
      <c r="AV905" s="20"/>
      <c r="AW905" s="229"/>
      <c r="AX905" s="20"/>
      <c r="AY905" s="229"/>
      <c r="AZ905" s="20"/>
      <c r="BA905" s="229"/>
      <c r="BB905" s="20"/>
      <c r="BC905" s="229">
        <f t="shared" si="327"/>
        <v>0</v>
      </c>
      <c r="BD905" s="48">
        <f t="shared" si="323"/>
        <v>0</v>
      </c>
      <c r="BE905" s="19">
        <v>1</v>
      </c>
      <c r="BF905" s="229">
        <f t="shared" si="328"/>
        <v>0</v>
      </c>
      <c r="BG905" s="210">
        <f t="shared" si="324"/>
        <v>0</v>
      </c>
      <c r="BH905" s="210">
        <f t="shared" si="325"/>
        <v>1</v>
      </c>
      <c r="BI905" s="213">
        <f t="shared" si="329"/>
        <v>0</v>
      </c>
      <c r="BJ905" s="141"/>
      <c r="BK905" s="201"/>
      <c r="BL905" s="198"/>
      <c r="BM905" s="198"/>
    </row>
    <row r="906" spans="1:65" s="17" customFormat="1" ht="15.95" customHeight="1">
      <c r="A906" s="123">
        <v>135</v>
      </c>
      <c r="B906" s="9" t="s">
        <v>2620</v>
      </c>
      <c r="C906" s="11" t="s">
        <v>2621</v>
      </c>
      <c r="D906" s="229"/>
      <c r="E906" s="13"/>
      <c r="F906" s="229"/>
      <c r="G906" s="13"/>
      <c r="H906" s="229"/>
      <c r="I906" s="13"/>
      <c r="J906" s="229"/>
      <c r="K906" s="13"/>
      <c r="L906" s="229"/>
      <c r="M906" s="13"/>
      <c r="N906" s="229"/>
      <c r="O906" s="13"/>
      <c r="P906" s="229"/>
      <c r="Q906" s="13"/>
      <c r="R906" s="229"/>
      <c r="S906" s="13"/>
      <c r="T906" s="229"/>
      <c r="U906" s="13"/>
      <c r="V906" s="229"/>
      <c r="W906" s="13"/>
      <c r="X906" s="229"/>
      <c r="Y906" s="13"/>
      <c r="Z906" s="229"/>
      <c r="AA906" s="13"/>
      <c r="AB906" s="229">
        <f t="shared" si="326"/>
        <v>0</v>
      </c>
      <c r="AC906" s="228">
        <f t="shared" si="322"/>
        <v>0</v>
      </c>
      <c r="AD906" s="21">
        <v>3</v>
      </c>
      <c r="AE906" s="229"/>
      <c r="AF906" s="20"/>
      <c r="AG906" s="229"/>
      <c r="AH906" s="20"/>
      <c r="AI906" s="229"/>
      <c r="AJ906" s="20"/>
      <c r="AK906" s="229"/>
      <c r="AL906" s="20"/>
      <c r="AM906" s="229"/>
      <c r="AN906" s="20"/>
      <c r="AO906" s="229"/>
      <c r="AP906" s="20"/>
      <c r="AQ906" s="229"/>
      <c r="AR906" s="20"/>
      <c r="AS906" s="229"/>
      <c r="AT906" s="20"/>
      <c r="AU906" s="229"/>
      <c r="AV906" s="20"/>
      <c r="AW906" s="229"/>
      <c r="AX906" s="20"/>
      <c r="AY906" s="229"/>
      <c r="AZ906" s="20"/>
      <c r="BA906" s="229"/>
      <c r="BB906" s="20"/>
      <c r="BC906" s="229">
        <f t="shared" si="327"/>
        <v>0</v>
      </c>
      <c r="BD906" s="48">
        <f t="shared" si="323"/>
        <v>0</v>
      </c>
      <c r="BE906" s="19">
        <v>0</v>
      </c>
      <c r="BF906" s="229">
        <f t="shared" si="328"/>
        <v>0</v>
      </c>
      <c r="BG906" s="210">
        <f t="shared" si="324"/>
        <v>0</v>
      </c>
      <c r="BH906" s="210">
        <f t="shared" si="325"/>
        <v>3</v>
      </c>
      <c r="BI906" s="213">
        <f t="shared" si="329"/>
        <v>0</v>
      </c>
      <c r="BJ906" s="141"/>
      <c r="BK906" s="201"/>
      <c r="BL906" s="198"/>
      <c r="BM906" s="198"/>
    </row>
    <row r="907" spans="1:65" s="17" customFormat="1" ht="15.95" customHeight="1">
      <c r="A907" s="123">
        <v>136</v>
      </c>
      <c r="B907" s="9" t="s">
        <v>463</v>
      </c>
      <c r="C907" s="11" t="s">
        <v>464</v>
      </c>
      <c r="D907" s="229"/>
      <c r="E907" s="13"/>
      <c r="F907" s="229"/>
      <c r="G907" s="13"/>
      <c r="H907" s="229"/>
      <c r="I907" s="13"/>
      <c r="J907" s="229"/>
      <c r="K907" s="13"/>
      <c r="L907" s="229"/>
      <c r="M907" s="13"/>
      <c r="N907" s="229"/>
      <c r="O907" s="13"/>
      <c r="P907" s="229"/>
      <c r="Q907" s="13"/>
      <c r="R907" s="229"/>
      <c r="S907" s="13"/>
      <c r="T907" s="229"/>
      <c r="U907" s="13"/>
      <c r="V907" s="229"/>
      <c r="W907" s="13"/>
      <c r="X907" s="229"/>
      <c r="Y907" s="13"/>
      <c r="Z907" s="229"/>
      <c r="AA907" s="13"/>
      <c r="AB907" s="229">
        <f t="shared" si="326"/>
        <v>0</v>
      </c>
      <c r="AC907" s="228">
        <f t="shared" si="322"/>
        <v>0</v>
      </c>
      <c r="AD907" s="21">
        <v>0</v>
      </c>
      <c r="AE907" s="229"/>
      <c r="AF907" s="20"/>
      <c r="AG907" s="229"/>
      <c r="AH907" s="20"/>
      <c r="AI907" s="229">
        <v>2</v>
      </c>
      <c r="AJ907" s="20">
        <v>2</v>
      </c>
      <c r="AK907" s="229"/>
      <c r="AL907" s="20"/>
      <c r="AM907" s="229"/>
      <c r="AN907" s="20"/>
      <c r="AO907" s="229">
        <v>2</v>
      </c>
      <c r="AP907" s="20">
        <v>2</v>
      </c>
      <c r="AQ907" s="229"/>
      <c r="AR907" s="20"/>
      <c r="AS907" s="229"/>
      <c r="AT907" s="20"/>
      <c r="AU907" s="229"/>
      <c r="AV907" s="20">
        <v>1</v>
      </c>
      <c r="AW907" s="229"/>
      <c r="AX907" s="20"/>
      <c r="AY907" s="229"/>
      <c r="AZ907" s="20"/>
      <c r="BA907" s="229"/>
      <c r="BB907" s="20">
        <v>2</v>
      </c>
      <c r="BC907" s="229">
        <f t="shared" si="327"/>
        <v>4</v>
      </c>
      <c r="BD907" s="48">
        <f t="shared" si="323"/>
        <v>7</v>
      </c>
      <c r="BE907" s="19">
        <v>3</v>
      </c>
      <c r="BF907" s="229">
        <f t="shared" si="328"/>
        <v>4</v>
      </c>
      <c r="BG907" s="210">
        <f t="shared" si="324"/>
        <v>7</v>
      </c>
      <c r="BH907" s="210">
        <f t="shared" si="325"/>
        <v>3</v>
      </c>
      <c r="BI907" s="213">
        <f t="shared" si="329"/>
        <v>233.33333333333334</v>
      </c>
      <c r="BJ907" s="141"/>
      <c r="BK907" s="201"/>
      <c r="BL907" s="198"/>
      <c r="BM907" s="198"/>
    </row>
    <row r="908" spans="1:65" s="17" customFormat="1" ht="15.95" customHeight="1">
      <c r="A908" s="123">
        <v>137</v>
      </c>
      <c r="B908" s="9" t="s">
        <v>465</v>
      </c>
      <c r="C908" s="11" t="s">
        <v>2420</v>
      </c>
      <c r="D908" s="229"/>
      <c r="E908" s="13"/>
      <c r="F908" s="229"/>
      <c r="G908" s="13"/>
      <c r="H908" s="229"/>
      <c r="I908" s="13"/>
      <c r="J908" s="229"/>
      <c r="K908" s="13"/>
      <c r="L908" s="229"/>
      <c r="M908" s="13"/>
      <c r="N908" s="229"/>
      <c r="O908" s="13"/>
      <c r="P908" s="229"/>
      <c r="Q908" s="13"/>
      <c r="R908" s="229"/>
      <c r="S908" s="13"/>
      <c r="T908" s="229"/>
      <c r="U908" s="13"/>
      <c r="V908" s="229"/>
      <c r="W908" s="13"/>
      <c r="X908" s="229"/>
      <c r="Y908" s="13"/>
      <c r="Z908" s="229"/>
      <c r="AA908" s="13"/>
      <c r="AB908" s="229">
        <f t="shared" si="326"/>
        <v>0</v>
      </c>
      <c r="AC908" s="228">
        <f t="shared" si="322"/>
        <v>0</v>
      </c>
      <c r="AD908" s="21">
        <v>0</v>
      </c>
      <c r="AE908" s="229"/>
      <c r="AF908" s="20"/>
      <c r="AG908" s="229"/>
      <c r="AH908" s="20"/>
      <c r="AI908" s="229"/>
      <c r="AJ908" s="20"/>
      <c r="AK908" s="229"/>
      <c r="AL908" s="20"/>
      <c r="AM908" s="229"/>
      <c r="AN908" s="20"/>
      <c r="AO908" s="229"/>
      <c r="AP908" s="20"/>
      <c r="AQ908" s="229"/>
      <c r="AR908" s="20"/>
      <c r="AS908" s="229"/>
      <c r="AT908" s="20"/>
      <c r="AU908" s="229"/>
      <c r="AV908" s="20"/>
      <c r="AW908" s="229"/>
      <c r="AX908" s="20"/>
      <c r="AY908" s="229"/>
      <c r="AZ908" s="20"/>
      <c r="BA908" s="229"/>
      <c r="BB908" s="20">
        <v>3</v>
      </c>
      <c r="BC908" s="229">
        <f t="shared" si="327"/>
        <v>0</v>
      </c>
      <c r="BD908" s="48">
        <f t="shared" si="323"/>
        <v>3</v>
      </c>
      <c r="BE908" s="19">
        <v>1</v>
      </c>
      <c r="BF908" s="229">
        <f t="shared" si="328"/>
        <v>0</v>
      </c>
      <c r="BG908" s="210">
        <f t="shared" si="324"/>
        <v>3</v>
      </c>
      <c r="BH908" s="210">
        <f t="shared" si="325"/>
        <v>1</v>
      </c>
      <c r="BI908" s="213">
        <f t="shared" si="329"/>
        <v>300</v>
      </c>
      <c r="BJ908" s="141"/>
      <c r="BK908" s="201"/>
      <c r="BL908" s="198"/>
      <c r="BM908" s="198"/>
    </row>
    <row r="909" spans="1:65" s="17" customFormat="1" ht="15.95" customHeight="1">
      <c r="A909" s="123">
        <v>138</v>
      </c>
      <c r="B909" s="9" t="s">
        <v>3123</v>
      </c>
      <c r="C909" s="11" t="s">
        <v>3124</v>
      </c>
      <c r="D909" s="229"/>
      <c r="E909" s="13"/>
      <c r="F909" s="229"/>
      <c r="G909" s="13"/>
      <c r="H909" s="229"/>
      <c r="I909" s="13"/>
      <c r="J909" s="229"/>
      <c r="K909" s="13"/>
      <c r="L909" s="229"/>
      <c r="M909" s="13"/>
      <c r="N909" s="229"/>
      <c r="O909" s="13"/>
      <c r="P909" s="229"/>
      <c r="Q909" s="13"/>
      <c r="R909" s="229"/>
      <c r="S909" s="13"/>
      <c r="T909" s="229"/>
      <c r="U909" s="13"/>
      <c r="V909" s="229"/>
      <c r="W909" s="13"/>
      <c r="X909" s="229"/>
      <c r="Y909" s="13"/>
      <c r="Z909" s="229"/>
      <c r="AA909" s="13"/>
      <c r="AB909" s="229"/>
      <c r="AC909" s="228">
        <f t="shared" si="322"/>
        <v>0</v>
      </c>
      <c r="AD909" s="21">
        <v>0</v>
      </c>
      <c r="AE909" s="229"/>
      <c r="AF909" s="20"/>
      <c r="AG909" s="229"/>
      <c r="AH909" s="20"/>
      <c r="AI909" s="229"/>
      <c r="AJ909" s="20"/>
      <c r="AK909" s="229"/>
      <c r="AL909" s="20"/>
      <c r="AM909" s="229"/>
      <c r="AN909" s="20"/>
      <c r="AO909" s="229"/>
      <c r="AP909" s="20">
        <v>2</v>
      </c>
      <c r="AQ909" s="229"/>
      <c r="AR909" s="20"/>
      <c r="AS909" s="229"/>
      <c r="AT909" s="20"/>
      <c r="AU909" s="229"/>
      <c r="AV909" s="20"/>
      <c r="AW909" s="229"/>
      <c r="AX909" s="20"/>
      <c r="AY909" s="229"/>
      <c r="AZ909" s="20"/>
      <c r="BA909" s="229"/>
      <c r="BB909" s="20"/>
      <c r="BC909" s="229"/>
      <c r="BD909" s="48">
        <f t="shared" si="323"/>
        <v>2</v>
      </c>
      <c r="BE909" s="19">
        <v>0</v>
      </c>
      <c r="BF909" s="229"/>
      <c r="BG909" s="210">
        <f t="shared" si="324"/>
        <v>2</v>
      </c>
      <c r="BH909" s="210">
        <f t="shared" si="325"/>
        <v>0</v>
      </c>
      <c r="BI909" s="213" t="e">
        <f t="shared" si="329"/>
        <v>#DIV/0!</v>
      </c>
      <c r="BJ909" s="141"/>
      <c r="BK909" s="201"/>
      <c r="BL909" s="198"/>
      <c r="BM909" s="198"/>
    </row>
    <row r="910" spans="1:65" s="17" customFormat="1" ht="15.95" customHeight="1">
      <c r="A910" s="123">
        <v>139</v>
      </c>
      <c r="B910" s="9" t="s">
        <v>1955</v>
      </c>
      <c r="C910" s="11" t="s">
        <v>1956</v>
      </c>
      <c r="D910" s="229"/>
      <c r="E910" s="13"/>
      <c r="F910" s="229"/>
      <c r="G910" s="13"/>
      <c r="H910" s="229"/>
      <c r="I910" s="13"/>
      <c r="J910" s="229"/>
      <c r="K910" s="13"/>
      <c r="L910" s="229"/>
      <c r="M910" s="13"/>
      <c r="N910" s="229"/>
      <c r="O910" s="13"/>
      <c r="P910" s="229"/>
      <c r="Q910" s="13"/>
      <c r="R910" s="229"/>
      <c r="S910" s="13"/>
      <c r="T910" s="229"/>
      <c r="U910" s="13"/>
      <c r="V910" s="229"/>
      <c r="W910" s="13"/>
      <c r="X910" s="229"/>
      <c r="Y910" s="13"/>
      <c r="Z910" s="229"/>
      <c r="AA910" s="13"/>
      <c r="AB910" s="229">
        <f t="shared" ref="AB910:AB923" si="330">D910+F910+H910+J910+L910+N910+P910+R910+T910+V910+X910+Z910</f>
        <v>0</v>
      </c>
      <c r="AC910" s="228">
        <f t="shared" si="322"/>
        <v>0</v>
      </c>
      <c r="AD910" s="21">
        <v>0</v>
      </c>
      <c r="AE910" s="229"/>
      <c r="AF910" s="20"/>
      <c r="AG910" s="229"/>
      <c r="AH910" s="20"/>
      <c r="AI910" s="229"/>
      <c r="AJ910" s="20"/>
      <c r="AK910" s="229"/>
      <c r="AL910" s="20"/>
      <c r="AM910" s="229"/>
      <c r="AN910" s="20"/>
      <c r="AO910" s="229"/>
      <c r="AP910" s="20"/>
      <c r="AQ910" s="229"/>
      <c r="AR910" s="20"/>
      <c r="AS910" s="229"/>
      <c r="AT910" s="20"/>
      <c r="AU910" s="229"/>
      <c r="AV910" s="20"/>
      <c r="AW910" s="229"/>
      <c r="AX910" s="20"/>
      <c r="AY910" s="229"/>
      <c r="AZ910" s="20"/>
      <c r="BA910" s="229"/>
      <c r="BB910" s="20"/>
      <c r="BC910" s="229">
        <f t="shared" ref="BC910:BC923" si="331">AE910+AG910+AI910+AK910+AM910+AO910+AQ910+AS910+AU910+AW910+AY910+BA910</f>
        <v>0</v>
      </c>
      <c r="BD910" s="48">
        <f t="shared" si="323"/>
        <v>0</v>
      </c>
      <c r="BE910" s="19">
        <v>1</v>
      </c>
      <c r="BF910" s="229">
        <f t="shared" ref="BF910:BF923" si="332">AB910+BC910</f>
        <v>0</v>
      </c>
      <c r="BG910" s="210">
        <f t="shared" si="324"/>
        <v>0</v>
      </c>
      <c r="BH910" s="210">
        <f t="shared" si="325"/>
        <v>1</v>
      </c>
      <c r="BI910" s="213">
        <f t="shared" si="329"/>
        <v>0</v>
      </c>
      <c r="BJ910" s="141"/>
      <c r="BK910" s="201"/>
      <c r="BL910" s="198"/>
      <c r="BM910" s="198"/>
    </row>
    <row r="911" spans="1:65" s="17" customFormat="1" ht="15.95" customHeight="1">
      <c r="A911" s="123">
        <v>140</v>
      </c>
      <c r="B911" s="9" t="s">
        <v>1611</v>
      </c>
      <c r="C911" s="11" t="s">
        <v>1612</v>
      </c>
      <c r="D911" s="229"/>
      <c r="E911" s="13"/>
      <c r="F911" s="229"/>
      <c r="G911" s="13"/>
      <c r="H911" s="229"/>
      <c r="I911" s="13"/>
      <c r="J911" s="229"/>
      <c r="K911" s="13"/>
      <c r="L911" s="229"/>
      <c r="M911" s="13"/>
      <c r="N911" s="229"/>
      <c r="O911" s="13"/>
      <c r="P911" s="229"/>
      <c r="Q911" s="13"/>
      <c r="R911" s="229"/>
      <c r="S911" s="13"/>
      <c r="T911" s="229"/>
      <c r="U911" s="13"/>
      <c r="V911" s="229"/>
      <c r="W911" s="13"/>
      <c r="X911" s="229"/>
      <c r="Y911" s="13"/>
      <c r="Z911" s="229"/>
      <c r="AA911" s="13"/>
      <c r="AB911" s="229">
        <f t="shared" si="330"/>
        <v>0</v>
      </c>
      <c r="AC911" s="228">
        <f t="shared" si="322"/>
        <v>0</v>
      </c>
      <c r="AD911" s="21">
        <v>0</v>
      </c>
      <c r="AE911" s="229"/>
      <c r="AF911" s="20"/>
      <c r="AG911" s="229"/>
      <c r="AH911" s="20"/>
      <c r="AI911" s="229"/>
      <c r="AJ911" s="20"/>
      <c r="AK911" s="229"/>
      <c r="AL911" s="20"/>
      <c r="AM911" s="229"/>
      <c r="AN911" s="20"/>
      <c r="AO911" s="229"/>
      <c r="AP911" s="20"/>
      <c r="AQ911" s="229"/>
      <c r="AR911" s="20"/>
      <c r="AS911" s="229"/>
      <c r="AT911" s="20"/>
      <c r="AU911" s="229"/>
      <c r="AV911" s="20"/>
      <c r="AW911" s="229"/>
      <c r="AX911" s="20"/>
      <c r="AY911" s="229"/>
      <c r="AZ911" s="20"/>
      <c r="BA911" s="229"/>
      <c r="BB911" s="20"/>
      <c r="BC911" s="229">
        <f t="shared" si="331"/>
        <v>0</v>
      </c>
      <c r="BD911" s="48">
        <f t="shared" si="323"/>
        <v>0</v>
      </c>
      <c r="BE911" s="19">
        <v>1</v>
      </c>
      <c r="BF911" s="229">
        <f t="shared" si="332"/>
        <v>0</v>
      </c>
      <c r="BG911" s="210">
        <f t="shared" si="324"/>
        <v>0</v>
      </c>
      <c r="BH911" s="210">
        <f t="shared" si="325"/>
        <v>1</v>
      </c>
      <c r="BI911" s="213">
        <f t="shared" si="329"/>
        <v>0</v>
      </c>
      <c r="BJ911" s="141"/>
      <c r="BK911" s="201"/>
      <c r="BL911" s="198"/>
      <c r="BM911" s="198"/>
    </row>
    <row r="912" spans="1:65" s="17" customFormat="1" ht="15.95" customHeight="1">
      <c r="A912" s="123">
        <v>141</v>
      </c>
      <c r="B912" s="9" t="s">
        <v>2934</v>
      </c>
      <c r="C912" s="11" t="s">
        <v>2935</v>
      </c>
      <c r="D912" s="229"/>
      <c r="E912" s="13"/>
      <c r="F912" s="229"/>
      <c r="G912" s="13"/>
      <c r="H912" s="229"/>
      <c r="I912" s="13"/>
      <c r="J912" s="229"/>
      <c r="K912" s="13"/>
      <c r="L912" s="229"/>
      <c r="M912" s="13"/>
      <c r="N912" s="229"/>
      <c r="O912" s="13"/>
      <c r="P912" s="229"/>
      <c r="Q912" s="13"/>
      <c r="R912" s="229"/>
      <c r="S912" s="13"/>
      <c r="T912" s="229"/>
      <c r="U912" s="13"/>
      <c r="V912" s="229"/>
      <c r="W912" s="13"/>
      <c r="X912" s="229"/>
      <c r="Y912" s="13"/>
      <c r="Z912" s="229"/>
      <c r="AA912" s="13"/>
      <c r="AB912" s="229">
        <f t="shared" si="330"/>
        <v>0</v>
      </c>
      <c r="AC912" s="228">
        <f t="shared" si="322"/>
        <v>0</v>
      </c>
      <c r="AD912" s="21">
        <v>0</v>
      </c>
      <c r="AE912" s="229"/>
      <c r="AF912" s="20"/>
      <c r="AG912" s="229"/>
      <c r="AH912" s="20"/>
      <c r="AI912" s="229">
        <v>2</v>
      </c>
      <c r="AJ912" s="20">
        <v>2</v>
      </c>
      <c r="AK912" s="229"/>
      <c r="AL912" s="20"/>
      <c r="AM912" s="229"/>
      <c r="AN912" s="20"/>
      <c r="AO912" s="229">
        <f>1+1</f>
        <v>2</v>
      </c>
      <c r="AP912" s="20">
        <f>1+1</f>
        <v>2</v>
      </c>
      <c r="AQ912" s="229"/>
      <c r="AR912" s="20"/>
      <c r="AS912" s="229"/>
      <c r="AT912" s="20"/>
      <c r="AU912" s="229"/>
      <c r="AV912" s="20"/>
      <c r="AW912" s="229"/>
      <c r="AX912" s="20"/>
      <c r="AY912" s="229"/>
      <c r="AZ912" s="20"/>
      <c r="BA912" s="229"/>
      <c r="BB912" s="20"/>
      <c r="BC912" s="229">
        <f t="shared" si="331"/>
        <v>4</v>
      </c>
      <c r="BD912" s="48">
        <f t="shared" si="323"/>
        <v>4</v>
      </c>
      <c r="BE912" s="19">
        <v>0</v>
      </c>
      <c r="BF912" s="229">
        <f t="shared" si="332"/>
        <v>4</v>
      </c>
      <c r="BG912" s="210">
        <f t="shared" si="324"/>
        <v>4</v>
      </c>
      <c r="BH912" s="210">
        <f t="shared" si="325"/>
        <v>0</v>
      </c>
      <c r="BI912" s="213" t="e">
        <f t="shared" si="329"/>
        <v>#DIV/0!</v>
      </c>
      <c r="BJ912" s="141"/>
      <c r="BK912" s="201"/>
      <c r="BL912" s="198"/>
      <c r="BM912" s="198"/>
    </row>
    <row r="913" spans="1:65" s="17" customFormat="1" ht="15.95" customHeight="1">
      <c r="A913" s="123">
        <v>142</v>
      </c>
      <c r="B913" s="9" t="s">
        <v>1744</v>
      </c>
      <c r="C913" s="11" t="s">
        <v>1745</v>
      </c>
      <c r="D913" s="229"/>
      <c r="E913" s="13"/>
      <c r="F913" s="229"/>
      <c r="G913" s="13"/>
      <c r="H913" s="229"/>
      <c r="I913" s="13"/>
      <c r="J913" s="229"/>
      <c r="K913" s="13"/>
      <c r="L913" s="229"/>
      <c r="M913" s="13"/>
      <c r="N913" s="229"/>
      <c r="O913" s="13"/>
      <c r="P913" s="229"/>
      <c r="Q913" s="13"/>
      <c r="R913" s="229"/>
      <c r="S913" s="13"/>
      <c r="T913" s="229"/>
      <c r="U913" s="13"/>
      <c r="V913" s="229"/>
      <c r="W913" s="13"/>
      <c r="X913" s="229"/>
      <c r="Y913" s="13"/>
      <c r="Z913" s="229"/>
      <c r="AA913" s="13"/>
      <c r="AB913" s="229">
        <f t="shared" si="330"/>
        <v>0</v>
      </c>
      <c r="AC913" s="228">
        <f t="shared" si="322"/>
        <v>0</v>
      </c>
      <c r="AD913" s="19">
        <v>0</v>
      </c>
      <c r="AE913" s="229"/>
      <c r="AF913" s="20"/>
      <c r="AG913" s="229"/>
      <c r="AH913" s="20"/>
      <c r="AI913" s="229"/>
      <c r="AJ913" s="20"/>
      <c r="AK913" s="229"/>
      <c r="AL913" s="20"/>
      <c r="AM913" s="229"/>
      <c r="AN913" s="20"/>
      <c r="AO913" s="229"/>
      <c r="AP913" s="20"/>
      <c r="AQ913" s="229"/>
      <c r="AR913" s="20"/>
      <c r="AS913" s="229"/>
      <c r="AT913" s="20"/>
      <c r="AU913" s="229"/>
      <c r="AV913" s="20"/>
      <c r="AW913" s="229"/>
      <c r="AX913" s="20"/>
      <c r="AY913" s="229"/>
      <c r="AZ913" s="20"/>
      <c r="BA913" s="229"/>
      <c r="BB913" s="20"/>
      <c r="BC913" s="229">
        <f t="shared" si="331"/>
        <v>0</v>
      </c>
      <c r="BD913" s="48">
        <f t="shared" si="323"/>
        <v>0</v>
      </c>
      <c r="BE913" s="19">
        <v>1</v>
      </c>
      <c r="BF913" s="229">
        <f t="shared" si="332"/>
        <v>0</v>
      </c>
      <c r="BG913" s="210">
        <f t="shared" si="324"/>
        <v>0</v>
      </c>
      <c r="BH913" s="210">
        <f t="shared" si="325"/>
        <v>1</v>
      </c>
      <c r="BI913" s="213">
        <f t="shared" si="329"/>
        <v>0</v>
      </c>
      <c r="BJ913" s="141"/>
      <c r="BK913" s="201"/>
      <c r="BL913" s="198"/>
      <c r="BM913" s="198"/>
    </row>
    <row r="914" spans="1:65" s="17" customFormat="1" ht="15.95" customHeight="1">
      <c r="A914" s="123">
        <v>143</v>
      </c>
      <c r="B914" s="9" t="s">
        <v>2936</v>
      </c>
      <c r="C914" s="11" t="s">
        <v>2937</v>
      </c>
      <c r="D914" s="229"/>
      <c r="E914" s="13"/>
      <c r="F914" s="229"/>
      <c r="G914" s="13"/>
      <c r="H914" s="229"/>
      <c r="I914" s="13"/>
      <c r="J914" s="229"/>
      <c r="K914" s="13"/>
      <c r="L914" s="229"/>
      <c r="M914" s="13"/>
      <c r="N914" s="229"/>
      <c r="O914" s="13"/>
      <c r="P914" s="229"/>
      <c r="Q914" s="13"/>
      <c r="R914" s="229"/>
      <c r="S914" s="13"/>
      <c r="T914" s="229"/>
      <c r="U914" s="13"/>
      <c r="V914" s="229"/>
      <c r="W914" s="13"/>
      <c r="X914" s="229"/>
      <c r="Y914" s="13"/>
      <c r="Z914" s="229"/>
      <c r="AA914" s="13"/>
      <c r="AB914" s="229">
        <f t="shared" si="330"/>
        <v>0</v>
      </c>
      <c r="AC914" s="228">
        <f t="shared" si="322"/>
        <v>0</v>
      </c>
      <c r="AD914" s="21">
        <v>0</v>
      </c>
      <c r="AE914" s="229"/>
      <c r="AF914" s="20"/>
      <c r="AG914" s="229"/>
      <c r="AH914" s="20"/>
      <c r="AI914" s="229">
        <v>2</v>
      </c>
      <c r="AJ914" s="20">
        <v>2</v>
      </c>
      <c r="AK914" s="229"/>
      <c r="AL914" s="20"/>
      <c r="AM914" s="229"/>
      <c r="AN914" s="20"/>
      <c r="AO914" s="229"/>
      <c r="AP914" s="20"/>
      <c r="AQ914" s="229"/>
      <c r="AR914" s="20"/>
      <c r="AS914" s="229"/>
      <c r="AT914" s="20"/>
      <c r="AU914" s="229"/>
      <c r="AV914" s="20"/>
      <c r="AW914" s="229"/>
      <c r="AX914" s="20"/>
      <c r="AY914" s="229"/>
      <c r="AZ914" s="20"/>
      <c r="BA914" s="229"/>
      <c r="BB914" s="20"/>
      <c r="BC914" s="229">
        <f t="shared" si="331"/>
        <v>2</v>
      </c>
      <c r="BD914" s="48">
        <f t="shared" si="323"/>
        <v>2</v>
      </c>
      <c r="BE914" s="19">
        <v>0</v>
      </c>
      <c r="BF914" s="229">
        <f t="shared" si="332"/>
        <v>2</v>
      </c>
      <c r="BG914" s="210">
        <f t="shared" si="324"/>
        <v>2</v>
      </c>
      <c r="BH914" s="210">
        <f t="shared" si="325"/>
        <v>0</v>
      </c>
      <c r="BI914" s="213" t="e">
        <f t="shared" si="329"/>
        <v>#DIV/0!</v>
      </c>
      <c r="BJ914" s="141"/>
      <c r="BK914" s="201"/>
      <c r="BL914" s="198"/>
      <c r="BM914" s="198"/>
    </row>
    <row r="915" spans="1:65" s="17" customFormat="1" ht="15.95" customHeight="1">
      <c r="A915" s="123">
        <v>144</v>
      </c>
      <c r="B915" s="9" t="s">
        <v>2938</v>
      </c>
      <c r="C915" s="11" t="s">
        <v>2939</v>
      </c>
      <c r="D915" s="229"/>
      <c r="E915" s="13"/>
      <c r="F915" s="229"/>
      <c r="G915" s="13"/>
      <c r="H915" s="229"/>
      <c r="I915" s="13"/>
      <c r="J915" s="229"/>
      <c r="K915" s="13"/>
      <c r="L915" s="229"/>
      <c r="M915" s="13"/>
      <c r="N915" s="229"/>
      <c r="O915" s="13"/>
      <c r="P915" s="229"/>
      <c r="Q915" s="13"/>
      <c r="R915" s="229"/>
      <c r="S915" s="13"/>
      <c r="T915" s="229"/>
      <c r="U915" s="13"/>
      <c r="V915" s="229"/>
      <c r="W915" s="13"/>
      <c r="X915" s="229"/>
      <c r="Y915" s="13"/>
      <c r="Z915" s="229"/>
      <c r="AA915" s="13"/>
      <c r="AB915" s="229">
        <f t="shared" si="330"/>
        <v>0</v>
      </c>
      <c r="AC915" s="228">
        <f t="shared" si="322"/>
        <v>0</v>
      </c>
      <c r="AD915" s="21">
        <v>0</v>
      </c>
      <c r="AE915" s="229"/>
      <c r="AF915" s="20"/>
      <c r="AG915" s="229"/>
      <c r="AH915" s="20"/>
      <c r="AI915" s="229"/>
      <c r="AJ915" s="20"/>
      <c r="AK915" s="229"/>
      <c r="AL915" s="20"/>
      <c r="AM915" s="229"/>
      <c r="AN915" s="20"/>
      <c r="AO915" s="229"/>
      <c r="AP915" s="20"/>
      <c r="AQ915" s="229"/>
      <c r="AR915" s="20"/>
      <c r="AS915" s="229"/>
      <c r="AT915" s="20"/>
      <c r="AU915" s="229"/>
      <c r="AV915" s="20"/>
      <c r="AW915" s="229"/>
      <c r="AX915" s="20"/>
      <c r="AY915" s="229"/>
      <c r="AZ915" s="20"/>
      <c r="BA915" s="229"/>
      <c r="BB915" s="20"/>
      <c r="BC915" s="229">
        <f t="shared" si="331"/>
        <v>0</v>
      </c>
      <c r="BD915" s="48">
        <f t="shared" si="323"/>
        <v>0</v>
      </c>
      <c r="BE915" s="19">
        <v>0</v>
      </c>
      <c r="BF915" s="229">
        <f t="shared" si="332"/>
        <v>0</v>
      </c>
      <c r="BG915" s="210">
        <f t="shared" si="324"/>
        <v>0</v>
      </c>
      <c r="BH915" s="210">
        <f t="shared" si="325"/>
        <v>0</v>
      </c>
      <c r="BI915" s="213" t="e">
        <f t="shared" si="329"/>
        <v>#DIV/0!</v>
      </c>
      <c r="BJ915" s="141"/>
      <c r="BK915" s="201"/>
      <c r="BL915" s="198"/>
      <c r="BM915" s="198"/>
    </row>
    <row r="916" spans="1:65" s="17" customFormat="1" ht="21.95" customHeight="1">
      <c r="A916" s="123">
        <v>145</v>
      </c>
      <c r="B916" s="9" t="s">
        <v>2167</v>
      </c>
      <c r="C916" s="10" t="s">
        <v>2168</v>
      </c>
      <c r="D916" s="229"/>
      <c r="E916" s="13"/>
      <c r="F916" s="229"/>
      <c r="G916" s="13"/>
      <c r="H916" s="229"/>
      <c r="I916" s="13"/>
      <c r="J916" s="229"/>
      <c r="K916" s="13"/>
      <c r="L916" s="229"/>
      <c r="M916" s="13"/>
      <c r="N916" s="229"/>
      <c r="O916" s="13"/>
      <c r="P916" s="229"/>
      <c r="Q916" s="13"/>
      <c r="R916" s="229"/>
      <c r="S916" s="13"/>
      <c r="T916" s="229"/>
      <c r="U916" s="13"/>
      <c r="V916" s="229"/>
      <c r="W916" s="13"/>
      <c r="X916" s="229"/>
      <c r="Y916" s="13"/>
      <c r="Z916" s="229"/>
      <c r="AA916" s="13"/>
      <c r="AB916" s="229">
        <f t="shared" si="330"/>
        <v>0</v>
      </c>
      <c r="AC916" s="228">
        <f t="shared" si="322"/>
        <v>0</v>
      </c>
      <c r="AD916" s="19">
        <v>0</v>
      </c>
      <c r="AE916" s="229"/>
      <c r="AF916" s="20"/>
      <c r="AG916" s="229"/>
      <c r="AH916" s="20"/>
      <c r="AI916" s="229"/>
      <c r="AJ916" s="20"/>
      <c r="AK916" s="229"/>
      <c r="AL916" s="20"/>
      <c r="AM916" s="229"/>
      <c r="AN916" s="20"/>
      <c r="AO916" s="229"/>
      <c r="AP916" s="20"/>
      <c r="AQ916" s="229"/>
      <c r="AR916" s="20"/>
      <c r="AS916" s="229"/>
      <c r="AT916" s="20"/>
      <c r="AU916" s="229"/>
      <c r="AV916" s="20"/>
      <c r="AW916" s="229"/>
      <c r="AX916" s="20"/>
      <c r="AY916" s="229"/>
      <c r="AZ916" s="20"/>
      <c r="BA916" s="229"/>
      <c r="BB916" s="20"/>
      <c r="BC916" s="229">
        <f t="shared" si="331"/>
        <v>0</v>
      </c>
      <c r="BD916" s="48">
        <f t="shared" si="323"/>
        <v>0</v>
      </c>
      <c r="BE916" s="19">
        <v>2</v>
      </c>
      <c r="BF916" s="229">
        <f t="shared" si="332"/>
        <v>0</v>
      </c>
      <c r="BG916" s="210">
        <f t="shared" si="324"/>
        <v>0</v>
      </c>
      <c r="BH916" s="210">
        <f t="shared" si="325"/>
        <v>2</v>
      </c>
      <c r="BI916" s="213">
        <f t="shared" si="329"/>
        <v>0</v>
      </c>
      <c r="BJ916" s="141"/>
      <c r="BK916" s="201"/>
      <c r="BL916" s="198"/>
      <c r="BM916" s="198"/>
    </row>
    <row r="917" spans="1:65" s="17" customFormat="1" ht="21.95" customHeight="1">
      <c r="A917" s="123">
        <v>146</v>
      </c>
      <c r="B917" s="9" t="s">
        <v>2345</v>
      </c>
      <c r="C917" s="10" t="s">
        <v>2346</v>
      </c>
      <c r="D917" s="229"/>
      <c r="E917" s="13"/>
      <c r="F917" s="229"/>
      <c r="G917" s="13"/>
      <c r="H917" s="229"/>
      <c r="I917" s="13"/>
      <c r="J917" s="229"/>
      <c r="K917" s="13"/>
      <c r="L917" s="229"/>
      <c r="M917" s="13"/>
      <c r="N917" s="229"/>
      <c r="O917" s="13"/>
      <c r="P917" s="229"/>
      <c r="Q917" s="13"/>
      <c r="R917" s="229"/>
      <c r="S917" s="13"/>
      <c r="T917" s="229"/>
      <c r="U917" s="13"/>
      <c r="V917" s="229"/>
      <c r="W917" s="13"/>
      <c r="X917" s="229"/>
      <c r="Y917" s="13"/>
      <c r="Z917" s="229"/>
      <c r="AA917" s="13"/>
      <c r="AB917" s="229">
        <f t="shared" si="330"/>
        <v>0</v>
      </c>
      <c r="AC917" s="228">
        <f t="shared" si="322"/>
        <v>0</v>
      </c>
      <c r="AD917" s="21">
        <v>0</v>
      </c>
      <c r="AE917" s="229"/>
      <c r="AF917" s="20"/>
      <c r="AG917" s="229"/>
      <c r="AH917" s="20"/>
      <c r="AI917" s="229"/>
      <c r="AJ917" s="20"/>
      <c r="AK917" s="229"/>
      <c r="AL917" s="20"/>
      <c r="AM917" s="229"/>
      <c r="AN917" s="20"/>
      <c r="AO917" s="229"/>
      <c r="AP917" s="20"/>
      <c r="AQ917" s="229"/>
      <c r="AR917" s="20"/>
      <c r="AS917" s="229"/>
      <c r="AT917" s="20"/>
      <c r="AU917" s="229"/>
      <c r="AV917" s="20"/>
      <c r="AW917" s="229"/>
      <c r="AX917" s="20"/>
      <c r="AY917" s="229"/>
      <c r="AZ917" s="20"/>
      <c r="BA917" s="229"/>
      <c r="BB917" s="20"/>
      <c r="BC917" s="229">
        <f t="shared" si="331"/>
        <v>0</v>
      </c>
      <c r="BD917" s="48">
        <f t="shared" si="323"/>
        <v>0</v>
      </c>
      <c r="BE917" s="19">
        <v>1</v>
      </c>
      <c r="BF917" s="229">
        <f t="shared" si="332"/>
        <v>0</v>
      </c>
      <c r="BG917" s="210">
        <f t="shared" si="324"/>
        <v>0</v>
      </c>
      <c r="BH917" s="210">
        <f t="shared" si="325"/>
        <v>1</v>
      </c>
      <c r="BI917" s="213">
        <f t="shared" si="329"/>
        <v>0</v>
      </c>
      <c r="BJ917" s="141"/>
      <c r="BK917" s="201"/>
      <c r="BL917" s="198"/>
      <c r="BM917" s="198"/>
    </row>
    <row r="918" spans="1:65" s="17" customFormat="1" ht="15.95" customHeight="1">
      <c r="A918" s="123">
        <v>147</v>
      </c>
      <c r="B918" s="9" t="s">
        <v>1726</v>
      </c>
      <c r="C918" s="11" t="s">
        <v>1727</v>
      </c>
      <c r="D918" s="229"/>
      <c r="E918" s="13"/>
      <c r="F918" s="229"/>
      <c r="G918" s="13"/>
      <c r="H918" s="229"/>
      <c r="I918" s="13"/>
      <c r="J918" s="229"/>
      <c r="K918" s="13"/>
      <c r="L918" s="229"/>
      <c r="M918" s="13"/>
      <c r="N918" s="229"/>
      <c r="O918" s="13"/>
      <c r="P918" s="229"/>
      <c r="Q918" s="13"/>
      <c r="R918" s="229"/>
      <c r="S918" s="13"/>
      <c r="T918" s="229"/>
      <c r="U918" s="13"/>
      <c r="V918" s="229"/>
      <c r="W918" s="13"/>
      <c r="X918" s="229"/>
      <c r="Y918" s="13"/>
      <c r="Z918" s="229"/>
      <c r="AA918" s="13"/>
      <c r="AB918" s="229">
        <f t="shared" si="330"/>
        <v>0</v>
      </c>
      <c r="AC918" s="228">
        <f t="shared" ref="AC918:AC932" si="333">E918+G918+I918+K918+M918+O918+Q918+S918+U918+W918+Y918+AA918</f>
        <v>0</v>
      </c>
      <c r="AD918" s="21">
        <v>0</v>
      </c>
      <c r="AE918" s="229"/>
      <c r="AF918" s="20"/>
      <c r="AG918" s="229"/>
      <c r="AH918" s="20"/>
      <c r="AI918" s="229"/>
      <c r="AJ918" s="20"/>
      <c r="AK918" s="229"/>
      <c r="AL918" s="20"/>
      <c r="AM918" s="229"/>
      <c r="AN918" s="20"/>
      <c r="AO918" s="229"/>
      <c r="AP918" s="20"/>
      <c r="AQ918" s="229"/>
      <c r="AR918" s="20"/>
      <c r="AS918" s="229"/>
      <c r="AT918" s="20"/>
      <c r="AU918" s="229"/>
      <c r="AV918" s="20"/>
      <c r="AW918" s="229"/>
      <c r="AX918" s="20"/>
      <c r="AY918" s="229"/>
      <c r="AZ918" s="20"/>
      <c r="BA918" s="229"/>
      <c r="BB918" s="20"/>
      <c r="BC918" s="229">
        <f t="shared" si="331"/>
        <v>0</v>
      </c>
      <c r="BD918" s="48">
        <f t="shared" ref="BD918:BD932" si="334">AF918+AH918+AJ918+AL918+AN918+AP918+AR918+AT918+AV918+AX918+AZ918+BB918</f>
        <v>0</v>
      </c>
      <c r="BE918" s="19">
        <v>1</v>
      </c>
      <c r="BF918" s="229">
        <f t="shared" si="332"/>
        <v>0</v>
      </c>
      <c r="BG918" s="210">
        <f t="shared" ref="BG918:BG932" si="335">AC918+BD918</f>
        <v>0</v>
      </c>
      <c r="BH918" s="210">
        <f t="shared" ref="BH918:BH932" si="336">AD918+BE918</f>
        <v>1</v>
      </c>
      <c r="BI918" s="213">
        <f t="shared" si="329"/>
        <v>0</v>
      </c>
      <c r="BJ918" s="141"/>
      <c r="BK918" s="201"/>
      <c r="BL918" s="198"/>
      <c r="BM918" s="198"/>
    </row>
    <row r="919" spans="1:65" s="17" customFormat="1" ht="15.95" customHeight="1">
      <c r="A919" s="123">
        <v>148</v>
      </c>
      <c r="B919" s="9" t="s">
        <v>2940</v>
      </c>
      <c r="C919" s="11" t="s">
        <v>2941</v>
      </c>
      <c r="D919" s="229"/>
      <c r="E919" s="13"/>
      <c r="F919" s="229"/>
      <c r="G919" s="13"/>
      <c r="H919" s="229"/>
      <c r="I919" s="13"/>
      <c r="J919" s="229"/>
      <c r="K919" s="13"/>
      <c r="L919" s="229"/>
      <c r="M919" s="13"/>
      <c r="N919" s="229"/>
      <c r="O919" s="13"/>
      <c r="P919" s="229"/>
      <c r="Q919" s="13"/>
      <c r="R919" s="229"/>
      <c r="S919" s="13"/>
      <c r="T919" s="229"/>
      <c r="U919" s="13"/>
      <c r="V919" s="229"/>
      <c r="W919" s="13"/>
      <c r="X919" s="229"/>
      <c r="Y919" s="13"/>
      <c r="Z919" s="229"/>
      <c r="AA919" s="13"/>
      <c r="AB919" s="229">
        <f t="shared" si="330"/>
        <v>0</v>
      </c>
      <c r="AC919" s="228">
        <f t="shared" si="333"/>
        <v>0</v>
      </c>
      <c r="AD919" s="21">
        <v>0</v>
      </c>
      <c r="AE919" s="229"/>
      <c r="AF919" s="20"/>
      <c r="AG919" s="229"/>
      <c r="AH919" s="20"/>
      <c r="AI919" s="229">
        <v>1</v>
      </c>
      <c r="AJ919" s="20">
        <v>1</v>
      </c>
      <c r="AK919" s="229"/>
      <c r="AL919" s="20"/>
      <c r="AM919" s="229"/>
      <c r="AN919" s="20"/>
      <c r="AO919" s="229"/>
      <c r="AP919" s="20"/>
      <c r="AQ919" s="229"/>
      <c r="AR919" s="20"/>
      <c r="AS919" s="229"/>
      <c r="AT919" s="20"/>
      <c r="AU919" s="229"/>
      <c r="AV919" s="20"/>
      <c r="AW919" s="229"/>
      <c r="AX919" s="20"/>
      <c r="AY919" s="229"/>
      <c r="AZ919" s="20"/>
      <c r="BA919" s="229"/>
      <c r="BB919" s="20">
        <v>1</v>
      </c>
      <c r="BC919" s="229">
        <f t="shared" si="331"/>
        <v>1</v>
      </c>
      <c r="BD919" s="48">
        <f t="shared" si="334"/>
        <v>2</v>
      </c>
      <c r="BE919" s="19">
        <v>0</v>
      </c>
      <c r="BF919" s="229">
        <f t="shared" si="332"/>
        <v>1</v>
      </c>
      <c r="BG919" s="210">
        <f t="shared" si="335"/>
        <v>2</v>
      </c>
      <c r="BH919" s="210">
        <f t="shared" si="336"/>
        <v>0</v>
      </c>
      <c r="BI919" s="213" t="e">
        <f t="shared" si="329"/>
        <v>#DIV/0!</v>
      </c>
      <c r="BJ919" s="141"/>
      <c r="BK919" s="201"/>
      <c r="BL919" s="198"/>
      <c r="BM919" s="198"/>
    </row>
    <row r="920" spans="1:65" s="17" customFormat="1" ht="21.95" customHeight="1">
      <c r="A920" s="123">
        <v>149</v>
      </c>
      <c r="B920" s="9" t="s">
        <v>390</v>
      </c>
      <c r="C920" s="10" t="s">
        <v>2062</v>
      </c>
      <c r="D920" s="229"/>
      <c r="E920" s="13"/>
      <c r="F920" s="229"/>
      <c r="G920" s="13"/>
      <c r="H920" s="229"/>
      <c r="I920" s="13"/>
      <c r="J920" s="229"/>
      <c r="K920" s="13"/>
      <c r="L920" s="229"/>
      <c r="M920" s="13"/>
      <c r="N920" s="229"/>
      <c r="O920" s="13"/>
      <c r="P920" s="229"/>
      <c r="Q920" s="13"/>
      <c r="R920" s="229"/>
      <c r="S920" s="13"/>
      <c r="T920" s="229"/>
      <c r="U920" s="13">
        <v>1</v>
      </c>
      <c r="V920" s="229"/>
      <c r="W920" s="13"/>
      <c r="X920" s="229"/>
      <c r="Y920" s="13"/>
      <c r="Z920" s="229"/>
      <c r="AA920" s="13"/>
      <c r="AB920" s="229">
        <f t="shared" si="330"/>
        <v>0</v>
      </c>
      <c r="AC920" s="228">
        <f t="shared" si="333"/>
        <v>1</v>
      </c>
      <c r="AD920" s="21">
        <v>0</v>
      </c>
      <c r="AE920" s="229"/>
      <c r="AF920" s="20"/>
      <c r="AG920" s="229"/>
      <c r="AH920" s="20"/>
      <c r="AI920" s="229">
        <v>1</v>
      </c>
      <c r="AJ920" s="20">
        <v>1</v>
      </c>
      <c r="AK920" s="229"/>
      <c r="AL920" s="20"/>
      <c r="AM920" s="229"/>
      <c r="AN920" s="20"/>
      <c r="AO920" s="229">
        <v>1</v>
      </c>
      <c r="AP920" s="20">
        <v>1</v>
      </c>
      <c r="AQ920" s="229"/>
      <c r="AR920" s="20"/>
      <c r="AS920" s="229"/>
      <c r="AT920" s="20"/>
      <c r="AU920" s="229"/>
      <c r="AV920" s="20"/>
      <c r="AW920" s="229"/>
      <c r="AX920" s="20"/>
      <c r="AY920" s="229"/>
      <c r="AZ920" s="20"/>
      <c r="BA920" s="229"/>
      <c r="BB920" s="20"/>
      <c r="BC920" s="229">
        <f t="shared" si="331"/>
        <v>2</v>
      </c>
      <c r="BD920" s="48">
        <f t="shared" si="334"/>
        <v>2</v>
      </c>
      <c r="BE920" s="19">
        <v>1</v>
      </c>
      <c r="BF920" s="229">
        <f t="shared" si="332"/>
        <v>2</v>
      </c>
      <c r="BG920" s="210">
        <f t="shared" si="335"/>
        <v>3</v>
      </c>
      <c r="BH920" s="210">
        <f t="shared" si="336"/>
        <v>1</v>
      </c>
      <c r="BI920" s="213">
        <f t="shared" si="329"/>
        <v>300</v>
      </c>
      <c r="BJ920" s="141"/>
      <c r="BK920" s="201"/>
      <c r="BL920" s="198"/>
      <c r="BM920" s="198"/>
    </row>
    <row r="921" spans="1:65" s="17" customFormat="1" ht="15.95" customHeight="1">
      <c r="A921" s="123">
        <v>150</v>
      </c>
      <c r="B921" s="9" t="s">
        <v>2071</v>
      </c>
      <c r="C921" s="11" t="s">
        <v>2072</v>
      </c>
      <c r="D921" s="229"/>
      <c r="E921" s="13"/>
      <c r="F921" s="229"/>
      <c r="G921" s="13"/>
      <c r="H921" s="229"/>
      <c r="I921" s="13"/>
      <c r="J921" s="229"/>
      <c r="K921" s="13"/>
      <c r="L921" s="229"/>
      <c r="M921" s="13"/>
      <c r="N921" s="229"/>
      <c r="O921" s="13"/>
      <c r="P921" s="229"/>
      <c r="Q921" s="13"/>
      <c r="R921" s="229"/>
      <c r="S921" s="13"/>
      <c r="T921" s="229"/>
      <c r="U921" s="13"/>
      <c r="V921" s="229"/>
      <c r="W921" s="13"/>
      <c r="X921" s="229"/>
      <c r="Y921" s="13"/>
      <c r="Z921" s="229"/>
      <c r="AA921" s="13"/>
      <c r="AB921" s="229">
        <f t="shared" si="330"/>
        <v>0</v>
      </c>
      <c r="AC921" s="228">
        <f t="shared" si="333"/>
        <v>0</v>
      </c>
      <c r="AD921" s="19">
        <v>2</v>
      </c>
      <c r="AE921" s="229"/>
      <c r="AF921" s="20"/>
      <c r="AG921" s="229"/>
      <c r="AH921" s="20"/>
      <c r="AI921" s="229"/>
      <c r="AJ921" s="20"/>
      <c r="AK921" s="229"/>
      <c r="AL921" s="20"/>
      <c r="AM921" s="229"/>
      <c r="AN921" s="20"/>
      <c r="AO921" s="229"/>
      <c r="AP921" s="20"/>
      <c r="AQ921" s="229"/>
      <c r="AR921" s="20"/>
      <c r="AS921" s="229"/>
      <c r="AT921" s="20"/>
      <c r="AU921" s="229"/>
      <c r="AV921" s="20"/>
      <c r="AW921" s="229"/>
      <c r="AX921" s="20"/>
      <c r="AY921" s="229"/>
      <c r="AZ921" s="20"/>
      <c r="BA921" s="229"/>
      <c r="BB921" s="20"/>
      <c r="BC921" s="229">
        <f t="shared" si="331"/>
        <v>0</v>
      </c>
      <c r="BD921" s="48">
        <f t="shared" si="334"/>
        <v>0</v>
      </c>
      <c r="BE921" s="19">
        <v>0</v>
      </c>
      <c r="BF921" s="229">
        <f t="shared" si="332"/>
        <v>0</v>
      </c>
      <c r="BG921" s="210">
        <f t="shared" si="335"/>
        <v>0</v>
      </c>
      <c r="BH921" s="210">
        <f t="shared" si="336"/>
        <v>2</v>
      </c>
      <c r="BI921" s="213">
        <f t="shared" si="329"/>
        <v>0</v>
      </c>
      <c r="BJ921" s="141"/>
      <c r="BK921" s="201"/>
      <c r="BL921" s="198"/>
      <c r="BM921" s="198"/>
    </row>
    <row r="922" spans="1:65" s="17" customFormat="1" ht="21.95" customHeight="1">
      <c r="A922" s="123">
        <v>151</v>
      </c>
      <c r="B922" s="9" t="s">
        <v>1128</v>
      </c>
      <c r="C922" s="10" t="s">
        <v>2460</v>
      </c>
      <c r="D922" s="229"/>
      <c r="E922" s="13"/>
      <c r="F922" s="229"/>
      <c r="G922" s="13"/>
      <c r="H922" s="229"/>
      <c r="I922" s="13"/>
      <c r="J922" s="229"/>
      <c r="K922" s="13"/>
      <c r="L922" s="229"/>
      <c r="M922" s="13"/>
      <c r="N922" s="229"/>
      <c r="O922" s="13"/>
      <c r="P922" s="229"/>
      <c r="Q922" s="13"/>
      <c r="R922" s="229"/>
      <c r="S922" s="13"/>
      <c r="T922" s="229"/>
      <c r="U922" s="13"/>
      <c r="V922" s="229"/>
      <c r="W922" s="13"/>
      <c r="X922" s="229"/>
      <c r="Y922" s="13"/>
      <c r="Z922" s="229"/>
      <c r="AA922" s="13"/>
      <c r="AB922" s="229">
        <f t="shared" si="330"/>
        <v>0</v>
      </c>
      <c r="AC922" s="228">
        <f t="shared" si="333"/>
        <v>0</v>
      </c>
      <c r="AD922" s="19">
        <v>0</v>
      </c>
      <c r="AE922" s="229"/>
      <c r="AF922" s="20"/>
      <c r="AG922" s="229"/>
      <c r="AH922" s="20"/>
      <c r="AI922" s="229"/>
      <c r="AJ922" s="20"/>
      <c r="AK922" s="229"/>
      <c r="AL922" s="20"/>
      <c r="AM922" s="229"/>
      <c r="AN922" s="20"/>
      <c r="AO922" s="229"/>
      <c r="AP922" s="20"/>
      <c r="AQ922" s="229"/>
      <c r="AR922" s="20"/>
      <c r="AS922" s="229"/>
      <c r="AT922" s="20"/>
      <c r="AU922" s="229"/>
      <c r="AV922" s="20"/>
      <c r="AW922" s="229"/>
      <c r="AX922" s="20"/>
      <c r="AY922" s="229"/>
      <c r="AZ922" s="20"/>
      <c r="BA922" s="229"/>
      <c r="BB922" s="20"/>
      <c r="BC922" s="229">
        <f t="shared" si="331"/>
        <v>0</v>
      </c>
      <c r="BD922" s="48">
        <f t="shared" si="334"/>
        <v>0</v>
      </c>
      <c r="BE922" s="19">
        <v>4</v>
      </c>
      <c r="BF922" s="229">
        <f t="shared" si="332"/>
        <v>0</v>
      </c>
      <c r="BG922" s="210">
        <f t="shared" si="335"/>
        <v>0</v>
      </c>
      <c r="BH922" s="210">
        <f t="shared" si="336"/>
        <v>4</v>
      </c>
      <c r="BI922" s="213">
        <f t="shared" si="329"/>
        <v>0</v>
      </c>
      <c r="BJ922" s="141"/>
      <c r="BK922" s="201"/>
      <c r="BL922" s="198"/>
      <c r="BM922" s="198"/>
    </row>
    <row r="923" spans="1:65" s="17" customFormat="1" ht="15.95" customHeight="1">
      <c r="A923" s="123">
        <v>152</v>
      </c>
      <c r="B923" s="9" t="s">
        <v>2347</v>
      </c>
      <c r="C923" s="11" t="s">
        <v>2348</v>
      </c>
      <c r="D923" s="229"/>
      <c r="E923" s="13"/>
      <c r="F923" s="229"/>
      <c r="G923" s="13"/>
      <c r="H923" s="229"/>
      <c r="I923" s="13"/>
      <c r="J923" s="229"/>
      <c r="K923" s="13"/>
      <c r="L923" s="229"/>
      <c r="M923" s="13"/>
      <c r="N923" s="229"/>
      <c r="O923" s="13"/>
      <c r="P923" s="229"/>
      <c r="Q923" s="13"/>
      <c r="R923" s="229"/>
      <c r="S923" s="13"/>
      <c r="T923" s="229"/>
      <c r="U923" s="13"/>
      <c r="V923" s="229"/>
      <c r="W923" s="13"/>
      <c r="X923" s="229"/>
      <c r="Y923" s="13"/>
      <c r="Z923" s="229"/>
      <c r="AA923" s="13"/>
      <c r="AB923" s="229">
        <f t="shared" si="330"/>
        <v>0</v>
      </c>
      <c r="AC923" s="228">
        <f t="shared" si="333"/>
        <v>0</v>
      </c>
      <c r="AD923" s="21">
        <v>0</v>
      </c>
      <c r="AE923" s="229"/>
      <c r="AF923" s="20"/>
      <c r="AG923" s="229"/>
      <c r="AH923" s="20"/>
      <c r="AI923" s="229"/>
      <c r="AJ923" s="20"/>
      <c r="AK923" s="229"/>
      <c r="AL923" s="20"/>
      <c r="AM923" s="229"/>
      <c r="AN923" s="20"/>
      <c r="AO923" s="229">
        <v>1</v>
      </c>
      <c r="AP923" s="20">
        <v>1</v>
      </c>
      <c r="AQ923" s="229"/>
      <c r="AR923" s="20"/>
      <c r="AS923" s="229"/>
      <c r="AT923" s="20"/>
      <c r="AU923" s="229"/>
      <c r="AV923" s="20"/>
      <c r="AW923" s="229"/>
      <c r="AX923" s="20"/>
      <c r="AY923" s="229"/>
      <c r="AZ923" s="20"/>
      <c r="BA923" s="229"/>
      <c r="BB923" s="20"/>
      <c r="BC923" s="229">
        <f t="shared" si="331"/>
        <v>1</v>
      </c>
      <c r="BD923" s="48">
        <f t="shared" si="334"/>
        <v>1</v>
      </c>
      <c r="BE923" s="19">
        <v>1</v>
      </c>
      <c r="BF923" s="229">
        <f t="shared" si="332"/>
        <v>1</v>
      </c>
      <c r="BG923" s="210">
        <f t="shared" si="335"/>
        <v>1</v>
      </c>
      <c r="BH923" s="210">
        <f t="shared" si="336"/>
        <v>1</v>
      </c>
      <c r="BI923" s="213">
        <f t="shared" si="329"/>
        <v>100</v>
      </c>
      <c r="BJ923" s="141"/>
      <c r="BK923" s="201"/>
      <c r="BL923" s="198"/>
      <c r="BM923" s="198"/>
    </row>
    <row r="924" spans="1:65" s="17" customFormat="1" ht="15.95" customHeight="1">
      <c r="A924" s="123">
        <v>153</v>
      </c>
      <c r="B924" s="9" t="s">
        <v>3157</v>
      </c>
      <c r="C924" s="189" t="s">
        <v>3158</v>
      </c>
      <c r="D924" s="229"/>
      <c r="E924" s="13"/>
      <c r="F924" s="229"/>
      <c r="G924" s="13"/>
      <c r="H924" s="229"/>
      <c r="I924" s="13"/>
      <c r="J924" s="229"/>
      <c r="K924" s="13"/>
      <c r="L924" s="229"/>
      <c r="M924" s="13"/>
      <c r="N924" s="229"/>
      <c r="O924" s="13"/>
      <c r="P924" s="229"/>
      <c r="Q924" s="13"/>
      <c r="R924" s="229"/>
      <c r="S924" s="13"/>
      <c r="T924" s="229"/>
      <c r="U924" s="13"/>
      <c r="V924" s="229"/>
      <c r="W924" s="13"/>
      <c r="X924" s="229"/>
      <c r="Y924" s="13"/>
      <c r="Z924" s="229"/>
      <c r="AA924" s="13"/>
      <c r="AB924" s="229"/>
      <c r="AC924" s="228">
        <f t="shared" si="333"/>
        <v>0</v>
      </c>
      <c r="AD924" s="21">
        <v>0</v>
      </c>
      <c r="AE924" s="229"/>
      <c r="AF924" s="20"/>
      <c r="AG924" s="229"/>
      <c r="AH924" s="20"/>
      <c r="AI924" s="229"/>
      <c r="AJ924" s="20"/>
      <c r="AK924" s="229"/>
      <c r="AL924" s="20"/>
      <c r="AM924" s="229"/>
      <c r="AN924" s="20"/>
      <c r="AO924" s="229"/>
      <c r="AP924" s="20">
        <v>1</v>
      </c>
      <c r="AQ924" s="229"/>
      <c r="AR924" s="20"/>
      <c r="AS924" s="229"/>
      <c r="AT924" s="20"/>
      <c r="AU924" s="229"/>
      <c r="AV924" s="20"/>
      <c r="AW924" s="229"/>
      <c r="AX924" s="20"/>
      <c r="AY924" s="229"/>
      <c r="AZ924" s="20"/>
      <c r="BA924" s="229"/>
      <c r="BB924" s="20"/>
      <c r="BC924" s="229"/>
      <c r="BD924" s="48">
        <f t="shared" si="334"/>
        <v>1</v>
      </c>
      <c r="BE924" s="19">
        <v>0</v>
      </c>
      <c r="BF924" s="229"/>
      <c r="BG924" s="210">
        <f t="shared" si="335"/>
        <v>1</v>
      </c>
      <c r="BH924" s="210">
        <f t="shared" si="336"/>
        <v>0</v>
      </c>
      <c r="BI924" s="213" t="e">
        <f t="shared" si="329"/>
        <v>#DIV/0!</v>
      </c>
      <c r="BJ924" s="141"/>
      <c r="BK924" s="201"/>
      <c r="BL924" s="198"/>
      <c r="BM924" s="198"/>
    </row>
    <row r="925" spans="1:65" s="17" customFormat="1" ht="15.95" customHeight="1">
      <c r="A925" s="123">
        <v>154</v>
      </c>
      <c r="B925" s="9" t="s">
        <v>2942</v>
      </c>
      <c r="C925" s="181" t="s">
        <v>2943</v>
      </c>
      <c r="D925" s="229"/>
      <c r="E925" s="13"/>
      <c r="F925" s="229"/>
      <c r="G925" s="13"/>
      <c r="H925" s="229"/>
      <c r="I925" s="13"/>
      <c r="J925" s="229"/>
      <c r="K925" s="13"/>
      <c r="L925" s="229"/>
      <c r="M925" s="13"/>
      <c r="N925" s="229"/>
      <c r="O925" s="13"/>
      <c r="P925" s="229"/>
      <c r="Q925" s="13"/>
      <c r="R925" s="229"/>
      <c r="S925" s="13"/>
      <c r="T925" s="229"/>
      <c r="U925" s="13"/>
      <c r="V925" s="229"/>
      <c r="W925" s="13"/>
      <c r="X925" s="229"/>
      <c r="Y925" s="13"/>
      <c r="Z925" s="229"/>
      <c r="AA925" s="13"/>
      <c r="AB925" s="229">
        <f t="shared" ref="AB925:AB932" si="337">D925+F925+H925+J925+L925+N925+P925+R925+T925+V925+X925+Z925</f>
        <v>0</v>
      </c>
      <c r="AC925" s="228">
        <f t="shared" si="333"/>
        <v>0</v>
      </c>
      <c r="AD925" s="21">
        <v>0</v>
      </c>
      <c r="AE925" s="229"/>
      <c r="AF925" s="20"/>
      <c r="AG925" s="229"/>
      <c r="AH925" s="20"/>
      <c r="AI925" s="229">
        <v>2</v>
      </c>
      <c r="AJ925" s="20">
        <v>2</v>
      </c>
      <c r="AK925" s="229"/>
      <c r="AL925" s="20"/>
      <c r="AM925" s="229"/>
      <c r="AN925" s="20"/>
      <c r="AO925" s="229">
        <v>1</v>
      </c>
      <c r="AP925" s="20">
        <v>1</v>
      </c>
      <c r="AQ925" s="229"/>
      <c r="AR925" s="20"/>
      <c r="AS925" s="229"/>
      <c r="AT925" s="20"/>
      <c r="AU925" s="229"/>
      <c r="AV925" s="20">
        <v>1</v>
      </c>
      <c r="AW925" s="229"/>
      <c r="AX925" s="20"/>
      <c r="AY925" s="229"/>
      <c r="AZ925" s="20"/>
      <c r="BA925" s="229"/>
      <c r="BB925" s="20"/>
      <c r="BC925" s="229">
        <f t="shared" ref="BC925:BC932" si="338">AE925+AG925+AI925+AK925+AM925+AO925+AQ925+AS925+AU925+AW925+AY925+BA925</f>
        <v>3</v>
      </c>
      <c r="BD925" s="48">
        <f t="shared" si="334"/>
        <v>4</v>
      </c>
      <c r="BE925" s="19">
        <v>0</v>
      </c>
      <c r="BF925" s="229">
        <f t="shared" ref="BF925:BF932" si="339">AB925+BC925</f>
        <v>3</v>
      </c>
      <c r="BG925" s="210">
        <f t="shared" si="335"/>
        <v>4</v>
      </c>
      <c r="BH925" s="210">
        <f t="shared" si="336"/>
        <v>0</v>
      </c>
      <c r="BI925" s="213" t="e">
        <f t="shared" si="329"/>
        <v>#DIV/0!</v>
      </c>
      <c r="BJ925" s="141"/>
      <c r="BK925" s="201"/>
      <c r="BL925" s="198"/>
      <c r="BM925" s="198"/>
    </row>
    <row r="926" spans="1:65" s="17" customFormat="1" ht="15.95" customHeight="1">
      <c r="A926" s="123">
        <v>155</v>
      </c>
      <c r="B926" s="9" t="s">
        <v>1584</v>
      </c>
      <c r="C926" s="189" t="s">
        <v>1585</v>
      </c>
      <c r="D926" s="229"/>
      <c r="E926" s="13"/>
      <c r="F926" s="229"/>
      <c r="G926" s="13"/>
      <c r="H926" s="229"/>
      <c r="I926" s="13"/>
      <c r="J926" s="229"/>
      <c r="K926" s="13"/>
      <c r="L926" s="229"/>
      <c r="M926" s="13"/>
      <c r="N926" s="229"/>
      <c r="O926" s="13"/>
      <c r="P926" s="229"/>
      <c r="Q926" s="13"/>
      <c r="R926" s="229"/>
      <c r="S926" s="13"/>
      <c r="T926" s="229"/>
      <c r="U926" s="13"/>
      <c r="V926" s="229"/>
      <c r="W926" s="13"/>
      <c r="X926" s="229"/>
      <c r="Y926" s="13"/>
      <c r="Z926" s="229"/>
      <c r="AA926" s="13"/>
      <c r="AB926" s="229">
        <f t="shared" si="337"/>
        <v>0</v>
      </c>
      <c r="AC926" s="228">
        <f t="shared" si="333"/>
        <v>0</v>
      </c>
      <c r="AD926" s="19">
        <v>0</v>
      </c>
      <c r="AE926" s="229"/>
      <c r="AF926" s="20"/>
      <c r="AG926" s="229"/>
      <c r="AH926" s="20"/>
      <c r="AI926" s="229"/>
      <c r="AJ926" s="20"/>
      <c r="AK926" s="229"/>
      <c r="AL926" s="20"/>
      <c r="AM926" s="229"/>
      <c r="AN926" s="20"/>
      <c r="AO926" s="229"/>
      <c r="AP926" s="20"/>
      <c r="AQ926" s="229"/>
      <c r="AR926" s="20"/>
      <c r="AS926" s="229"/>
      <c r="AT926" s="20"/>
      <c r="AU926" s="229"/>
      <c r="AV926" s="20"/>
      <c r="AW926" s="229"/>
      <c r="AX926" s="20"/>
      <c r="AY926" s="229"/>
      <c r="AZ926" s="20"/>
      <c r="BA926" s="229"/>
      <c r="BB926" s="20"/>
      <c r="BC926" s="229">
        <f t="shared" si="338"/>
        <v>0</v>
      </c>
      <c r="BD926" s="48">
        <f t="shared" si="334"/>
        <v>0</v>
      </c>
      <c r="BE926" s="19">
        <v>3</v>
      </c>
      <c r="BF926" s="229">
        <f t="shared" si="339"/>
        <v>0</v>
      </c>
      <c r="BG926" s="210">
        <f t="shared" si="335"/>
        <v>0</v>
      </c>
      <c r="BH926" s="210">
        <f t="shared" si="336"/>
        <v>3</v>
      </c>
      <c r="BI926" s="213">
        <f t="shared" si="329"/>
        <v>0</v>
      </c>
      <c r="BJ926" s="141"/>
      <c r="BK926" s="201"/>
      <c r="BL926" s="198"/>
      <c r="BM926" s="198"/>
    </row>
    <row r="927" spans="1:65" s="17" customFormat="1" ht="15.95" customHeight="1">
      <c r="A927" s="123">
        <v>156</v>
      </c>
      <c r="B927" s="9" t="s">
        <v>1771</v>
      </c>
      <c r="C927" s="11" t="s">
        <v>1774</v>
      </c>
      <c r="D927" s="229"/>
      <c r="E927" s="13"/>
      <c r="F927" s="229"/>
      <c r="G927" s="13"/>
      <c r="H927" s="229"/>
      <c r="I927" s="13"/>
      <c r="J927" s="229"/>
      <c r="K927" s="13"/>
      <c r="L927" s="229"/>
      <c r="M927" s="13"/>
      <c r="N927" s="229"/>
      <c r="O927" s="13"/>
      <c r="P927" s="229"/>
      <c r="Q927" s="13"/>
      <c r="R927" s="229"/>
      <c r="S927" s="13"/>
      <c r="T927" s="229"/>
      <c r="U927" s="13"/>
      <c r="V927" s="229"/>
      <c r="W927" s="13"/>
      <c r="X927" s="229"/>
      <c r="Y927" s="13"/>
      <c r="Z927" s="229"/>
      <c r="AA927" s="13"/>
      <c r="AB927" s="229">
        <f t="shared" si="337"/>
        <v>0</v>
      </c>
      <c r="AC927" s="228">
        <f t="shared" si="333"/>
        <v>0</v>
      </c>
      <c r="AD927" s="19">
        <v>2</v>
      </c>
      <c r="AE927" s="229"/>
      <c r="AF927" s="20"/>
      <c r="AG927" s="229"/>
      <c r="AH927" s="20"/>
      <c r="AI927" s="229">
        <v>1</v>
      </c>
      <c r="AJ927" s="20">
        <v>1</v>
      </c>
      <c r="AK927" s="229"/>
      <c r="AL927" s="20"/>
      <c r="AM927" s="229"/>
      <c r="AN927" s="20"/>
      <c r="AO927" s="229">
        <v>3</v>
      </c>
      <c r="AP927" s="20">
        <v>3</v>
      </c>
      <c r="AQ927" s="229"/>
      <c r="AR927" s="20"/>
      <c r="AS927" s="229"/>
      <c r="AT927" s="20"/>
      <c r="AU927" s="229"/>
      <c r="AV927" s="20"/>
      <c r="AW927" s="229"/>
      <c r="AX927" s="20"/>
      <c r="AY927" s="229"/>
      <c r="AZ927" s="20"/>
      <c r="BA927" s="229"/>
      <c r="BB927" s="20">
        <v>2</v>
      </c>
      <c r="BC927" s="229">
        <f t="shared" si="338"/>
        <v>4</v>
      </c>
      <c r="BD927" s="48">
        <f t="shared" si="334"/>
        <v>6</v>
      </c>
      <c r="BE927" s="19">
        <v>11</v>
      </c>
      <c r="BF927" s="229">
        <f t="shared" si="339"/>
        <v>4</v>
      </c>
      <c r="BG927" s="210">
        <f t="shared" si="335"/>
        <v>6</v>
      </c>
      <c r="BH927" s="210">
        <f t="shared" si="336"/>
        <v>13</v>
      </c>
      <c r="BI927" s="213">
        <f t="shared" si="329"/>
        <v>46.153846153846153</v>
      </c>
      <c r="BJ927" s="141"/>
      <c r="BK927" s="201"/>
      <c r="BL927" s="198"/>
      <c r="BM927" s="198"/>
    </row>
    <row r="928" spans="1:65" s="17" customFormat="1" ht="15.95" customHeight="1">
      <c r="A928" s="123">
        <v>157</v>
      </c>
      <c r="B928" s="9" t="s">
        <v>2349</v>
      </c>
      <c r="C928" s="11" t="s">
        <v>2350</v>
      </c>
      <c r="D928" s="229"/>
      <c r="E928" s="13"/>
      <c r="F928" s="229"/>
      <c r="G928" s="13"/>
      <c r="H928" s="229"/>
      <c r="I928" s="13"/>
      <c r="J928" s="229"/>
      <c r="K928" s="13"/>
      <c r="L928" s="229"/>
      <c r="M928" s="13"/>
      <c r="N928" s="229"/>
      <c r="O928" s="13"/>
      <c r="P928" s="229"/>
      <c r="Q928" s="13"/>
      <c r="R928" s="229"/>
      <c r="S928" s="13"/>
      <c r="T928" s="229"/>
      <c r="U928" s="13"/>
      <c r="V928" s="229"/>
      <c r="W928" s="13"/>
      <c r="X928" s="229"/>
      <c r="Y928" s="13"/>
      <c r="Z928" s="229"/>
      <c r="AA928" s="13"/>
      <c r="AB928" s="229">
        <f t="shared" si="337"/>
        <v>0</v>
      </c>
      <c r="AC928" s="228">
        <f t="shared" si="333"/>
        <v>0</v>
      </c>
      <c r="AD928" s="19">
        <v>0</v>
      </c>
      <c r="AE928" s="229"/>
      <c r="AF928" s="20"/>
      <c r="AG928" s="229"/>
      <c r="AH928" s="20"/>
      <c r="AI928" s="229"/>
      <c r="AJ928" s="20"/>
      <c r="AK928" s="229"/>
      <c r="AL928" s="20"/>
      <c r="AM928" s="229"/>
      <c r="AN928" s="20"/>
      <c r="AO928" s="229">
        <v>1</v>
      </c>
      <c r="AP928" s="20">
        <v>1</v>
      </c>
      <c r="AQ928" s="229"/>
      <c r="AR928" s="20"/>
      <c r="AS928" s="229"/>
      <c r="AT928" s="20"/>
      <c r="AU928" s="229"/>
      <c r="AV928" s="20"/>
      <c r="AW928" s="229"/>
      <c r="AX928" s="20"/>
      <c r="AY928" s="229"/>
      <c r="AZ928" s="20"/>
      <c r="BA928" s="229"/>
      <c r="BB928" s="20"/>
      <c r="BC928" s="229">
        <f t="shared" si="338"/>
        <v>1</v>
      </c>
      <c r="BD928" s="48">
        <f t="shared" si="334"/>
        <v>1</v>
      </c>
      <c r="BE928" s="19">
        <v>2</v>
      </c>
      <c r="BF928" s="229">
        <f t="shared" si="339"/>
        <v>1</v>
      </c>
      <c r="BG928" s="210">
        <f t="shared" si="335"/>
        <v>1</v>
      </c>
      <c r="BH928" s="210">
        <f t="shared" si="336"/>
        <v>2</v>
      </c>
      <c r="BI928" s="213">
        <f t="shared" si="329"/>
        <v>50</v>
      </c>
      <c r="BJ928" s="141"/>
      <c r="BK928" s="201"/>
      <c r="BL928" s="198"/>
      <c r="BM928" s="198"/>
    </row>
    <row r="929" spans="1:65" s="17" customFormat="1" ht="15.95" customHeight="1">
      <c r="A929" s="123">
        <v>158</v>
      </c>
      <c r="B929" s="9" t="s">
        <v>1995</v>
      </c>
      <c r="C929" s="11" t="s">
        <v>2422</v>
      </c>
      <c r="D929" s="229"/>
      <c r="E929" s="13"/>
      <c r="F929" s="229"/>
      <c r="G929" s="13"/>
      <c r="H929" s="229"/>
      <c r="I929" s="13"/>
      <c r="J929" s="229"/>
      <c r="K929" s="13"/>
      <c r="L929" s="229"/>
      <c r="M929" s="13"/>
      <c r="N929" s="229"/>
      <c r="O929" s="13"/>
      <c r="P929" s="229"/>
      <c r="Q929" s="13"/>
      <c r="R929" s="229"/>
      <c r="S929" s="13"/>
      <c r="T929" s="229"/>
      <c r="U929" s="13"/>
      <c r="V929" s="229"/>
      <c r="W929" s="13"/>
      <c r="X929" s="229"/>
      <c r="Y929" s="13"/>
      <c r="Z929" s="229"/>
      <c r="AA929" s="13"/>
      <c r="AB929" s="229">
        <f t="shared" si="337"/>
        <v>0</v>
      </c>
      <c r="AC929" s="228">
        <f t="shared" si="333"/>
        <v>0</v>
      </c>
      <c r="AD929" s="19">
        <v>0</v>
      </c>
      <c r="AE929" s="229"/>
      <c r="AF929" s="20"/>
      <c r="AG929" s="229"/>
      <c r="AH929" s="20"/>
      <c r="AI929" s="229"/>
      <c r="AJ929" s="20"/>
      <c r="AK929" s="229"/>
      <c r="AL929" s="20"/>
      <c r="AM929" s="229"/>
      <c r="AN929" s="20"/>
      <c r="AO929" s="229">
        <v>2</v>
      </c>
      <c r="AP929" s="20">
        <v>2</v>
      </c>
      <c r="AQ929" s="229"/>
      <c r="AR929" s="20"/>
      <c r="AS929" s="229"/>
      <c r="AT929" s="20"/>
      <c r="AU929" s="229"/>
      <c r="AV929" s="20"/>
      <c r="AW929" s="229"/>
      <c r="AX929" s="20"/>
      <c r="AY929" s="229"/>
      <c r="AZ929" s="20"/>
      <c r="BA929" s="229"/>
      <c r="BB929" s="20"/>
      <c r="BC929" s="229">
        <f t="shared" si="338"/>
        <v>2</v>
      </c>
      <c r="BD929" s="48">
        <f t="shared" si="334"/>
        <v>2</v>
      </c>
      <c r="BE929" s="19">
        <v>8</v>
      </c>
      <c r="BF929" s="229">
        <f t="shared" si="339"/>
        <v>2</v>
      </c>
      <c r="BG929" s="210">
        <f t="shared" si="335"/>
        <v>2</v>
      </c>
      <c r="BH929" s="210">
        <f t="shared" si="336"/>
        <v>8</v>
      </c>
      <c r="BI929" s="213">
        <f t="shared" si="329"/>
        <v>25</v>
      </c>
      <c r="BJ929" s="141"/>
      <c r="BK929" s="201"/>
      <c r="BL929" s="198"/>
      <c r="BM929" s="198"/>
    </row>
    <row r="930" spans="1:65" s="17" customFormat="1" ht="15.95" customHeight="1">
      <c r="A930" s="123">
        <v>159</v>
      </c>
      <c r="B930" s="9" t="s">
        <v>466</v>
      </c>
      <c r="C930" s="11" t="s">
        <v>467</v>
      </c>
      <c r="D930" s="229"/>
      <c r="E930" s="13"/>
      <c r="F930" s="229"/>
      <c r="G930" s="13"/>
      <c r="H930" s="229"/>
      <c r="I930" s="13"/>
      <c r="J930" s="229"/>
      <c r="K930" s="13"/>
      <c r="L930" s="229"/>
      <c r="M930" s="13"/>
      <c r="N930" s="229"/>
      <c r="O930" s="13"/>
      <c r="P930" s="229"/>
      <c r="Q930" s="13"/>
      <c r="R930" s="229"/>
      <c r="S930" s="13"/>
      <c r="T930" s="229"/>
      <c r="U930" s="13"/>
      <c r="V930" s="229"/>
      <c r="W930" s="13"/>
      <c r="X930" s="229"/>
      <c r="Y930" s="13"/>
      <c r="Z930" s="229"/>
      <c r="AA930" s="13"/>
      <c r="AB930" s="229">
        <f t="shared" si="337"/>
        <v>0</v>
      </c>
      <c r="AC930" s="228">
        <f t="shared" si="333"/>
        <v>0</v>
      </c>
      <c r="AD930" s="21">
        <v>0</v>
      </c>
      <c r="AE930" s="229"/>
      <c r="AF930" s="20"/>
      <c r="AG930" s="229"/>
      <c r="AH930" s="20"/>
      <c r="AI930" s="229">
        <v>2</v>
      </c>
      <c r="AJ930" s="20">
        <v>2</v>
      </c>
      <c r="AK930" s="229"/>
      <c r="AL930" s="20"/>
      <c r="AM930" s="229"/>
      <c r="AN930" s="20"/>
      <c r="AO930" s="229"/>
      <c r="AP930" s="20"/>
      <c r="AQ930" s="229"/>
      <c r="AR930" s="20"/>
      <c r="AS930" s="229"/>
      <c r="AT930" s="20"/>
      <c r="AU930" s="229"/>
      <c r="AV930" s="20">
        <v>4</v>
      </c>
      <c r="AW930" s="229"/>
      <c r="AX930" s="20"/>
      <c r="AY930" s="229"/>
      <c r="AZ930" s="20"/>
      <c r="BA930" s="229"/>
      <c r="BB930" s="20">
        <v>3</v>
      </c>
      <c r="BC930" s="229">
        <f t="shared" si="338"/>
        <v>2</v>
      </c>
      <c r="BD930" s="48">
        <f t="shared" si="334"/>
        <v>9</v>
      </c>
      <c r="BE930" s="19">
        <v>1</v>
      </c>
      <c r="BF930" s="229">
        <f t="shared" si="339"/>
        <v>2</v>
      </c>
      <c r="BG930" s="210">
        <f t="shared" si="335"/>
        <v>9</v>
      </c>
      <c r="BH930" s="210">
        <f t="shared" si="336"/>
        <v>1</v>
      </c>
      <c r="BI930" s="213">
        <f t="shared" si="329"/>
        <v>900</v>
      </c>
      <c r="BJ930" s="141"/>
      <c r="BK930" s="201"/>
      <c r="BL930" s="198"/>
      <c r="BM930" s="198"/>
    </row>
    <row r="931" spans="1:65" s="17" customFormat="1" ht="15.95" customHeight="1">
      <c r="A931" s="123">
        <v>160</v>
      </c>
      <c r="B931" s="9" t="s">
        <v>2283</v>
      </c>
      <c r="C931" s="11" t="s">
        <v>2284</v>
      </c>
      <c r="D931" s="229"/>
      <c r="E931" s="13"/>
      <c r="F931" s="229"/>
      <c r="G931" s="13"/>
      <c r="H931" s="229"/>
      <c r="I931" s="13"/>
      <c r="J931" s="229"/>
      <c r="K931" s="13"/>
      <c r="L931" s="229"/>
      <c r="M931" s="13"/>
      <c r="N931" s="229"/>
      <c r="O931" s="13"/>
      <c r="P931" s="229"/>
      <c r="Q931" s="13"/>
      <c r="R931" s="229"/>
      <c r="S931" s="13"/>
      <c r="T931" s="229"/>
      <c r="U931" s="13"/>
      <c r="V931" s="229"/>
      <c r="W931" s="13"/>
      <c r="X931" s="229"/>
      <c r="Y931" s="13"/>
      <c r="Z931" s="229"/>
      <c r="AA931" s="13"/>
      <c r="AB931" s="229">
        <f t="shared" si="337"/>
        <v>0</v>
      </c>
      <c r="AC931" s="228">
        <f t="shared" si="333"/>
        <v>0</v>
      </c>
      <c r="AD931" s="19">
        <v>2</v>
      </c>
      <c r="AE931" s="229"/>
      <c r="AF931" s="20"/>
      <c r="AG931" s="229"/>
      <c r="AH931" s="20"/>
      <c r="AI931" s="229"/>
      <c r="AJ931" s="20"/>
      <c r="AK931" s="229"/>
      <c r="AL931" s="20"/>
      <c r="AM931" s="229"/>
      <c r="AN931" s="20"/>
      <c r="AO931" s="229"/>
      <c r="AP931" s="20"/>
      <c r="AQ931" s="229"/>
      <c r="AR931" s="20"/>
      <c r="AS931" s="229"/>
      <c r="AT931" s="20"/>
      <c r="AU931" s="229"/>
      <c r="AV931" s="20"/>
      <c r="AW931" s="229"/>
      <c r="AX931" s="20"/>
      <c r="AY931" s="229"/>
      <c r="AZ931" s="20"/>
      <c r="BA931" s="229"/>
      <c r="BB931" s="20"/>
      <c r="BC931" s="229">
        <f t="shared" si="338"/>
        <v>0</v>
      </c>
      <c r="BD931" s="48">
        <f t="shared" si="334"/>
        <v>0</v>
      </c>
      <c r="BE931" s="19">
        <v>5</v>
      </c>
      <c r="BF931" s="229">
        <f t="shared" si="339"/>
        <v>0</v>
      </c>
      <c r="BG931" s="210">
        <f t="shared" si="335"/>
        <v>0</v>
      </c>
      <c r="BH931" s="210">
        <f t="shared" si="336"/>
        <v>7</v>
      </c>
      <c r="BI931" s="213">
        <f t="shared" si="329"/>
        <v>0</v>
      </c>
      <c r="BJ931" s="141"/>
      <c r="BK931" s="201"/>
      <c r="BL931" s="198"/>
      <c r="BM931" s="198"/>
    </row>
    <row r="932" spans="1:65" s="17" customFormat="1" ht="15.95" customHeight="1">
      <c r="A932" s="123">
        <v>161</v>
      </c>
      <c r="B932" s="9" t="s">
        <v>985</v>
      </c>
      <c r="C932" s="11" t="s">
        <v>986</v>
      </c>
      <c r="D932" s="229"/>
      <c r="E932" s="13"/>
      <c r="F932" s="229"/>
      <c r="G932" s="13"/>
      <c r="H932" s="229"/>
      <c r="I932" s="13"/>
      <c r="J932" s="229"/>
      <c r="K932" s="13"/>
      <c r="L932" s="229"/>
      <c r="M932" s="13"/>
      <c r="N932" s="229"/>
      <c r="O932" s="13"/>
      <c r="P932" s="229"/>
      <c r="Q932" s="13"/>
      <c r="R932" s="229"/>
      <c r="S932" s="13"/>
      <c r="T932" s="229"/>
      <c r="U932" s="13"/>
      <c r="V932" s="229"/>
      <c r="W932" s="13"/>
      <c r="X932" s="229"/>
      <c r="Y932" s="13"/>
      <c r="Z932" s="229"/>
      <c r="AA932" s="13"/>
      <c r="AB932" s="229">
        <f t="shared" si="337"/>
        <v>0</v>
      </c>
      <c r="AC932" s="228">
        <f t="shared" si="333"/>
        <v>0</v>
      </c>
      <c r="AD932" s="19">
        <v>0</v>
      </c>
      <c r="AE932" s="229"/>
      <c r="AF932" s="20"/>
      <c r="AG932" s="229"/>
      <c r="AH932" s="20"/>
      <c r="AI932" s="229">
        <v>1</v>
      </c>
      <c r="AJ932" s="20">
        <v>1</v>
      </c>
      <c r="AK932" s="229"/>
      <c r="AL932" s="20"/>
      <c r="AM932" s="229"/>
      <c r="AN932" s="20"/>
      <c r="AO932" s="229"/>
      <c r="AP932" s="20"/>
      <c r="AQ932" s="229"/>
      <c r="AR932" s="20"/>
      <c r="AS932" s="229"/>
      <c r="AT932" s="20"/>
      <c r="AU932" s="229"/>
      <c r="AV932" s="20">
        <f>3+5</f>
        <v>8</v>
      </c>
      <c r="AW932" s="229"/>
      <c r="AX932" s="20"/>
      <c r="AY932" s="229"/>
      <c r="AZ932" s="20"/>
      <c r="BA932" s="229"/>
      <c r="BB932" s="20">
        <v>5</v>
      </c>
      <c r="BC932" s="229">
        <f t="shared" si="338"/>
        <v>1</v>
      </c>
      <c r="BD932" s="48">
        <f t="shared" si="334"/>
        <v>14</v>
      </c>
      <c r="BE932" s="19">
        <v>22</v>
      </c>
      <c r="BF932" s="229">
        <f t="shared" si="339"/>
        <v>1</v>
      </c>
      <c r="BG932" s="210">
        <f t="shared" si="335"/>
        <v>14</v>
      </c>
      <c r="BH932" s="210">
        <f t="shared" si="336"/>
        <v>22</v>
      </c>
      <c r="BI932" s="213">
        <f t="shared" ref="BI932" si="340">BG932/BH932*100</f>
        <v>63.636363636363633</v>
      </c>
      <c r="BJ932" s="141"/>
      <c r="BK932" s="201"/>
      <c r="BL932" s="198"/>
      <c r="BM932" s="198"/>
    </row>
    <row r="933" spans="1:65" s="17" customFormat="1" ht="21.95" customHeight="1">
      <c r="A933" s="384" t="s">
        <v>538</v>
      </c>
      <c r="B933" s="384"/>
      <c r="C933" s="384"/>
      <c r="D933" s="90">
        <f t="shared" ref="D933:AA933" si="341">D934+D947+D954+D963+D976+D978+D997</f>
        <v>0</v>
      </c>
      <c r="E933" s="90">
        <f t="shared" si="341"/>
        <v>0</v>
      </c>
      <c r="F933" s="90">
        <f t="shared" si="341"/>
        <v>0</v>
      </c>
      <c r="G933" s="90">
        <f t="shared" si="341"/>
        <v>0</v>
      </c>
      <c r="H933" s="90">
        <f t="shared" si="341"/>
        <v>268</v>
      </c>
      <c r="I933" s="90">
        <f t="shared" si="341"/>
        <v>282</v>
      </c>
      <c r="J933" s="90">
        <f t="shared" si="341"/>
        <v>0</v>
      </c>
      <c r="K933" s="90">
        <f t="shared" si="341"/>
        <v>0</v>
      </c>
      <c r="L933" s="90">
        <f t="shared" si="341"/>
        <v>0</v>
      </c>
      <c r="M933" s="90">
        <f t="shared" si="341"/>
        <v>0</v>
      </c>
      <c r="N933" s="90">
        <f t="shared" si="341"/>
        <v>1</v>
      </c>
      <c r="O933" s="90">
        <f t="shared" si="341"/>
        <v>2</v>
      </c>
      <c r="P933" s="90">
        <f t="shared" si="341"/>
        <v>0</v>
      </c>
      <c r="Q933" s="90">
        <f t="shared" si="341"/>
        <v>0</v>
      </c>
      <c r="R933" s="90">
        <f t="shared" si="341"/>
        <v>0</v>
      </c>
      <c r="S933" s="90">
        <f t="shared" si="341"/>
        <v>0</v>
      </c>
      <c r="T933" s="90">
        <f t="shared" si="341"/>
        <v>0</v>
      </c>
      <c r="U933" s="90">
        <f t="shared" si="341"/>
        <v>1335</v>
      </c>
      <c r="V933" s="90">
        <f t="shared" si="341"/>
        <v>0</v>
      </c>
      <c r="W933" s="90">
        <f t="shared" si="341"/>
        <v>0</v>
      </c>
      <c r="X933" s="90">
        <f t="shared" si="341"/>
        <v>0</v>
      </c>
      <c r="Y933" s="90">
        <f t="shared" si="341"/>
        <v>0</v>
      </c>
      <c r="Z933" s="90">
        <f t="shared" si="341"/>
        <v>0</v>
      </c>
      <c r="AA933" s="90">
        <f t="shared" si="341"/>
        <v>1274</v>
      </c>
      <c r="AB933" s="90">
        <f t="shared" ref="AB933:AB934" si="342">D933+F933+H933+J933+L933+N933+P933+R933+T933+V933+X933+Z933</f>
        <v>269</v>
      </c>
      <c r="AC933" s="90">
        <f t="shared" ref="AC933:AC934" si="343">E933+G933+I933+K933+M933+O933+Q933+S933+U933+W933+Y933+AA933</f>
        <v>2893</v>
      </c>
      <c r="AD933" s="93">
        <f t="shared" ref="AD933:BB933" si="344">AD934+AD947+AD954+AD963+AD976+AD978+AD997</f>
        <v>3990</v>
      </c>
      <c r="AE933" s="90">
        <f t="shared" si="344"/>
        <v>0</v>
      </c>
      <c r="AF933" s="90">
        <f t="shared" si="344"/>
        <v>0</v>
      </c>
      <c r="AG933" s="90">
        <f t="shared" si="344"/>
        <v>0</v>
      </c>
      <c r="AH933" s="90">
        <f t="shared" si="344"/>
        <v>0</v>
      </c>
      <c r="AI933" s="90">
        <f t="shared" si="344"/>
        <v>1</v>
      </c>
      <c r="AJ933" s="90">
        <f t="shared" si="344"/>
        <v>1</v>
      </c>
      <c r="AK933" s="90">
        <f t="shared" si="344"/>
        <v>0</v>
      </c>
      <c r="AL933" s="90">
        <f t="shared" si="344"/>
        <v>0</v>
      </c>
      <c r="AM933" s="90">
        <f t="shared" si="344"/>
        <v>0</v>
      </c>
      <c r="AN933" s="90">
        <f t="shared" si="344"/>
        <v>0</v>
      </c>
      <c r="AO933" s="90">
        <f t="shared" si="344"/>
        <v>898</v>
      </c>
      <c r="AP933" s="90">
        <f t="shared" si="344"/>
        <v>1228</v>
      </c>
      <c r="AQ933" s="90">
        <f t="shared" si="344"/>
        <v>0</v>
      </c>
      <c r="AR933" s="90">
        <f t="shared" si="344"/>
        <v>0</v>
      </c>
      <c r="AS933" s="90">
        <f t="shared" si="344"/>
        <v>0</v>
      </c>
      <c r="AT933" s="90">
        <f t="shared" si="344"/>
        <v>0</v>
      </c>
      <c r="AU933" s="90">
        <f t="shared" si="344"/>
        <v>0</v>
      </c>
      <c r="AV933" s="90">
        <f t="shared" si="344"/>
        <v>2</v>
      </c>
      <c r="AW933" s="90">
        <f t="shared" si="344"/>
        <v>0</v>
      </c>
      <c r="AX933" s="90">
        <f t="shared" si="344"/>
        <v>0</v>
      </c>
      <c r="AY933" s="90">
        <f t="shared" si="344"/>
        <v>0</v>
      </c>
      <c r="AZ933" s="90">
        <f t="shared" si="344"/>
        <v>0</v>
      </c>
      <c r="BA933" s="90">
        <f t="shared" si="344"/>
        <v>0</v>
      </c>
      <c r="BB933" s="90">
        <f t="shared" si="344"/>
        <v>18</v>
      </c>
      <c r="BC933" s="90">
        <f t="shared" ref="BC933:BC934" si="345">AE933+AG933+AI933+AK933+AM933+AO933+AQ933+AS933+AU933+AW933+AY933+BA933</f>
        <v>899</v>
      </c>
      <c r="BD933" s="91">
        <f t="shared" ref="BD933:BD934" si="346">AF933+AH933+AJ933+AL933+AN933+AP933+AR933+AT933+AV933+AX933+AZ933+BB933</f>
        <v>1249</v>
      </c>
      <c r="BE933" s="90">
        <f>BE934+BE947+BE954+BE963+BE976+BE978+BE997</f>
        <v>26</v>
      </c>
      <c r="BF933" s="90">
        <f t="shared" ref="BF933:BF934" si="347">AB933+BC933</f>
        <v>1168</v>
      </c>
      <c r="BG933" s="91">
        <f t="shared" ref="BG933:BG934" si="348">AC933+BD933</f>
        <v>4142</v>
      </c>
      <c r="BH933" s="91">
        <f t="shared" ref="BH933:BH997" si="349">AD933+BE933</f>
        <v>4016</v>
      </c>
      <c r="BI933" s="272">
        <f t="shared" ref="BI933:BI934" si="350">BG933/BH933*100</f>
        <v>103.1374501992032</v>
      </c>
      <c r="BJ933" s="140">
        <v>4566</v>
      </c>
      <c r="BK933" s="203">
        <f>BJ933-BH933</f>
        <v>550</v>
      </c>
      <c r="BL933" s="198"/>
      <c r="BM933" s="198"/>
    </row>
    <row r="934" spans="1:65" s="17" customFormat="1" ht="21.95" customHeight="1">
      <c r="A934" s="380" t="s">
        <v>539</v>
      </c>
      <c r="B934" s="380"/>
      <c r="C934" s="380"/>
      <c r="D934" s="22">
        <f t="shared" ref="D934:AA934" si="351">SUM(D935:D946)</f>
        <v>0</v>
      </c>
      <c r="E934" s="22">
        <f t="shared" si="351"/>
        <v>0</v>
      </c>
      <c r="F934" s="22">
        <f t="shared" si="351"/>
        <v>0</v>
      </c>
      <c r="G934" s="22">
        <f t="shared" si="351"/>
        <v>0</v>
      </c>
      <c r="H934" s="283">
        <f t="shared" si="351"/>
        <v>39</v>
      </c>
      <c r="I934" s="283">
        <f t="shared" si="351"/>
        <v>46</v>
      </c>
      <c r="J934" s="22">
        <f t="shared" si="351"/>
        <v>0</v>
      </c>
      <c r="K934" s="22">
        <f t="shared" si="351"/>
        <v>0</v>
      </c>
      <c r="L934" s="22">
        <f t="shared" si="351"/>
        <v>0</v>
      </c>
      <c r="M934" s="22">
        <f t="shared" si="351"/>
        <v>0</v>
      </c>
      <c r="N934" s="22">
        <f t="shared" si="351"/>
        <v>1</v>
      </c>
      <c r="O934" s="22">
        <f t="shared" si="351"/>
        <v>1</v>
      </c>
      <c r="P934" s="22">
        <f t="shared" si="351"/>
        <v>0</v>
      </c>
      <c r="Q934" s="22">
        <f t="shared" si="351"/>
        <v>0</v>
      </c>
      <c r="R934" s="22">
        <f t="shared" si="351"/>
        <v>0</v>
      </c>
      <c r="S934" s="22">
        <f t="shared" si="351"/>
        <v>0</v>
      </c>
      <c r="T934" s="22">
        <f t="shared" si="351"/>
        <v>0</v>
      </c>
      <c r="U934" s="22">
        <f t="shared" si="351"/>
        <v>551</v>
      </c>
      <c r="V934" s="22">
        <f t="shared" si="351"/>
        <v>0</v>
      </c>
      <c r="W934" s="22">
        <f t="shared" si="351"/>
        <v>0</v>
      </c>
      <c r="X934" s="22">
        <f t="shared" si="351"/>
        <v>0</v>
      </c>
      <c r="Y934" s="22">
        <f t="shared" si="351"/>
        <v>0</v>
      </c>
      <c r="Z934" s="22">
        <f t="shared" si="351"/>
        <v>0</v>
      </c>
      <c r="AA934" s="22">
        <f t="shared" si="351"/>
        <v>339</v>
      </c>
      <c r="AB934" s="22">
        <f t="shared" si="342"/>
        <v>40</v>
      </c>
      <c r="AC934" s="22">
        <f t="shared" si="343"/>
        <v>937</v>
      </c>
      <c r="AD934" s="23">
        <f t="shared" ref="AD934:BB934" si="352">SUM(AD935:AD946)</f>
        <v>1901</v>
      </c>
      <c r="AE934" s="22">
        <f t="shared" si="352"/>
        <v>0</v>
      </c>
      <c r="AF934" s="23">
        <f t="shared" si="352"/>
        <v>0</v>
      </c>
      <c r="AG934" s="22">
        <f t="shared" si="352"/>
        <v>0</v>
      </c>
      <c r="AH934" s="23">
        <f t="shared" si="352"/>
        <v>0</v>
      </c>
      <c r="AI934" s="22">
        <f t="shared" si="352"/>
        <v>1</v>
      </c>
      <c r="AJ934" s="23">
        <f t="shared" si="352"/>
        <v>1</v>
      </c>
      <c r="AK934" s="22">
        <f t="shared" si="352"/>
        <v>0</v>
      </c>
      <c r="AL934" s="23">
        <f t="shared" si="352"/>
        <v>0</v>
      </c>
      <c r="AM934" s="22">
        <f t="shared" si="352"/>
        <v>0</v>
      </c>
      <c r="AN934" s="23">
        <f t="shared" si="352"/>
        <v>0</v>
      </c>
      <c r="AO934" s="22">
        <f t="shared" si="352"/>
        <v>381</v>
      </c>
      <c r="AP934" s="23">
        <f t="shared" si="352"/>
        <v>400</v>
      </c>
      <c r="AQ934" s="22">
        <f t="shared" si="352"/>
        <v>0</v>
      </c>
      <c r="AR934" s="23">
        <f t="shared" si="352"/>
        <v>0</v>
      </c>
      <c r="AS934" s="22">
        <f t="shared" si="352"/>
        <v>0</v>
      </c>
      <c r="AT934" s="23">
        <f t="shared" si="352"/>
        <v>0</v>
      </c>
      <c r="AU934" s="22">
        <f t="shared" si="352"/>
        <v>0</v>
      </c>
      <c r="AV934" s="23">
        <f t="shared" si="352"/>
        <v>1</v>
      </c>
      <c r="AW934" s="22">
        <f t="shared" si="352"/>
        <v>0</v>
      </c>
      <c r="AX934" s="23">
        <f t="shared" si="352"/>
        <v>0</v>
      </c>
      <c r="AY934" s="22">
        <f t="shared" si="352"/>
        <v>0</v>
      </c>
      <c r="AZ934" s="23">
        <f t="shared" si="352"/>
        <v>0</v>
      </c>
      <c r="BA934" s="22">
        <f t="shared" si="352"/>
        <v>0</v>
      </c>
      <c r="BB934" s="23">
        <f t="shared" si="352"/>
        <v>2</v>
      </c>
      <c r="BC934" s="22">
        <f t="shared" si="345"/>
        <v>382</v>
      </c>
      <c r="BD934" s="215">
        <f t="shared" si="346"/>
        <v>404</v>
      </c>
      <c r="BE934" s="23">
        <f>SUM(BE935:BE946)</f>
        <v>17</v>
      </c>
      <c r="BF934" s="22">
        <f t="shared" si="347"/>
        <v>422</v>
      </c>
      <c r="BG934" s="215">
        <f t="shared" si="348"/>
        <v>1341</v>
      </c>
      <c r="BH934" s="215">
        <f t="shared" si="349"/>
        <v>1918</v>
      </c>
      <c r="BI934" s="273">
        <f t="shared" si="350"/>
        <v>69.916579770594367</v>
      </c>
      <c r="BJ934" s="140">
        <v>1918</v>
      </c>
      <c r="BK934" s="203">
        <f>BJ934-BH934</f>
        <v>0</v>
      </c>
      <c r="BL934" s="198"/>
      <c r="BM934" s="198"/>
    </row>
    <row r="935" spans="1:65" s="17" customFormat="1" ht="21.95" customHeight="1">
      <c r="A935" s="123">
        <v>1</v>
      </c>
      <c r="B935" s="9" t="s">
        <v>2326</v>
      </c>
      <c r="C935" s="10" t="s">
        <v>2327</v>
      </c>
      <c r="D935" s="229"/>
      <c r="E935" s="13"/>
      <c r="F935" s="229"/>
      <c r="G935" s="13"/>
      <c r="H935" s="229">
        <f>1+1</f>
        <v>2</v>
      </c>
      <c r="I935" s="13">
        <f>1+1</f>
        <v>2</v>
      </c>
      <c r="J935" s="229"/>
      <c r="K935" s="13"/>
      <c r="L935" s="229"/>
      <c r="M935" s="13"/>
      <c r="N935" s="229">
        <v>1</v>
      </c>
      <c r="O935" s="13">
        <v>1</v>
      </c>
      <c r="P935" s="229"/>
      <c r="Q935" s="13"/>
      <c r="R935" s="229"/>
      <c r="S935" s="13"/>
      <c r="T935" s="229"/>
      <c r="U935" s="13">
        <v>10</v>
      </c>
      <c r="V935" s="229"/>
      <c r="W935" s="13"/>
      <c r="X935" s="229"/>
      <c r="Y935" s="13"/>
      <c r="Z935" s="229"/>
      <c r="AA935" s="13">
        <v>11</v>
      </c>
      <c r="AB935" s="229">
        <f t="shared" ref="AB935:AB946" si="353">D935+F935+H935+J935+L935+N935+P935+R935+T935+V935+X935+Z935</f>
        <v>3</v>
      </c>
      <c r="AC935" s="228">
        <f t="shared" ref="AC935:AC946" si="354">E935+G935+I935+K935+M935+O935+Q935+S935+U935+W935+Y935+AA935</f>
        <v>24</v>
      </c>
      <c r="AD935" s="19">
        <v>0</v>
      </c>
      <c r="AE935" s="229"/>
      <c r="AF935" s="20"/>
      <c r="AG935" s="229"/>
      <c r="AH935" s="20"/>
      <c r="AI935" s="229"/>
      <c r="AJ935" s="20"/>
      <c r="AK935" s="229"/>
      <c r="AL935" s="20"/>
      <c r="AM935" s="229"/>
      <c r="AN935" s="20"/>
      <c r="AO935" s="229"/>
      <c r="AP935" s="20"/>
      <c r="AQ935" s="229"/>
      <c r="AR935" s="20"/>
      <c r="AS935" s="229"/>
      <c r="AT935" s="20"/>
      <c r="AU935" s="229"/>
      <c r="AV935" s="20"/>
      <c r="AW935" s="229"/>
      <c r="AX935" s="20"/>
      <c r="AY935" s="229"/>
      <c r="AZ935" s="20"/>
      <c r="BA935" s="229"/>
      <c r="BB935" s="20"/>
      <c r="BC935" s="229">
        <f t="shared" ref="BC935:BC946" si="355">AE935+AG935+AI935+AK935+AM935+AO935+AQ935+AS935+AU935+AW935+AY935+BA935</f>
        <v>0</v>
      </c>
      <c r="BD935" s="48">
        <f t="shared" ref="BD935:BD946" si="356">AF935+AH935+AJ935+AL935+AN935+AP935+AR935+AT935+AV935+AX935+AZ935+BB935</f>
        <v>0</v>
      </c>
      <c r="BE935" s="19">
        <v>0</v>
      </c>
      <c r="BF935" s="229">
        <f t="shared" ref="BF935:BF946" si="357">AB935+BC935</f>
        <v>3</v>
      </c>
      <c r="BG935" s="210">
        <f t="shared" ref="BG935:BG946" si="358">AC935+BD935</f>
        <v>24</v>
      </c>
      <c r="BH935" s="210">
        <f t="shared" si="349"/>
        <v>0</v>
      </c>
      <c r="BI935" s="213" t="e">
        <f t="shared" ref="BI935:BI946" si="359">BG935/BH935*100</f>
        <v>#DIV/0!</v>
      </c>
      <c r="BJ935" s="270" t="s">
        <v>2857</v>
      </c>
      <c r="BK935" s="201"/>
      <c r="BL935" s="198"/>
      <c r="BM935" s="198"/>
    </row>
    <row r="936" spans="1:65" s="17" customFormat="1" ht="15.95" customHeight="1">
      <c r="A936" s="123">
        <v>2</v>
      </c>
      <c r="B936" s="9" t="s">
        <v>540</v>
      </c>
      <c r="C936" s="11" t="s">
        <v>1953</v>
      </c>
      <c r="D936" s="229"/>
      <c r="E936" s="13"/>
      <c r="F936" s="229"/>
      <c r="G936" s="13"/>
      <c r="H936" s="229"/>
      <c r="I936" s="13"/>
      <c r="J936" s="229"/>
      <c r="K936" s="13"/>
      <c r="L936" s="229"/>
      <c r="M936" s="13"/>
      <c r="N936" s="229"/>
      <c r="O936" s="13"/>
      <c r="P936" s="229"/>
      <c r="Q936" s="13"/>
      <c r="R936" s="229"/>
      <c r="S936" s="13"/>
      <c r="T936" s="229"/>
      <c r="U936" s="13"/>
      <c r="V936" s="229"/>
      <c r="W936" s="13"/>
      <c r="X936" s="229"/>
      <c r="Y936" s="13"/>
      <c r="Z936" s="229"/>
      <c r="AA936" s="13"/>
      <c r="AB936" s="229">
        <f t="shared" si="353"/>
        <v>0</v>
      </c>
      <c r="AC936" s="228">
        <f t="shared" si="354"/>
        <v>0</v>
      </c>
      <c r="AD936" s="19">
        <v>13</v>
      </c>
      <c r="AE936" s="229"/>
      <c r="AF936" s="20"/>
      <c r="AG936" s="229"/>
      <c r="AH936" s="20"/>
      <c r="AI936" s="229"/>
      <c r="AJ936" s="20"/>
      <c r="AK936" s="229"/>
      <c r="AL936" s="20"/>
      <c r="AM936" s="229"/>
      <c r="AN936" s="20"/>
      <c r="AO936" s="229"/>
      <c r="AP936" s="20"/>
      <c r="AQ936" s="229"/>
      <c r="AR936" s="20"/>
      <c r="AS936" s="229"/>
      <c r="AT936" s="20"/>
      <c r="AU936" s="229"/>
      <c r="AV936" s="20"/>
      <c r="AW936" s="229"/>
      <c r="AX936" s="20"/>
      <c r="AY936" s="229"/>
      <c r="AZ936" s="20"/>
      <c r="BA936" s="229"/>
      <c r="BB936" s="20"/>
      <c r="BC936" s="229">
        <f t="shared" si="355"/>
        <v>0</v>
      </c>
      <c r="BD936" s="48">
        <f t="shared" si="356"/>
        <v>0</v>
      </c>
      <c r="BE936" s="19">
        <v>0</v>
      </c>
      <c r="BF936" s="229">
        <f t="shared" si="357"/>
        <v>0</v>
      </c>
      <c r="BG936" s="210">
        <f t="shared" si="358"/>
        <v>0</v>
      </c>
      <c r="BH936" s="210">
        <f t="shared" si="349"/>
        <v>13</v>
      </c>
      <c r="BI936" s="213">
        <f t="shared" si="359"/>
        <v>0</v>
      </c>
      <c r="BJ936" s="141"/>
      <c r="BK936" s="201"/>
      <c r="BL936" s="198"/>
      <c r="BM936" s="198"/>
    </row>
    <row r="937" spans="1:65" s="17" customFormat="1" ht="15.95" customHeight="1">
      <c r="A937" s="123">
        <v>3</v>
      </c>
      <c r="B937" s="9" t="s">
        <v>495</v>
      </c>
      <c r="C937" s="11" t="s">
        <v>2610</v>
      </c>
      <c r="D937" s="229"/>
      <c r="E937" s="13"/>
      <c r="F937" s="229"/>
      <c r="G937" s="13"/>
      <c r="H937" s="283"/>
      <c r="I937" s="283"/>
      <c r="J937" s="229"/>
      <c r="K937" s="13"/>
      <c r="L937" s="229"/>
      <c r="M937" s="13"/>
      <c r="N937" s="229"/>
      <c r="O937" s="13"/>
      <c r="P937" s="229"/>
      <c r="Q937" s="13"/>
      <c r="R937" s="229"/>
      <c r="S937" s="13"/>
      <c r="T937" s="229"/>
      <c r="U937" s="13">
        <f>237+1</f>
        <v>238</v>
      </c>
      <c r="V937" s="229"/>
      <c r="W937" s="13"/>
      <c r="X937" s="229"/>
      <c r="Y937" s="13"/>
      <c r="Z937" s="229"/>
      <c r="AA937" s="13">
        <v>156</v>
      </c>
      <c r="AB937" s="229">
        <f t="shared" si="353"/>
        <v>0</v>
      </c>
      <c r="AC937" s="228">
        <f t="shared" si="354"/>
        <v>394</v>
      </c>
      <c r="AD937" s="19">
        <v>645</v>
      </c>
      <c r="AE937" s="229"/>
      <c r="AF937" s="20"/>
      <c r="AG937" s="229"/>
      <c r="AH937" s="20"/>
      <c r="AI937" s="229">
        <v>1</v>
      </c>
      <c r="AJ937" s="20">
        <v>1</v>
      </c>
      <c r="AK937" s="229"/>
      <c r="AL937" s="20"/>
      <c r="AM937" s="229"/>
      <c r="AN937" s="20"/>
      <c r="AO937" s="229">
        <v>188</v>
      </c>
      <c r="AP937" s="20">
        <v>199</v>
      </c>
      <c r="AQ937" s="229"/>
      <c r="AR937" s="20"/>
      <c r="AS937" s="229"/>
      <c r="AT937" s="20"/>
      <c r="AU937" s="229"/>
      <c r="AV937" s="20">
        <v>1</v>
      </c>
      <c r="AW937" s="229"/>
      <c r="AX937" s="20"/>
      <c r="AY937" s="229"/>
      <c r="AZ937" s="20"/>
      <c r="BA937" s="229"/>
      <c r="BB937" s="20">
        <v>1</v>
      </c>
      <c r="BC937" s="229">
        <f t="shared" si="355"/>
        <v>189</v>
      </c>
      <c r="BD937" s="48">
        <f t="shared" si="356"/>
        <v>202</v>
      </c>
      <c r="BE937" s="19">
        <v>4</v>
      </c>
      <c r="BF937" s="229">
        <f t="shared" si="357"/>
        <v>189</v>
      </c>
      <c r="BG937" s="210">
        <f t="shared" si="358"/>
        <v>596</v>
      </c>
      <c r="BH937" s="210">
        <f t="shared" si="349"/>
        <v>649</v>
      </c>
      <c r="BI937" s="213">
        <f t="shared" si="359"/>
        <v>91.833590138674879</v>
      </c>
      <c r="BJ937" s="141"/>
      <c r="BK937" s="201"/>
      <c r="BL937" s="198"/>
      <c r="BM937" s="198"/>
    </row>
    <row r="938" spans="1:65" s="17" customFormat="1" ht="15.95" customHeight="1">
      <c r="A938" s="123">
        <v>4</v>
      </c>
      <c r="B938" s="9" t="s">
        <v>952</v>
      </c>
      <c r="C938" s="11" t="s">
        <v>953</v>
      </c>
      <c r="D938" s="229"/>
      <c r="E938" s="13"/>
      <c r="F938" s="229"/>
      <c r="G938" s="13"/>
      <c r="H938" s="229"/>
      <c r="I938" s="13"/>
      <c r="J938" s="229"/>
      <c r="K938" s="13"/>
      <c r="L938" s="229"/>
      <c r="M938" s="13"/>
      <c r="N938" s="229"/>
      <c r="O938" s="13"/>
      <c r="P938" s="229"/>
      <c r="Q938" s="13"/>
      <c r="R938" s="229"/>
      <c r="S938" s="13"/>
      <c r="T938" s="229"/>
      <c r="U938" s="13"/>
      <c r="V938" s="229"/>
      <c r="W938" s="13"/>
      <c r="X938" s="229"/>
      <c r="Y938" s="13"/>
      <c r="Z938" s="229"/>
      <c r="AA938" s="13"/>
      <c r="AB938" s="229">
        <f t="shared" si="353"/>
        <v>0</v>
      </c>
      <c r="AC938" s="228">
        <f t="shared" si="354"/>
        <v>0</v>
      </c>
      <c r="AD938" s="19">
        <v>1</v>
      </c>
      <c r="AE938" s="229"/>
      <c r="AF938" s="20"/>
      <c r="AG938" s="229"/>
      <c r="AH938" s="20"/>
      <c r="AI938" s="229"/>
      <c r="AJ938" s="20"/>
      <c r="AK938" s="229"/>
      <c r="AL938" s="20"/>
      <c r="AM938" s="229"/>
      <c r="AN938" s="20"/>
      <c r="AO938" s="229"/>
      <c r="AP938" s="20"/>
      <c r="AQ938" s="229"/>
      <c r="AR938" s="20"/>
      <c r="AS938" s="229"/>
      <c r="AT938" s="20"/>
      <c r="AU938" s="229"/>
      <c r="AV938" s="20"/>
      <c r="AW938" s="229"/>
      <c r="AX938" s="20"/>
      <c r="AY938" s="229"/>
      <c r="AZ938" s="20"/>
      <c r="BA938" s="229"/>
      <c r="BB938" s="20"/>
      <c r="BC938" s="229">
        <f t="shared" si="355"/>
        <v>0</v>
      </c>
      <c r="BD938" s="48">
        <f t="shared" si="356"/>
        <v>0</v>
      </c>
      <c r="BE938" s="19">
        <v>0</v>
      </c>
      <c r="BF938" s="229">
        <f t="shared" si="357"/>
        <v>0</v>
      </c>
      <c r="BG938" s="210">
        <f t="shared" si="358"/>
        <v>0</v>
      </c>
      <c r="BH938" s="210">
        <f t="shared" si="349"/>
        <v>1</v>
      </c>
      <c r="BI938" s="213">
        <f t="shared" si="359"/>
        <v>0</v>
      </c>
      <c r="BJ938" s="141"/>
      <c r="BK938" s="201"/>
      <c r="BL938" s="198"/>
      <c r="BM938" s="198"/>
    </row>
    <row r="939" spans="1:65" s="17" customFormat="1" ht="15.95" customHeight="1">
      <c r="A939" s="123">
        <v>5</v>
      </c>
      <c r="B939" s="9" t="s">
        <v>474</v>
      </c>
      <c r="C939" s="11" t="s">
        <v>475</v>
      </c>
      <c r="D939" s="229"/>
      <c r="E939" s="13"/>
      <c r="F939" s="229"/>
      <c r="G939" s="13"/>
      <c r="H939" s="283"/>
      <c r="I939" s="283"/>
      <c r="J939" s="229"/>
      <c r="K939" s="13"/>
      <c r="L939" s="229"/>
      <c r="M939" s="13"/>
      <c r="N939" s="229"/>
      <c r="O939" s="13"/>
      <c r="P939" s="229"/>
      <c r="Q939" s="13"/>
      <c r="R939" s="229"/>
      <c r="S939" s="13"/>
      <c r="T939" s="229"/>
      <c r="U939" s="13">
        <f>204+1</f>
        <v>205</v>
      </c>
      <c r="V939" s="229"/>
      <c r="W939" s="13"/>
      <c r="X939" s="229"/>
      <c r="Y939" s="13"/>
      <c r="Z939" s="229"/>
      <c r="AA939" s="13">
        <f>147+1</f>
        <v>148</v>
      </c>
      <c r="AB939" s="229">
        <f t="shared" si="353"/>
        <v>0</v>
      </c>
      <c r="AC939" s="228">
        <f t="shared" si="354"/>
        <v>353</v>
      </c>
      <c r="AD939" s="19">
        <f>215+597</f>
        <v>812</v>
      </c>
      <c r="AE939" s="229"/>
      <c r="AF939" s="20"/>
      <c r="AG939" s="229"/>
      <c r="AH939" s="20"/>
      <c r="AI939" s="229"/>
      <c r="AJ939" s="20"/>
      <c r="AK939" s="229"/>
      <c r="AL939" s="20"/>
      <c r="AM939" s="229"/>
      <c r="AN939" s="20"/>
      <c r="AO939" s="229">
        <v>157</v>
      </c>
      <c r="AP939" s="20">
        <v>162</v>
      </c>
      <c r="AQ939" s="229"/>
      <c r="AR939" s="20"/>
      <c r="AS939" s="229"/>
      <c r="AT939" s="20"/>
      <c r="AU939" s="229"/>
      <c r="AV939" s="20"/>
      <c r="AW939" s="229"/>
      <c r="AX939" s="20"/>
      <c r="AY939" s="229"/>
      <c r="AZ939" s="20"/>
      <c r="BA939" s="229"/>
      <c r="BB939" s="20">
        <v>1</v>
      </c>
      <c r="BC939" s="229">
        <f t="shared" si="355"/>
        <v>157</v>
      </c>
      <c r="BD939" s="48">
        <f t="shared" si="356"/>
        <v>163</v>
      </c>
      <c r="BE939" s="19">
        <f>1+5</f>
        <v>6</v>
      </c>
      <c r="BF939" s="229">
        <f t="shared" si="357"/>
        <v>157</v>
      </c>
      <c r="BG939" s="210">
        <f t="shared" si="358"/>
        <v>516</v>
      </c>
      <c r="BH939" s="210">
        <f t="shared" si="349"/>
        <v>818</v>
      </c>
      <c r="BI939" s="213">
        <f t="shared" si="359"/>
        <v>63.080684596577022</v>
      </c>
      <c r="BJ939" s="141"/>
      <c r="BK939" s="201"/>
      <c r="BL939" s="198"/>
      <c r="BM939" s="198"/>
    </row>
    <row r="940" spans="1:65" s="17" customFormat="1" ht="15.95" customHeight="1">
      <c r="A940" s="123">
        <v>6</v>
      </c>
      <c r="B940" s="9" t="s">
        <v>541</v>
      </c>
      <c r="C940" s="11" t="s">
        <v>542</v>
      </c>
      <c r="D940" s="229"/>
      <c r="E940" s="13"/>
      <c r="F940" s="229"/>
      <c r="G940" s="13"/>
      <c r="H940" s="229"/>
      <c r="I940" s="13"/>
      <c r="J940" s="229"/>
      <c r="K940" s="13"/>
      <c r="L940" s="229"/>
      <c r="M940" s="13"/>
      <c r="N940" s="229"/>
      <c r="O940" s="13"/>
      <c r="P940" s="229"/>
      <c r="Q940" s="13"/>
      <c r="R940" s="229"/>
      <c r="S940" s="13"/>
      <c r="T940" s="229"/>
      <c r="U940" s="13"/>
      <c r="V940" s="229"/>
      <c r="W940" s="13"/>
      <c r="X940" s="229"/>
      <c r="Y940" s="13"/>
      <c r="Z940" s="229"/>
      <c r="AA940" s="13"/>
      <c r="AB940" s="229">
        <f t="shared" si="353"/>
        <v>0</v>
      </c>
      <c r="AC940" s="228">
        <f t="shared" si="354"/>
        <v>0</v>
      </c>
      <c r="AD940" s="19">
        <v>10</v>
      </c>
      <c r="AE940" s="229"/>
      <c r="AF940" s="20"/>
      <c r="AG940" s="229"/>
      <c r="AH940" s="20"/>
      <c r="AI940" s="229"/>
      <c r="AJ940" s="20"/>
      <c r="AK940" s="229"/>
      <c r="AL940" s="20"/>
      <c r="AM940" s="229"/>
      <c r="AN940" s="20"/>
      <c r="AO940" s="229"/>
      <c r="AP940" s="20"/>
      <c r="AQ940" s="229"/>
      <c r="AR940" s="20"/>
      <c r="AS940" s="229"/>
      <c r="AT940" s="20"/>
      <c r="AU940" s="229"/>
      <c r="AV940" s="20"/>
      <c r="AW940" s="229"/>
      <c r="AX940" s="20"/>
      <c r="AY940" s="229"/>
      <c r="AZ940" s="20"/>
      <c r="BA940" s="229"/>
      <c r="BB940" s="20"/>
      <c r="BC940" s="229">
        <f t="shared" si="355"/>
        <v>0</v>
      </c>
      <c r="BD940" s="48">
        <f t="shared" si="356"/>
        <v>0</v>
      </c>
      <c r="BE940" s="19">
        <v>0</v>
      </c>
      <c r="BF940" s="229">
        <f t="shared" si="357"/>
        <v>0</v>
      </c>
      <c r="BG940" s="210">
        <f t="shared" si="358"/>
        <v>0</v>
      </c>
      <c r="BH940" s="210">
        <f t="shared" si="349"/>
        <v>10</v>
      </c>
      <c r="BI940" s="213">
        <f t="shared" si="359"/>
        <v>0</v>
      </c>
      <c r="BJ940" s="141"/>
      <c r="BK940" s="201"/>
      <c r="BL940" s="198"/>
      <c r="BM940" s="198"/>
    </row>
    <row r="941" spans="1:65" s="17" customFormat="1" ht="15.95" customHeight="1">
      <c r="A941" s="123">
        <v>7</v>
      </c>
      <c r="B941" s="9" t="s">
        <v>476</v>
      </c>
      <c r="C941" s="11" t="s">
        <v>477</v>
      </c>
      <c r="D941" s="229"/>
      <c r="E941" s="13"/>
      <c r="F941" s="229"/>
      <c r="G941" s="13"/>
      <c r="H941" s="229">
        <v>8</v>
      </c>
      <c r="I941" s="13">
        <v>15</v>
      </c>
      <c r="J941" s="229"/>
      <c r="K941" s="13"/>
      <c r="L941" s="229"/>
      <c r="M941" s="13"/>
      <c r="N941" s="229"/>
      <c r="O941" s="13"/>
      <c r="P941" s="229"/>
      <c r="Q941" s="13"/>
      <c r="R941" s="229"/>
      <c r="S941" s="13"/>
      <c r="T941" s="229"/>
      <c r="U941" s="13">
        <v>7</v>
      </c>
      <c r="V941" s="229"/>
      <c r="W941" s="13"/>
      <c r="X941" s="229"/>
      <c r="Y941" s="13"/>
      <c r="Z941" s="229"/>
      <c r="AA941" s="13"/>
      <c r="AB941" s="229">
        <f t="shared" si="353"/>
        <v>8</v>
      </c>
      <c r="AC941" s="228">
        <f t="shared" si="354"/>
        <v>22</v>
      </c>
      <c r="AD941" s="19">
        <v>0</v>
      </c>
      <c r="AE941" s="229"/>
      <c r="AF941" s="20"/>
      <c r="AG941" s="229"/>
      <c r="AH941" s="20"/>
      <c r="AI941" s="229"/>
      <c r="AJ941" s="20"/>
      <c r="AK941" s="229"/>
      <c r="AL941" s="20"/>
      <c r="AM941" s="229"/>
      <c r="AN941" s="20"/>
      <c r="AO941" s="229">
        <v>5</v>
      </c>
      <c r="AP941" s="20">
        <v>8</v>
      </c>
      <c r="AQ941" s="229"/>
      <c r="AR941" s="20"/>
      <c r="AS941" s="229"/>
      <c r="AT941" s="20"/>
      <c r="AU941" s="229"/>
      <c r="AV941" s="20"/>
      <c r="AW941" s="229"/>
      <c r="AX941" s="20"/>
      <c r="AY941" s="229"/>
      <c r="AZ941" s="20"/>
      <c r="BA941" s="229"/>
      <c r="BB941" s="20"/>
      <c r="BC941" s="229">
        <f t="shared" si="355"/>
        <v>5</v>
      </c>
      <c r="BD941" s="48">
        <f t="shared" si="356"/>
        <v>8</v>
      </c>
      <c r="BE941" s="19">
        <v>0</v>
      </c>
      <c r="BF941" s="229">
        <f t="shared" si="357"/>
        <v>13</v>
      </c>
      <c r="BG941" s="210">
        <f t="shared" si="358"/>
        <v>30</v>
      </c>
      <c r="BH941" s="210">
        <f t="shared" si="349"/>
        <v>0</v>
      </c>
      <c r="BI941" s="213" t="e">
        <f t="shared" si="359"/>
        <v>#DIV/0!</v>
      </c>
      <c r="BJ941" s="141"/>
      <c r="BK941" s="201"/>
      <c r="BL941" s="198"/>
      <c r="BM941" s="198"/>
    </row>
    <row r="942" spans="1:65" s="17" customFormat="1" ht="15.95" customHeight="1">
      <c r="A942" s="123">
        <v>8</v>
      </c>
      <c r="B942" s="9" t="s">
        <v>194</v>
      </c>
      <c r="C942" s="11" t="s">
        <v>195</v>
      </c>
      <c r="D942" s="229"/>
      <c r="E942" s="13"/>
      <c r="F942" s="229"/>
      <c r="G942" s="13"/>
      <c r="H942" s="229"/>
      <c r="I942" s="13"/>
      <c r="J942" s="229"/>
      <c r="K942" s="13"/>
      <c r="L942" s="229"/>
      <c r="M942" s="13"/>
      <c r="N942" s="229"/>
      <c r="O942" s="13"/>
      <c r="P942" s="229"/>
      <c r="Q942" s="13"/>
      <c r="R942" s="229"/>
      <c r="S942" s="13"/>
      <c r="T942" s="229"/>
      <c r="U942" s="13"/>
      <c r="V942" s="229"/>
      <c r="W942" s="13"/>
      <c r="X942" s="229"/>
      <c r="Y942" s="13"/>
      <c r="Z942" s="229"/>
      <c r="AA942" s="13"/>
      <c r="AB942" s="229">
        <f t="shared" si="353"/>
        <v>0</v>
      </c>
      <c r="AC942" s="228">
        <f t="shared" si="354"/>
        <v>0</v>
      </c>
      <c r="AD942" s="19">
        <v>7</v>
      </c>
      <c r="AE942" s="229"/>
      <c r="AF942" s="20"/>
      <c r="AG942" s="229"/>
      <c r="AH942" s="20"/>
      <c r="AI942" s="229"/>
      <c r="AJ942" s="20"/>
      <c r="AK942" s="229"/>
      <c r="AL942" s="20"/>
      <c r="AM942" s="229"/>
      <c r="AN942" s="20"/>
      <c r="AO942" s="229"/>
      <c r="AP942" s="20"/>
      <c r="AQ942" s="229"/>
      <c r="AR942" s="20"/>
      <c r="AS942" s="229"/>
      <c r="AT942" s="20"/>
      <c r="AU942" s="229"/>
      <c r="AV942" s="20"/>
      <c r="AW942" s="229"/>
      <c r="AX942" s="20"/>
      <c r="AY942" s="229"/>
      <c r="AZ942" s="20"/>
      <c r="BA942" s="229"/>
      <c r="BB942" s="20"/>
      <c r="BC942" s="229">
        <f t="shared" si="355"/>
        <v>0</v>
      </c>
      <c r="BD942" s="48">
        <f t="shared" si="356"/>
        <v>0</v>
      </c>
      <c r="BE942" s="19">
        <v>0</v>
      </c>
      <c r="BF942" s="229">
        <f t="shared" si="357"/>
        <v>0</v>
      </c>
      <c r="BG942" s="210">
        <f t="shared" si="358"/>
        <v>0</v>
      </c>
      <c r="BH942" s="210">
        <f t="shared" si="349"/>
        <v>7</v>
      </c>
      <c r="BI942" s="213">
        <f t="shared" si="359"/>
        <v>0</v>
      </c>
      <c r="BJ942" s="141"/>
      <c r="BK942" s="201"/>
      <c r="BL942" s="198"/>
      <c r="BM942" s="198"/>
    </row>
    <row r="943" spans="1:65" s="17" customFormat="1" ht="15.95" customHeight="1">
      <c r="A943" s="123">
        <v>9</v>
      </c>
      <c r="B943" s="9" t="s">
        <v>969</v>
      </c>
      <c r="C943" s="11" t="s">
        <v>1338</v>
      </c>
      <c r="D943" s="229"/>
      <c r="E943" s="13"/>
      <c r="F943" s="229"/>
      <c r="G943" s="13"/>
      <c r="H943" s="229"/>
      <c r="I943" s="13"/>
      <c r="J943" s="229"/>
      <c r="K943" s="13"/>
      <c r="L943" s="229"/>
      <c r="M943" s="13"/>
      <c r="N943" s="229"/>
      <c r="O943" s="13"/>
      <c r="P943" s="229"/>
      <c r="Q943" s="13"/>
      <c r="R943" s="229"/>
      <c r="S943" s="13"/>
      <c r="T943" s="229"/>
      <c r="U943" s="13"/>
      <c r="V943" s="229"/>
      <c r="W943" s="13"/>
      <c r="X943" s="229"/>
      <c r="Y943" s="13"/>
      <c r="Z943" s="229"/>
      <c r="AA943" s="13"/>
      <c r="AB943" s="229">
        <f t="shared" si="353"/>
        <v>0</v>
      </c>
      <c r="AC943" s="228">
        <f t="shared" si="354"/>
        <v>0</v>
      </c>
      <c r="AD943" s="19">
        <v>5</v>
      </c>
      <c r="AE943" s="229"/>
      <c r="AF943" s="20"/>
      <c r="AG943" s="229"/>
      <c r="AH943" s="20"/>
      <c r="AI943" s="229"/>
      <c r="AJ943" s="20"/>
      <c r="AK943" s="229"/>
      <c r="AL943" s="20"/>
      <c r="AM943" s="229"/>
      <c r="AN943" s="20"/>
      <c r="AO943" s="229"/>
      <c r="AP943" s="20"/>
      <c r="AQ943" s="229"/>
      <c r="AR943" s="20"/>
      <c r="AS943" s="229"/>
      <c r="AT943" s="20"/>
      <c r="AU943" s="229"/>
      <c r="AV943" s="20"/>
      <c r="AW943" s="229"/>
      <c r="AX943" s="20"/>
      <c r="AY943" s="229"/>
      <c r="AZ943" s="20"/>
      <c r="BA943" s="229"/>
      <c r="BB943" s="20"/>
      <c r="BC943" s="229">
        <f t="shared" si="355"/>
        <v>0</v>
      </c>
      <c r="BD943" s="48">
        <f t="shared" si="356"/>
        <v>0</v>
      </c>
      <c r="BE943" s="19">
        <v>0</v>
      </c>
      <c r="BF943" s="229">
        <f t="shared" si="357"/>
        <v>0</v>
      </c>
      <c r="BG943" s="210">
        <f t="shared" si="358"/>
        <v>0</v>
      </c>
      <c r="BH943" s="210">
        <f t="shared" si="349"/>
        <v>5</v>
      </c>
      <c r="BI943" s="213">
        <f t="shared" si="359"/>
        <v>0</v>
      </c>
      <c r="BJ943" s="141"/>
      <c r="BK943" s="201"/>
      <c r="BL943" s="198"/>
      <c r="BM943" s="198"/>
    </row>
    <row r="944" spans="1:65" s="17" customFormat="1" ht="15.95" customHeight="1">
      <c r="A944" s="123">
        <v>10</v>
      </c>
      <c r="B944" s="9" t="s">
        <v>2260</v>
      </c>
      <c r="C944" s="11" t="s">
        <v>2261</v>
      </c>
      <c r="D944" s="229"/>
      <c r="E944" s="13"/>
      <c r="F944" s="229"/>
      <c r="G944" s="13"/>
      <c r="H944" s="229">
        <v>6</v>
      </c>
      <c r="I944" s="13">
        <v>6</v>
      </c>
      <c r="J944" s="229"/>
      <c r="K944" s="13"/>
      <c r="L944" s="229"/>
      <c r="M944" s="13"/>
      <c r="N944" s="229"/>
      <c r="O944" s="13"/>
      <c r="P944" s="229"/>
      <c r="Q944" s="13"/>
      <c r="R944" s="229"/>
      <c r="S944" s="13"/>
      <c r="T944" s="229"/>
      <c r="U944" s="13">
        <v>46</v>
      </c>
      <c r="V944" s="229"/>
      <c r="W944" s="13"/>
      <c r="X944" s="229"/>
      <c r="Y944" s="13"/>
      <c r="Z944" s="229"/>
      <c r="AA944" s="13">
        <v>3</v>
      </c>
      <c r="AB944" s="229">
        <f t="shared" si="353"/>
        <v>6</v>
      </c>
      <c r="AC944" s="228">
        <f t="shared" si="354"/>
        <v>55</v>
      </c>
      <c r="AD944" s="19">
        <v>95</v>
      </c>
      <c r="AE944" s="229"/>
      <c r="AF944" s="20"/>
      <c r="AG944" s="229"/>
      <c r="AH944" s="20"/>
      <c r="AI944" s="229"/>
      <c r="AJ944" s="20"/>
      <c r="AK944" s="229"/>
      <c r="AL944" s="20"/>
      <c r="AM944" s="229"/>
      <c r="AN944" s="20"/>
      <c r="AO944" s="229">
        <v>1</v>
      </c>
      <c r="AP944" s="20">
        <v>1</v>
      </c>
      <c r="AQ944" s="229"/>
      <c r="AR944" s="20"/>
      <c r="AS944" s="229"/>
      <c r="AT944" s="20"/>
      <c r="AU944" s="229"/>
      <c r="AV944" s="20"/>
      <c r="AW944" s="229"/>
      <c r="AX944" s="20"/>
      <c r="AY944" s="229"/>
      <c r="AZ944" s="20"/>
      <c r="BA944" s="229"/>
      <c r="BB944" s="20"/>
      <c r="BC944" s="229">
        <f t="shared" si="355"/>
        <v>1</v>
      </c>
      <c r="BD944" s="48">
        <f t="shared" si="356"/>
        <v>1</v>
      </c>
      <c r="BE944" s="19">
        <v>4</v>
      </c>
      <c r="BF944" s="229">
        <f t="shared" si="357"/>
        <v>7</v>
      </c>
      <c r="BG944" s="210">
        <f t="shared" si="358"/>
        <v>56</v>
      </c>
      <c r="BH944" s="210">
        <f t="shared" si="349"/>
        <v>99</v>
      </c>
      <c r="BI944" s="213">
        <f t="shared" si="359"/>
        <v>56.56565656565656</v>
      </c>
      <c r="BJ944" s="141"/>
      <c r="BK944" s="201"/>
      <c r="BL944" s="198"/>
      <c r="BM944" s="198"/>
    </row>
    <row r="945" spans="1:65" s="17" customFormat="1" ht="15.95" customHeight="1">
      <c r="A945" s="123">
        <v>11</v>
      </c>
      <c r="B945" s="9" t="s">
        <v>1898</v>
      </c>
      <c r="C945" s="11" t="s">
        <v>1899</v>
      </c>
      <c r="D945" s="229"/>
      <c r="E945" s="13"/>
      <c r="F945" s="229"/>
      <c r="G945" s="13"/>
      <c r="H945" s="229">
        <v>23</v>
      </c>
      <c r="I945" s="13">
        <v>23</v>
      </c>
      <c r="J945" s="229"/>
      <c r="K945" s="13"/>
      <c r="L945" s="229"/>
      <c r="M945" s="13"/>
      <c r="N945" s="229"/>
      <c r="O945" s="13"/>
      <c r="P945" s="229"/>
      <c r="Q945" s="13"/>
      <c r="R945" s="229"/>
      <c r="S945" s="13"/>
      <c r="T945" s="229"/>
      <c r="U945" s="13">
        <v>45</v>
      </c>
      <c r="V945" s="229"/>
      <c r="W945" s="13"/>
      <c r="X945" s="229"/>
      <c r="Y945" s="13"/>
      <c r="Z945" s="229"/>
      <c r="AA945" s="13">
        <v>21</v>
      </c>
      <c r="AB945" s="229">
        <f t="shared" si="353"/>
        <v>23</v>
      </c>
      <c r="AC945" s="228">
        <f t="shared" si="354"/>
        <v>89</v>
      </c>
      <c r="AD945" s="19">
        <v>138</v>
      </c>
      <c r="AE945" s="229"/>
      <c r="AF945" s="20"/>
      <c r="AG945" s="229"/>
      <c r="AH945" s="20"/>
      <c r="AI945" s="229"/>
      <c r="AJ945" s="20"/>
      <c r="AK945" s="229"/>
      <c r="AL945" s="20"/>
      <c r="AM945" s="229"/>
      <c r="AN945" s="20"/>
      <c r="AO945" s="229">
        <v>30</v>
      </c>
      <c r="AP945" s="20">
        <v>30</v>
      </c>
      <c r="AQ945" s="229"/>
      <c r="AR945" s="20"/>
      <c r="AS945" s="229"/>
      <c r="AT945" s="20"/>
      <c r="AU945" s="229"/>
      <c r="AV945" s="20"/>
      <c r="AW945" s="229"/>
      <c r="AX945" s="20"/>
      <c r="AY945" s="229"/>
      <c r="AZ945" s="20"/>
      <c r="BA945" s="229"/>
      <c r="BB945" s="20"/>
      <c r="BC945" s="229">
        <f t="shared" si="355"/>
        <v>30</v>
      </c>
      <c r="BD945" s="48">
        <f t="shared" si="356"/>
        <v>30</v>
      </c>
      <c r="BE945" s="19">
        <v>0</v>
      </c>
      <c r="BF945" s="229">
        <f t="shared" si="357"/>
        <v>53</v>
      </c>
      <c r="BG945" s="210">
        <f t="shared" si="358"/>
        <v>119</v>
      </c>
      <c r="BH945" s="210">
        <f t="shared" si="349"/>
        <v>138</v>
      </c>
      <c r="BI945" s="213">
        <f t="shared" si="359"/>
        <v>86.231884057971016</v>
      </c>
      <c r="BJ945" s="141"/>
      <c r="BK945" s="201"/>
      <c r="BL945" s="198"/>
      <c r="BM945" s="198"/>
    </row>
    <row r="946" spans="1:65" s="17" customFormat="1" ht="15.95" customHeight="1">
      <c r="A946" s="123">
        <v>12</v>
      </c>
      <c r="B946" s="9" t="s">
        <v>985</v>
      </c>
      <c r="C946" s="11" t="s">
        <v>986</v>
      </c>
      <c r="D946" s="229"/>
      <c r="E946" s="13"/>
      <c r="F946" s="229"/>
      <c r="G946" s="13"/>
      <c r="H946" s="229"/>
      <c r="I946" s="13"/>
      <c r="J946" s="229"/>
      <c r="K946" s="13"/>
      <c r="L946" s="229"/>
      <c r="M946" s="13"/>
      <c r="N946" s="229"/>
      <c r="O946" s="13"/>
      <c r="P946" s="229"/>
      <c r="Q946" s="13"/>
      <c r="R946" s="229"/>
      <c r="S946" s="13"/>
      <c r="T946" s="229"/>
      <c r="U946" s="13"/>
      <c r="V946" s="229"/>
      <c r="W946" s="13"/>
      <c r="X946" s="229"/>
      <c r="Y946" s="13"/>
      <c r="Z946" s="229"/>
      <c r="AA946" s="13"/>
      <c r="AB946" s="229">
        <f t="shared" si="353"/>
        <v>0</v>
      </c>
      <c r="AC946" s="228">
        <f t="shared" si="354"/>
        <v>0</v>
      </c>
      <c r="AD946" s="19">
        <v>175</v>
      </c>
      <c r="AE946" s="229"/>
      <c r="AF946" s="20"/>
      <c r="AG946" s="229"/>
      <c r="AH946" s="20"/>
      <c r="AI946" s="229"/>
      <c r="AJ946" s="20"/>
      <c r="AK946" s="229"/>
      <c r="AL946" s="20"/>
      <c r="AM946" s="229"/>
      <c r="AN946" s="20"/>
      <c r="AO946" s="229"/>
      <c r="AP946" s="20"/>
      <c r="AQ946" s="229"/>
      <c r="AR946" s="20"/>
      <c r="AS946" s="229"/>
      <c r="AT946" s="20"/>
      <c r="AU946" s="229"/>
      <c r="AV946" s="20"/>
      <c r="AW946" s="229"/>
      <c r="AX946" s="20"/>
      <c r="AY946" s="229"/>
      <c r="AZ946" s="20"/>
      <c r="BA946" s="229"/>
      <c r="BB946" s="20"/>
      <c r="BC946" s="229">
        <f t="shared" si="355"/>
        <v>0</v>
      </c>
      <c r="BD946" s="48">
        <f t="shared" si="356"/>
        <v>0</v>
      </c>
      <c r="BE946" s="19">
        <v>3</v>
      </c>
      <c r="BF946" s="229">
        <f t="shared" si="357"/>
        <v>0</v>
      </c>
      <c r="BG946" s="210">
        <f t="shared" si="358"/>
        <v>0</v>
      </c>
      <c r="BH946" s="210">
        <f t="shared" si="349"/>
        <v>178</v>
      </c>
      <c r="BI946" s="213">
        <f t="shared" si="359"/>
        <v>0</v>
      </c>
      <c r="BJ946" s="141"/>
      <c r="BK946" s="201"/>
      <c r="BL946" s="198"/>
      <c r="BM946" s="198"/>
    </row>
    <row r="947" spans="1:65" s="17" customFormat="1" ht="21.95" customHeight="1">
      <c r="A947" s="380" t="s">
        <v>543</v>
      </c>
      <c r="B947" s="380"/>
      <c r="C947" s="380"/>
      <c r="D947" s="22">
        <f t="shared" ref="D947:AA947" si="360">SUM(D948:D953)</f>
        <v>0</v>
      </c>
      <c r="E947" s="22">
        <f t="shared" si="360"/>
        <v>0</v>
      </c>
      <c r="F947" s="22">
        <f t="shared" si="360"/>
        <v>0</v>
      </c>
      <c r="G947" s="22">
        <f t="shared" si="360"/>
        <v>0</v>
      </c>
      <c r="H947" s="22">
        <f t="shared" si="360"/>
        <v>2</v>
      </c>
      <c r="I947" s="22">
        <f t="shared" si="360"/>
        <v>2</v>
      </c>
      <c r="J947" s="22">
        <f t="shared" si="360"/>
        <v>0</v>
      </c>
      <c r="K947" s="22">
        <f t="shared" si="360"/>
        <v>0</v>
      </c>
      <c r="L947" s="22">
        <f t="shared" si="360"/>
        <v>0</v>
      </c>
      <c r="M947" s="22">
        <f t="shared" si="360"/>
        <v>0</v>
      </c>
      <c r="N947" s="22">
        <f t="shared" si="360"/>
        <v>0</v>
      </c>
      <c r="O947" s="22">
        <f t="shared" si="360"/>
        <v>0</v>
      </c>
      <c r="P947" s="22">
        <f t="shared" si="360"/>
        <v>0</v>
      </c>
      <c r="Q947" s="22">
        <f t="shared" si="360"/>
        <v>0</v>
      </c>
      <c r="R947" s="22">
        <f t="shared" si="360"/>
        <v>0</v>
      </c>
      <c r="S947" s="22">
        <f t="shared" si="360"/>
        <v>0</v>
      </c>
      <c r="T947" s="22">
        <f t="shared" si="360"/>
        <v>0</v>
      </c>
      <c r="U947" s="22">
        <f t="shared" si="360"/>
        <v>15</v>
      </c>
      <c r="V947" s="22">
        <f t="shared" si="360"/>
        <v>0</v>
      </c>
      <c r="W947" s="22">
        <f t="shared" si="360"/>
        <v>0</v>
      </c>
      <c r="X947" s="22">
        <f t="shared" si="360"/>
        <v>0</v>
      </c>
      <c r="Y947" s="22">
        <f t="shared" si="360"/>
        <v>0</v>
      </c>
      <c r="Z947" s="22">
        <f t="shared" si="360"/>
        <v>0</v>
      </c>
      <c r="AA947" s="22">
        <f t="shared" si="360"/>
        <v>9</v>
      </c>
      <c r="AB947" s="22">
        <f t="shared" ref="AB947:AB1011" si="361">D947+F947+H947+J947+L947+N947+P947+R947+T947+V947+X947+Z947</f>
        <v>2</v>
      </c>
      <c r="AC947" s="22">
        <f t="shared" ref="AC947:AC1011" si="362">E947+G947+I947+K947+M947+O947+Q947+S947+U947+W947+Y947+AA947</f>
        <v>26</v>
      </c>
      <c r="AD947" s="23">
        <f t="shared" ref="AD947:BB947" si="363">SUM(AD948:AD953)</f>
        <v>99</v>
      </c>
      <c r="AE947" s="22">
        <f t="shared" si="363"/>
        <v>0</v>
      </c>
      <c r="AF947" s="23">
        <f t="shared" si="363"/>
        <v>0</v>
      </c>
      <c r="AG947" s="22">
        <f t="shared" si="363"/>
        <v>0</v>
      </c>
      <c r="AH947" s="23">
        <f t="shared" si="363"/>
        <v>0</v>
      </c>
      <c r="AI947" s="22">
        <f t="shared" si="363"/>
        <v>0</v>
      </c>
      <c r="AJ947" s="23">
        <f t="shared" si="363"/>
        <v>0</v>
      </c>
      <c r="AK947" s="22">
        <f t="shared" si="363"/>
        <v>0</v>
      </c>
      <c r="AL947" s="23">
        <f t="shared" si="363"/>
        <v>0</v>
      </c>
      <c r="AM947" s="22">
        <f t="shared" si="363"/>
        <v>0</v>
      </c>
      <c r="AN947" s="23">
        <f t="shared" si="363"/>
        <v>0</v>
      </c>
      <c r="AO947" s="22">
        <f t="shared" si="363"/>
        <v>27</v>
      </c>
      <c r="AP947" s="23">
        <f t="shared" si="363"/>
        <v>28</v>
      </c>
      <c r="AQ947" s="22">
        <f t="shared" si="363"/>
        <v>0</v>
      </c>
      <c r="AR947" s="23">
        <f t="shared" si="363"/>
        <v>0</v>
      </c>
      <c r="AS947" s="22">
        <f t="shared" si="363"/>
        <v>0</v>
      </c>
      <c r="AT947" s="23">
        <f t="shared" si="363"/>
        <v>0</v>
      </c>
      <c r="AU947" s="22">
        <f t="shared" si="363"/>
        <v>0</v>
      </c>
      <c r="AV947" s="23">
        <f t="shared" si="363"/>
        <v>0</v>
      </c>
      <c r="AW947" s="22">
        <f t="shared" si="363"/>
        <v>0</v>
      </c>
      <c r="AX947" s="23">
        <f t="shared" si="363"/>
        <v>0</v>
      </c>
      <c r="AY947" s="22">
        <f t="shared" si="363"/>
        <v>0</v>
      </c>
      <c r="AZ947" s="23">
        <f t="shared" si="363"/>
        <v>0</v>
      </c>
      <c r="BA947" s="22">
        <f t="shared" si="363"/>
        <v>0</v>
      </c>
      <c r="BB947" s="23">
        <f t="shared" si="363"/>
        <v>5</v>
      </c>
      <c r="BC947" s="22">
        <f t="shared" ref="BC947:BC1011" si="364">AE947+AG947+AI947+AK947+AM947+AO947+AQ947+AS947+AU947+AW947+AY947+BA947</f>
        <v>27</v>
      </c>
      <c r="BD947" s="215">
        <f t="shared" ref="BD947:BD1011" si="365">AF947+AH947+AJ947+AL947+AN947+AP947+AR947+AT947+AV947+AX947+AZ947+BB947</f>
        <v>33</v>
      </c>
      <c r="BE947" s="23">
        <f>SUM(BE948:BE953)</f>
        <v>2</v>
      </c>
      <c r="BF947" s="22">
        <f t="shared" ref="BF947:BF1011" si="366">AB947+BC947</f>
        <v>29</v>
      </c>
      <c r="BG947" s="215">
        <f t="shared" ref="BG947:BG1011" si="367">AC947+BD947</f>
        <v>59</v>
      </c>
      <c r="BH947" s="215">
        <f t="shared" si="349"/>
        <v>101</v>
      </c>
      <c r="BI947" s="273">
        <f t="shared" ref="BI947:BI1011" si="368">BG947/BH947*100</f>
        <v>58.415841584158414</v>
      </c>
      <c r="BJ947" s="140">
        <v>101</v>
      </c>
      <c r="BK947" s="203">
        <f>BJ947-BH947</f>
        <v>0</v>
      </c>
      <c r="BL947" s="198"/>
      <c r="BM947" s="198"/>
    </row>
    <row r="948" spans="1:65" s="17" customFormat="1" ht="15.95" customHeight="1">
      <c r="A948" s="123">
        <v>1</v>
      </c>
      <c r="B948" s="9" t="s">
        <v>540</v>
      </c>
      <c r="C948" s="11" t="s">
        <v>2026</v>
      </c>
      <c r="D948" s="229"/>
      <c r="E948" s="13"/>
      <c r="F948" s="229"/>
      <c r="G948" s="13"/>
      <c r="H948" s="229"/>
      <c r="I948" s="13"/>
      <c r="J948" s="229"/>
      <c r="K948" s="13"/>
      <c r="L948" s="229"/>
      <c r="M948" s="13"/>
      <c r="N948" s="229"/>
      <c r="O948" s="13"/>
      <c r="P948" s="229"/>
      <c r="Q948" s="13"/>
      <c r="R948" s="229"/>
      <c r="S948" s="13"/>
      <c r="T948" s="229"/>
      <c r="U948" s="13"/>
      <c r="V948" s="229"/>
      <c r="W948" s="13"/>
      <c r="X948" s="229"/>
      <c r="Y948" s="13"/>
      <c r="Z948" s="229"/>
      <c r="AA948" s="13"/>
      <c r="AB948" s="229">
        <f t="shared" ref="AB948:AC953" si="369">D948+F948+H948+J948+L948+N948+P948+R948+T948+V948+X948+Z948</f>
        <v>0</v>
      </c>
      <c r="AC948" s="228">
        <f t="shared" si="369"/>
        <v>0</v>
      </c>
      <c r="AD948" s="19">
        <v>2</v>
      </c>
      <c r="AE948" s="229"/>
      <c r="AF948" s="20"/>
      <c r="AG948" s="229"/>
      <c r="AH948" s="20"/>
      <c r="AI948" s="229"/>
      <c r="AJ948" s="20"/>
      <c r="AK948" s="229"/>
      <c r="AL948" s="20"/>
      <c r="AM948" s="229"/>
      <c r="AN948" s="20"/>
      <c r="AO948" s="229"/>
      <c r="AP948" s="20"/>
      <c r="AQ948" s="229"/>
      <c r="AR948" s="20"/>
      <c r="AS948" s="229"/>
      <c r="AT948" s="20"/>
      <c r="AU948" s="229"/>
      <c r="AV948" s="20"/>
      <c r="AW948" s="229"/>
      <c r="AX948" s="20"/>
      <c r="AY948" s="229"/>
      <c r="AZ948" s="20"/>
      <c r="BA948" s="229"/>
      <c r="BB948" s="20"/>
      <c r="BC948" s="229">
        <f t="shared" ref="BC948:BD953" si="370">AE948+AG948+AI948+AK948+AM948+AO948+AQ948+AS948+AU948+AW948+AY948+BA948</f>
        <v>0</v>
      </c>
      <c r="BD948" s="48">
        <f t="shared" si="370"/>
        <v>0</v>
      </c>
      <c r="BE948" s="19">
        <v>0</v>
      </c>
      <c r="BF948" s="229">
        <f>AB948+BC948</f>
        <v>0</v>
      </c>
      <c r="BG948" s="210">
        <f>AC948+BD948</f>
        <v>0</v>
      </c>
      <c r="BH948" s="210">
        <f>AD948+BE948</f>
        <v>2</v>
      </c>
      <c r="BI948" s="213">
        <f t="shared" ref="BI948:BI953" si="371">BG948/BH948*100</f>
        <v>0</v>
      </c>
      <c r="BJ948" s="141"/>
      <c r="BK948" s="201"/>
      <c r="BL948" s="198"/>
      <c r="BM948" s="198"/>
    </row>
    <row r="949" spans="1:65" s="17" customFormat="1" ht="15.95" customHeight="1">
      <c r="A949" s="123">
        <v>2</v>
      </c>
      <c r="B949" s="9" t="s">
        <v>495</v>
      </c>
      <c r="C949" s="11" t="s">
        <v>2610</v>
      </c>
      <c r="D949" s="229"/>
      <c r="E949" s="13"/>
      <c r="F949" s="229"/>
      <c r="G949" s="13"/>
      <c r="H949" s="229"/>
      <c r="I949" s="13"/>
      <c r="J949" s="229"/>
      <c r="K949" s="13"/>
      <c r="L949" s="229"/>
      <c r="M949" s="13"/>
      <c r="N949" s="229"/>
      <c r="O949" s="13"/>
      <c r="P949" s="229"/>
      <c r="Q949" s="13"/>
      <c r="R949" s="229"/>
      <c r="S949" s="13"/>
      <c r="T949" s="229"/>
      <c r="U949" s="13"/>
      <c r="V949" s="229"/>
      <c r="W949" s="13"/>
      <c r="X949" s="229"/>
      <c r="Y949" s="13"/>
      <c r="Z949" s="229"/>
      <c r="AA949" s="13">
        <v>3</v>
      </c>
      <c r="AB949" s="229">
        <f t="shared" si="369"/>
        <v>0</v>
      </c>
      <c r="AC949" s="228">
        <f t="shared" si="369"/>
        <v>3</v>
      </c>
      <c r="AD949" s="19">
        <v>0</v>
      </c>
      <c r="AE949" s="229"/>
      <c r="AF949" s="20"/>
      <c r="AG949" s="229"/>
      <c r="AH949" s="20"/>
      <c r="AI949" s="229"/>
      <c r="AJ949" s="20"/>
      <c r="AK949" s="229"/>
      <c r="AL949" s="20"/>
      <c r="AM949" s="229"/>
      <c r="AN949" s="20"/>
      <c r="AO949" s="229">
        <f>1+1</f>
        <v>2</v>
      </c>
      <c r="AP949" s="20">
        <f>1+1</f>
        <v>2</v>
      </c>
      <c r="AQ949" s="229"/>
      <c r="AR949" s="20"/>
      <c r="AS949" s="229"/>
      <c r="AT949" s="20"/>
      <c r="AU949" s="229"/>
      <c r="AV949" s="20"/>
      <c r="AW949" s="229"/>
      <c r="AX949" s="20"/>
      <c r="AY949" s="229"/>
      <c r="AZ949" s="20"/>
      <c r="BA949" s="229"/>
      <c r="BB949" s="20"/>
      <c r="BC949" s="229">
        <f t="shared" si="370"/>
        <v>2</v>
      </c>
      <c r="BD949" s="48">
        <f t="shared" si="370"/>
        <v>2</v>
      </c>
      <c r="BE949" s="19">
        <v>0</v>
      </c>
      <c r="BF949" s="229"/>
      <c r="BG949" s="210">
        <f t="shared" ref="BG949:BH953" si="372">AC949+BD949</f>
        <v>5</v>
      </c>
      <c r="BH949" s="210">
        <f t="shared" si="372"/>
        <v>0</v>
      </c>
      <c r="BI949" s="213" t="e">
        <f t="shared" si="371"/>
        <v>#DIV/0!</v>
      </c>
      <c r="BJ949" s="141"/>
      <c r="BK949" s="201"/>
      <c r="BL949" s="198"/>
      <c r="BM949" s="198"/>
    </row>
    <row r="950" spans="1:65" s="17" customFormat="1" ht="15.95" customHeight="1">
      <c r="A950" s="123">
        <v>3</v>
      </c>
      <c r="B950" s="9" t="s">
        <v>474</v>
      </c>
      <c r="C950" s="11" t="s">
        <v>475</v>
      </c>
      <c r="D950" s="229"/>
      <c r="E950" s="13"/>
      <c r="F950" s="229"/>
      <c r="G950" s="13"/>
      <c r="H950" s="229">
        <v>2</v>
      </c>
      <c r="I950" s="13">
        <v>2</v>
      </c>
      <c r="J950" s="229"/>
      <c r="K950" s="13"/>
      <c r="L950" s="229"/>
      <c r="M950" s="13"/>
      <c r="N950" s="229"/>
      <c r="O950" s="13"/>
      <c r="P950" s="229"/>
      <c r="Q950" s="13"/>
      <c r="R950" s="229"/>
      <c r="S950" s="13"/>
      <c r="T950" s="229"/>
      <c r="U950" s="13">
        <v>5</v>
      </c>
      <c r="V950" s="229"/>
      <c r="W950" s="13"/>
      <c r="X950" s="229"/>
      <c r="Y950" s="13"/>
      <c r="Z950" s="229"/>
      <c r="AA950" s="13">
        <v>3</v>
      </c>
      <c r="AB950" s="229">
        <f t="shared" si="369"/>
        <v>2</v>
      </c>
      <c r="AC950" s="228">
        <f t="shared" si="369"/>
        <v>10</v>
      </c>
      <c r="AD950" s="19">
        <f>29+6</f>
        <v>35</v>
      </c>
      <c r="AE950" s="229"/>
      <c r="AF950" s="20"/>
      <c r="AG950" s="229"/>
      <c r="AH950" s="20"/>
      <c r="AI950" s="229"/>
      <c r="AJ950" s="20"/>
      <c r="AK950" s="229"/>
      <c r="AL950" s="20"/>
      <c r="AM950" s="229"/>
      <c r="AN950" s="20"/>
      <c r="AO950" s="229">
        <v>2</v>
      </c>
      <c r="AP950" s="20">
        <v>2</v>
      </c>
      <c r="AQ950" s="229"/>
      <c r="AR950" s="20"/>
      <c r="AS950" s="229"/>
      <c r="AT950" s="20"/>
      <c r="AU950" s="229"/>
      <c r="AV950" s="20"/>
      <c r="AW950" s="229"/>
      <c r="AX950" s="20"/>
      <c r="AY950" s="229"/>
      <c r="AZ950" s="20"/>
      <c r="BA950" s="229"/>
      <c r="BB950" s="20"/>
      <c r="BC950" s="229">
        <f t="shared" si="370"/>
        <v>2</v>
      </c>
      <c r="BD950" s="48">
        <f t="shared" si="370"/>
        <v>2</v>
      </c>
      <c r="BE950" s="19">
        <v>0</v>
      </c>
      <c r="BF950" s="229">
        <f>AB950+BC950</f>
        <v>4</v>
      </c>
      <c r="BG950" s="210">
        <f t="shared" si="372"/>
        <v>12</v>
      </c>
      <c r="BH950" s="210">
        <f t="shared" si="372"/>
        <v>35</v>
      </c>
      <c r="BI950" s="213">
        <f t="shared" si="371"/>
        <v>34.285714285714285</v>
      </c>
      <c r="BJ950" s="141"/>
      <c r="BK950" s="201"/>
      <c r="BL950" s="198"/>
      <c r="BM950" s="198"/>
    </row>
    <row r="951" spans="1:65" s="17" customFormat="1" ht="15.95" customHeight="1">
      <c r="A951" s="123">
        <v>4</v>
      </c>
      <c r="B951" s="9" t="s">
        <v>1576</v>
      </c>
      <c r="C951" s="11" t="s">
        <v>2495</v>
      </c>
      <c r="D951" s="229"/>
      <c r="E951" s="13"/>
      <c r="F951" s="229"/>
      <c r="G951" s="13"/>
      <c r="H951" s="290"/>
      <c r="I951" s="290"/>
      <c r="J951" s="229"/>
      <c r="K951" s="13"/>
      <c r="L951" s="229"/>
      <c r="M951" s="13"/>
      <c r="N951" s="229"/>
      <c r="O951" s="13"/>
      <c r="P951" s="229"/>
      <c r="Q951" s="13"/>
      <c r="R951" s="229"/>
      <c r="S951" s="13"/>
      <c r="T951" s="229"/>
      <c r="U951" s="13"/>
      <c r="V951" s="229"/>
      <c r="W951" s="13"/>
      <c r="X951" s="229"/>
      <c r="Y951" s="13"/>
      <c r="Z951" s="229"/>
      <c r="AA951" s="13"/>
      <c r="AB951" s="229">
        <f t="shared" si="369"/>
        <v>0</v>
      </c>
      <c r="AC951" s="228">
        <f t="shared" si="369"/>
        <v>0</v>
      </c>
      <c r="AD951" s="19">
        <v>40</v>
      </c>
      <c r="AE951" s="229"/>
      <c r="AF951" s="20"/>
      <c r="AG951" s="229"/>
      <c r="AH951" s="20"/>
      <c r="AI951" s="229"/>
      <c r="AJ951" s="20"/>
      <c r="AK951" s="229"/>
      <c r="AL951" s="20"/>
      <c r="AM951" s="229"/>
      <c r="AN951" s="20"/>
      <c r="AO951" s="229">
        <f>1+10</f>
        <v>11</v>
      </c>
      <c r="AP951" s="20">
        <f>1+11</f>
        <v>12</v>
      </c>
      <c r="AQ951" s="229"/>
      <c r="AR951" s="20"/>
      <c r="AS951" s="229"/>
      <c r="AT951" s="20"/>
      <c r="AU951" s="229"/>
      <c r="AV951" s="20"/>
      <c r="AW951" s="229"/>
      <c r="AX951" s="20"/>
      <c r="AY951" s="229"/>
      <c r="AZ951" s="20"/>
      <c r="BA951" s="229"/>
      <c r="BB951" s="20">
        <v>5</v>
      </c>
      <c r="BC951" s="229">
        <f t="shared" si="370"/>
        <v>11</v>
      </c>
      <c r="BD951" s="48">
        <f t="shared" si="370"/>
        <v>17</v>
      </c>
      <c r="BE951" s="19">
        <v>0</v>
      </c>
      <c r="BF951" s="229">
        <f>AB951+BC951</f>
        <v>11</v>
      </c>
      <c r="BG951" s="210">
        <f t="shared" si="372"/>
        <v>17</v>
      </c>
      <c r="BH951" s="210">
        <f t="shared" si="372"/>
        <v>40</v>
      </c>
      <c r="BI951" s="213">
        <f t="shared" si="371"/>
        <v>42.5</v>
      </c>
      <c r="BJ951" s="141"/>
      <c r="BK951" s="201"/>
      <c r="BL951" s="198"/>
      <c r="BM951" s="198"/>
    </row>
    <row r="952" spans="1:65" s="17" customFormat="1" ht="15.95" customHeight="1">
      <c r="A952" s="123">
        <v>5</v>
      </c>
      <c r="B952" s="9" t="s">
        <v>317</v>
      </c>
      <c r="C952" s="11" t="s">
        <v>318</v>
      </c>
      <c r="D952" s="229"/>
      <c r="E952" s="13"/>
      <c r="F952" s="229"/>
      <c r="G952" s="13"/>
      <c r="H952" s="229"/>
      <c r="I952" s="13"/>
      <c r="J952" s="229"/>
      <c r="K952" s="13"/>
      <c r="L952" s="229"/>
      <c r="M952" s="13"/>
      <c r="N952" s="229"/>
      <c r="O952" s="13"/>
      <c r="P952" s="229"/>
      <c r="Q952" s="13"/>
      <c r="R952" s="229"/>
      <c r="S952" s="13"/>
      <c r="T952" s="229"/>
      <c r="U952" s="13"/>
      <c r="V952" s="229"/>
      <c r="W952" s="13"/>
      <c r="X952" s="229"/>
      <c r="Y952" s="13"/>
      <c r="Z952" s="229"/>
      <c r="AA952" s="13"/>
      <c r="AB952" s="229">
        <f t="shared" si="369"/>
        <v>0</v>
      </c>
      <c r="AC952" s="228">
        <f t="shared" si="369"/>
        <v>0</v>
      </c>
      <c r="AD952" s="19">
        <v>1</v>
      </c>
      <c r="AE952" s="229"/>
      <c r="AF952" s="20"/>
      <c r="AG952" s="229"/>
      <c r="AH952" s="20"/>
      <c r="AI952" s="229"/>
      <c r="AJ952" s="20"/>
      <c r="AK952" s="229"/>
      <c r="AL952" s="20"/>
      <c r="AM952" s="229"/>
      <c r="AN952" s="20"/>
      <c r="AO952" s="229"/>
      <c r="AP952" s="20"/>
      <c r="AQ952" s="229"/>
      <c r="AR952" s="20"/>
      <c r="AS952" s="229"/>
      <c r="AT952" s="20"/>
      <c r="AU952" s="229"/>
      <c r="AV952" s="20"/>
      <c r="AW952" s="229"/>
      <c r="AX952" s="20"/>
      <c r="AY952" s="229"/>
      <c r="AZ952" s="20"/>
      <c r="BA952" s="229"/>
      <c r="BB952" s="20"/>
      <c r="BC952" s="229">
        <f t="shared" si="370"/>
        <v>0</v>
      </c>
      <c r="BD952" s="48">
        <f t="shared" si="370"/>
        <v>0</v>
      </c>
      <c r="BE952" s="19">
        <v>0</v>
      </c>
      <c r="BF952" s="229">
        <f>AB952+BC952</f>
        <v>0</v>
      </c>
      <c r="BG952" s="210">
        <f t="shared" si="372"/>
        <v>0</v>
      </c>
      <c r="BH952" s="210">
        <f t="shared" si="372"/>
        <v>1</v>
      </c>
      <c r="BI952" s="213">
        <f t="shared" si="371"/>
        <v>0</v>
      </c>
      <c r="BJ952" s="141"/>
      <c r="BK952" s="201"/>
      <c r="BL952" s="198"/>
      <c r="BM952" s="198"/>
    </row>
    <row r="953" spans="1:65" s="17" customFormat="1" ht="15.95" customHeight="1">
      <c r="A953" s="123">
        <v>6</v>
      </c>
      <c r="B953" s="9" t="s">
        <v>1898</v>
      </c>
      <c r="C953" s="11" t="s">
        <v>1899</v>
      </c>
      <c r="D953" s="229"/>
      <c r="E953" s="13"/>
      <c r="F953" s="229"/>
      <c r="G953" s="13"/>
      <c r="H953" s="290"/>
      <c r="I953" s="290"/>
      <c r="J953" s="229"/>
      <c r="K953" s="13"/>
      <c r="L953" s="229"/>
      <c r="M953" s="13"/>
      <c r="N953" s="229"/>
      <c r="O953" s="13"/>
      <c r="P953" s="229"/>
      <c r="Q953" s="13"/>
      <c r="R953" s="229"/>
      <c r="S953" s="13"/>
      <c r="T953" s="229"/>
      <c r="U953" s="13">
        <f>8+2</f>
        <v>10</v>
      </c>
      <c r="V953" s="229"/>
      <c r="W953" s="13"/>
      <c r="X953" s="229"/>
      <c r="Y953" s="13"/>
      <c r="Z953" s="229"/>
      <c r="AA953" s="13">
        <v>3</v>
      </c>
      <c r="AB953" s="229">
        <f t="shared" si="369"/>
        <v>0</v>
      </c>
      <c r="AC953" s="228">
        <f t="shared" si="369"/>
        <v>13</v>
      </c>
      <c r="AD953" s="19">
        <v>21</v>
      </c>
      <c r="AE953" s="229"/>
      <c r="AF953" s="20"/>
      <c r="AG953" s="229"/>
      <c r="AH953" s="20"/>
      <c r="AI953" s="229"/>
      <c r="AJ953" s="20"/>
      <c r="AK953" s="229"/>
      <c r="AL953" s="20"/>
      <c r="AM953" s="229"/>
      <c r="AN953" s="20"/>
      <c r="AO953" s="229">
        <f>8+2+2</f>
        <v>12</v>
      </c>
      <c r="AP953" s="20">
        <f>8+2+2</f>
        <v>12</v>
      </c>
      <c r="AQ953" s="229"/>
      <c r="AR953" s="20"/>
      <c r="AS953" s="229"/>
      <c r="AT953" s="20"/>
      <c r="AU953" s="229"/>
      <c r="AV953" s="20"/>
      <c r="AW953" s="229"/>
      <c r="AX953" s="20"/>
      <c r="AY953" s="229"/>
      <c r="AZ953" s="20"/>
      <c r="BA953" s="229"/>
      <c r="BB953" s="20"/>
      <c r="BC953" s="229">
        <f t="shared" si="370"/>
        <v>12</v>
      </c>
      <c r="BD953" s="48">
        <f t="shared" si="370"/>
        <v>12</v>
      </c>
      <c r="BE953" s="19">
        <v>2</v>
      </c>
      <c r="BF953" s="229">
        <f>AB953+BC953</f>
        <v>12</v>
      </c>
      <c r="BG953" s="210">
        <f t="shared" si="372"/>
        <v>25</v>
      </c>
      <c r="BH953" s="210">
        <f t="shared" si="372"/>
        <v>23</v>
      </c>
      <c r="BI953" s="213">
        <f t="shared" si="371"/>
        <v>108.69565217391303</v>
      </c>
      <c r="BJ953" s="141"/>
      <c r="BK953" s="201"/>
      <c r="BL953" s="198"/>
      <c r="BM953" s="198"/>
    </row>
    <row r="954" spans="1:65" s="17" customFormat="1" ht="21.95" customHeight="1">
      <c r="A954" s="380" t="s">
        <v>544</v>
      </c>
      <c r="B954" s="380"/>
      <c r="C954" s="380"/>
      <c r="D954" s="22">
        <f t="shared" ref="D954:F954" si="373">SUM(D955:D962)</f>
        <v>0</v>
      </c>
      <c r="E954" s="22">
        <f t="shared" ref="E954:BE954" si="374">SUM(E955:E962)</f>
        <v>0</v>
      </c>
      <c r="F954" s="22">
        <f t="shared" si="373"/>
        <v>0</v>
      </c>
      <c r="G954" s="22">
        <f t="shared" si="374"/>
        <v>0</v>
      </c>
      <c r="H954" s="283">
        <f t="shared" si="374"/>
        <v>12</v>
      </c>
      <c r="I954" s="283">
        <f t="shared" si="374"/>
        <v>12</v>
      </c>
      <c r="J954" s="22">
        <f t="shared" si="374"/>
        <v>0</v>
      </c>
      <c r="K954" s="22">
        <f t="shared" si="374"/>
        <v>0</v>
      </c>
      <c r="L954" s="22">
        <f t="shared" si="374"/>
        <v>0</v>
      </c>
      <c r="M954" s="22">
        <f t="shared" si="374"/>
        <v>0</v>
      </c>
      <c r="N954" s="22">
        <f t="shared" si="374"/>
        <v>0</v>
      </c>
      <c r="O954" s="22">
        <f t="shared" si="374"/>
        <v>0</v>
      </c>
      <c r="P954" s="22">
        <f t="shared" si="374"/>
        <v>0</v>
      </c>
      <c r="Q954" s="22">
        <f t="shared" si="374"/>
        <v>0</v>
      </c>
      <c r="R954" s="22">
        <f t="shared" si="374"/>
        <v>0</v>
      </c>
      <c r="S954" s="22">
        <f t="shared" si="374"/>
        <v>0</v>
      </c>
      <c r="T954" s="22">
        <f t="shared" si="374"/>
        <v>0</v>
      </c>
      <c r="U954" s="22">
        <f t="shared" si="374"/>
        <v>159</v>
      </c>
      <c r="V954" s="22">
        <f t="shared" si="374"/>
        <v>0</v>
      </c>
      <c r="W954" s="22">
        <f t="shared" si="374"/>
        <v>0</v>
      </c>
      <c r="X954" s="22">
        <f t="shared" si="374"/>
        <v>0</v>
      </c>
      <c r="Y954" s="22">
        <f t="shared" si="374"/>
        <v>0</v>
      </c>
      <c r="Z954" s="22">
        <f t="shared" si="374"/>
        <v>0</v>
      </c>
      <c r="AA954" s="22">
        <f t="shared" si="374"/>
        <v>120</v>
      </c>
      <c r="AB954" s="22">
        <f t="shared" si="361"/>
        <v>12</v>
      </c>
      <c r="AC954" s="22">
        <f t="shared" si="362"/>
        <v>291</v>
      </c>
      <c r="AD954" s="23">
        <f t="shared" si="374"/>
        <v>411</v>
      </c>
      <c r="AE954" s="22">
        <f t="shared" si="374"/>
        <v>0</v>
      </c>
      <c r="AF954" s="23">
        <f t="shared" si="374"/>
        <v>0</v>
      </c>
      <c r="AG954" s="22">
        <f t="shared" si="374"/>
        <v>0</v>
      </c>
      <c r="AH954" s="23">
        <f t="shared" si="374"/>
        <v>0</v>
      </c>
      <c r="AI954" s="22">
        <f t="shared" si="374"/>
        <v>0</v>
      </c>
      <c r="AJ954" s="23">
        <f t="shared" si="374"/>
        <v>0</v>
      </c>
      <c r="AK954" s="22">
        <f t="shared" si="374"/>
        <v>0</v>
      </c>
      <c r="AL954" s="23">
        <f t="shared" si="374"/>
        <v>0</v>
      </c>
      <c r="AM954" s="22">
        <f t="shared" si="374"/>
        <v>0</v>
      </c>
      <c r="AN954" s="23">
        <f t="shared" si="374"/>
        <v>0</v>
      </c>
      <c r="AO954" s="22">
        <f t="shared" si="374"/>
        <v>163</v>
      </c>
      <c r="AP954" s="23">
        <f t="shared" si="374"/>
        <v>163</v>
      </c>
      <c r="AQ954" s="22">
        <f t="shared" si="374"/>
        <v>0</v>
      </c>
      <c r="AR954" s="23">
        <f t="shared" si="374"/>
        <v>0</v>
      </c>
      <c r="AS954" s="22">
        <f t="shared" si="374"/>
        <v>0</v>
      </c>
      <c r="AT954" s="23">
        <f t="shared" si="374"/>
        <v>0</v>
      </c>
      <c r="AU954" s="22">
        <f t="shared" si="374"/>
        <v>0</v>
      </c>
      <c r="AV954" s="23">
        <f t="shared" si="374"/>
        <v>0</v>
      </c>
      <c r="AW954" s="22">
        <f t="shared" si="374"/>
        <v>0</v>
      </c>
      <c r="AX954" s="23">
        <f t="shared" si="374"/>
        <v>0</v>
      </c>
      <c r="AY954" s="22">
        <f t="shared" si="374"/>
        <v>0</v>
      </c>
      <c r="AZ954" s="23">
        <f t="shared" si="374"/>
        <v>0</v>
      </c>
      <c r="BA954" s="22">
        <f t="shared" si="374"/>
        <v>0</v>
      </c>
      <c r="BB954" s="23">
        <f t="shared" si="374"/>
        <v>0</v>
      </c>
      <c r="BC954" s="22">
        <f t="shared" si="364"/>
        <v>163</v>
      </c>
      <c r="BD954" s="215">
        <f t="shared" si="365"/>
        <v>163</v>
      </c>
      <c r="BE954" s="23">
        <f t="shared" si="374"/>
        <v>2</v>
      </c>
      <c r="BF954" s="22">
        <f t="shared" si="366"/>
        <v>175</v>
      </c>
      <c r="BG954" s="215">
        <f t="shared" si="367"/>
        <v>454</v>
      </c>
      <c r="BH954" s="215">
        <f t="shared" si="349"/>
        <v>413</v>
      </c>
      <c r="BI954" s="273">
        <f t="shared" si="368"/>
        <v>109.9273607748184</v>
      </c>
      <c r="BJ954" s="140">
        <v>413</v>
      </c>
      <c r="BK954" s="203">
        <f>BJ954-BH954</f>
        <v>0</v>
      </c>
      <c r="BL954" s="198"/>
      <c r="BM954" s="198"/>
    </row>
    <row r="955" spans="1:65" s="17" customFormat="1" ht="15.95" customHeight="1">
      <c r="A955" s="123">
        <v>1</v>
      </c>
      <c r="B955" s="9" t="s">
        <v>540</v>
      </c>
      <c r="C955" s="11" t="s">
        <v>1953</v>
      </c>
      <c r="D955" s="229"/>
      <c r="E955" s="13"/>
      <c r="F955" s="229"/>
      <c r="G955" s="13"/>
      <c r="H955" s="229"/>
      <c r="I955" s="13"/>
      <c r="J955" s="229"/>
      <c r="K955" s="13"/>
      <c r="L955" s="229"/>
      <c r="M955" s="13"/>
      <c r="N955" s="229"/>
      <c r="O955" s="13"/>
      <c r="P955" s="229"/>
      <c r="Q955" s="13"/>
      <c r="R955" s="229"/>
      <c r="S955" s="13"/>
      <c r="T955" s="229"/>
      <c r="U955" s="13"/>
      <c r="V955" s="229"/>
      <c r="W955" s="13"/>
      <c r="X955" s="229"/>
      <c r="Y955" s="13"/>
      <c r="Z955" s="229"/>
      <c r="AA955" s="13"/>
      <c r="AB955" s="229">
        <f t="shared" ref="AB955:AC960" si="375">D955+F955+H955+J955+L955+N955+P955+R955+T955+V955+X955+Z955</f>
        <v>0</v>
      </c>
      <c r="AC955" s="228">
        <f t="shared" si="375"/>
        <v>0</v>
      </c>
      <c r="AD955" s="19">
        <v>1</v>
      </c>
      <c r="AE955" s="229"/>
      <c r="AF955" s="20"/>
      <c r="AG955" s="229"/>
      <c r="AH955" s="20"/>
      <c r="AI955" s="229"/>
      <c r="AJ955" s="20"/>
      <c r="AK955" s="229"/>
      <c r="AL955" s="20"/>
      <c r="AM955" s="229"/>
      <c r="AN955" s="20"/>
      <c r="AO955" s="229"/>
      <c r="AP955" s="20"/>
      <c r="AQ955" s="229"/>
      <c r="AR955" s="20"/>
      <c r="AS955" s="229"/>
      <c r="AT955" s="20"/>
      <c r="AU955" s="229"/>
      <c r="AV955" s="20"/>
      <c r="AW955" s="229"/>
      <c r="AX955" s="20"/>
      <c r="AY955" s="229"/>
      <c r="AZ955" s="20"/>
      <c r="BA955" s="229"/>
      <c r="BB955" s="20"/>
      <c r="BC955" s="229">
        <f t="shared" ref="BC955:BD960" si="376">AE955+AG955+AI955+AK955+AM955+AO955+AQ955+AS955+AU955+AW955+AY955+BA955</f>
        <v>0</v>
      </c>
      <c r="BD955" s="48">
        <f t="shared" si="376"/>
        <v>0</v>
      </c>
      <c r="BE955" s="19">
        <v>0</v>
      </c>
      <c r="BF955" s="229">
        <f t="shared" ref="BF955:BH960" si="377">AB955+BC955</f>
        <v>0</v>
      </c>
      <c r="BG955" s="210">
        <f t="shared" si="377"/>
        <v>0</v>
      </c>
      <c r="BH955" s="210">
        <f t="shared" si="377"/>
        <v>1</v>
      </c>
      <c r="BI955" s="213">
        <f t="shared" ref="BI955:BI962" si="378">BG955/BH955*100</f>
        <v>0</v>
      </c>
      <c r="BJ955" s="141"/>
      <c r="BK955" s="201"/>
      <c r="BL955" s="198"/>
      <c r="BM955" s="198"/>
    </row>
    <row r="956" spans="1:65" s="17" customFormat="1" ht="15.95" customHeight="1">
      <c r="A956" s="123">
        <v>2</v>
      </c>
      <c r="B956" s="9" t="s">
        <v>495</v>
      </c>
      <c r="C956" s="11" t="s">
        <v>2610</v>
      </c>
      <c r="D956" s="229"/>
      <c r="E956" s="13"/>
      <c r="F956" s="229"/>
      <c r="G956" s="13"/>
      <c r="H956" s="229">
        <v>7</v>
      </c>
      <c r="I956" s="13">
        <v>7</v>
      </c>
      <c r="J956" s="229"/>
      <c r="K956" s="13"/>
      <c r="L956" s="229"/>
      <c r="M956" s="13"/>
      <c r="N956" s="229"/>
      <c r="O956" s="13"/>
      <c r="P956" s="229"/>
      <c r="Q956" s="13"/>
      <c r="R956" s="229"/>
      <c r="S956" s="13"/>
      <c r="T956" s="229"/>
      <c r="U956" s="13">
        <v>5</v>
      </c>
      <c r="V956" s="229"/>
      <c r="W956" s="13"/>
      <c r="X956" s="229"/>
      <c r="Y956" s="13"/>
      <c r="Z956" s="229"/>
      <c r="AA956" s="13">
        <v>2</v>
      </c>
      <c r="AB956" s="229">
        <f t="shared" si="375"/>
        <v>7</v>
      </c>
      <c r="AC956" s="228">
        <f t="shared" si="375"/>
        <v>14</v>
      </c>
      <c r="AD956" s="19">
        <v>0</v>
      </c>
      <c r="AE956" s="229"/>
      <c r="AF956" s="20"/>
      <c r="AG956" s="229"/>
      <c r="AH956" s="20"/>
      <c r="AI956" s="229"/>
      <c r="AJ956" s="20"/>
      <c r="AK956" s="229"/>
      <c r="AL956" s="20"/>
      <c r="AM956" s="229"/>
      <c r="AN956" s="20"/>
      <c r="AO956" s="229">
        <v>11</v>
      </c>
      <c r="AP956" s="20">
        <v>11</v>
      </c>
      <c r="AQ956" s="229"/>
      <c r="AR956" s="20"/>
      <c r="AS956" s="229"/>
      <c r="AT956" s="20"/>
      <c r="AU956" s="229"/>
      <c r="AV956" s="20"/>
      <c r="AW956" s="229"/>
      <c r="AX956" s="20"/>
      <c r="AY956" s="229"/>
      <c r="AZ956" s="20"/>
      <c r="BA956" s="229"/>
      <c r="BB956" s="20"/>
      <c r="BC956" s="229">
        <f t="shared" si="376"/>
        <v>11</v>
      </c>
      <c r="BD956" s="48">
        <f t="shared" si="376"/>
        <v>11</v>
      </c>
      <c r="BE956" s="19">
        <v>0</v>
      </c>
      <c r="BF956" s="229">
        <f t="shared" si="377"/>
        <v>18</v>
      </c>
      <c r="BG956" s="210">
        <f t="shared" si="377"/>
        <v>25</v>
      </c>
      <c r="BH956" s="210">
        <f t="shared" si="377"/>
        <v>0</v>
      </c>
      <c r="BI956" s="213" t="e">
        <f t="shared" si="378"/>
        <v>#DIV/0!</v>
      </c>
      <c r="BJ956" s="141"/>
      <c r="BK956" s="201"/>
      <c r="BL956" s="198"/>
      <c r="BM956" s="198"/>
    </row>
    <row r="957" spans="1:65" s="17" customFormat="1" ht="15.95" customHeight="1">
      <c r="A957" s="123">
        <v>3</v>
      </c>
      <c r="B957" s="9" t="s">
        <v>474</v>
      </c>
      <c r="C957" s="11" t="s">
        <v>475</v>
      </c>
      <c r="D957" s="229"/>
      <c r="E957" s="13"/>
      <c r="F957" s="229"/>
      <c r="G957" s="13"/>
      <c r="H957" s="229">
        <v>1</v>
      </c>
      <c r="I957" s="13">
        <v>1</v>
      </c>
      <c r="J957" s="229"/>
      <c r="K957" s="13"/>
      <c r="L957" s="229"/>
      <c r="M957" s="13"/>
      <c r="N957" s="229"/>
      <c r="O957" s="13"/>
      <c r="P957" s="229"/>
      <c r="Q957" s="13"/>
      <c r="R957" s="229"/>
      <c r="S957" s="13"/>
      <c r="T957" s="229"/>
      <c r="U957" s="13"/>
      <c r="V957" s="229"/>
      <c r="W957" s="13"/>
      <c r="X957" s="229"/>
      <c r="Y957" s="13"/>
      <c r="Z957" s="229"/>
      <c r="AA957" s="13">
        <v>5</v>
      </c>
      <c r="AB957" s="229">
        <f t="shared" si="375"/>
        <v>1</v>
      </c>
      <c r="AC957" s="228">
        <f t="shared" si="375"/>
        <v>6</v>
      </c>
      <c r="AD957" s="19">
        <v>9</v>
      </c>
      <c r="AE957" s="229"/>
      <c r="AF957" s="20"/>
      <c r="AG957" s="229"/>
      <c r="AH957" s="20"/>
      <c r="AI957" s="229"/>
      <c r="AJ957" s="20"/>
      <c r="AK957" s="229"/>
      <c r="AL957" s="20"/>
      <c r="AM957" s="229"/>
      <c r="AN957" s="20"/>
      <c r="AO957" s="229">
        <v>3</v>
      </c>
      <c r="AP957" s="20">
        <v>3</v>
      </c>
      <c r="AQ957" s="229"/>
      <c r="AR957" s="20"/>
      <c r="AS957" s="229"/>
      <c r="AT957" s="20"/>
      <c r="AU957" s="229"/>
      <c r="AV957" s="20"/>
      <c r="AW957" s="229"/>
      <c r="AX957" s="20"/>
      <c r="AY957" s="229"/>
      <c r="AZ957" s="20"/>
      <c r="BA957" s="229"/>
      <c r="BB957" s="20"/>
      <c r="BC957" s="229">
        <f t="shared" si="376"/>
        <v>3</v>
      </c>
      <c r="BD957" s="48">
        <f t="shared" si="376"/>
        <v>3</v>
      </c>
      <c r="BE957" s="19">
        <v>0</v>
      </c>
      <c r="BF957" s="229">
        <f t="shared" si="377"/>
        <v>4</v>
      </c>
      <c r="BG957" s="210">
        <f t="shared" si="377"/>
        <v>9</v>
      </c>
      <c r="BH957" s="210">
        <f t="shared" si="377"/>
        <v>9</v>
      </c>
      <c r="BI957" s="213">
        <f t="shared" si="378"/>
        <v>100</v>
      </c>
      <c r="BJ957" s="141"/>
      <c r="BK957" s="201"/>
      <c r="BL957" s="198"/>
      <c r="BM957" s="198"/>
    </row>
    <row r="958" spans="1:65" s="17" customFormat="1" ht="15.95" customHeight="1">
      <c r="A958" s="123">
        <v>4</v>
      </c>
      <c r="B958" s="9" t="s">
        <v>194</v>
      </c>
      <c r="C958" s="11" t="s">
        <v>1957</v>
      </c>
      <c r="D958" s="229"/>
      <c r="E958" s="13"/>
      <c r="F958" s="229"/>
      <c r="G958" s="13"/>
      <c r="H958" s="229"/>
      <c r="I958" s="13"/>
      <c r="J958" s="229"/>
      <c r="K958" s="13"/>
      <c r="L958" s="229"/>
      <c r="M958" s="13"/>
      <c r="N958" s="229"/>
      <c r="O958" s="13"/>
      <c r="P958" s="229"/>
      <c r="Q958" s="13"/>
      <c r="R958" s="229"/>
      <c r="S958" s="13"/>
      <c r="T958" s="229"/>
      <c r="U958" s="13"/>
      <c r="V958" s="229"/>
      <c r="W958" s="13"/>
      <c r="X958" s="229"/>
      <c r="Y958" s="13"/>
      <c r="Z958" s="229"/>
      <c r="AA958" s="13"/>
      <c r="AB958" s="229">
        <f t="shared" si="375"/>
        <v>0</v>
      </c>
      <c r="AC958" s="228">
        <f t="shared" si="375"/>
        <v>0</v>
      </c>
      <c r="AD958" s="19">
        <v>1</v>
      </c>
      <c r="AE958" s="229"/>
      <c r="AF958" s="20"/>
      <c r="AG958" s="229"/>
      <c r="AH958" s="20"/>
      <c r="AI958" s="229"/>
      <c r="AJ958" s="20"/>
      <c r="AK958" s="229"/>
      <c r="AL958" s="20"/>
      <c r="AM958" s="229"/>
      <c r="AN958" s="20"/>
      <c r="AO958" s="229"/>
      <c r="AP958" s="20"/>
      <c r="AQ958" s="229"/>
      <c r="AR958" s="20"/>
      <c r="AS958" s="229"/>
      <c r="AT958" s="20"/>
      <c r="AU958" s="229"/>
      <c r="AV958" s="20"/>
      <c r="AW958" s="229"/>
      <c r="AX958" s="20"/>
      <c r="AY958" s="229"/>
      <c r="AZ958" s="20"/>
      <c r="BA958" s="229"/>
      <c r="BB958" s="20"/>
      <c r="BC958" s="229">
        <f t="shared" si="376"/>
        <v>0</v>
      </c>
      <c r="BD958" s="48">
        <f t="shared" si="376"/>
        <v>0</v>
      </c>
      <c r="BE958" s="19">
        <v>0</v>
      </c>
      <c r="BF958" s="229">
        <f t="shared" si="377"/>
        <v>0</v>
      </c>
      <c r="BG958" s="210">
        <f t="shared" si="377"/>
        <v>0</v>
      </c>
      <c r="BH958" s="210">
        <f t="shared" si="377"/>
        <v>1</v>
      </c>
      <c r="BI958" s="213">
        <f t="shared" si="378"/>
        <v>0</v>
      </c>
      <c r="BJ958" s="141"/>
      <c r="BK958" s="201"/>
      <c r="BL958" s="198"/>
      <c r="BM958" s="198"/>
    </row>
    <row r="959" spans="1:65" s="17" customFormat="1" ht="15.95" customHeight="1">
      <c r="A959" s="123">
        <v>5</v>
      </c>
      <c r="B959" s="9" t="s">
        <v>2041</v>
      </c>
      <c r="C959" s="11" t="s">
        <v>2042</v>
      </c>
      <c r="D959" s="229"/>
      <c r="E959" s="13"/>
      <c r="F959" s="229"/>
      <c r="G959" s="13"/>
      <c r="H959" s="229">
        <v>1</v>
      </c>
      <c r="I959" s="13">
        <v>1</v>
      </c>
      <c r="J959" s="229"/>
      <c r="K959" s="13"/>
      <c r="L959" s="229"/>
      <c r="M959" s="13"/>
      <c r="N959" s="229"/>
      <c r="O959" s="13"/>
      <c r="P959" s="229"/>
      <c r="Q959" s="13"/>
      <c r="R959" s="229"/>
      <c r="S959" s="13"/>
      <c r="T959" s="229"/>
      <c r="U959" s="13"/>
      <c r="V959" s="229"/>
      <c r="W959" s="13"/>
      <c r="X959" s="229"/>
      <c r="Y959" s="13"/>
      <c r="Z959" s="229"/>
      <c r="AA959" s="13"/>
      <c r="AB959" s="229">
        <f t="shared" si="375"/>
        <v>1</v>
      </c>
      <c r="AC959" s="228">
        <f t="shared" si="375"/>
        <v>1</v>
      </c>
      <c r="AD959" s="19">
        <v>4</v>
      </c>
      <c r="AE959" s="229"/>
      <c r="AF959" s="20"/>
      <c r="AG959" s="229"/>
      <c r="AH959" s="20"/>
      <c r="AI959" s="229"/>
      <c r="AJ959" s="20"/>
      <c r="AK959" s="229"/>
      <c r="AL959" s="20"/>
      <c r="AM959" s="229"/>
      <c r="AN959" s="20"/>
      <c r="AO959" s="229"/>
      <c r="AP959" s="20"/>
      <c r="AQ959" s="229"/>
      <c r="AR959" s="20"/>
      <c r="AS959" s="229"/>
      <c r="AT959" s="20"/>
      <c r="AU959" s="229"/>
      <c r="AV959" s="20"/>
      <c r="AW959" s="229"/>
      <c r="AX959" s="20"/>
      <c r="AY959" s="229"/>
      <c r="AZ959" s="20"/>
      <c r="BA959" s="229"/>
      <c r="BB959" s="20"/>
      <c r="BC959" s="229">
        <f t="shared" si="376"/>
        <v>0</v>
      </c>
      <c r="BD959" s="48">
        <f t="shared" si="376"/>
        <v>0</v>
      </c>
      <c r="BE959" s="19">
        <v>0</v>
      </c>
      <c r="BF959" s="229">
        <f t="shared" si="377"/>
        <v>1</v>
      </c>
      <c r="BG959" s="210">
        <f t="shared" si="377"/>
        <v>1</v>
      </c>
      <c r="BH959" s="210">
        <f t="shared" si="377"/>
        <v>4</v>
      </c>
      <c r="BI959" s="213">
        <f t="shared" si="378"/>
        <v>25</v>
      </c>
      <c r="BJ959" s="141"/>
      <c r="BK959" s="201"/>
      <c r="BL959" s="198"/>
      <c r="BM959" s="198"/>
    </row>
    <row r="960" spans="1:65" s="17" customFormat="1" ht="15.95" customHeight="1">
      <c r="A960" s="123">
        <v>6</v>
      </c>
      <c r="B960" s="9" t="s">
        <v>2260</v>
      </c>
      <c r="C960" s="11" t="s">
        <v>2261</v>
      </c>
      <c r="D960" s="229"/>
      <c r="E960" s="13"/>
      <c r="F960" s="229"/>
      <c r="G960" s="13"/>
      <c r="H960" s="229">
        <v>3</v>
      </c>
      <c r="I960" s="13">
        <v>3</v>
      </c>
      <c r="J960" s="229"/>
      <c r="K960" s="13"/>
      <c r="L960" s="229"/>
      <c r="M960" s="13"/>
      <c r="N960" s="229"/>
      <c r="O960" s="13"/>
      <c r="P960" s="229"/>
      <c r="Q960" s="13"/>
      <c r="R960" s="229"/>
      <c r="S960" s="13"/>
      <c r="T960" s="229"/>
      <c r="U960" s="13">
        <v>22</v>
      </c>
      <c r="V960" s="229"/>
      <c r="W960" s="13"/>
      <c r="X960" s="229"/>
      <c r="Y960" s="13"/>
      <c r="Z960" s="229"/>
      <c r="AA960" s="13"/>
      <c r="AB960" s="229">
        <f t="shared" si="375"/>
        <v>3</v>
      </c>
      <c r="AC960" s="228">
        <f t="shared" si="375"/>
        <v>25</v>
      </c>
      <c r="AD960" s="19">
        <v>31</v>
      </c>
      <c r="AE960" s="229"/>
      <c r="AF960" s="20"/>
      <c r="AG960" s="229"/>
      <c r="AH960" s="20"/>
      <c r="AI960" s="229"/>
      <c r="AJ960" s="20"/>
      <c r="AK960" s="229"/>
      <c r="AL960" s="20"/>
      <c r="AM960" s="229"/>
      <c r="AN960" s="20"/>
      <c r="AO960" s="229">
        <v>23</v>
      </c>
      <c r="AP960" s="20">
        <v>23</v>
      </c>
      <c r="AQ960" s="229"/>
      <c r="AR960" s="20"/>
      <c r="AS960" s="229"/>
      <c r="AT960" s="20"/>
      <c r="AU960" s="229"/>
      <c r="AV960" s="20"/>
      <c r="AW960" s="229"/>
      <c r="AX960" s="20"/>
      <c r="AY960" s="229"/>
      <c r="AZ960" s="20"/>
      <c r="BA960" s="229"/>
      <c r="BB960" s="20"/>
      <c r="BC960" s="229">
        <f t="shared" si="376"/>
        <v>23</v>
      </c>
      <c r="BD960" s="48">
        <f t="shared" si="376"/>
        <v>23</v>
      </c>
      <c r="BE960" s="19">
        <v>0</v>
      </c>
      <c r="BF960" s="229">
        <f t="shared" si="377"/>
        <v>26</v>
      </c>
      <c r="BG960" s="210">
        <f t="shared" si="377"/>
        <v>48</v>
      </c>
      <c r="BH960" s="210">
        <f t="shared" si="377"/>
        <v>31</v>
      </c>
      <c r="BI960" s="213">
        <f t="shared" si="378"/>
        <v>154.83870967741936</v>
      </c>
      <c r="BJ960" s="141"/>
      <c r="BK960" s="201"/>
      <c r="BL960" s="198"/>
      <c r="BM960" s="198"/>
    </row>
    <row r="961" spans="1:65" s="17" customFormat="1" ht="15.95" customHeight="1">
      <c r="A961" s="123">
        <v>7</v>
      </c>
      <c r="B961" s="9" t="s">
        <v>369</v>
      </c>
      <c r="C961" s="11" t="s">
        <v>2865</v>
      </c>
      <c r="D961" s="229"/>
      <c r="E961" s="13"/>
      <c r="F961" s="229"/>
      <c r="G961" s="13"/>
      <c r="H961" s="229"/>
      <c r="I961" s="13"/>
      <c r="J961" s="229"/>
      <c r="K961" s="13"/>
      <c r="L961" s="229"/>
      <c r="M961" s="13"/>
      <c r="N961" s="229"/>
      <c r="O961" s="13"/>
      <c r="P961" s="229"/>
      <c r="Q961" s="13"/>
      <c r="R961" s="229"/>
      <c r="S961" s="13"/>
      <c r="T961" s="229"/>
      <c r="U961" s="13">
        <v>1</v>
      </c>
      <c r="V961" s="229"/>
      <c r="W961" s="13"/>
      <c r="X961" s="229"/>
      <c r="Y961" s="13"/>
      <c r="Z961" s="229"/>
      <c r="AA961" s="13"/>
      <c r="AB961" s="229"/>
      <c r="AC961" s="228">
        <f>E961+G961+I961+K961+M961+O961+Q961+S961+U961+W961+Y961+AA961</f>
        <v>1</v>
      </c>
      <c r="AD961" s="19">
        <v>0</v>
      </c>
      <c r="AE961" s="229"/>
      <c r="AF961" s="20"/>
      <c r="AG961" s="229"/>
      <c r="AH961" s="20"/>
      <c r="AI961" s="229"/>
      <c r="AJ961" s="20"/>
      <c r="AK961" s="229"/>
      <c r="AL961" s="20"/>
      <c r="AM961" s="229"/>
      <c r="AN961" s="20"/>
      <c r="AO961" s="229"/>
      <c r="AP961" s="20"/>
      <c r="AQ961" s="229"/>
      <c r="AR961" s="20"/>
      <c r="AS961" s="229"/>
      <c r="AT961" s="20"/>
      <c r="AU961" s="229"/>
      <c r="AV961" s="20"/>
      <c r="AW961" s="229"/>
      <c r="AX961" s="20"/>
      <c r="AY961" s="229"/>
      <c r="AZ961" s="20"/>
      <c r="BA961" s="229"/>
      <c r="BB961" s="20"/>
      <c r="BC961" s="229"/>
      <c r="BD961" s="48">
        <f>AF961+AH961+AJ961+AL961+AN961+AP961+AR961+AT961+AV961+AX961+AZ961+BB961</f>
        <v>0</v>
      </c>
      <c r="BE961" s="19">
        <v>0</v>
      </c>
      <c r="BF961" s="229"/>
      <c r="BG961" s="210">
        <f>AC961+BD961</f>
        <v>1</v>
      </c>
      <c r="BH961" s="210">
        <f>AD961+BE961</f>
        <v>0</v>
      </c>
      <c r="BI961" s="213" t="e">
        <f t="shared" si="378"/>
        <v>#DIV/0!</v>
      </c>
      <c r="BJ961" s="141"/>
      <c r="BK961" s="201"/>
      <c r="BL961" s="198"/>
      <c r="BM961" s="198"/>
    </row>
    <row r="962" spans="1:65" s="17" customFormat="1" ht="15.95" customHeight="1">
      <c r="A962" s="123">
        <v>8</v>
      </c>
      <c r="B962" s="9" t="s">
        <v>1898</v>
      </c>
      <c r="C962" s="11" t="s">
        <v>1899</v>
      </c>
      <c r="D962" s="229"/>
      <c r="E962" s="13"/>
      <c r="F962" s="229"/>
      <c r="G962" s="13"/>
      <c r="H962" s="283"/>
      <c r="I962" s="283"/>
      <c r="J962" s="229"/>
      <c r="K962" s="13"/>
      <c r="L962" s="229"/>
      <c r="M962" s="13"/>
      <c r="N962" s="229"/>
      <c r="O962" s="13"/>
      <c r="P962" s="229"/>
      <c r="Q962" s="13"/>
      <c r="R962" s="229"/>
      <c r="S962" s="13"/>
      <c r="T962" s="229"/>
      <c r="U962" s="13">
        <f>123+8</f>
        <v>131</v>
      </c>
      <c r="V962" s="229"/>
      <c r="W962" s="13"/>
      <c r="X962" s="229"/>
      <c r="Y962" s="13"/>
      <c r="Z962" s="229"/>
      <c r="AA962" s="13">
        <f>110+3</f>
        <v>113</v>
      </c>
      <c r="AB962" s="229">
        <f>D962+F962+H962+J962+L962+N962+P962+R962+T962+V962+X962+Z962</f>
        <v>0</v>
      </c>
      <c r="AC962" s="228">
        <f>E962+G962+I962+K962+M962+O962+Q962+S962+U962+W962+Y962+AA962</f>
        <v>244</v>
      </c>
      <c r="AD962" s="19">
        <v>365</v>
      </c>
      <c r="AE962" s="229"/>
      <c r="AF962" s="20"/>
      <c r="AG962" s="229"/>
      <c r="AH962" s="20"/>
      <c r="AI962" s="229"/>
      <c r="AJ962" s="20"/>
      <c r="AK962" s="229"/>
      <c r="AL962" s="20"/>
      <c r="AM962" s="229"/>
      <c r="AN962" s="20"/>
      <c r="AO962" s="229">
        <f>117+5+4</f>
        <v>126</v>
      </c>
      <c r="AP962" s="20">
        <f>117+5+4</f>
        <v>126</v>
      </c>
      <c r="AQ962" s="229"/>
      <c r="AR962" s="20"/>
      <c r="AS962" s="229"/>
      <c r="AT962" s="20"/>
      <c r="AU962" s="229"/>
      <c r="AV962" s="20"/>
      <c r="AW962" s="229"/>
      <c r="AX962" s="20"/>
      <c r="AY962" s="229"/>
      <c r="AZ962" s="20"/>
      <c r="BA962" s="229"/>
      <c r="BB962" s="20"/>
      <c r="BC962" s="229">
        <f>AE962+AG962+AI962+AK962+AM962+AO962+AQ962+AS962+AU962+AW962+AY962+BA962</f>
        <v>126</v>
      </c>
      <c r="BD962" s="48">
        <f>AF962+AH962+AJ962+AL962+AN962+AP962+AR962+AT962+AV962+AX962+AZ962+BB962</f>
        <v>126</v>
      </c>
      <c r="BE962" s="19">
        <v>2</v>
      </c>
      <c r="BF962" s="229">
        <f>AB962+BC962</f>
        <v>126</v>
      </c>
      <c r="BG962" s="210">
        <f>AC962+BD962</f>
        <v>370</v>
      </c>
      <c r="BH962" s="210">
        <f>AD962+BE962</f>
        <v>367</v>
      </c>
      <c r="BI962" s="213">
        <f t="shared" si="378"/>
        <v>100.81743869209809</v>
      </c>
      <c r="BJ962" s="141"/>
      <c r="BK962" s="201"/>
      <c r="BL962" s="198"/>
      <c r="BM962" s="198"/>
    </row>
    <row r="963" spans="1:65" s="17" customFormat="1" ht="21.95" customHeight="1">
      <c r="A963" s="380" t="s">
        <v>545</v>
      </c>
      <c r="B963" s="380"/>
      <c r="C963" s="380"/>
      <c r="D963" s="22">
        <f t="shared" ref="D963:AA963" si="379">SUM(D964:D975)</f>
        <v>0</v>
      </c>
      <c r="E963" s="22">
        <f t="shared" si="379"/>
        <v>0</v>
      </c>
      <c r="F963" s="22">
        <f t="shared" si="379"/>
        <v>0</v>
      </c>
      <c r="G963" s="22">
        <f t="shared" si="379"/>
        <v>0</v>
      </c>
      <c r="H963" s="283">
        <f t="shared" si="379"/>
        <v>177</v>
      </c>
      <c r="I963" s="283">
        <f t="shared" si="379"/>
        <v>179</v>
      </c>
      <c r="J963" s="22">
        <f t="shared" si="379"/>
        <v>0</v>
      </c>
      <c r="K963" s="22">
        <f t="shared" si="379"/>
        <v>0</v>
      </c>
      <c r="L963" s="22">
        <f t="shared" si="379"/>
        <v>0</v>
      </c>
      <c r="M963" s="22">
        <f t="shared" si="379"/>
        <v>0</v>
      </c>
      <c r="N963" s="22">
        <f t="shared" si="379"/>
        <v>0</v>
      </c>
      <c r="O963" s="22">
        <f t="shared" si="379"/>
        <v>0</v>
      </c>
      <c r="P963" s="22">
        <f t="shared" si="379"/>
        <v>0</v>
      </c>
      <c r="Q963" s="22">
        <f t="shared" si="379"/>
        <v>0</v>
      </c>
      <c r="R963" s="22">
        <f t="shared" si="379"/>
        <v>0</v>
      </c>
      <c r="S963" s="22">
        <f t="shared" si="379"/>
        <v>0</v>
      </c>
      <c r="T963" s="22">
        <f t="shared" si="379"/>
        <v>0</v>
      </c>
      <c r="U963" s="22">
        <f t="shared" si="379"/>
        <v>423</v>
      </c>
      <c r="V963" s="22">
        <f t="shared" si="379"/>
        <v>0</v>
      </c>
      <c r="W963" s="22">
        <f t="shared" si="379"/>
        <v>0</v>
      </c>
      <c r="X963" s="22">
        <f t="shared" si="379"/>
        <v>0</v>
      </c>
      <c r="Y963" s="22">
        <f t="shared" si="379"/>
        <v>0</v>
      </c>
      <c r="Z963" s="22">
        <f t="shared" si="379"/>
        <v>0</v>
      </c>
      <c r="AA963" s="22">
        <f t="shared" si="379"/>
        <v>573</v>
      </c>
      <c r="AB963" s="22">
        <f t="shared" si="361"/>
        <v>177</v>
      </c>
      <c r="AC963" s="22">
        <f t="shared" si="362"/>
        <v>1175</v>
      </c>
      <c r="AD963" s="23">
        <f t="shared" ref="AD963:BB963" si="380">SUM(AD964:AD975)</f>
        <v>1188</v>
      </c>
      <c r="AE963" s="22">
        <f t="shared" si="380"/>
        <v>0</v>
      </c>
      <c r="AF963" s="23">
        <f t="shared" si="380"/>
        <v>0</v>
      </c>
      <c r="AG963" s="22">
        <f t="shared" si="380"/>
        <v>0</v>
      </c>
      <c r="AH963" s="23">
        <f t="shared" si="380"/>
        <v>0</v>
      </c>
      <c r="AI963" s="22">
        <f t="shared" si="380"/>
        <v>0</v>
      </c>
      <c r="AJ963" s="23">
        <f t="shared" si="380"/>
        <v>0</v>
      </c>
      <c r="AK963" s="22">
        <f t="shared" si="380"/>
        <v>0</v>
      </c>
      <c r="AL963" s="23">
        <f t="shared" si="380"/>
        <v>0</v>
      </c>
      <c r="AM963" s="22">
        <f t="shared" si="380"/>
        <v>0</v>
      </c>
      <c r="AN963" s="23">
        <f t="shared" si="380"/>
        <v>0</v>
      </c>
      <c r="AO963" s="22">
        <f t="shared" si="380"/>
        <v>163</v>
      </c>
      <c r="AP963" s="23">
        <f t="shared" si="380"/>
        <v>464</v>
      </c>
      <c r="AQ963" s="22">
        <f t="shared" si="380"/>
        <v>0</v>
      </c>
      <c r="AR963" s="23">
        <f t="shared" si="380"/>
        <v>0</v>
      </c>
      <c r="AS963" s="22">
        <f t="shared" si="380"/>
        <v>0</v>
      </c>
      <c r="AT963" s="23">
        <f t="shared" si="380"/>
        <v>0</v>
      </c>
      <c r="AU963" s="22">
        <f t="shared" si="380"/>
        <v>0</v>
      </c>
      <c r="AV963" s="23">
        <f t="shared" si="380"/>
        <v>1</v>
      </c>
      <c r="AW963" s="22">
        <f t="shared" si="380"/>
        <v>0</v>
      </c>
      <c r="AX963" s="23">
        <f t="shared" si="380"/>
        <v>0</v>
      </c>
      <c r="AY963" s="22">
        <f t="shared" si="380"/>
        <v>0</v>
      </c>
      <c r="AZ963" s="23">
        <f t="shared" si="380"/>
        <v>0</v>
      </c>
      <c r="BA963" s="22">
        <f t="shared" si="380"/>
        <v>0</v>
      </c>
      <c r="BB963" s="23">
        <f t="shared" si="380"/>
        <v>1</v>
      </c>
      <c r="BC963" s="22">
        <f t="shared" si="364"/>
        <v>163</v>
      </c>
      <c r="BD963" s="215">
        <f t="shared" si="365"/>
        <v>466</v>
      </c>
      <c r="BE963" s="23">
        <v>0</v>
      </c>
      <c r="BF963" s="22">
        <f t="shared" si="366"/>
        <v>340</v>
      </c>
      <c r="BG963" s="215">
        <f t="shared" si="367"/>
        <v>1641</v>
      </c>
      <c r="BH963" s="215">
        <f t="shared" si="349"/>
        <v>1188</v>
      </c>
      <c r="BI963" s="273">
        <f t="shared" si="368"/>
        <v>138.13131313131314</v>
      </c>
      <c r="BJ963" s="140">
        <v>1738</v>
      </c>
      <c r="BK963" s="203">
        <f>BJ963-BH963</f>
        <v>550</v>
      </c>
      <c r="BL963" s="198"/>
      <c r="BM963" s="198"/>
    </row>
    <row r="964" spans="1:65" s="17" customFormat="1" ht="15.95" customHeight="1">
      <c r="A964" s="123">
        <v>1</v>
      </c>
      <c r="B964" s="9" t="s">
        <v>2326</v>
      </c>
      <c r="C964" s="11" t="s">
        <v>3175</v>
      </c>
      <c r="D964" s="229"/>
      <c r="E964" s="13"/>
      <c r="F964" s="229"/>
      <c r="G964" s="13"/>
      <c r="H964" s="229"/>
      <c r="I964" s="13"/>
      <c r="J964" s="229"/>
      <c r="K964" s="13"/>
      <c r="L964" s="229"/>
      <c r="M964" s="13"/>
      <c r="N964" s="229"/>
      <c r="O964" s="13"/>
      <c r="P964" s="229"/>
      <c r="Q964" s="13"/>
      <c r="R964" s="229"/>
      <c r="S964" s="13"/>
      <c r="T964" s="229"/>
      <c r="U964" s="13">
        <v>3</v>
      </c>
      <c r="V964" s="229"/>
      <c r="W964" s="13"/>
      <c r="X964" s="229"/>
      <c r="Y964" s="13"/>
      <c r="Z964" s="229"/>
      <c r="AA964" s="13"/>
      <c r="AB964" s="229"/>
      <c r="AC964" s="228">
        <f t="shared" ref="AC964:AC975" si="381">E964+G964+I964+K964+M964+O964+Q964+S964+U964+W964+Y964+AA964</f>
        <v>3</v>
      </c>
      <c r="AD964" s="19">
        <v>0</v>
      </c>
      <c r="AE964" s="229"/>
      <c r="AF964" s="20"/>
      <c r="AG964" s="229"/>
      <c r="AH964" s="20"/>
      <c r="AI964" s="229"/>
      <c r="AJ964" s="20"/>
      <c r="AK964" s="229"/>
      <c r="AL964" s="20"/>
      <c r="AM964" s="229"/>
      <c r="AN964" s="20"/>
      <c r="AO964" s="229"/>
      <c r="AP964" s="20"/>
      <c r="AQ964" s="229"/>
      <c r="AR964" s="20"/>
      <c r="AS964" s="229"/>
      <c r="AT964" s="20"/>
      <c r="AU964" s="229"/>
      <c r="AV964" s="20"/>
      <c r="AW964" s="229"/>
      <c r="AX964" s="20"/>
      <c r="AY964" s="229"/>
      <c r="AZ964" s="20"/>
      <c r="BA964" s="229"/>
      <c r="BB964" s="20"/>
      <c r="BC964" s="229"/>
      <c r="BD964" s="48">
        <f t="shared" ref="BD964:BD975" si="382">AF964+AH964+AJ964+AL964+AN964+AP964+AR964+AT964+AV964+AX964+AZ964+BB964</f>
        <v>0</v>
      </c>
      <c r="BE964" s="19">
        <v>0</v>
      </c>
      <c r="BF964" s="229"/>
      <c r="BG964" s="210">
        <f t="shared" ref="BG964:BG975" si="383">AC964+BD964</f>
        <v>3</v>
      </c>
      <c r="BH964" s="210">
        <f t="shared" si="349"/>
        <v>0</v>
      </c>
      <c r="BI964" s="213" t="e">
        <f t="shared" ref="BI964:BI975" si="384">BG964/BH964*100</f>
        <v>#DIV/0!</v>
      </c>
      <c r="BJ964" s="141"/>
      <c r="BK964" s="201"/>
      <c r="BL964" s="199"/>
      <c r="BM964" s="198"/>
    </row>
    <row r="965" spans="1:65" s="17" customFormat="1" ht="15.95" customHeight="1">
      <c r="A965" s="123">
        <v>2</v>
      </c>
      <c r="B965" s="9" t="s">
        <v>495</v>
      </c>
      <c r="C965" s="11" t="s">
        <v>2275</v>
      </c>
      <c r="D965" s="229"/>
      <c r="E965" s="13"/>
      <c r="F965" s="229"/>
      <c r="G965" s="13"/>
      <c r="H965" s="229">
        <v>54</v>
      </c>
      <c r="I965" s="13">
        <v>54</v>
      </c>
      <c r="J965" s="229"/>
      <c r="K965" s="13"/>
      <c r="L965" s="229"/>
      <c r="M965" s="13"/>
      <c r="N965" s="229"/>
      <c r="O965" s="13"/>
      <c r="P965" s="229"/>
      <c r="Q965" s="13"/>
      <c r="R965" s="229"/>
      <c r="S965" s="13"/>
      <c r="T965" s="229"/>
      <c r="U965" s="13">
        <v>51</v>
      </c>
      <c r="V965" s="229"/>
      <c r="W965" s="13"/>
      <c r="X965" s="229"/>
      <c r="Y965" s="13"/>
      <c r="Z965" s="229"/>
      <c r="AA965" s="13">
        <v>27</v>
      </c>
      <c r="AB965" s="229">
        <f t="shared" ref="AB965:AB975" si="385">D965+F965+H965+J965+L965+N965+P965+R965+T965+V965+X965+Z965</f>
        <v>54</v>
      </c>
      <c r="AC965" s="228">
        <f t="shared" si="381"/>
        <v>132</v>
      </c>
      <c r="AD965" s="19">
        <v>85</v>
      </c>
      <c r="AE965" s="229"/>
      <c r="AF965" s="20"/>
      <c r="AG965" s="229"/>
      <c r="AH965" s="20"/>
      <c r="AI965" s="229"/>
      <c r="AJ965" s="20"/>
      <c r="AK965" s="229"/>
      <c r="AL965" s="20"/>
      <c r="AM965" s="229"/>
      <c r="AN965" s="20"/>
      <c r="AO965" s="229"/>
      <c r="AP965" s="20"/>
      <c r="AQ965" s="229"/>
      <c r="AR965" s="20"/>
      <c r="AS965" s="229"/>
      <c r="AT965" s="20"/>
      <c r="AU965" s="229"/>
      <c r="AV965" s="20"/>
      <c r="AW965" s="229"/>
      <c r="AX965" s="20"/>
      <c r="AY965" s="229"/>
      <c r="AZ965" s="20"/>
      <c r="BA965" s="229"/>
      <c r="BB965" s="20"/>
      <c r="BC965" s="229">
        <f t="shared" ref="BC965:BC975" si="386">AE965+AG965+AI965+AK965+AM965+AO965+AQ965+AS965+AU965+AW965+AY965+BA965</f>
        <v>0</v>
      </c>
      <c r="BD965" s="48">
        <f t="shared" si="382"/>
        <v>0</v>
      </c>
      <c r="BE965" s="19">
        <v>0</v>
      </c>
      <c r="BF965" s="229">
        <f t="shared" ref="BF965:BF975" si="387">AB965+BC965</f>
        <v>54</v>
      </c>
      <c r="BG965" s="210">
        <f t="shared" si="383"/>
        <v>132</v>
      </c>
      <c r="BH965" s="210">
        <f t="shared" si="349"/>
        <v>85</v>
      </c>
      <c r="BI965" s="213">
        <f t="shared" si="384"/>
        <v>155.29411764705884</v>
      </c>
      <c r="BJ965" s="141"/>
      <c r="BK965" s="201"/>
      <c r="BL965" s="198"/>
      <c r="BM965" s="198"/>
    </row>
    <row r="966" spans="1:65" s="17" customFormat="1" ht="15.95" customHeight="1">
      <c r="A966" s="123">
        <v>3</v>
      </c>
      <c r="B966" s="9" t="s">
        <v>474</v>
      </c>
      <c r="C966" s="11" t="s">
        <v>475</v>
      </c>
      <c r="D966" s="229"/>
      <c r="E966" s="13"/>
      <c r="F966" s="229"/>
      <c r="G966" s="13"/>
      <c r="H966" s="229">
        <v>13</v>
      </c>
      <c r="I966" s="13">
        <v>13</v>
      </c>
      <c r="J966" s="229"/>
      <c r="K966" s="13"/>
      <c r="L966" s="229"/>
      <c r="M966" s="13"/>
      <c r="N966" s="229"/>
      <c r="O966" s="13"/>
      <c r="P966" s="229"/>
      <c r="Q966" s="13"/>
      <c r="R966" s="229"/>
      <c r="S966" s="13"/>
      <c r="T966" s="229"/>
      <c r="U966" s="13">
        <f>29+1</f>
        <v>30</v>
      </c>
      <c r="V966" s="229"/>
      <c r="W966" s="13"/>
      <c r="X966" s="229"/>
      <c r="Y966" s="13"/>
      <c r="Z966" s="229"/>
      <c r="AA966" s="13">
        <v>14</v>
      </c>
      <c r="AB966" s="229">
        <f t="shared" si="385"/>
        <v>13</v>
      </c>
      <c r="AC966" s="228">
        <f t="shared" si="381"/>
        <v>57</v>
      </c>
      <c r="AD966" s="19">
        <v>1</v>
      </c>
      <c r="AE966" s="229"/>
      <c r="AF966" s="20"/>
      <c r="AG966" s="229"/>
      <c r="AH966" s="20"/>
      <c r="AI966" s="229"/>
      <c r="AJ966" s="20"/>
      <c r="AK966" s="229"/>
      <c r="AL966" s="20"/>
      <c r="AM966" s="229"/>
      <c r="AN966" s="20"/>
      <c r="AO966" s="229"/>
      <c r="AP966" s="20"/>
      <c r="AQ966" s="229"/>
      <c r="AR966" s="20"/>
      <c r="AS966" s="229"/>
      <c r="AT966" s="20"/>
      <c r="AU966" s="229"/>
      <c r="AV966" s="20"/>
      <c r="AW966" s="229"/>
      <c r="AX966" s="20"/>
      <c r="AY966" s="229"/>
      <c r="AZ966" s="20"/>
      <c r="BA966" s="229"/>
      <c r="BB966" s="20"/>
      <c r="BC966" s="229">
        <f t="shared" si="386"/>
        <v>0</v>
      </c>
      <c r="BD966" s="48">
        <f t="shared" si="382"/>
        <v>0</v>
      </c>
      <c r="BE966" s="19">
        <v>0</v>
      </c>
      <c r="BF966" s="229">
        <f t="shared" si="387"/>
        <v>13</v>
      </c>
      <c r="BG966" s="210">
        <f t="shared" si="383"/>
        <v>57</v>
      </c>
      <c r="BH966" s="210">
        <f t="shared" si="349"/>
        <v>1</v>
      </c>
      <c r="BI966" s="213">
        <f t="shared" si="384"/>
        <v>5700</v>
      </c>
      <c r="BJ966" s="141">
        <f>BH964+BH628</f>
        <v>10</v>
      </c>
      <c r="BK966" s="201">
        <v>2424</v>
      </c>
      <c r="BL966" s="199">
        <f>BK966-BJ966</f>
        <v>2414</v>
      </c>
      <c r="BM966" s="198"/>
    </row>
    <row r="967" spans="1:65" s="17" customFormat="1" ht="15.95" customHeight="1">
      <c r="A967" s="123">
        <v>4</v>
      </c>
      <c r="B967" s="9" t="s">
        <v>194</v>
      </c>
      <c r="C967" s="11" t="s">
        <v>195</v>
      </c>
      <c r="D967" s="229"/>
      <c r="E967" s="13"/>
      <c r="F967" s="229"/>
      <c r="G967" s="13"/>
      <c r="H967" s="229"/>
      <c r="I967" s="13"/>
      <c r="J967" s="229"/>
      <c r="K967" s="13"/>
      <c r="L967" s="229"/>
      <c r="M967" s="13"/>
      <c r="N967" s="229"/>
      <c r="O967" s="13"/>
      <c r="P967" s="229"/>
      <c r="Q967" s="13"/>
      <c r="R967" s="229"/>
      <c r="S967" s="13"/>
      <c r="T967" s="229"/>
      <c r="U967" s="13"/>
      <c r="V967" s="229"/>
      <c r="W967" s="13"/>
      <c r="X967" s="229"/>
      <c r="Y967" s="13"/>
      <c r="Z967" s="229"/>
      <c r="AA967" s="13"/>
      <c r="AB967" s="229">
        <f t="shared" si="385"/>
        <v>0</v>
      </c>
      <c r="AC967" s="228">
        <f t="shared" si="381"/>
        <v>0</v>
      </c>
      <c r="AD967" s="19">
        <v>1</v>
      </c>
      <c r="AE967" s="229"/>
      <c r="AF967" s="20"/>
      <c r="AG967" s="229"/>
      <c r="AH967" s="20"/>
      <c r="AI967" s="229"/>
      <c r="AJ967" s="20"/>
      <c r="AK967" s="229"/>
      <c r="AL967" s="20"/>
      <c r="AM967" s="229"/>
      <c r="AN967" s="20"/>
      <c r="AO967" s="229"/>
      <c r="AP967" s="20"/>
      <c r="AQ967" s="229"/>
      <c r="AR967" s="20"/>
      <c r="AS967" s="229"/>
      <c r="AT967" s="20"/>
      <c r="AU967" s="229"/>
      <c r="AV967" s="20"/>
      <c r="AW967" s="229"/>
      <c r="AX967" s="20"/>
      <c r="AY967" s="229"/>
      <c r="AZ967" s="20"/>
      <c r="BA967" s="229"/>
      <c r="BB967" s="20"/>
      <c r="BC967" s="229">
        <f t="shared" si="386"/>
        <v>0</v>
      </c>
      <c r="BD967" s="48">
        <f t="shared" si="382"/>
        <v>0</v>
      </c>
      <c r="BE967" s="19">
        <v>0</v>
      </c>
      <c r="BF967" s="229">
        <f t="shared" si="387"/>
        <v>0</v>
      </c>
      <c r="BG967" s="210">
        <f t="shared" si="383"/>
        <v>0</v>
      </c>
      <c r="BH967" s="210">
        <f t="shared" si="349"/>
        <v>1</v>
      </c>
      <c r="BI967" s="213">
        <f t="shared" si="384"/>
        <v>0</v>
      </c>
      <c r="BJ967" s="141">
        <f>BH627+BH765+BH963+BH976</f>
        <v>2424</v>
      </c>
      <c r="BK967" s="201"/>
      <c r="BL967" s="198"/>
      <c r="BM967" s="198"/>
    </row>
    <row r="968" spans="1:65" s="17" customFormat="1" ht="15.95" customHeight="1">
      <c r="A968" s="123">
        <v>5</v>
      </c>
      <c r="B968" s="9" t="s">
        <v>2039</v>
      </c>
      <c r="C968" s="11" t="s">
        <v>2040</v>
      </c>
      <c r="D968" s="229"/>
      <c r="E968" s="13"/>
      <c r="F968" s="229"/>
      <c r="G968" s="13"/>
      <c r="H968" s="229">
        <v>41</v>
      </c>
      <c r="I968" s="13">
        <v>41</v>
      </c>
      <c r="J968" s="229"/>
      <c r="K968" s="13"/>
      <c r="L968" s="229"/>
      <c r="M968" s="13"/>
      <c r="N968" s="229"/>
      <c r="O968" s="13"/>
      <c r="P968" s="229"/>
      <c r="Q968" s="13"/>
      <c r="R968" s="229"/>
      <c r="S968" s="13"/>
      <c r="T968" s="229"/>
      <c r="U968" s="13">
        <v>139</v>
      </c>
      <c r="V968" s="229"/>
      <c r="W968" s="13"/>
      <c r="X968" s="229"/>
      <c r="Y968" s="13"/>
      <c r="Z968" s="229"/>
      <c r="AA968" s="13">
        <v>93</v>
      </c>
      <c r="AB968" s="229">
        <f t="shared" si="385"/>
        <v>41</v>
      </c>
      <c r="AC968" s="228">
        <f t="shared" si="381"/>
        <v>273</v>
      </c>
      <c r="AD968" s="19">
        <v>167</v>
      </c>
      <c r="AE968" s="229"/>
      <c r="AF968" s="20"/>
      <c r="AG968" s="229"/>
      <c r="AH968" s="20"/>
      <c r="AI968" s="229"/>
      <c r="AJ968" s="20"/>
      <c r="AK968" s="229"/>
      <c r="AL968" s="20"/>
      <c r="AM968" s="229"/>
      <c r="AN968" s="20"/>
      <c r="AO968" s="229">
        <v>74</v>
      </c>
      <c r="AP968" s="20">
        <v>74</v>
      </c>
      <c r="AQ968" s="229"/>
      <c r="AR968" s="20"/>
      <c r="AS968" s="229"/>
      <c r="AT968" s="20"/>
      <c r="AU968" s="229"/>
      <c r="AV968" s="20"/>
      <c r="AW968" s="229"/>
      <c r="AX968" s="20"/>
      <c r="AY968" s="229"/>
      <c r="AZ968" s="20"/>
      <c r="BA968" s="229"/>
      <c r="BB968" s="20"/>
      <c r="BC968" s="229">
        <f t="shared" si="386"/>
        <v>74</v>
      </c>
      <c r="BD968" s="48">
        <f t="shared" si="382"/>
        <v>74</v>
      </c>
      <c r="BE968" s="19">
        <v>0</v>
      </c>
      <c r="BF968" s="229">
        <f t="shared" si="387"/>
        <v>115</v>
      </c>
      <c r="BG968" s="210">
        <f t="shared" si="383"/>
        <v>347</v>
      </c>
      <c r="BH968" s="210">
        <f t="shared" si="349"/>
        <v>167</v>
      </c>
      <c r="BI968" s="213">
        <f t="shared" si="384"/>
        <v>207.78443113772457</v>
      </c>
      <c r="BJ968" s="141"/>
      <c r="BK968" s="201"/>
      <c r="BL968" s="198"/>
      <c r="BM968" s="198"/>
    </row>
    <row r="969" spans="1:65" s="17" customFormat="1" ht="15.95" customHeight="1">
      <c r="A969" s="123">
        <v>6</v>
      </c>
      <c r="B969" s="9" t="s">
        <v>2041</v>
      </c>
      <c r="C969" s="11" t="s">
        <v>2822</v>
      </c>
      <c r="D969" s="229"/>
      <c r="E969" s="13"/>
      <c r="F969" s="229"/>
      <c r="G969" s="13"/>
      <c r="H969" s="229">
        <f>3+1</f>
        <v>4</v>
      </c>
      <c r="I969" s="13">
        <f>3+1</f>
        <v>4</v>
      </c>
      <c r="J969" s="229"/>
      <c r="K969" s="13"/>
      <c r="L969" s="229"/>
      <c r="M969" s="13"/>
      <c r="N969" s="229"/>
      <c r="O969" s="13"/>
      <c r="P969" s="229"/>
      <c r="Q969" s="13"/>
      <c r="R969" s="229"/>
      <c r="S969" s="13"/>
      <c r="T969" s="229"/>
      <c r="U969" s="13">
        <f>7+3</f>
        <v>10</v>
      </c>
      <c r="V969" s="229"/>
      <c r="W969" s="13"/>
      <c r="X969" s="229"/>
      <c r="Y969" s="13"/>
      <c r="Z969" s="229"/>
      <c r="AA969" s="13">
        <v>6</v>
      </c>
      <c r="AB969" s="229">
        <f t="shared" si="385"/>
        <v>4</v>
      </c>
      <c r="AC969" s="228">
        <f t="shared" si="381"/>
        <v>20</v>
      </c>
      <c r="AD969" s="19">
        <v>0</v>
      </c>
      <c r="AE969" s="229"/>
      <c r="AF969" s="20"/>
      <c r="AG969" s="229"/>
      <c r="AH969" s="20"/>
      <c r="AI969" s="229"/>
      <c r="AJ969" s="20"/>
      <c r="AK969" s="229"/>
      <c r="AL969" s="20"/>
      <c r="AM969" s="229"/>
      <c r="AN969" s="20"/>
      <c r="AO969" s="229">
        <v>9</v>
      </c>
      <c r="AP969" s="20">
        <v>9</v>
      </c>
      <c r="AQ969" s="229"/>
      <c r="AR969" s="20"/>
      <c r="AS969" s="229"/>
      <c r="AT969" s="20"/>
      <c r="AU969" s="229"/>
      <c r="AV969" s="20"/>
      <c r="AW969" s="229"/>
      <c r="AX969" s="20"/>
      <c r="AY969" s="229"/>
      <c r="AZ969" s="20"/>
      <c r="BA969" s="229"/>
      <c r="BB969" s="20"/>
      <c r="BC969" s="229">
        <f t="shared" si="386"/>
        <v>9</v>
      </c>
      <c r="BD969" s="48">
        <f t="shared" si="382"/>
        <v>9</v>
      </c>
      <c r="BE969" s="19">
        <v>0</v>
      </c>
      <c r="BF969" s="229">
        <f t="shared" si="387"/>
        <v>13</v>
      </c>
      <c r="BG969" s="210">
        <f t="shared" si="383"/>
        <v>29</v>
      </c>
      <c r="BH969" s="210">
        <f t="shared" si="349"/>
        <v>0</v>
      </c>
      <c r="BI969" s="213" t="e">
        <f t="shared" si="384"/>
        <v>#DIV/0!</v>
      </c>
      <c r="BJ969" s="141"/>
      <c r="BK969" s="201"/>
      <c r="BL969" s="198"/>
      <c r="BM969" s="198"/>
    </row>
    <row r="970" spans="1:65" s="17" customFormat="1" ht="21.95" customHeight="1">
      <c r="A970" s="123">
        <v>7</v>
      </c>
      <c r="B970" s="9" t="s">
        <v>973</v>
      </c>
      <c r="C970" s="10" t="s">
        <v>2472</v>
      </c>
      <c r="D970" s="229"/>
      <c r="E970" s="13"/>
      <c r="F970" s="229"/>
      <c r="G970" s="13"/>
      <c r="H970" s="229">
        <v>30</v>
      </c>
      <c r="I970" s="13">
        <v>32</v>
      </c>
      <c r="J970" s="229"/>
      <c r="K970" s="13"/>
      <c r="L970" s="229"/>
      <c r="M970" s="13"/>
      <c r="N970" s="229"/>
      <c r="O970" s="13"/>
      <c r="P970" s="229"/>
      <c r="Q970" s="13"/>
      <c r="R970" s="229"/>
      <c r="S970" s="13"/>
      <c r="T970" s="229"/>
      <c r="U970" s="13">
        <f>48+6</f>
        <v>54</v>
      </c>
      <c r="V970" s="229"/>
      <c r="W970" s="13"/>
      <c r="X970" s="229"/>
      <c r="Y970" s="13"/>
      <c r="Z970" s="229"/>
      <c r="AA970" s="13">
        <f>43+4</f>
        <v>47</v>
      </c>
      <c r="AB970" s="229">
        <f t="shared" si="385"/>
        <v>30</v>
      </c>
      <c r="AC970" s="228">
        <f t="shared" si="381"/>
        <v>133</v>
      </c>
      <c r="AD970" s="19">
        <v>112</v>
      </c>
      <c r="AE970" s="229"/>
      <c r="AF970" s="20"/>
      <c r="AG970" s="229"/>
      <c r="AH970" s="20"/>
      <c r="AI970" s="229"/>
      <c r="AJ970" s="20"/>
      <c r="AK970" s="229"/>
      <c r="AL970" s="20"/>
      <c r="AM970" s="229"/>
      <c r="AN970" s="20"/>
      <c r="AO970" s="229">
        <v>47</v>
      </c>
      <c r="AP970" s="20">
        <v>48</v>
      </c>
      <c r="AQ970" s="229"/>
      <c r="AR970" s="20"/>
      <c r="AS970" s="229"/>
      <c r="AT970" s="20"/>
      <c r="AU970" s="229"/>
      <c r="AV970" s="20"/>
      <c r="AW970" s="229"/>
      <c r="AX970" s="20"/>
      <c r="AY970" s="229"/>
      <c r="AZ970" s="20"/>
      <c r="BA970" s="229"/>
      <c r="BB970" s="20"/>
      <c r="BC970" s="229">
        <f t="shared" si="386"/>
        <v>47</v>
      </c>
      <c r="BD970" s="48">
        <f t="shared" si="382"/>
        <v>48</v>
      </c>
      <c r="BE970" s="19">
        <v>0</v>
      </c>
      <c r="BF970" s="229">
        <f t="shared" si="387"/>
        <v>77</v>
      </c>
      <c r="BG970" s="210">
        <f t="shared" si="383"/>
        <v>181</v>
      </c>
      <c r="BH970" s="210">
        <f t="shared" si="349"/>
        <v>112</v>
      </c>
      <c r="BI970" s="213">
        <f t="shared" si="384"/>
        <v>161.60714285714286</v>
      </c>
      <c r="BJ970" s="141"/>
      <c r="BK970" s="201"/>
      <c r="BL970" s="198"/>
      <c r="BM970" s="198"/>
    </row>
    <row r="971" spans="1:65" s="17" customFormat="1" ht="15.95" customHeight="1">
      <c r="A971" s="123">
        <v>8</v>
      </c>
      <c r="B971" s="9" t="s">
        <v>2260</v>
      </c>
      <c r="C971" s="11" t="s">
        <v>2261</v>
      </c>
      <c r="D971" s="229"/>
      <c r="E971" s="13"/>
      <c r="F971" s="229"/>
      <c r="G971" s="13"/>
      <c r="H971" s="283"/>
      <c r="I971" s="283"/>
      <c r="J971" s="229"/>
      <c r="K971" s="13"/>
      <c r="L971" s="229"/>
      <c r="M971" s="13"/>
      <c r="N971" s="229"/>
      <c r="O971" s="13"/>
      <c r="P971" s="229"/>
      <c r="Q971" s="13"/>
      <c r="R971" s="229"/>
      <c r="S971" s="13"/>
      <c r="T971" s="229"/>
      <c r="U971" s="13"/>
      <c r="V971" s="229"/>
      <c r="W971" s="13"/>
      <c r="X971" s="229"/>
      <c r="Y971" s="13"/>
      <c r="Z971" s="229"/>
      <c r="AA971" s="13">
        <v>39</v>
      </c>
      <c r="AB971" s="229">
        <f t="shared" si="385"/>
        <v>0</v>
      </c>
      <c r="AC971" s="228">
        <f t="shared" si="381"/>
        <v>39</v>
      </c>
      <c r="AD971" s="337">
        <v>365</v>
      </c>
      <c r="AE971" s="229"/>
      <c r="AF971" s="20"/>
      <c r="AG971" s="229"/>
      <c r="AH971" s="20"/>
      <c r="AI971" s="229"/>
      <c r="AJ971" s="20"/>
      <c r="AK971" s="229"/>
      <c r="AL971" s="20"/>
      <c r="AM971" s="229"/>
      <c r="AN971" s="20"/>
      <c r="AO971" s="229"/>
      <c r="AP971" s="20">
        <v>300</v>
      </c>
      <c r="AQ971" s="229"/>
      <c r="AR971" s="20"/>
      <c r="AS971" s="229"/>
      <c r="AT971" s="20"/>
      <c r="AU971" s="229"/>
      <c r="AV971" s="20">
        <v>1</v>
      </c>
      <c r="AW971" s="229"/>
      <c r="AX971" s="20"/>
      <c r="AY971" s="229"/>
      <c r="AZ971" s="20"/>
      <c r="BA971" s="229"/>
      <c r="BB971" s="20">
        <v>1</v>
      </c>
      <c r="BC971" s="229">
        <f t="shared" si="386"/>
        <v>0</v>
      </c>
      <c r="BD971" s="48">
        <f t="shared" si="382"/>
        <v>302</v>
      </c>
      <c r="BE971" s="19">
        <v>0</v>
      </c>
      <c r="BF971" s="229">
        <f t="shared" si="387"/>
        <v>0</v>
      </c>
      <c r="BG971" s="210">
        <f t="shared" si="383"/>
        <v>341</v>
      </c>
      <c r="BH971" s="210">
        <f t="shared" si="349"/>
        <v>365</v>
      </c>
      <c r="BI971" s="213">
        <f t="shared" si="384"/>
        <v>93.424657534246577</v>
      </c>
      <c r="BJ971" s="141"/>
      <c r="BK971" s="201"/>
      <c r="BL971" s="198"/>
      <c r="BM971" s="198"/>
    </row>
    <row r="972" spans="1:65" s="17" customFormat="1" ht="15.95" customHeight="1">
      <c r="A972" s="123">
        <v>9</v>
      </c>
      <c r="B972" s="9" t="s">
        <v>369</v>
      </c>
      <c r="C972" s="11" t="s">
        <v>2864</v>
      </c>
      <c r="D972" s="229"/>
      <c r="E972" s="13"/>
      <c r="F972" s="229"/>
      <c r="G972" s="13"/>
      <c r="H972" s="229">
        <v>35</v>
      </c>
      <c r="I972" s="13">
        <v>35</v>
      </c>
      <c r="J972" s="229"/>
      <c r="K972" s="13"/>
      <c r="L972" s="229"/>
      <c r="M972" s="13"/>
      <c r="N972" s="229"/>
      <c r="O972" s="13"/>
      <c r="P972" s="229"/>
      <c r="Q972" s="13"/>
      <c r="R972" s="229"/>
      <c r="S972" s="13"/>
      <c r="T972" s="229"/>
      <c r="U972" s="13">
        <v>28</v>
      </c>
      <c r="V972" s="229"/>
      <c r="W972" s="13"/>
      <c r="X972" s="229"/>
      <c r="Y972" s="13"/>
      <c r="Z972" s="229"/>
      <c r="AA972" s="13">
        <v>347</v>
      </c>
      <c r="AB972" s="229">
        <f t="shared" si="385"/>
        <v>35</v>
      </c>
      <c r="AC972" s="228">
        <f t="shared" si="381"/>
        <v>410</v>
      </c>
      <c r="AD972" s="19">
        <v>45</v>
      </c>
      <c r="AE972" s="229"/>
      <c r="AF972" s="20"/>
      <c r="AG972" s="229"/>
      <c r="AH972" s="20"/>
      <c r="AI972" s="229"/>
      <c r="AJ972" s="20"/>
      <c r="AK972" s="229"/>
      <c r="AL972" s="20"/>
      <c r="AM972" s="229"/>
      <c r="AN972" s="20"/>
      <c r="AO972" s="229">
        <v>33</v>
      </c>
      <c r="AP972" s="20">
        <v>33</v>
      </c>
      <c r="AQ972" s="229"/>
      <c r="AR972" s="20"/>
      <c r="AS972" s="229"/>
      <c r="AT972" s="20"/>
      <c r="AU972" s="229"/>
      <c r="AV972" s="20"/>
      <c r="AW972" s="229"/>
      <c r="AX972" s="20"/>
      <c r="AY972" s="229"/>
      <c r="AZ972" s="20"/>
      <c r="BA972" s="229"/>
      <c r="BB972" s="20"/>
      <c r="BC972" s="229">
        <f t="shared" si="386"/>
        <v>33</v>
      </c>
      <c r="BD972" s="48">
        <f t="shared" si="382"/>
        <v>33</v>
      </c>
      <c r="BE972" s="19">
        <v>0</v>
      </c>
      <c r="BF972" s="229">
        <f t="shared" si="387"/>
        <v>68</v>
      </c>
      <c r="BG972" s="210">
        <f t="shared" si="383"/>
        <v>443</v>
      </c>
      <c r="BH972" s="210">
        <f t="shared" si="349"/>
        <v>45</v>
      </c>
      <c r="BI972" s="213">
        <f t="shared" si="384"/>
        <v>984.44444444444446</v>
      </c>
      <c r="BJ972" s="141"/>
      <c r="BK972" s="201"/>
      <c r="BL972" s="198"/>
      <c r="BM972" s="198"/>
    </row>
    <row r="973" spans="1:65" s="17" customFormat="1" ht="15.95" customHeight="1">
      <c r="A973" s="123">
        <v>10</v>
      </c>
      <c r="B973" s="9" t="s">
        <v>376</v>
      </c>
      <c r="C973" s="11" t="s">
        <v>377</v>
      </c>
      <c r="D973" s="229"/>
      <c r="E973" s="13"/>
      <c r="F973" s="229"/>
      <c r="G973" s="13"/>
      <c r="H973" s="229"/>
      <c r="I973" s="13"/>
      <c r="J973" s="229"/>
      <c r="K973" s="13"/>
      <c r="L973" s="229"/>
      <c r="M973" s="13"/>
      <c r="N973" s="229"/>
      <c r="O973" s="13"/>
      <c r="P973" s="229"/>
      <c r="Q973" s="13"/>
      <c r="R973" s="229"/>
      <c r="S973" s="13"/>
      <c r="T973" s="229"/>
      <c r="U973" s="13"/>
      <c r="V973" s="229"/>
      <c r="W973" s="13"/>
      <c r="X973" s="229"/>
      <c r="Y973" s="13"/>
      <c r="Z973" s="229"/>
      <c r="AA973" s="13"/>
      <c r="AB973" s="229">
        <f t="shared" si="385"/>
        <v>0</v>
      </c>
      <c r="AC973" s="228">
        <f t="shared" si="381"/>
        <v>0</v>
      </c>
      <c r="AD973" s="19">
        <v>1</v>
      </c>
      <c r="AE973" s="229"/>
      <c r="AF973" s="20"/>
      <c r="AG973" s="229"/>
      <c r="AH973" s="20"/>
      <c r="AI973" s="229"/>
      <c r="AJ973" s="20"/>
      <c r="AK973" s="229"/>
      <c r="AL973" s="20"/>
      <c r="AM973" s="229"/>
      <c r="AN973" s="20"/>
      <c r="AO973" s="229"/>
      <c r="AP973" s="20"/>
      <c r="AQ973" s="229"/>
      <c r="AR973" s="20"/>
      <c r="AS973" s="229"/>
      <c r="AT973" s="20"/>
      <c r="AU973" s="229"/>
      <c r="AV973" s="20"/>
      <c r="AW973" s="229"/>
      <c r="AX973" s="20"/>
      <c r="AY973" s="229"/>
      <c r="AZ973" s="20"/>
      <c r="BA973" s="229"/>
      <c r="BB973" s="20"/>
      <c r="BC973" s="229">
        <f t="shared" si="386"/>
        <v>0</v>
      </c>
      <c r="BD973" s="48">
        <f t="shared" si="382"/>
        <v>0</v>
      </c>
      <c r="BE973" s="19">
        <v>0</v>
      </c>
      <c r="BF973" s="229">
        <f t="shared" si="387"/>
        <v>0</v>
      </c>
      <c r="BG973" s="210">
        <f t="shared" si="383"/>
        <v>0</v>
      </c>
      <c r="BH973" s="210">
        <f t="shared" si="349"/>
        <v>1</v>
      </c>
      <c r="BI973" s="213">
        <f t="shared" si="384"/>
        <v>0</v>
      </c>
      <c r="BJ973" s="141"/>
      <c r="BK973" s="201"/>
      <c r="BL973" s="198"/>
      <c r="BM973" s="198"/>
    </row>
    <row r="974" spans="1:65" s="17" customFormat="1" ht="21.95" customHeight="1">
      <c r="A974" s="123">
        <v>11</v>
      </c>
      <c r="B974" s="9" t="s">
        <v>390</v>
      </c>
      <c r="C974" s="10" t="s">
        <v>2062</v>
      </c>
      <c r="D974" s="229"/>
      <c r="E974" s="13"/>
      <c r="F974" s="229"/>
      <c r="G974" s="13"/>
      <c r="H974" s="229"/>
      <c r="I974" s="13"/>
      <c r="J974" s="229"/>
      <c r="K974" s="13"/>
      <c r="L974" s="229"/>
      <c r="M974" s="13"/>
      <c r="N974" s="229"/>
      <c r="O974" s="13"/>
      <c r="P974" s="229"/>
      <c r="Q974" s="13"/>
      <c r="R974" s="229"/>
      <c r="S974" s="13"/>
      <c r="T974" s="229"/>
      <c r="U974" s="13"/>
      <c r="V974" s="229"/>
      <c r="W974" s="13"/>
      <c r="X974" s="229"/>
      <c r="Y974" s="13"/>
      <c r="Z974" s="229"/>
      <c r="AA974" s="13"/>
      <c r="AB974" s="229">
        <f t="shared" si="385"/>
        <v>0</v>
      </c>
      <c r="AC974" s="228">
        <f t="shared" si="381"/>
        <v>0</v>
      </c>
      <c r="AD974" s="19">
        <v>1</v>
      </c>
      <c r="AE974" s="229"/>
      <c r="AF974" s="20"/>
      <c r="AG974" s="229"/>
      <c r="AH974" s="20"/>
      <c r="AI974" s="229"/>
      <c r="AJ974" s="20"/>
      <c r="AK974" s="229"/>
      <c r="AL974" s="20"/>
      <c r="AM974" s="229"/>
      <c r="AN974" s="20"/>
      <c r="AO974" s="229"/>
      <c r="AP974" s="20"/>
      <c r="AQ974" s="229"/>
      <c r="AR974" s="20"/>
      <c r="AS974" s="229"/>
      <c r="AT974" s="20"/>
      <c r="AU974" s="229"/>
      <c r="AV974" s="20"/>
      <c r="AW974" s="229"/>
      <c r="AX974" s="20"/>
      <c r="AY974" s="229"/>
      <c r="AZ974" s="20"/>
      <c r="BA974" s="229"/>
      <c r="BB974" s="20"/>
      <c r="BC974" s="229">
        <f t="shared" si="386"/>
        <v>0</v>
      </c>
      <c r="BD974" s="48">
        <f t="shared" si="382"/>
        <v>0</v>
      </c>
      <c r="BE974" s="19">
        <v>0</v>
      </c>
      <c r="BF974" s="229">
        <f t="shared" si="387"/>
        <v>0</v>
      </c>
      <c r="BG974" s="210">
        <f t="shared" si="383"/>
        <v>0</v>
      </c>
      <c r="BH974" s="210">
        <f t="shared" si="349"/>
        <v>1</v>
      </c>
      <c r="BI974" s="213">
        <f t="shared" si="384"/>
        <v>0</v>
      </c>
      <c r="BJ974" s="141"/>
      <c r="BK974" s="201"/>
      <c r="BL974" s="198"/>
      <c r="BM974" s="198"/>
    </row>
    <row r="975" spans="1:65" s="17" customFormat="1" ht="18" customHeight="1">
      <c r="A975" s="123">
        <v>12</v>
      </c>
      <c r="B975" s="9" t="s">
        <v>1898</v>
      </c>
      <c r="C975" s="11" t="s">
        <v>1899</v>
      </c>
      <c r="D975" s="229"/>
      <c r="E975" s="13"/>
      <c r="F975" s="229"/>
      <c r="G975" s="13"/>
      <c r="H975" s="283"/>
      <c r="I975" s="283"/>
      <c r="J975" s="229"/>
      <c r="K975" s="13"/>
      <c r="L975" s="229"/>
      <c r="M975" s="13"/>
      <c r="N975" s="229"/>
      <c r="O975" s="13"/>
      <c r="P975" s="229"/>
      <c r="Q975" s="13"/>
      <c r="R975" s="229"/>
      <c r="S975" s="13"/>
      <c r="T975" s="229"/>
      <c r="U975" s="13">
        <f>100+8</f>
        <v>108</v>
      </c>
      <c r="V975" s="229"/>
      <c r="W975" s="13"/>
      <c r="X975" s="229"/>
      <c r="Y975" s="13"/>
      <c r="Z975" s="229"/>
      <c r="AA975" s="13"/>
      <c r="AB975" s="229">
        <f t="shared" si="385"/>
        <v>0</v>
      </c>
      <c r="AC975" s="228">
        <f t="shared" si="381"/>
        <v>108</v>
      </c>
      <c r="AD975" s="292">
        <v>410</v>
      </c>
      <c r="AE975" s="229"/>
      <c r="AF975" s="20"/>
      <c r="AG975" s="229"/>
      <c r="AH975" s="20"/>
      <c r="AI975" s="229"/>
      <c r="AJ975" s="20"/>
      <c r="AK975" s="229"/>
      <c r="AL975" s="20"/>
      <c r="AM975" s="229"/>
      <c r="AN975" s="20"/>
      <c r="AO975" s="229"/>
      <c r="AP975" s="20"/>
      <c r="AQ975" s="229"/>
      <c r="AR975" s="20"/>
      <c r="AS975" s="229"/>
      <c r="AT975" s="20"/>
      <c r="AU975" s="229"/>
      <c r="AV975" s="20"/>
      <c r="AW975" s="229"/>
      <c r="AX975" s="20"/>
      <c r="AY975" s="229"/>
      <c r="AZ975" s="20"/>
      <c r="BA975" s="229"/>
      <c r="BB975" s="20"/>
      <c r="BC975" s="229">
        <f t="shared" si="386"/>
        <v>0</v>
      </c>
      <c r="BD975" s="48">
        <f t="shared" si="382"/>
        <v>0</v>
      </c>
      <c r="BE975" s="19">
        <v>0</v>
      </c>
      <c r="BF975" s="229">
        <f t="shared" si="387"/>
        <v>0</v>
      </c>
      <c r="BG975" s="210">
        <f t="shared" si="383"/>
        <v>108</v>
      </c>
      <c r="BH975" s="210">
        <f t="shared" si="349"/>
        <v>410</v>
      </c>
      <c r="BI975" s="213">
        <f t="shared" si="384"/>
        <v>26.341463414634148</v>
      </c>
      <c r="BJ975" s="141"/>
      <c r="BK975" s="201"/>
      <c r="BL975" s="198"/>
      <c r="BM975" s="198"/>
    </row>
    <row r="976" spans="1:65" s="17" customFormat="1" ht="21.95" customHeight="1">
      <c r="A976" s="380" t="s">
        <v>546</v>
      </c>
      <c r="B976" s="380"/>
      <c r="C976" s="380"/>
      <c r="D976" s="22">
        <f t="shared" ref="D976:BB976" si="388">SUM(D977:D977)</f>
        <v>0</v>
      </c>
      <c r="E976" s="22">
        <f t="shared" si="388"/>
        <v>0</v>
      </c>
      <c r="F976" s="22">
        <f t="shared" si="388"/>
        <v>0</v>
      </c>
      <c r="G976" s="22">
        <f t="shared" si="388"/>
        <v>0</v>
      </c>
      <c r="H976" s="22">
        <f t="shared" si="388"/>
        <v>0</v>
      </c>
      <c r="I976" s="22">
        <f t="shared" si="388"/>
        <v>0</v>
      </c>
      <c r="J976" s="22">
        <f t="shared" si="388"/>
        <v>0</v>
      </c>
      <c r="K976" s="22">
        <f t="shared" si="388"/>
        <v>0</v>
      </c>
      <c r="L976" s="22">
        <f t="shared" si="388"/>
        <v>0</v>
      </c>
      <c r="M976" s="22">
        <f t="shared" si="388"/>
        <v>0</v>
      </c>
      <c r="N976" s="22">
        <f t="shared" si="388"/>
        <v>0</v>
      </c>
      <c r="O976" s="22">
        <f t="shared" si="388"/>
        <v>0</v>
      </c>
      <c r="P976" s="22">
        <f t="shared" si="388"/>
        <v>0</v>
      </c>
      <c r="Q976" s="22">
        <f t="shared" si="388"/>
        <v>0</v>
      </c>
      <c r="R976" s="22">
        <f t="shared" si="388"/>
        <v>0</v>
      </c>
      <c r="S976" s="22">
        <f t="shared" si="388"/>
        <v>0</v>
      </c>
      <c r="T976" s="22">
        <f t="shared" si="388"/>
        <v>0</v>
      </c>
      <c r="U976" s="22">
        <f t="shared" si="388"/>
        <v>0</v>
      </c>
      <c r="V976" s="22">
        <f t="shared" si="388"/>
        <v>0</v>
      </c>
      <c r="W976" s="22">
        <f t="shared" si="388"/>
        <v>0</v>
      </c>
      <c r="X976" s="22">
        <f t="shared" si="388"/>
        <v>0</v>
      </c>
      <c r="Y976" s="22">
        <f t="shared" si="388"/>
        <v>0</v>
      </c>
      <c r="Z976" s="22">
        <f t="shared" si="388"/>
        <v>0</v>
      </c>
      <c r="AA976" s="22">
        <f t="shared" si="388"/>
        <v>0</v>
      </c>
      <c r="AB976" s="22">
        <f t="shared" si="361"/>
        <v>0</v>
      </c>
      <c r="AC976" s="22">
        <f t="shared" si="362"/>
        <v>0</v>
      </c>
      <c r="AD976" s="23">
        <f t="shared" si="388"/>
        <v>1</v>
      </c>
      <c r="AE976" s="22">
        <f t="shared" si="388"/>
        <v>0</v>
      </c>
      <c r="AF976" s="23">
        <f t="shared" si="388"/>
        <v>0</v>
      </c>
      <c r="AG976" s="22">
        <f t="shared" si="388"/>
        <v>0</v>
      </c>
      <c r="AH976" s="23">
        <f t="shared" si="388"/>
        <v>0</v>
      </c>
      <c r="AI976" s="22">
        <f t="shared" si="388"/>
        <v>0</v>
      </c>
      <c r="AJ976" s="23">
        <f t="shared" si="388"/>
        <v>0</v>
      </c>
      <c r="AK976" s="22">
        <f t="shared" si="388"/>
        <v>0</v>
      </c>
      <c r="AL976" s="23">
        <f t="shared" si="388"/>
        <v>0</v>
      </c>
      <c r="AM976" s="22">
        <f t="shared" si="388"/>
        <v>0</v>
      </c>
      <c r="AN976" s="23">
        <f t="shared" si="388"/>
        <v>0</v>
      </c>
      <c r="AO976" s="22">
        <f t="shared" si="388"/>
        <v>0</v>
      </c>
      <c r="AP976" s="23">
        <f t="shared" si="388"/>
        <v>0</v>
      </c>
      <c r="AQ976" s="22">
        <f t="shared" si="388"/>
        <v>0</v>
      </c>
      <c r="AR976" s="23">
        <f t="shared" si="388"/>
        <v>0</v>
      </c>
      <c r="AS976" s="22">
        <f t="shared" si="388"/>
        <v>0</v>
      </c>
      <c r="AT976" s="23">
        <f t="shared" si="388"/>
        <v>0</v>
      </c>
      <c r="AU976" s="22">
        <f t="shared" si="388"/>
        <v>0</v>
      </c>
      <c r="AV976" s="23">
        <f t="shared" si="388"/>
        <v>0</v>
      </c>
      <c r="AW976" s="22">
        <f t="shared" si="388"/>
        <v>0</v>
      </c>
      <c r="AX976" s="23">
        <f t="shared" si="388"/>
        <v>0</v>
      </c>
      <c r="AY976" s="22">
        <f t="shared" si="388"/>
        <v>0</v>
      </c>
      <c r="AZ976" s="23">
        <f t="shared" si="388"/>
        <v>0</v>
      </c>
      <c r="BA976" s="22">
        <f t="shared" si="388"/>
        <v>0</v>
      </c>
      <c r="BB976" s="23">
        <f t="shared" si="388"/>
        <v>0</v>
      </c>
      <c r="BC976" s="22">
        <f t="shared" si="364"/>
        <v>0</v>
      </c>
      <c r="BD976" s="215">
        <f t="shared" si="365"/>
        <v>0</v>
      </c>
      <c r="BE976" s="23">
        <v>0</v>
      </c>
      <c r="BF976" s="22">
        <f t="shared" si="366"/>
        <v>0</v>
      </c>
      <c r="BG976" s="215">
        <f t="shared" si="367"/>
        <v>0</v>
      </c>
      <c r="BH976" s="215">
        <f t="shared" si="349"/>
        <v>1</v>
      </c>
      <c r="BI976" s="273">
        <f t="shared" si="368"/>
        <v>0</v>
      </c>
      <c r="BJ976" s="140">
        <v>1</v>
      </c>
      <c r="BK976" s="203">
        <f>BJ976-BH976</f>
        <v>0</v>
      </c>
      <c r="BL976" s="198"/>
      <c r="BM976" s="198"/>
    </row>
    <row r="977" spans="1:65" s="17" customFormat="1" ht="18" customHeight="1">
      <c r="A977" s="123">
        <v>1</v>
      </c>
      <c r="B977" s="9" t="s">
        <v>109</v>
      </c>
      <c r="C977" s="15" t="s">
        <v>110</v>
      </c>
      <c r="D977" s="229"/>
      <c r="E977" s="13"/>
      <c r="F977" s="229"/>
      <c r="G977" s="13"/>
      <c r="H977" s="229"/>
      <c r="I977" s="13"/>
      <c r="J977" s="229"/>
      <c r="K977" s="13"/>
      <c r="L977" s="229"/>
      <c r="M977" s="13"/>
      <c r="N977" s="229"/>
      <c r="O977" s="13"/>
      <c r="P977" s="229"/>
      <c r="Q977" s="13"/>
      <c r="R977" s="229"/>
      <c r="S977" s="13"/>
      <c r="T977" s="229"/>
      <c r="U977" s="13"/>
      <c r="V977" s="229"/>
      <c r="W977" s="13"/>
      <c r="X977" s="229"/>
      <c r="Y977" s="13"/>
      <c r="Z977" s="229"/>
      <c r="AA977" s="13"/>
      <c r="AB977" s="229">
        <f t="shared" si="361"/>
        <v>0</v>
      </c>
      <c r="AC977" s="228">
        <f t="shared" si="362"/>
        <v>0</v>
      </c>
      <c r="AD977" s="19">
        <v>1</v>
      </c>
      <c r="AE977" s="229"/>
      <c r="AF977" s="20"/>
      <c r="AG977" s="229"/>
      <c r="AH977" s="20"/>
      <c r="AI977" s="229"/>
      <c r="AJ977" s="20"/>
      <c r="AK977" s="229"/>
      <c r="AL977" s="20"/>
      <c r="AM977" s="229"/>
      <c r="AN977" s="20"/>
      <c r="AO977" s="229"/>
      <c r="AP977" s="20"/>
      <c r="AQ977" s="229"/>
      <c r="AR977" s="20"/>
      <c r="AS977" s="229"/>
      <c r="AT977" s="20"/>
      <c r="AU977" s="229"/>
      <c r="AV977" s="20"/>
      <c r="AW977" s="229"/>
      <c r="AX977" s="20"/>
      <c r="AY977" s="229"/>
      <c r="AZ977" s="20"/>
      <c r="BA977" s="229"/>
      <c r="BB977" s="20"/>
      <c r="BC977" s="229">
        <f t="shared" si="364"/>
        <v>0</v>
      </c>
      <c r="BD977" s="48">
        <f t="shared" si="365"/>
        <v>0</v>
      </c>
      <c r="BE977" s="19">
        <v>0</v>
      </c>
      <c r="BF977" s="229">
        <f t="shared" si="366"/>
        <v>0</v>
      </c>
      <c r="BG977" s="210">
        <f t="shared" si="367"/>
        <v>0</v>
      </c>
      <c r="BH977" s="210">
        <f t="shared" si="349"/>
        <v>1</v>
      </c>
      <c r="BI977" s="213">
        <f t="shared" si="368"/>
        <v>0</v>
      </c>
      <c r="BJ977" s="141"/>
      <c r="BK977" s="201"/>
      <c r="BL977" s="198"/>
      <c r="BM977" s="198"/>
    </row>
    <row r="978" spans="1:65" s="17" customFormat="1" ht="21.95" customHeight="1">
      <c r="A978" s="380" t="s">
        <v>547</v>
      </c>
      <c r="B978" s="380"/>
      <c r="C978" s="380"/>
      <c r="D978" s="22">
        <f t="shared" ref="D978:F978" si="389">SUM(D979:D996)</f>
        <v>0</v>
      </c>
      <c r="E978" s="22">
        <f>SUM(E979:E996)</f>
        <v>0</v>
      </c>
      <c r="F978" s="22">
        <f t="shared" si="389"/>
        <v>0</v>
      </c>
      <c r="G978" s="22">
        <f t="shared" ref="G978:AA978" si="390">SUM(G979:G996)</f>
        <v>0</v>
      </c>
      <c r="H978" s="283">
        <f t="shared" si="390"/>
        <v>15</v>
      </c>
      <c r="I978" s="283">
        <f t="shared" si="390"/>
        <v>18</v>
      </c>
      <c r="J978" s="22">
        <f t="shared" si="390"/>
        <v>0</v>
      </c>
      <c r="K978" s="22">
        <f t="shared" si="390"/>
        <v>0</v>
      </c>
      <c r="L978" s="22">
        <f t="shared" si="390"/>
        <v>0</v>
      </c>
      <c r="M978" s="22">
        <f t="shared" si="390"/>
        <v>0</v>
      </c>
      <c r="N978" s="22">
        <f t="shared" si="390"/>
        <v>0</v>
      </c>
      <c r="O978" s="22">
        <f t="shared" si="390"/>
        <v>1</v>
      </c>
      <c r="P978" s="22">
        <f t="shared" si="390"/>
        <v>0</v>
      </c>
      <c r="Q978" s="22">
        <f t="shared" si="390"/>
        <v>0</v>
      </c>
      <c r="R978" s="22">
        <f t="shared" si="390"/>
        <v>0</v>
      </c>
      <c r="S978" s="22">
        <f t="shared" si="390"/>
        <v>0</v>
      </c>
      <c r="T978" s="22">
        <f t="shared" si="390"/>
        <v>0</v>
      </c>
      <c r="U978" s="22">
        <f t="shared" si="390"/>
        <v>160</v>
      </c>
      <c r="V978" s="22">
        <f t="shared" si="390"/>
        <v>0</v>
      </c>
      <c r="W978" s="22">
        <f t="shared" si="390"/>
        <v>0</v>
      </c>
      <c r="X978" s="22">
        <f t="shared" si="390"/>
        <v>0</v>
      </c>
      <c r="Y978" s="22">
        <f t="shared" si="390"/>
        <v>0</v>
      </c>
      <c r="Z978" s="22">
        <f t="shared" si="390"/>
        <v>0</v>
      </c>
      <c r="AA978" s="22">
        <f t="shared" si="390"/>
        <v>166</v>
      </c>
      <c r="AB978" s="22">
        <f t="shared" si="361"/>
        <v>15</v>
      </c>
      <c r="AC978" s="22">
        <f t="shared" si="362"/>
        <v>345</v>
      </c>
      <c r="AD978" s="23">
        <f t="shared" ref="AD978:BB978" si="391">SUM(AD979:AD996)</f>
        <v>275</v>
      </c>
      <c r="AE978" s="22">
        <f t="shared" si="391"/>
        <v>0</v>
      </c>
      <c r="AF978" s="23">
        <f t="shared" si="391"/>
        <v>0</v>
      </c>
      <c r="AG978" s="22">
        <f t="shared" si="391"/>
        <v>0</v>
      </c>
      <c r="AH978" s="23">
        <f t="shared" si="391"/>
        <v>0</v>
      </c>
      <c r="AI978" s="22">
        <f t="shared" si="391"/>
        <v>0</v>
      </c>
      <c r="AJ978" s="23">
        <f t="shared" si="391"/>
        <v>0</v>
      </c>
      <c r="AK978" s="22">
        <f t="shared" si="391"/>
        <v>0</v>
      </c>
      <c r="AL978" s="23">
        <f t="shared" si="391"/>
        <v>0</v>
      </c>
      <c r="AM978" s="22">
        <f t="shared" si="391"/>
        <v>0</v>
      </c>
      <c r="AN978" s="23">
        <f t="shared" si="391"/>
        <v>0</v>
      </c>
      <c r="AO978" s="22">
        <f t="shared" si="391"/>
        <v>133</v>
      </c>
      <c r="AP978" s="23">
        <f t="shared" si="391"/>
        <v>141</v>
      </c>
      <c r="AQ978" s="22">
        <f t="shared" si="391"/>
        <v>0</v>
      </c>
      <c r="AR978" s="23">
        <f t="shared" si="391"/>
        <v>0</v>
      </c>
      <c r="AS978" s="22">
        <f t="shared" si="391"/>
        <v>0</v>
      </c>
      <c r="AT978" s="23">
        <f t="shared" si="391"/>
        <v>0</v>
      </c>
      <c r="AU978" s="22">
        <f t="shared" si="391"/>
        <v>0</v>
      </c>
      <c r="AV978" s="23">
        <f t="shared" si="391"/>
        <v>0</v>
      </c>
      <c r="AW978" s="22">
        <f t="shared" si="391"/>
        <v>0</v>
      </c>
      <c r="AX978" s="23">
        <f t="shared" si="391"/>
        <v>0</v>
      </c>
      <c r="AY978" s="22">
        <f t="shared" si="391"/>
        <v>0</v>
      </c>
      <c r="AZ978" s="23">
        <f t="shared" si="391"/>
        <v>0</v>
      </c>
      <c r="BA978" s="22">
        <f t="shared" si="391"/>
        <v>0</v>
      </c>
      <c r="BB978" s="23">
        <f t="shared" si="391"/>
        <v>10</v>
      </c>
      <c r="BC978" s="22">
        <f t="shared" si="364"/>
        <v>133</v>
      </c>
      <c r="BD978" s="215">
        <f t="shared" si="365"/>
        <v>151</v>
      </c>
      <c r="BE978" s="23">
        <f>SUM(BE979:BE996)</f>
        <v>5</v>
      </c>
      <c r="BF978" s="22">
        <f t="shared" si="366"/>
        <v>148</v>
      </c>
      <c r="BG978" s="215">
        <f t="shared" si="367"/>
        <v>496</v>
      </c>
      <c r="BH978" s="215">
        <f t="shared" si="349"/>
        <v>280</v>
      </c>
      <c r="BI978" s="273">
        <f t="shared" si="368"/>
        <v>177.14285714285714</v>
      </c>
      <c r="BJ978" s="140">
        <v>280</v>
      </c>
      <c r="BK978" s="203">
        <f>BJ978-BH978</f>
        <v>0</v>
      </c>
      <c r="BL978" s="198"/>
      <c r="BM978" s="198"/>
    </row>
    <row r="979" spans="1:65" s="17" customFormat="1" ht="15.95" customHeight="1">
      <c r="A979" s="123">
        <v>1</v>
      </c>
      <c r="B979" s="9" t="s">
        <v>540</v>
      </c>
      <c r="C979" s="11" t="s">
        <v>1953</v>
      </c>
      <c r="D979" s="229"/>
      <c r="E979" s="13"/>
      <c r="F979" s="229"/>
      <c r="G979" s="13"/>
      <c r="H979" s="283"/>
      <c r="I979" s="283"/>
      <c r="J979" s="229"/>
      <c r="K979" s="13"/>
      <c r="L979" s="229"/>
      <c r="M979" s="13"/>
      <c r="N979" s="229"/>
      <c r="O979" s="13"/>
      <c r="P979" s="229"/>
      <c r="Q979" s="13"/>
      <c r="R979" s="229"/>
      <c r="S979" s="13"/>
      <c r="T979" s="229"/>
      <c r="U979" s="13">
        <f>111+28</f>
        <v>139</v>
      </c>
      <c r="V979" s="229"/>
      <c r="W979" s="13"/>
      <c r="X979" s="229"/>
      <c r="Y979" s="13"/>
      <c r="Z979" s="229"/>
      <c r="AA979" s="13">
        <f>93+38</f>
        <v>131</v>
      </c>
      <c r="AB979" s="229">
        <f t="shared" ref="AB979:AC981" si="392">D979+F979+H979+J979+L979+N979+P979+R979+T979+V979+X979+Z979</f>
        <v>0</v>
      </c>
      <c r="AC979" s="228">
        <f t="shared" si="392"/>
        <v>270</v>
      </c>
      <c r="AD979" s="19">
        <v>254</v>
      </c>
      <c r="AE979" s="229"/>
      <c r="AF979" s="20"/>
      <c r="AG979" s="229"/>
      <c r="AH979" s="20"/>
      <c r="AI979" s="229"/>
      <c r="AJ979" s="20"/>
      <c r="AK979" s="229"/>
      <c r="AL979" s="20"/>
      <c r="AM979" s="229"/>
      <c r="AN979" s="20"/>
      <c r="AO979" s="229">
        <f>86+24</f>
        <v>110</v>
      </c>
      <c r="AP979" s="20">
        <f>86+24</f>
        <v>110</v>
      </c>
      <c r="AQ979" s="229"/>
      <c r="AR979" s="20"/>
      <c r="AS979" s="229"/>
      <c r="AT979" s="20"/>
      <c r="AU979" s="229"/>
      <c r="AV979" s="20"/>
      <c r="AW979" s="229"/>
      <c r="AX979" s="20"/>
      <c r="AY979" s="229"/>
      <c r="AZ979" s="20"/>
      <c r="BA979" s="229"/>
      <c r="BB979" s="20">
        <f>2+8</f>
        <v>10</v>
      </c>
      <c r="BC979" s="229">
        <f t="shared" ref="BC979:BD981" si="393">AE979+AG979+AI979+AK979+AM979+AO979+AQ979+AS979+AU979+AW979+AY979+BA979</f>
        <v>110</v>
      </c>
      <c r="BD979" s="48">
        <f t="shared" si="393"/>
        <v>120</v>
      </c>
      <c r="BE979" s="19">
        <v>5</v>
      </c>
      <c r="BF979" s="229">
        <f t="shared" ref="BF979:BH981" si="394">AB979+BC979</f>
        <v>110</v>
      </c>
      <c r="BG979" s="210">
        <f t="shared" si="394"/>
        <v>390</v>
      </c>
      <c r="BH979" s="210">
        <f t="shared" si="394"/>
        <v>259</v>
      </c>
      <c r="BI979" s="213">
        <f t="shared" ref="BI979:BI996" si="395">BG979/BH979*100</f>
        <v>150.57915057915059</v>
      </c>
      <c r="BJ979" s="141"/>
      <c r="BK979" s="201"/>
      <c r="BL979" s="198"/>
      <c r="BM979" s="198"/>
    </row>
    <row r="980" spans="1:65" s="17" customFormat="1" ht="15.95" customHeight="1">
      <c r="A980" s="123">
        <v>2</v>
      </c>
      <c r="B980" s="9" t="s">
        <v>1059</v>
      </c>
      <c r="C980" s="11" t="s">
        <v>2820</v>
      </c>
      <c r="D980" s="229"/>
      <c r="E980" s="13"/>
      <c r="F980" s="229"/>
      <c r="G980" s="13"/>
      <c r="H980" s="229">
        <v>1</v>
      </c>
      <c r="I980" s="13">
        <v>1</v>
      </c>
      <c r="J980" s="229"/>
      <c r="K980" s="13"/>
      <c r="L980" s="229"/>
      <c r="M980" s="13"/>
      <c r="N980" s="229"/>
      <c r="O980" s="13"/>
      <c r="P980" s="229"/>
      <c r="Q980" s="13"/>
      <c r="R980" s="229"/>
      <c r="S980" s="13"/>
      <c r="T980" s="229"/>
      <c r="U980" s="13"/>
      <c r="V980" s="229"/>
      <c r="W980" s="13"/>
      <c r="X980" s="229"/>
      <c r="Y980" s="13"/>
      <c r="Z980" s="229"/>
      <c r="AA980" s="13">
        <v>1</v>
      </c>
      <c r="AB980" s="229">
        <f t="shared" si="392"/>
        <v>1</v>
      </c>
      <c r="AC980" s="228">
        <f t="shared" si="392"/>
        <v>2</v>
      </c>
      <c r="AD980" s="19">
        <v>0</v>
      </c>
      <c r="AE980" s="229"/>
      <c r="AF980" s="20"/>
      <c r="AG980" s="229"/>
      <c r="AH980" s="20"/>
      <c r="AI980" s="229"/>
      <c r="AJ980" s="20"/>
      <c r="AK980" s="229"/>
      <c r="AL980" s="20"/>
      <c r="AM980" s="229"/>
      <c r="AN980" s="20"/>
      <c r="AO980" s="229"/>
      <c r="AP980" s="20"/>
      <c r="AQ980" s="229"/>
      <c r="AR980" s="20"/>
      <c r="AS980" s="229"/>
      <c r="AT980" s="20"/>
      <c r="AU980" s="229"/>
      <c r="AV980" s="20"/>
      <c r="AW980" s="229"/>
      <c r="AX980" s="20"/>
      <c r="AY980" s="229"/>
      <c r="AZ980" s="20"/>
      <c r="BA980" s="229"/>
      <c r="BB980" s="20"/>
      <c r="BC980" s="229">
        <f t="shared" si="393"/>
        <v>0</v>
      </c>
      <c r="BD980" s="48">
        <f t="shared" si="393"/>
        <v>0</v>
      </c>
      <c r="BE980" s="19">
        <v>0</v>
      </c>
      <c r="BF980" s="229">
        <f t="shared" si="394"/>
        <v>1</v>
      </c>
      <c r="BG980" s="210">
        <f t="shared" si="394"/>
        <v>2</v>
      </c>
      <c r="BH980" s="210">
        <f t="shared" si="394"/>
        <v>0</v>
      </c>
      <c r="BI980" s="213" t="e">
        <f t="shared" si="395"/>
        <v>#DIV/0!</v>
      </c>
      <c r="BJ980" s="141"/>
      <c r="BK980" s="201"/>
      <c r="BL980" s="198"/>
      <c r="BM980" s="198"/>
    </row>
    <row r="981" spans="1:65" s="17" customFormat="1" ht="15.95" customHeight="1">
      <c r="A981" s="123">
        <v>3</v>
      </c>
      <c r="B981" s="9" t="s">
        <v>1100</v>
      </c>
      <c r="C981" s="11" t="s">
        <v>2860</v>
      </c>
      <c r="D981" s="229"/>
      <c r="E981" s="13"/>
      <c r="F981" s="229"/>
      <c r="G981" s="13"/>
      <c r="H981" s="229">
        <v>2</v>
      </c>
      <c r="I981" s="13">
        <v>2</v>
      </c>
      <c r="J981" s="229"/>
      <c r="K981" s="13"/>
      <c r="L981" s="229"/>
      <c r="M981" s="13"/>
      <c r="N981" s="229"/>
      <c r="O981" s="13"/>
      <c r="P981" s="229"/>
      <c r="Q981" s="13"/>
      <c r="R981" s="229"/>
      <c r="S981" s="13"/>
      <c r="T981" s="229"/>
      <c r="U981" s="13">
        <v>4</v>
      </c>
      <c r="V981" s="229"/>
      <c r="W981" s="13"/>
      <c r="X981" s="229"/>
      <c r="Y981" s="13"/>
      <c r="Z981" s="229"/>
      <c r="AA981" s="13">
        <v>5</v>
      </c>
      <c r="AB981" s="229">
        <f t="shared" si="392"/>
        <v>2</v>
      </c>
      <c r="AC981" s="228">
        <f t="shared" si="392"/>
        <v>11</v>
      </c>
      <c r="AD981" s="19">
        <v>0</v>
      </c>
      <c r="AE981" s="229"/>
      <c r="AF981" s="20"/>
      <c r="AG981" s="229"/>
      <c r="AH981" s="20"/>
      <c r="AI981" s="229"/>
      <c r="AJ981" s="20"/>
      <c r="AK981" s="229"/>
      <c r="AL981" s="20"/>
      <c r="AM981" s="229"/>
      <c r="AN981" s="20"/>
      <c r="AO981" s="229">
        <v>4</v>
      </c>
      <c r="AP981" s="20">
        <v>4</v>
      </c>
      <c r="AQ981" s="229"/>
      <c r="AR981" s="20"/>
      <c r="AS981" s="229"/>
      <c r="AT981" s="20"/>
      <c r="AU981" s="229"/>
      <c r="AV981" s="20"/>
      <c r="AW981" s="229"/>
      <c r="AX981" s="20"/>
      <c r="AY981" s="229"/>
      <c r="AZ981" s="20"/>
      <c r="BA981" s="229"/>
      <c r="BB981" s="20"/>
      <c r="BC981" s="229">
        <f t="shared" si="393"/>
        <v>4</v>
      </c>
      <c r="BD981" s="48">
        <f t="shared" si="393"/>
        <v>4</v>
      </c>
      <c r="BE981" s="19">
        <v>0</v>
      </c>
      <c r="BF981" s="229">
        <f t="shared" si="394"/>
        <v>6</v>
      </c>
      <c r="BG981" s="210">
        <f t="shared" si="394"/>
        <v>15</v>
      </c>
      <c r="BH981" s="210">
        <f t="shared" si="394"/>
        <v>0</v>
      </c>
      <c r="BI981" s="213" t="e">
        <f t="shared" si="395"/>
        <v>#DIV/0!</v>
      </c>
      <c r="BJ981" s="141"/>
      <c r="BK981" s="201"/>
      <c r="BL981" s="198"/>
      <c r="BM981" s="198"/>
    </row>
    <row r="982" spans="1:65" s="17" customFormat="1" ht="15.95" customHeight="1">
      <c r="A982" s="123">
        <v>4</v>
      </c>
      <c r="B982" s="9" t="s">
        <v>391</v>
      </c>
      <c r="C982" s="322" t="s">
        <v>2595</v>
      </c>
      <c r="D982" s="323"/>
      <c r="E982" s="324"/>
      <c r="F982" s="323"/>
      <c r="G982" s="324"/>
      <c r="H982" s="323"/>
      <c r="I982" s="324"/>
      <c r="J982" s="323"/>
      <c r="K982" s="324"/>
      <c r="L982" s="323"/>
      <c r="M982" s="324"/>
      <c r="N982" s="323"/>
      <c r="O982" s="324"/>
      <c r="P982" s="323"/>
      <c r="Q982" s="324"/>
      <c r="R982" s="323"/>
      <c r="S982" s="324"/>
      <c r="T982" s="323"/>
      <c r="U982" s="324"/>
      <c r="V982" s="323"/>
      <c r="W982" s="324"/>
      <c r="X982" s="323"/>
      <c r="Y982" s="324"/>
      <c r="Z982" s="323"/>
      <c r="AA982" s="324">
        <v>1</v>
      </c>
      <c r="AB982" s="323"/>
      <c r="AC982" s="228">
        <f t="shared" ref="AC982:AC996" si="396">E982+G982+I982+K982+M982+O982+Q982+S982+U982+W982+Y982+AA982</f>
        <v>1</v>
      </c>
      <c r="AD982" s="326">
        <v>0</v>
      </c>
      <c r="AE982" s="323"/>
      <c r="AF982" s="327"/>
      <c r="AG982" s="323"/>
      <c r="AH982" s="327"/>
      <c r="AI982" s="323"/>
      <c r="AJ982" s="327"/>
      <c r="AK982" s="323"/>
      <c r="AL982" s="327"/>
      <c r="AM982" s="323"/>
      <c r="AN982" s="327"/>
      <c r="AO982" s="323"/>
      <c r="AP982" s="327"/>
      <c r="AQ982" s="323"/>
      <c r="AR982" s="327"/>
      <c r="AS982" s="323"/>
      <c r="AT982" s="327"/>
      <c r="AU982" s="323"/>
      <c r="AV982" s="327"/>
      <c r="AW982" s="323"/>
      <c r="AX982" s="327"/>
      <c r="AY982" s="323"/>
      <c r="AZ982" s="327"/>
      <c r="BA982" s="323"/>
      <c r="BB982" s="327"/>
      <c r="BC982" s="323"/>
      <c r="BD982" s="48">
        <f t="shared" ref="BD982:BD996" si="397">AF982+AH982+AJ982+AL982+AN982+AP982+AR982+AT982+AV982+AX982+AZ982+BB982</f>
        <v>0</v>
      </c>
      <c r="BE982" s="326">
        <v>0</v>
      </c>
      <c r="BF982" s="323"/>
      <c r="BG982" s="210">
        <f t="shared" ref="BG982:BG996" si="398">AC982+BD982</f>
        <v>1</v>
      </c>
      <c r="BH982" s="210">
        <f t="shared" ref="BH982:BH996" si="399">AD982+BE982</f>
        <v>0</v>
      </c>
      <c r="BI982" s="213" t="e">
        <f t="shared" si="395"/>
        <v>#DIV/0!</v>
      </c>
      <c r="BJ982" s="141"/>
      <c r="BK982" s="201"/>
      <c r="BL982" s="198"/>
      <c r="BM982" s="198"/>
    </row>
    <row r="983" spans="1:65" s="17" customFormat="1" ht="15.95" customHeight="1">
      <c r="A983" s="123">
        <v>5</v>
      </c>
      <c r="B983" s="9" t="s">
        <v>392</v>
      </c>
      <c r="C983" s="11" t="s">
        <v>393</v>
      </c>
      <c r="D983" s="229"/>
      <c r="E983" s="13"/>
      <c r="F983" s="229"/>
      <c r="G983" s="13"/>
      <c r="H983" s="229"/>
      <c r="I983" s="13"/>
      <c r="J983" s="229"/>
      <c r="K983" s="13"/>
      <c r="L983" s="229"/>
      <c r="M983" s="13"/>
      <c r="N983" s="229"/>
      <c r="O983" s="13"/>
      <c r="P983" s="229"/>
      <c r="Q983" s="13"/>
      <c r="R983" s="229"/>
      <c r="S983" s="13"/>
      <c r="T983" s="229"/>
      <c r="U983" s="13"/>
      <c r="V983" s="229"/>
      <c r="W983" s="13"/>
      <c r="X983" s="229"/>
      <c r="Y983" s="13"/>
      <c r="Z983" s="229"/>
      <c r="AA983" s="13">
        <v>2</v>
      </c>
      <c r="AB983" s="229">
        <f>D983+F983+H983+J983+L983+N983+P983+R983+T983+V983+X983+Z983</f>
        <v>0</v>
      </c>
      <c r="AC983" s="228">
        <f t="shared" si="396"/>
        <v>2</v>
      </c>
      <c r="AD983" s="19">
        <v>0</v>
      </c>
      <c r="AE983" s="229"/>
      <c r="AF983" s="20"/>
      <c r="AG983" s="229"/>
      <c r="AH983" s="20"/>
      <c r="AI983" s="229"/>
      <c r="AJ983" s="20"/>
      <c r="AK983" s="229"/>
      <c r="AL983" s="20"/>
      <c r="AM983" s="229"/>
      <c r="AN983" s="20"/>
      <c r="AO983" s="229">
        <v>1</v>
      </c>
      <c r="AP983" s="20">
        <v>1</v>
      </c>
      <c r="AQ983" s="229"/>
      <c r="AR983" s="20"/>
      <c r="AS983" s="229"/>
      <c r="AT983" s="20"/>
      <c r="AU983" s="229"/>
      <c r="AV983" s="20"/>
      <c r="AW983" s="229"/>
      <c r="AX983" s="20"/>
      <c r="AY983" s="229"/>
      <c r="AZ983" s="20"/>
      <c r="BA983" s="229"/>
      <c r="BB983" s="20"/>
      <c r="BC983" s="229">
        <f>AE983+AG983+AI983+AK983+AM983+AO983+AQ983+AS983+AU983+AW983+AY983+BA983</f>
        <v>1</v>
      </c>
      <c r="BD983" s="48">
        <f t="shared" si="397"/>
        <v>1</v>
      </c>
      <c r="BE983" s="19">
        <v>0</v>
      </c>
      <c r="BF983" s="229"/>
      <c r="BG983" s="210">
        <f t="shared" si="398"/>
        <v>3</v>
      </c>
      <c r="BH983" s="210">
        <f t="shared" si="399"/>
        <v>0</v>
      </c>
      <c r="BI983" s="213" t="e">
        <f t="shared" si="395"/>
        <v>#DIV/0!</v>
      </c>
      <c r="BJ983" s="141"/>
      <c r="BK983" s="201"/>
      <c r="BL983" s="198"/>
      <c r="BM983" s="198"/>
    </row>
    <row r="984" spans="1:65" s="17" customFormat="1" ht="15.95" customHeight="1">
      <c r="A984" s="123">
        <v>6</v>
      </c>
      <c r="B984" s="9" t="s">
        <v>18</v>
      </c>
      <c r="C984" s="11" t="s">
        <v>19</v>
      </c>
      <c r="D984" s="229"/>
      <c r="E984" s="13"/>
      <c r="F984" s="229"/>
      <c r="G984" s="13"/>
      <c r="H984" s="229"/>
      <c r="I984" s="13"/>
      <c r="J984" s="229"/>
      <c r="K984" s="13"/>
      <c r="L984" s="229"/>
      <c r="M984" s="13"/>
      <c r="N984" s="229"/>
      <c r="O984" s="13"/>
      <c r="P984" s="229"/>
      <c r="Q984" s="13"/>
      <c r="R984" s="229"/>
      <c r="S984" s="13"/>
      <c r="T984" s="229"/>
      <c r="U984" s="13"/>
      <c r="V984" s="229"/>
      <c r="W984" s="13"/>
      <c r="X984" s="229"/>
      <c r="Y984" s="13"/>
      <c r="Z984" s="229"/>
      <c r="AA984" s="13"/>
      <c r="AB984" s="229">
        <f>D984+F984+H984+J984+L984+N984+P984+R984+T984+V984+X984+Z984</f>
        <v>0</v>
      </c>
      <c r="AC984" s="228">
        <f t="shared" si="396"/>
        <v>0</v>
      </c>
      <c r="AD984" s="19">
        <v>3</v>
      </c>
      <c r="AE984" s="229"/>
      <c r="AF984" s="20"/>
      <c r="AG984" s="229"/>
      <c r="AH984" s="20"/>
      <c r="AI984" s="229"/>
      <c r="AJ984" s="20"/>
      <c r="AK984" s="229"/>
      <c r="AL984" s="20"/>
      <c r="AM984" s="229"/>
      <c r="AN984" s="20"/>
      <c r="AO984" s="229"/>
      <c r="AP984" s="20"/>
      <c r="AQ984" s="229"/>
      <c r="AR984" s="20"/>
      <c r="AS984" s="229"/>
      <c r="AT984" s="20"/>
      <c r="AU984" s="229"/>
      <c r="AV984" s="20"/>
      <c r="AW984" s="229"/>
      <c r="AX984" s="20"/>
      <c r="AY984" s="229"/>
      <c r="AZ984" s="20"/>
      <c r="BA984" s="229"/>
      <c r="BB984" s="20"/>
      <c r="BC984" s="229">
        <f>AE984+AG984+AI984+AK984+AM984+AO984+AQ984+AS984+AU984+AW984+AY984+BA984</f>
        <v>0</v>
      </c>
      <c r="BD984" s="48">
        <f t="shared" si="397"/>
        <v>0</v>
      </c>
      <c r="BE984" s="19">
        <v>0</v>
      </c>
      <c r="BF984" s="229">
        <f>AB984+BC984</f>
        <v>0</v>
      </c>
      <c r="BG984" s="210">
        <f t="shared" si="398"/>
        <v>0</v>
      </c>
      <c r="BH984" s="210">
        <f t="shared" si="399"/>
        <v>3</v>
      </c>
      <c r="BI984" s="213">
        <f t="shared" si="395"/>
        <v>0</v>
      </c>
      <c r="BJ984" s="141"/>
      <c r="BK984" s="201"/>
      <c r="BL984" s="198"/>
      <c r="BM984" s="198"/>
    </row>
    <row r="985" spans="1:65" s="17" customFormat="1" ht="15.95" customHeight="1">
      <c r="A985" s="123">
        <v>7</v>
      </c>
      <c r="B985" s="9" t="s">
        <v>474</v>
      </c>
      <c r="C985" s="11" t="s">
        <v>475</v>
      </c>
      <c r="D985" s="229"/>
      <c r="E985" s="13"/>
      <c r="F985" s="229"/>
      <c r="G985" s="13"/>
      <c r="H985" s="229"/>
      <c r="I985" s="13"/>
      <c r="J985" s="229"/>
      <c r="K985" s="13"/>
      <c r="L985" s="229"/>
      <c r="M985" s="13"/>
      <c r="N985" s="229"/>
      <c r="O985" s="13"/>
      <c r="P985" s="229"/>
      <c r="Q985" s="13"/>
      <c r="R985" s="229"/>
      <c r="S985" s="13"/>
      <c r="T985" s="229"/>
      <c r="U985" s="13">
        <v>1</v>
      </c>
      <c r="V985" s="229"/>
      <c r="W985" s="13"/>
      <c r="X985" s="229"/>
      <c r="Y985" s="13"/>
      <c r="Z985" s="229"/>
      <c r="AA985" s="13"/>
      <c r="AB985" s="229">
        <f>D985+F985+H985+J985+L985+N985+P985+R985+T985+V985+X985+Z985</f>
        <v>0</v>
      </c>
      <c r="AC985" s="228">
        <f t="shared" si="396"/>
        <v>1</v>
      </c>
      <c r="AD985" s="19">
        <v>5</v>
      </c>
      <c r="AE985" s="229"/>
      <c r="AF985" s="20"/>
      <c r="AG985" s="229"/>
      <c r="AH985" s="20"/>
      <c r="AI985" s="229"/>
      <c r="AJ985" s="20"/>
      <c r="AK985" s="229"/>
      <c r="AL985" s="20"/>
      <c r="AM985" s="229"/>
      <c r="AN985" s="20"/>
      <c r="AO985" s="229"/>
      <c r="AP985" s="20"/>
      <c r="AQ985" s="229"/>
      <c r="AR985" s="20"/>
      <c r="AS985" s="229"/>
      <c r="AT985" s="20"/>
      <c r="AU985" s="229"/>
      <c r="AV985" s="20"/>
      <c r="AW985" s="229"/>
      <c r="AX985" s="20"/>
      <c r="AY985" s="229"/>
      <c r="AZ985" s="20"/>
      <c r="BA985" s="229"/>
      <c r="BB985" s="20"/>
      <c r="BC985" s="229">
        <f>AE985+AG985+AI985+AK985+AM985+AO985+AQ985+AS985+AU985+AW985+AY985+BA985</f>
        <v>0</v>
      </c>
      <c r="BD985" s="48">
        <f t="shared" si="397"/>
        <v>0</v>
      </c>
      <c r="BE985" s="19">
        <v>0</v>
      </c>
      <c r="BF985" s="229">
        <f>AB985+BC985</f>
        <v>0</v>
      </c>
      <c r="BG985" s="210">
        <f t="shared" si="398"/>
        <v>1</v>
      </c>
      <c r="BH985" s="210">
        <f t="shared" si="399"/>
        <v>5</v>
      </c>
      <c r="BI985" s="213">
        <f t="shared" si="395"/>
        <v>20</v>
      </c>
      <c r="BJ985" s="141"/>
      <c r="BK985" s="201"/>
      <c r="BL985" s="198"/>
      <c r="BM985" s="198"/>
    </row>
    <row r="986" spans="1:65" s="17" customFormat="1" ht="15.95" customHeight="1">
      <c r="A986" s="123">
        <v>8</v>
      </c>
      <c r="B986" s="9" t="s">
        <v>541</v>
      </c>
      <c r="C986" s="11" t="s">
        <v>542</v>
      </c>
      <c r="D986" s="229"/>
      <c r="E986" s="13"/>
      <c r="F986" s="229"/>
      <c r="G986" s="13"/>
      <c r="H986" s="229"/>
      <c r="I986" s="13"/>
      <c r="J986" s="229"/>
      <c r="K986" s="13"/>
      <c r="L986" s="229"/>
      <c r="M986" s="13"/>
      <c r="N986" s="229"/>
      <c r="O986" s="13"/>
      <c r="P986" s="229"/>
      <c r="Q986" s="13"/>
      <c r="R986" s="229"/>
      <c r="S986" s="13"/>
      <c r="T986" s="229"/>
      <c r="U986" s="13"/>
      <c r="V986" s="229"/>
      <c r="W986" s="13"/>
      <c r="X986" s="229"/>
      <c r="Y986" s="13"/>
      <c r="Z986" s="229"/>
      <c r="AA986" s="13"/>
      <c r="AB986" s="229">
        <f>D986+F986+H986+J986+L986+N986+P986+R986+T986+V986+X986+Z986</f>
        <v>0</v>
      </c>
      <c r="AC986" s="228">
        <f t="shared" si="396"/>
        <v>0</v>
      </c>
      <c r="AD986" s="19">
        <v>1</v>
      </c>
      <c r="AE986" s="229"/>
      <c r="AF986" s="20"/>
      <c r="AG986" s="229"/>
      <c r="AH986" s="20"/>
      <c r="AI986" s="229"/>
      <c r="AJ986" s="20"/>
      <c r="AK986" s="229"/>
      <c r="AL986" s="20"/>
      <c r="AM986" s="229"/>
      <c r="AN986" s="20"/>
      <c r="AO986" s="229"/>
      <c r="AP986" s="20"/>
      <c r="AQ986" s="229"/>
      <c r="AR986" s="20"/>
      <c r="AS986" s="229"/>
      <c r="AT986" s="20"/>
      <c r="AU986" s="229"/>
      <c r="AV986" s="20"/>
      <c r="AW986" s="229"/>
      <c r="AX986" s="20"/>
      <c r="AY986" s="229"/>
      <c r="AZ986" s="20"/>
      <c r="BA986" s="229"/>
      <c r="BB986" s="20"/>
      <c r="BC986" s="229">
        <f>AE986+AG986+AI986+AK986+AM986+AO986+AQ986+AS986+AU986+AW986+AY986+BA986</f>
        <v>0</v>
      </c>
      <c r="BD986" s="48">
        <f t="shared" si="397"/>
        <v>0</v>
      </c>
      <c r="BE986" s="19">
        <v>0</v>
      </c>
      <c r="BF986" s="229">
        <f>AB986+BC986</f>
        <v>0</v>
      </c>
      <c r="BG986" s="210">
        <f t="shared" si="398"/>
        <v>0</v>
      </c>
      <c r="BH986" s="210">
        <f t="shared" si="399"/>
        <v>1</v>
      </c>
      <c r="BI986" s="213">
        <f t="shared" si="395"/>
        <v>0</v>
      </c>
      <c r="BJ986" s="141"/>
      <c r="BK986" s="201"/>
      <c r="BL986" s="198"/>
      <c r="BM986" s="198"/>
    </row>
    <row r="987" spans="1:65" s="17" customFormat="1" ht="15.95" customHeight="1">
      <c r="A987" s="123">
        <v>9</v>
      </c>
      <c r="B987" s="321" t="s">
        <v>529</v>
      </c>
      <c r="C987" s="322" t="s">
        <v>3187</v>
      </c>
      <c r="D987" s="323"/>
      <c r="E987" s="324"/>
      <c r="F987" s="323"/>
      <c r="G987" s="324"/>
      <c r="H987" s="323"/>
      <c r="I987" s="324"/>
      <c r="J987" s="323"/>
      <c r="K987" s="324"/>
      <c r="L987" s="323"/>
      <c r="M987" s="324"/>
      <c r="N987" s="323"/>
      <c r="O987" s="324"/>
      <c r="P987" s="323"/>
      <c r="Q987" s="324"/>
      <c r="R987" s="323"/>
      <c r="S987" s="324"/>
      <c r="T987" s="323"/>
      <c r="U987" s="324"/>
      <c r="V987" s="323"/>
      <c r="W987" s="324"/>
      <c r="X987" s="323"/>
      <c r="Y987" s="324"/>
      <c r="Z987" s="323"/>
      <c r="AA987" s="324">
        <v>1</v>
      </c>
      <c r="AB987" s="323"/>
      <c r="AC987" s="228">
        <f t="shared" si="396"/>
        <v>1</v>
      </c>
      <c r="AD987" s="326">
        <v>0</v>
      </c>
      <c r="AE987" s="323"/>
      <c r="AF987" s="327"/>
      <c r="AG987" s="323"/>
      <c r="AH987" s="327"/>
      <c r="AI987" s="323"/>
      <c r="AJ987" s="327"/>
      <c r="AK987" s="323"/>
      <c r="AL987" s="327"/>
      <c r="AM987" s="323"/>
      <c r="AN987" s="327"/>
      <c r="AO987" s="323"/>
      <c r="AP987" s="327"/>
      <c r="AQ987" s="323"/>
      <c r="AR987" s="327"/>
      <c r="AS987" s="323"/>
      <c r="AT987" s="327"/>
      <c r="AU987" s="323"/>
      <c r="AV987" s="327"/>
      <c r="AW987" s="323"/>
      <c r="AX987" s="327"/>
      <c r="AY987" s="323"/>
      <c r="AZ987" s="327"/>
      <c r="BA987" s="323"/>
      <c r="BB987" s="327"/>
      <c r="BC987" s="323"/>
      <c r="BD987" s="48">
        <f t="shared" si="397"/>
        <v>0</v>
      </c>
      <c r="BE987" s="326">
        <v>0</v>
      </c>
      <c r="BF987" s="323"/>
      <c r="BG987" s="210">
        <f t="shared" si="398"/>
        <v>1</v>
      </c>
      <c r="BH987" s="210">
        <f t="shared" si="399"/>
        <v>0</v>
      </c>
      <c r="BI987" s="213" t="e">
        <f t="shared" si="395"/>
        <v>#DIV/0!</v>
      </c>
      <c r="BJ987" s="141"/>
      <c r="BK987" s="201"/>
      <c r="BL987" s="198"/>
      <c r="BM987" s="198"/>
    </row>
    <row r="988" spans="1:65" s="17" customFormat="1" ht="15.95" customHeight="1">
      <c r="A988" s="123">
        <v>10</v>
      </c>
      <c r="B988" s="9" t="s">
        <v>190</v>
      </c>
      <c r="C988" s="11" t="s">
        <v>2557</v>
      </c>
      <c r="D988" s="229"/>
      <c r="E988" s="13"/>
      <c r="F988" s="229"/>
      <c r="G988" s="13"/>
      <c r="H988" s="229"/>
      <c r="I988" s="13"/>
      <c r="J988" s="229"/>
      <c r="K988" s="13"/>
      <c r="L988" s="229"/>
      <c r="M988" s="13"/>
      <c r="N988" s="229"/>
      <c r="O988" s="13"/>
      <c r="P988" s="229"/>
      <c r="Q988" s="13"/>
      <c r="R988" s="229"/>
      <c r="S988" s="13"/>
      <c r="T988" s="229"/>
      <c r="U988" s="13"/>
      <c r="V988" s="229"/>
      <c r="W988" s="13"/>
      <c r="X988" s="229"/>
      <c r="Y988" s="13"/>
      <c r="Z988" s="229"/>
      <c r="AA988" s="13"/>
      <c r="AB988" s="229">
        <f>D988+F988+H988+J988+L988+N988+P988+R988+T988+V988+X988+Z988</f>
        <v>0</v>
      </c>
      <c r="AC988" s="228">
        <f t="shared" si="396"/>
        <v>0</v>
      </c>
      <c r="AD988" s="19">
        <v>1</v>
      </c>
      <c r="AE988" s="229"/>
      <c r="AF988" s="20"/>
      <c r="AG988" s="229"/>
      <c r="AH988" s="20"/>
      <c r="AI988" s="229"/>
      <c r="AJ988" s="20"/>
      <c r="AK988" s="229"/>
      <c r="AL988" s="20"/>
      <c r="AM988" s="229"/>
      <c r="AN988" s="20"/>
      <c r="AO988" s="229"/>
      <c r="AP988" s="20"/>
      <c r="AQ988" s="229"/>
      <c r="AR988" s="20"/>
      <c r="AS988" s="229"/>
      <c r="AT988" s="20"/>
      <c r="AU988" s="229"/>
      <c r="AV988" s="20"/>
      <c r="AW988" s="229"/>
      <c r="AX988" s="20"/>
      <c r="AY988" s="229"/>
      <c r="AZ988" s="20"/>
      <c r="BA988" s="229"/>
      <c r="BB988" s="20"/>
      <c r="BC988" s="229">
        <f>AE988+AG988+AI988+AK988+AM988+AO988+AQ988+AS988+AU988+AW988+AY988+BA988</f>
        <v>0</v>
      </c>
      <c r="BD988" s="48">
        <f t="shared" si="397"/>
        <v>0</v>
      </c>
      <c r="BE988" s="19">
        <v>0</v>
      </c>
      <c r="BF988" s="229">
        <f>AB988+BC988</f>
        <v>0</v>
      </c>
      <c r="BG988" s="210">
        <f t="shared" si="398"/>
        <v>0</v>
      </c>
      <c r="BH988" s="210">
        <f t="shared" si="399"/>
        <v>1</v>
      </c>
      <c r="BI988" s="213">
        <f t="shared" si="395"/>
        <v>0</v>
      </c>
      <c r="BJ988" s="141"/>
      <c r="BK988" s="201"/>
      <c r="BL988" s="198"/>
      <c r="BM988" s="198"/>
    </row>
    <row r="989" spans="1:65" s="17" customFormat="1" ht="15.95" customHeight="1">
      <c r="A989" s="123">
        <v>11</v>
      </c>
      <c r="B989" s="9" t="s">
        <v>192</v>
      </c>
      <c r="C989" s="181" t="s">
        <v>321</v>
      </c>
      <c r="D989" s="229"/>
      <c r="E989" s="13"/>
      <c r="F989" s="229"/>
      <c r="G989" s="13"/>
      <c r="H989" s="229"/>
      <c r="I989" s="13"/>
      <c r="J989" s="229"/>
      <c r="K989" s="13"/>
      <c r="L989" s="229"/>
      <c r="M989" s="13"/>
      <c r="N989" s="229"/>
      <c r="O989" s="13"/>
      <c r="P989" s="229"/>
      <c r="Q989" s="13"/>
      <c r="R989" s="229"/>
      <c r="S989" s="13"/>
      <c r="T989" s="229"/>
      <c r="U989" s="13"/>
      <c r="V989" s="229"/>
      <c r="W989" s="13"/>
      <c r="X989" s="229"/>
      <c r="Y989" s="13"/>
      <c r="Z989" s="229"/>
      <c r="AA989" s="13"/>
      <c r="AB989" s="229">
        <f>D989+F989+H989+J989+L989+N989+P989+R989+T989+V989+X989+Z989</f>
        <v>0</v>
      </c>
      <c r="AC989" s="228">
        <f t="shared" si="396"/>
        <v>0</v>
      </c>
      <c r="AD989" s="19">
        <v>1</v>
      </c>
      <c r="AE989" s="229"/>
      <c r="AF989" s="20"/>
      <c r="AG989" s="229"/>
      <c r="AH989" s="20"/>
      <c r="AI989" s="229"/>
      <c r="AJ989" s="20"/>
      <c r="AK989" s="229"/>
      <c r="AL989" s="20"/>
      <c r="AM989" s="229"/>
      <c r="AN989" s="20"/>
      <c r="AO989" s="229"/>
      <c r="AP989" s="20"/>
      <c r="AQ989" s="229"/>
      <c r="AR989" s="20"/>
      <c r="AS989" s="229"/>
      <c r="AT989" s="20"/>
      <c r="AU989" s="229"/>
      <c r="AV989" s="20"/>
      <c r="AW989" s="229"/>
      <c r="AX989" s="20"/>
      <c r="AY989" s="229"/>
      <c r="AZ989" s="20"/>
      <c r="BA989" s="229"/>
      <c r="BB989" s="20"/>
      <c r="BC989" s="229">
        <f>AE989+AG989+AI989+AK989+AM989+AO989+AQ989+AS989+AU989+AW989+AY989+BA989</f>
        <v>0</v>
      </c>
      <c r="BD989" s="48">
        <f t="shared" si="397"/>
        <v>0</v>
      </c>
      <c r="BE989" s="19">
        <v>0</v>
      </c>
      <c r="BF989" s="229">
        <f>AB989+BC989</f>
        <v>0</v>
      </c>
      <c r="BG989" s="210">
        <f t="shared" si="398"/>
        <v>0</v>
      </c>
      <c r="BH989" s="210">
        <f t="shared" si="399"/>
        <v>1</v>
      </c>
      <c r="BI989" s="213">
        <f t="shared" si="395"/>
        <v>0</v>
      </c>
      <c r="BJ989" s="141"/>
      <c r="BK989" s="201"/>
      <c r="BL989" s="198"/>
      <c r="BM989" s="198"/>
    </row>
    <row r="990" spans="1:65" s="17" customFormat="1" ht="15.95" customHeight="1">
      <c r="A990" s="123">
        <v>12</v>
      </c>
      <c r="B990" s="9" t="s">
        <v>416</v>
      </c>
      <c r="C990" s="11" t="s">
        <v>417</v>
      </c>
      <c r="D990" s="229"/>
      <c r="E990" s="13"/>
      <c r="F990" s="229"/>
      <c r="G990" s="13"/>
      <c r="H990" s="229"/>
      <c r="I990" s="13"/>
      <c r="J990" s="229"/>
      <c r="K990" s="13"/>
      <c r="L990" s="229"/>
      <c r="M990" s="13"/>
      <c r="N990" s="229"/>
      <c r="O990" s="13"/>
      <c r="P990" s="229"/>
      <c r="Q990" s="13"/>
      <c r="R990" s="229"/>
      <c r="S990" s="13"/>
      <c r="T990" s="229"/>
      <c r="U990" s="13"/>
      <c r="V990" s="229"/>
      <c r="W990" s="13"/>
      <c r="X990" s="229"/>
      <c r="Y990" s="13"/>
      <c r="Z990" s="229"/>
      <c r="AA990" s="13"/>
      <c r="AB990" s="229">
        <f>D990+F990+H990+J990+L990+N990+P990+R990+T990+V990+X990+Z990</f>
        <v>0</v>
      </c>
      <c r="AC990" s="228">
        <f t="shared" si="396"/>
        <v>0</v>
      </c>
      <c r="AD990" s="19">
        <v>3</v>
      </c>
      <c r="AE990" s="229"/>
      <c r="AF990" s="20"/>
      <c r="AG990" s="229"/>
      <c r="AH990" s="20"/>
      <c r="AI990" s="229"/>
      <c r="AJ990" s="20"/>
      <c r="AK990" s="229"/>
      <c r="AL990" s="20"/>
      <c r="AM990" s="229"/>
      <c r="AN990" s="20"/>
      <c r="AO990" s="229"/>
      <c r="AP990" s="20"/>
      <c r="AQ990" s="229"/>
      <c r="AR990" s="20"/>
      <c r="AS990" s="229"/>
      <c r="AT990" s="20"/>
      <c r="AU990" s="229"/>
      <c r="AV990" s="20"/>
      <c r="AW990" s="229"/>
      <c r="AX990" s="20"/>
      <c r="AY990" s="229"/>
      <c r="AZ990" s="20"/>
      <c r="BA990" s="229"/>
      <c r="BB990" s="20"/>
      <c r="BC990" s="229">
        <f>AE990+AG990+AI990+AK990+AM990+AO990+AQ990+AS990+AU990+AW990+AY990+BA990</f>
        <v>0</v>
      </c>
      <c r="BD990" s="48">
        <f t="shared" si="397"/>
        <v>0</v>
      </c>
      <c r="BE990" s="19">
        <v>0</v>
      </c>
      <c r="BF990" s="229">
        <f>AB990+BC990</f>
        <v>0</v>
      </c>
      <c r="BG990" s="210">
        <f t="shared" si="398"/>
        <v>0</v>
      </c>
      <c r="BH990" s="210">
        <f t="shared" si="399"/>
        <v>3</v>
      </c>
      <c r="BI990" s="213">
        <f t="shared" si="395"/>
        <v>0</v>
      </c>
      <c r="BJ990" s="141"/>
      <c r="BK990" s="201"/>
      <c r="BL990" s="198"/>
      <c r="BM990" s="198"/>
    </row>
    <row r="991" spans="1:65" s="17" customFormat="1" ht="15.95" customHeight="1">
      <c r="A991" s="123">
        <v>13</v>
      </c>
      <c r="B991" s="9" t="s">
        <v>1111</v>
      </c>
      <c r="C991" s="11" t="s">
        <v>3053</v>
      </c>
      <c r="D991" s="229"/>
      <c r="E991" s="13"/>
      <c r="F991" s="229"/>
      <c r="G991" s="13"/>
      <c r="H991" s="229"/>
      <c r="I991" s="13"/>
      <c r="J991" s="229"/>
      <c r="K991" s="13"/>
      <c r="L991" s="229"/>
      <c r="M991" s="13"/>
      <c r="N991" s="229"/>
      <c r="O991" s="13">
        <v>1</v>
      </c>
      <c r="P991" s="229"/>
      <c r="Q991" s="13"/>
      <c r="R991" s="229"/>
      <c r="S991" s="13"/>
      <c r="T991" s="229"/>
      <c r="U991" s="13"/>
      <c r="V991" s="229"/>
      <c r="W991" s="13"/>
      <c r="X991" s="229"/>
      <c r="Y991" s="13"/>
      <c r="Z991" s="229"/>
      <c r="AA991" s="13"/>
      <c r="AB991" s="229"/>
      <c r="AC991" s="228">
        <f t="shared" si="396"/>
        <v>1</v>
      </c>
      <c r="AD991" s="19">
        <v>0</v>
      </c>
      <c r="AE991" s="229"/>
      <c r="AF991" s="20"/>
      <c r="AG991" s="229"/>
      <c r="AH991" s="20"/>
      <c r="AI991" s="229"/>
      <c r="AJ991" s="20"/>
      <c r="AK991" s="229"/>
      <c r="AL991" s="20"/>
      <c r="AM991" s="229"/>
      <c r="AN991" s="20"/>
      <c r="AO991" s="229"/>
      <c r="AP991" s="20"/>
      <c r="AQ991" s="229"/>
      <c r="AR991" s="20"/>
      <c r="AS991" s="229"/>
      <c r="AT991" s="20"/>
      <c r="AU991" s="229"/>
      <c r="AV991" s="20"/>
      <c r="AW991" s="229"/>
      <c r="AX991" s="20"/>
      <c r="AY991" s="229"/>
      <c r="AZ991" s="20"/>
      <c r="BA991" s="229"/>
      <c r="BB991" s="20"/>
      <c r="BC991" s="229"/>
      <c r="BD991" s="48">
        <f t="shared" si="397"/>
        <v>0</v>
      </c>
      <c r="BE991" s="19">
        <v>0</v>
      </c>
      <c r="BF991" s="229"/>
      <c r="BG991" s="210">
        <f t="shared" si="398"/>
        <v>1</v>
      </c>
      <c r="BH991" s="210">
        <f t="shared" si="399"/>
        <v>0</v>
      </c>
      <c r="BI991" s="213" t="e">
        <f t="shared" si="395"/>
        <v>#DIV/0!</v>
      </c>
      <c r="BJ991" s="141"/>
      <c r="BK991" s="201"/>
      <c r="BL991" s="198"/>
      <c r="BM991" s="198"/>
    </row>
    <row r="992" spans="1:65" s="17" customFormat="1" ht="15.95" customHeight="1">
      <c r="A992" s="123">
        <v>14</v>
      </c>
      <c r="B992" s="9" t="s">
        <v>440</v>
      </c>
      <c r="C992" s="11" t="s">
        <v>2861</v>
      </c>
      <c r="D992" s="229"/>
      <c r="E992" s="13"/>
      <c r="F992" s="229"/>
      <c r="G992" s="13"/>
      <c r="H992" s="229">
        <v>11</v>
      </c>
      <c r="I992" s="13">
        <v>14</v>
      </c>
      <c r="J992" s="229"/>
      <c r="K992" s="13"/>
      <c r="L992" s="229"/>
      <c r="M992" s="13"/>
      <c r="N992" s="229"/>
      <c r="O992" s="13"/>
      <c r="P992" s="229"/>
      <c r="Q992" s="13"/>
      <c r="R992" s="229"/>
      <c r="S992" s="13"/>
      <c r="T992" s="229"/>
      <c r="U992" s="13">
        <v>16</v>
      </c>
      <c r="V992" s="229"/>
      <c r="W992" s="13"/>
      <c r="X992" s="229"/>
      <c r="Y992" s="13"/>
      <c r="Z992" s="229"/>
      <c r="AA992" s="13">
        <v>21</v>
      </c>
      <c r="AB992" s="229">
        <f>D992+F992+H992+J992+L992+N992+P992+R992+T992+V992+X992+Z992</f>
        <v>11</v>
      </c>
      <c r="AC992" s="228">
        <f t="shared" si="396"/>
        <v>51</v>
      </c>
      <c r="AD992" s="19">
        <v>0</v>
      </c>
      <c r="AE992" s="229"/>
      <c r="AF992" s="20"/>
      <c r="AG992" s="229"/>
      <c r="AH992" s="20"/>
      <c r="AI992" s="229"/>
      <c r="AJ992" s="20"/>
      <c r="AK992" s="229"/>
      <c r="AL992" s="20"/>
      <c r="AM992" s="229"/>
      <c r="AN992" s="20"/>
      <c r="AO992" s="229">
        <v>18</v>
      </c>
      <c r="AP992" s="20">
        <v>26</v>
      </c>
      <c r="AQ992" s="229"/>
      <c r="AR992" s="20"/>
      <c r="AS992" s="229"/>
      <c r="AT992" s="20"/>
      <c r="AU992" s="229"/>
      <c r="AV992" s="20"/>
      <c r="AW992" s="229"/>
      <c r="AX992" s="20"/>
      <c r="AY992" s="229"/>
      <c r="AZ992" s="20"/>
      <c r="BA992" s="229"/>
      <c r="BB992" s="20"/>
      <c r="BC992" s="229">
        <f>AE992+AG992+AI992+AK992+AM992+AO992+AQ992+AS992+AU992+AW992+AY992+BA992</f>
        <v>18</v>
      </c>
      <c r="BD992" s="48">
        <f t="shared" si="397"/>
        <v>26</v>
      </c>
      <c r="BE992" s="19">
        <v>0</v>
      </c>
      <c r="BF992" s="229">
        <f>AB992+BC992</f>
        <v>29</v>
      </c>
      <c r="BG992" s="210">
        <f t="shared" si="398"/>
        <v>77</v>
      </c>
      <c r="BH992" s="210">
        <f t="shared" si="399"/>
        <v>0</v>
      </c>
      <c r="BI992" s="213" t="e">
        <f t="shared" si="395"/>
        <v>#DIV/0!</v>
      </c>
      <c r="BJ992" s="141"/>
      <c r="BK992" s="201"/>
      <c r="BL992" s="198"/>
      <c r="BM992" s="198"/>
    </row>
    <row r="993" spans="1:66" s="17" customFormat="1" ht="15.95" customHeight="1">
      <c r="A993" s="123">
        <v>15</v>
      </c>
      <c r="B993" s="9" t="s">
        <v>1123</v>
      </c>
      <c r="C993" s="11" t="s">
        <v>1124</v>
      </c>
      <c r="D993" s="229"/>
      <c r="E993" s="13"/>
      <c r="F993" s="229"/>
      <c r="G993" s="13"/>
      <c r="H993" s="229">
        <v>1</v>
      </c>
      <c r="I993" s="13">
        <v>1</v>
      </c>
      <c r="J993" s="229"/>
      <c r="K993" s="13"/>
      <c r="L993" s="229"/>
      <c r="M993" s="13"/>
      <c r="N993" s="229"/>
      <c r="O993" s="13"/>
      <c r="P993" s="229"/>
      <c r="Q993" s="13"/>
      <c r="R993" s="229"/>
      <c r="S993" s="13"/>
      <c r="T993" s="229"/>
      <c r="U993" s="13"/>
      <c r="V993" s="229"/>
      <c r="W993" s="13"/>
      <c r="X993" s="229"/>
      <c r="Y993" s="13"/>
      <c r="Z993" s="229"/>
      <c r="AA993" s="13">
        <v>1</v>
      </c>
      <c r="AB993" s="229">
        <f>D993+F993+H993+J993+L993+N993+P993+R993+T993+V993+X993+Z993</f>
        <v>1</v>
      </c>
      <c r="AC993" s="228">
        <f t="shared" si="396"/>
        <v>2</v>
      </c>
      <c r="AD993" s="19">
        <v>0</v>
      </c>
      <c r="AE993" s="229"/>
      <c r="AF993" s="20"/>
      <c r="AG993" s="229"/>
      <c r="AH993" s="20"/>
      <c r="AI993" s="229"/>
      <c r="AJ993" s="20"/>
      <c r="AK993" s="229"/>
      <c r="AL993" s="20"/>
      <c r="AM993" s="229"/>
      <c r="AN993" s="20"/>
      <c r="AO993" s="229"/>
      <c r="AP993" s="20"/>
      <c r="AQ993" s="229"/>
      <c r="AR993" s="20"/>
      <c r="AS993" s="229"/>
      <c r="AT993" s="20"/>
      <c r="AU993" s="229"/>
      <c r="AV993" s="20"/>
      <c r="AW993" s="229"/>
      <c r="AX993" s="20"/>
      <c r="AY993" s="229"/>
      <c r="AZ993" s="20"/>
      <c r="BA993" s="229"/>
      <c r="BB993" s="20"/>
      <c r="BC993" s="229">
        <f>AE993+AG993+AI993+AK993+AM993+AO993+AQ993+AS993+AU993+AW993+AY993+BA993</f>
        <v>0</v>
      </c>
      <c r="BD993" s="48">
        <f t="shared" si="397"/>
        <v>0</v>
      </c>
      <c r="BE993" s="19">
        <v>0</v>
      </c>
      <c r="BF993" s="229">
        <f>AB993+BC993</f>
        <v>1</v>
      </c>
      <c r="BG993" s="210">
        <f t="shared" si="398"/>
        <v>2</v>
      </c>
      <c r="BH993" s="210">
        <f t="shared" si="399"/>
        <v>0</v>
      </c>
      <c r="BI993" s="213" t="e">
        <f t="shared" si="395"/>
        <v>#DIV/0!</v>
      </c>
      <c r="BJ993" s="141"/>
      <c r="BK993" s="201"/>
      <c r="BL993" s="198"/>
      <c r="BM993" s="198"/>
    </row>
    <row r="994" spans="1:66" s="17" customFormat="1" ht="21.95" customHeight="1">
      <c r="A994" s="123">
        <v>16</v>
      </c>
      <c r="B994" s="9" t="s">
        <v>390</v>
      </c>
      <c r="C994" s="10" t="s">
        <v>2062</v>
      </c>
      <c r="D994" s="229"/>
      <c r="E994" s="13"/>
      <c r="F994" s="229"/>
      <c r="G994" s="13"/>
      <c r="H994" s="229"/>
      <c r="I994" s="13"/>
      <c r="J994" s="229"/>
      <c r="K994" s="13"/>
      <c r="L994" s="229"/>
      <c r="M994" s="13"/>
      <c r="N994" s="229"/>
      <c r="O994" s="13"/>
      <c r="P994" s="229"/>
      <c r="Q994" s="13"/>
      <c r="R994" s="229"/>
      <c r="S994" s="13"/>
      <c r="T994" s="229"/>
      <c r="U994" s="13"/>
      <c r="V994" s="229"/>
      <c r="W994" s="13"/>
      <c r="X994" s="229"/>
      <c r="Y994" s="13"/>
      <c r="Z994" s="229"/>
      <c r="AA994" s="13">
        <v>2</v>
      </c>
      <c r="AB994" s="229">
        <f>D994+F994+H994+J994+L994+N994+P994+R994+T994+V994+X994+Z994</f>
        <v>0</v>
      </c>
      <c r="AC994" s="228">
        <f t="shared" si="396"/>
        <v>2</v>
      </c>
      <c r="AD994" s="19">
        <v>3</v>
      </c>
      <c r="AE994" s="229"/>
      <c r="AF994" s="20"/>
      <c r="AG994" s="229"/>
      <c r="AH994" s="20"/>
      <c r="AI994" s="229"/>
      <c r="AJ994" s="20"/>
      <c r="AK994" s="229"/>
      <c r="AL994" s="20"/>
      <c r="AM994" s="229"/>
      <c r="AN994" s="20"/>
      <c r="AO994" s="229"/>
      <c r="AP994" s="20"/>
      <c r="AQ994" s="229"/>
      <c r="AR994" s="20"/>
      <c r="AS994" s="229"/>
      <c r="AT994" s="20"/>
      <c r="AU994" s="229"/>
      <c r="AV994" s="20"/>
      <c r="AW994" s="229"/>
      <c r="AX994" s="20"/>
      <c r="AY994" s="229"/>
      <c r="AZ994" s="20"/>
      <c r="BA994" s="229"/>
      <c r="BB994" s="20"/>
      <c r="BC994" s="229">
        <f>AE994+AG994+AI994+AK994+AM994+AO994+AQ994+AS994+AU994+AW994+AY994+BA994</f>
        <v>0</v>
      </c>
      <c r="BD994" s="48">
        <f t="shared" si="397"/>
        <v>0</v>
      </c>
      <c r="BE994" s="19">
        <v>0</v>
      </c>
      <c r="BF994" s="229">
        <f>AB994+BC994</f>
        <v>0</v>
      </c>
      <c r="BG994" s="210">
        <f t="shared" si="398"/>
        <v>2</v>
      </c>
      <c r="BH994" s="210">
        <f t="shared" si="399"/>
        <v>3</v>
      </c>
      <c r="BI994" s="213">
        <f t="shared" si="395"/>
        <v>66.666666666666657</v>
      </c>
      <c r="BJ994" s="141"/>
      <c r="BK994" s="201"/>
      <c r="BL994" s="198"/>
      <c r="BM994" s="198"/>
    </row>
    <row r="995" spans="1:66" s="17" customFormat="1" ht="21.95" customHeight="1">
      <c r="A995" s="123">
        <v>17</v>
      </c>
      <c r="B995" s="321" t="s">
        <v>11</v>
      </c>
      <c r="C995" s="328" t="s">
        <v>2461</v>
      </c>
      <c r="D995" s="323"/>
      <c r="E995" s="324"/>
      <c r="F995" s="323"/>
      <c r="G995" s="324"/>
      <c r="H995" s="323"/>
      <c r="I995" s="324"/>
      <c r="J995" s="323"/>
      <c r="K995" s="324"/>
      <c r="L995" s="323"/>
      <c r="M995" s="324"/>
      <c r="N995" s="323"/>
      <c r="O995" s="324"/>
      <c r="P995" s="323"/>
      <c r="Q995" s="324"/>
      <c r="R995" s="323"/>
      <c r="S995" s="324"/>
      <c r="T995" s="323"/>
      <c r="U995" s="324"/>
      <c r="V995" s="323"/>
      <c r="W995" s="324"/>
      <c r="X995" s="323"/>
      <c r="Y995" s="324"/>
      <c r="Z995" s="323"/>
      <c r="AA995" s="324">
        <v>1</v>
      </c>
      <c r="AB995" s="323"/>
      <c r="AC995" s="325">
        <f t="shared" si="396"/>
        <v>1</v>
      </c>
      <c r="AD995" s="326">
        <v>0</v>
      </c>
      <c r="AE995" s="323"/>
      <c r="AF995" s="327"/>
      <c r="AG995" s="323"/>
      <c r="AH995" s="327"/>
      <c r="AI995" s="323"/>
      <c r="AJ995" s="327"/>
      <c r="AK995" s="323"/>
      <c r="AL995" s="327"/>
      <c r="AM995" s="323"/>
      <c r="AN995" s="327"/>
      <c r="AO995" s="323"/>
      <c r="AP995" s="327"/>
      <c r="AQ995" s="323"/>
      <c r="AR995" s="327"/>
      <c r="AS995" s="323"/>
      <c r="AT995" s="327"/>
      <c r="AU995" s="323"/>
      <c r="AV995" s="327"/>
      <c r="AW995" s="323"/>
      <c r="AX995" s="327"/>
      <c r="AY995" s="323"/>
      <c r="AZ995" s="327"/>
      <c r="BA995" s="323"/>
      <c r="BB995" s="327"/>
      <c r="BC995" s="323"/>
      <c r="BD995" s="48">
        <f t="shared" si="397"/>
        <v>0</v>
      </c>
      <c r="BE995" s="326">
        <v>0</v>
      </c>
      <c r="BF995" s="323"/>
      <c r="BG995" s="210">
        <f t="shared" si="398"/>
        <v>1</v>
      </c>
      <c r="BH995" s="210">
        <f t="shared" si="399"/>
        <v>0</v>
      </c>
      <c r="BI995" s="213" t="e">
        <f t="shared" si="395"/>
        <v>#DIV/0!</v>
      </c>
      <c r="BJ995" s="141"/>
      <c r="BK995" s="201"/>
      <c r="BL995" s="198"/>
      <c r="BM995" s="198"/>
    </row>
    <row r="996" spans="1:66" s="17" customFormat="1" ht="21.95" customHeight="1">
      <c r="A996" s="123">
        <v>18</v>
      </c>
      <c r="B996" s="9" t="s">
        <v>468</v>
      </c>
      <c r="C996" s="10" t="s">
        <v>1958</v>
      </c>
      <c r="D996" s="229"/>
      <c r="E996" s="13"/>
      <c r="F996" s="229"/>
      <c r="G996" s="13"/>
      <c r="H996" s="229"/>
      <c r="I996" s="13"/>
      <c r="J996" s="229"/>
      <c r="K996" s="13"/>
      <c r="L996" s="229"/>
      <c r="M996" s="13"/>
      <c r="N996" s="229"/>
      <c r="O996" s="13"/>
      <c r="P996" s="229"/>
      <c r="Q996" s="13"/>
      <c r="R996" s="229"/>
      <c r="S996" s="13"/>
      <c r="T996" s="229"/>
      <c r="U996" s="13"/>
      <c r="V996" s="229"/>
      <c r="W996" s="13"/>
      <c r="X996" s="229"/>
      <c r="Y996" s="13"/>
      <c r="Z996" s="229"/>
      <c r="AA996" s="13"/>
      <c r="AB996" s="229">
        <f>D996+F996+H996+J996+L996+N996+P996+R996+T996+V996+X996+Z996</f>
        <v>0</v>
      </c>
      <c r="AC996" s="228">
        <f t="shared" si="396"/>
        <v>0</v>
      </c>
      <c r="AD996" s="19">
        <v>4</v>
      </c>
      <c r="AE996" s="229"/>
      <c r="AF996" s="20"/>
      <c r="AG996" s="229"/>
      <c r="AH996" s="20"/>
      <c r="AI996" s="229"/>
      <c r="AJ996" s="20"/>
      <c r="AK996" s="229"/>
      <c r="AL996" s="20"/>
      <c r="AM996" s="229"/>
      <c r="AN996" s="20"/>
      <c r="AO996" s="229"/>
      <c r="AP996" s="20"/>
      <c r="AQ996" s="229"/>
      <c r="AR996" s="20"/>
      <c r="AS996" s="229"/>
      <c r="AT996" s="20"/>
      <c r="AU996" s="229"/>
      <c r="AV996" s="20"/>
      <c r="AW996" s="229"/>
      <c r="AX996" s="20"/>
      <c r="AY996" s="229"/>
      <c r="AZ996" s="20"/>
      <c r="BA996" s="229"/>
      <c r="BB996" s="20"/>
      <c r="BC996" s="229">
        <f>AE996+AG996+AI996+AK996+AM996+AO996+AQ996+AS996+AU996+AW996+AY996+BA996</f>
        <v>0</v>
      </c>
      <c r="BD996" s="48">
        <f t="shared" si="397"/>
        <v>0</v>
      </c>
      <c r="BE996" s="19">
        <v>0</v>
      </c>
      <c r="BF996" s="229">
        <f>AB996+BC996</f>
        <v>0</v>
      </c>
      <c r="BG996" s="210">
        <f t="shared" si="398"/>
        <v>0</v>
      </c>
      <c r="BH996" s="210">
        <f t="shared" si="399"/>
        <v>4</v>
      </c>
      <c r="BI996" s="213">
        <f t="shared" si="395"/>
        <v>0</v>
      </c>
      <c r="BJ996" s="141"/>
      <c r="BK996" s="201"/>
      <c r="BL996" s="198"/>
      <c r="BM996" s="198"/>
    </row>
    <row r="997" spans="1:66" s="17" customFormat="1" ht="21.95" customHeight="1">
      <c r="A997" s="380" t="s">
        <v>548</v>
      </c>
      <c r="B997" s="380"/>
      <c r="C997" s="380"/>
      <c r="D997" s="22">
        <f t="shared" ref="D997:F997" si="400">SUM(D998:D1010)</f>
        <v>0</v>
      </c>
      <c r="E997" s="22">
        <f t="shared" ref="E997:BB997" si="401">SUM(E998:E1010)</f>
        <v>0</v>
      </c>
      <c r="F997" s="22">
        <f t="shared" si="400"/>
        <v>0</v>
      </c>
      <c r="G997" s="22">
        <f t="shared" si="401"/>
        <v>0</v>
      </c>
      <c r="H997" s="22">
        <f t="shared" si="401"/>
        <v>23</v>
      </c>
      <c r="I997" s="22">
        <f t="shared" si="401"/>
        <v>25</v>
      </c>
      <c r="J997" s="22">
        <f t="shared" si="401"/>
        <v>0</v>
      </c>
      <c r="K997" s="22">
        <f t="shared" si="401"/>
        <v>0</v>
      </c>
      <c r="L997" s="22">
        <f t="shared" si="401"/>
        <v>0</v>
      </c>
      <c r="M997" s="22">
        <f t="shared" si="401"/>
        <v>0</v>
      </c>
      <c r="N997" s="22">
        <f t="shared" si="401"/>
        <v>0</v>
      </c>
      <c r="O997" s="22">
        <f t="shared" si="401"/>
        <v>0</v>
      </c>
      <c r="P997" s="22">
        <f t="shared" si="401"/>
        <v>0</v>
      </c>
      <c r="Q997" s="22">
        <f t="shared" si="401"/>
        <v>0</v>
      </c>
      <c r="R997" s="22">
        <f t="shared" si="401"/>
        <v>0</v>
      </c>
      <c r="S997" s="22">
        <f t="shared" si="401"/>
        <v>0</v>
      </c>
      <c r="T997" s="22">
        <f t="shared" si="401"/>
        <v>0</v>
      </c>
      <c r="U997" s="22">
        <f t="shared" si="401"/>
        <v>27</v>
      </c>
      <c r="V997" s="22">
        <f t="shared" si="401"/>
        <v>0</v>
      </c>
      <c r="W997" s="22">
        <f t="shared" si="401"/>
        <v>0</v>
      </c>
      <c r="X997" s="22">
        <f t="shared" si="401"/>
        <v>0</v>
      </c>
      <c r="Y997" s="22">
        <f t="shared" si="401"/>
        <v>0</v>
      </c>
      <c r="Z997" s="22">
        <f t="shared" si="401"/>
        <v>0</v>
      </c>
      <c r="AA997" s="22">
        <f t="shared" si="401"/>
        <v>67</v>
      </c>
      <c r="AB997" s="22">
        <f t="shared" si="361"/>
        <v>23</v>
      </c>
      <c r="AC997" s="22">
        <f t="shared" si="362"/>
        <v>119</v>
      </c>
      <c r="AD997" s="23">
        <f t="shared" si="401"/>
        <v>115</v>
      </c>
      <c r="AE997" s="22">
        <f t="shared" si="401"/>
        <v>0</v>
      </c>
      <c r="AF997" s="23">
        <f t="shared" si="401"/>
        <v>0</v>
      </c>
      <c r="AG997" s="22">
        <f t="shared" si="401"/>
        <v>0</v>
      </c>
      <c r="AH997" s="23">
        <f t="shared" si="401"/>
        <v>0</v>
      </c>
      <c r="AI997" s="22">
        <f t="shared" si="401"/>
        <v>0</v>
      </c>
      <c r="AJ997" s="23">
        <f t="shared" si="401"/>
        <v>0</v>
      </c>
      <c r="AK997" s="22">
        <f t="shared" si="401"/>
        <v>0</v>
      </c>
      <c r="AL997" s="23">
        <f t="shared" si="401"/>
        <v>0</v>
      </c>
      <c r="AM997" s="22">
        <f t="shared" si="401"/>
        <v>0</v>
      </c>
      <c r="AN997" s="23">
        <f t="shared" si="401"/>
        <v>0</v>
      </c>
      <c r="AO997" s="22">
        <f t="shared" si="401"/>
        <v>31</v>
      </c>
      <c r="AP997" s="23">
        <f t="shared" si="401"/>
        <v>32</v>
      </c>
      <c r="AQ997" s="22">
        <f t="shared" si="401"/>
        <v>0</v>
      </c>
      <c r="AR997" s="23">
        <f t="shared" si="401"/>
        <v>0</v>
      </c>
      <c r="AS997" s="22">
        <f t="shared" si="401"/>
        <v>0</v>
      </c>
      <c r="AT997" s="23">
        <f t="shared" si="401"/>
        <v>0</v>
      </c>
      <c r="AU997" s="22">
        <f t="shared" si="401"/>
        <v>0</v>
      </c>
      <c r="AV997" s="23">
        <f t="shared" si="401"/>
        <v>0</v>
      </c>
      <c r="AW997" s="22">
        <f t="shared" si="401"/>
        <v>0</v>
      </c>
      <c r="AX997" s="23">
        <f t="shared" si="401"/>
        <v>0</v>
      </c>
      <c r="AY997" s="22">
        <f t="shared" si="401"/>
        <v>0</v>
      </c>
      <c r="AZ997" s="23">
        <f t="shared" si="401"/>
        <v>0</v>
      </c>
      <c r="BA997" s="22">
        <f t="shared" si="401"/>
        <v>0</v>
      </c>
      <c r="BB997" s="23">
        <f t="shared" si="401"/>
        <v>0</v>
      </c>
      <c r="BC997" s="22">
        <f t="shared" si="364"/>
        <v>31</v>
      </c>
      <c r="BD997" s="215">
        <f t="shared" si="365"/>
        <v>32</v>
      </c>
      <c r="BE997" s="23">
        <v>0</v>
      </c>
      <c r="BF997" s="22">
        <f t="shared" si="366"/>
        <v>54</v>
      </c>
      <c r="BG997" s="215">
        <f t="shared" si="367"/>
        <v>151</v>
      </c>
      <c r="BH997" s="215">
        <f t="shared" si="349"/>
        <v>115</v>
      </c>
      <c r="BI997" s="273">
        <f t="shared" si="368"/>
        <v>131.30434782608694</v>
      </c>
      <c r="BJ997" s="140">
        <v>115</v>
      </c>
      <c r="BK997" s="203">
        <f>BJ997-BH997</f>
        <v>0</v>
      </c>
      <c r="BL997" s="198"/>
      <c r="BM997" s="198"/>
    </row>
    <row r="998" spans="1:66" s="17" customFormat="1" ht="15.95" customHeight="1">
      <c r="A998" s="123">
        <v>1</v>
      </c>
      <c r="B998" s="9" t="s">
        <v>109</v>
      </c>
      <c r="C998" s="11" t="s">
        <v>2264</v>
      </c>
      <c r="D998" s="229"/>
      <c r="E998" s="13"/>
      <c r="F998" s="229"/>
      <c r="G998" s="13"/>
      <c r="H998" s="229"/>
      <c r="I998" s="13"/>
      <c r="J998" s="229"/>
      <c r="K998" s="13"/>
      <c r="L998" s="229"/>
      <c r="M998" s="13"/>
      <c r="N998" s="229"/>
      <c r="O998" s="13"/>
      <c r="P998" s="229"/>
      <c r="Q998" s="13"/>
      <c r="R998" s="229"/>
      <c r="S998" s="13"/>
      <c r="T998" s="229"/>
      <c r="U998" s="13"/>
      <c r="V998" s="229"/>
      <c r="W998" s="13"/>
      <c r="X998" s="229"/>
      <c r="Y998" s="13"/>
      <c r="Z998" s="229"/>
      <c r="AA998" s="13"/>
      <c r="AB998" s="229">
        <f t="shared" ref="AB998:AB1008" si="402">D998+F998+H998+J998+L998+N998+P998+R998+T998+V998+X998+Z998</f>
        <v>0</v>
      </c>
      <c r="AC998" s="228">
        <f t="shared" si="362"/>
        <v>0</v>
      </c>
      <c r="AD998" s="19">
        <v>2</v>
      </c>
      <c r="AE998" s="229"/>
      <c r="AF998" s="20"/>
      <c r="AG998" s="229"/>
      <c r="AH998" s="20"/>
      <c r="AI998" s="229"/>
      <c r="AJ998" s="20"/>
      <c r="AK998" s="229"/>
      <c r="AL998" s="20"/>
      <c r="AM998" s="229"/>
      <c r="AN998" s="20"/>
      <c r="AO998" s="229"/>
      <c r="AP998" s="20"/>
      <c r="AQ998" s="229"/>
      <c r="AR998" s="20"/>
      <c r="AS998" s="229"/>
      <c r="AT998" s="20"/>
      <c r="AU998" s="229"/>
      <c r="AV998" s="20"/>
      <c r="AW998" s="229"/>
      <c r="AX998" s="20"/>
      <c r="AY998" s="229"/>
      <c r="AZ998" s="20"/>
      <c r="BA998" s="229"/>
      <c r="BB998" s="20"/>
      <c r="BC998" s="229">
        <f t="shared" ref="BC998:BC1008" si="403">AE998+AG998+AI998+AK998+AM998+AO998+AQ998+AS998+AU998+AW998+AY998+BA998</f>
        <v>0</v>
      </c>
      <c r="BD998" s="48">
        <f t="shared" si="365"/>
        <v>0</v>
      </c>
      <c r="BE998" s="19">
        <v>0</v>
      </c>
      <c r="BF998" s="229">
        <f t="shared" ref="BF998:BF1008" si="404">AB998+BC998</f>
        <v>0</v>
      </c>
      <c r="BG998" s="210">
        <f t="shared" si="367"/>
        <v>0</v>
      </c>
      <c r="BH998" s="210">
        <f t="shared" ref="BH998:BH1008" si="405">AD998+BE998</f>
        <v>2</v>
      </c>
      <c r="BI998" s="213">
        <f t="shared" ref="BI998:BI1010" si="406">BG998/BH998*100</f>
        <v>0</v>
      </c>
      <c r="BJ998" s="141"/>
      <c r="BK998" s="201"/>
      <c r="BL998" s="198"/>
      <c r="BM998" s="198"/>
    </row>
    <row r="999" spans="1:66" s="17" customFormat="1" ht="15.95" customHeight="1">
      <c r="A999" s="123">
        <v>2</v>
      </c>
      <c r="B999" s="9" t="s">
        <v>111</v>
      </c>
      <c r="C999" s="109" t="s">
        <v>1362</v>
      </c>
      <c r="D999" s="229"/>
      <c r="E999" s="13"/>
      <c r="F999" s="229"/>
      <c r="G999" s="13"/>
      <c r="H999" s="229"/>
      <c r="I999" s="13"/>
      <c r="J999" s="229"/>
      <c r="K999" s="13"/>
      <c r="L999" s="229"/>
      <c r="M999" s="13"/>
      <c r="N999" s="229"/>
      <c r="O999" s="13"/>
      <c r="P999" s="229"/>
      <c r="Q999" s="13"/>
      <c r="R999" s="229"/>
      <c r="S999" s="13"/>
      <c r="T999" s="229"/>
      <c r="U999" s="13"/>
      <c r="V999" s="229"/>
      <c r="W999" s="13"/>
      <c r="X999" s="229"/>
      <c r="Y999" s="13"/>
      <c r="Z999" s="229"/>
      <c r="AA999" s="13"/>
      <c r="AB999" s="229">
        <f t="shared" si="402"/>
        <v>0</v>
      </c>
      <c r="AC999" s="228">
        <f t="shared" si="362"/>
        <v>0</v>
      </c>
      <c r="AD999" s="19">
        <v>49</v>
      </c>
      <c r="AE999" s="229"/>
      <c r="AF999" s="20"/>
      <c r="AG999" s="229"/>
      <c r="AH999" s="20"/>
      <c r="AI999" s="229"/>
      <c r="AJ999" s="20"/>
      <c r="AK999" s="229"/>
      <c r="AL999" s="20"/>
      <c r="AM999" s="229"/>
      <c r="AN999" s="20"/>
      <c r="AO999" s="229"/>
      <c r="AP999" s="20"/>
      <c r="AQ999" s="229"/>
      <c r="AR999" s="20"/>
      <c r="AS999" s="229"/>
      <c r="AT999" s="20"/>
      <c r="AU999" s="229"/>
      <c r="AV999" s="20"/>
      <c r="AW999" s="229"/>
      <c r="AX999" s="20"/>
      <c r="AY999" s="229"/>
      <c r="AZ999" s="20"/>
      <c r="BA999" s="229"/>
      <c r="BB999" s="20"/>
      <c r="BC999" s="229">
        <f t="shared" si="403"/>
        <v>0</v>
      </c>
      <c r="BD999" s="48">
        <f t="shared" si="365"/>
        <v>0</v>
      </c>
      <c r="BE999" s="19">
        <v>0</v>
      </c>
      <c r="BF999" s="229">
        <f t="shared" si="404"/>
        <v>0</v>
      </c>
      <c r="BG999" s="210">
        <f t="shared" si="367"/>
        <v>0</v>
      </c>
      <c r="BH999" s="210">
        <f t="shared" si="405"/>
        <v>49</v>
      </c>
      <c r="BI999" s="213">
        <f t="shared" si="406"/>
        <v>0</v>
      </c>
      <c r="BJ999" s="141"/>
      <c r="BK999" s="201"/>
      <c r="BL999" s="198"/>
      <c r="BM999" s="198"/>
    </row>
    <row r="1000" spans="1:66" s="17" customFormat="1" ht="15.95" customHeight="1">
      <c r="A1000" s="123">
        <v>3</v>
      </c>
      <c r="B1000" s="9" t="s">
        <v>540</v>
      </c>
      <c r="C1000" s="11" t="s">
        <v>1953</v>
      </c>
      <c r="D1000" s="229"/>
      <c r="E1000" s="13"/>
      <c r="F1000" s="229"/>
      <c r="G1000" s="13"/>
      <c r="H1000" s="229">
        <v>8</v>
      </c>
      <c r="I1000" s="13">
        <v>9</v>
      </c>
      <c r="J1000" s="229"/>
      <c r="K1000" s="13"/>
      <c r="L1000" s="229"/>
      <c r="M1000" s="13"/>
      <c r="N1000" s="229"/>
      <c r="O1000" s="13"/>
      <c r="P1000" s="229"/>
      <c r="Q1000" s="13"/>
      <c r="R1000" s="229"/>
      <c r="S1000" s="13"/>
      <c r="T1000" s="229"/>
      <c r="U1000" s="13">
        <v>14</v>
      </c>
      <c r="V1000" s="229"/>
      <c r="W1000" s="13"/>
      <c r="X1000" s="229"/>
      <c r="Y1000" s="13"/>
      <c r="Z1000" s="229"/>
      <c r="AA1000" s="13">
        <v>29</v>
      </c>
      <c r="AB1000" s="229">
        <f t="shared" si="402"/>
        <v>8</v>
      </c>
      <c r="AC1000" s="228">
        <f t="shared" si="362"/>
        <v>52</v>
      </c>
      <c r="AD1000" s="19">
        <v>40</v>
      </c>
      <c r="AE1000" s="229"/>
      <c r="AF1000" s="20"/>
      <c r="AG1000" s="229"/>
      <c r="AH1000" s="20"/>
      <c r="AI1000" s="229"/>
      <c r="AJ1000" s="20"/>
      <c r="AK1000" s="229"/>
      <c r="AL1000" s="20"/>
      <c r="AM1000" s="229"/>
      <c r="AN1000" s="20"/>
      <c r="AO1000" s="229">
        <v>18</v>
      </c>
      <c r="AP1000" s="20">
        <v>19</v>
      </c>
      <c r="AQ1000" s="229"/>
      <c r="AR1000" s="20"/>
      <c r="AS1000" s="229"/>
      <c r="AT1000" s="20"/>
      <c r="AU1000" s="229"/>
      <c r="AV1000" s="20"/>
      <c r="AW1000" s="229"/>
      <c r="AX1000" s="20"/>
      <c r="AY1000" s="229"/>
      <c r="AZ1000" s="20"/>
      <c r="BA1000" s="229"/>
      <c r="BB1000" s="20"/>
      <c r="BC1000" s="229">
        <f t="shared" si="403"/>
        <v>18</v>
      </c>
      <c r="BD1000" s="48">
        <f t="shared" si="365"/>
        <v>19</v>
      </c>
      <c r="BE1000" s="19">
        <v>0</v>
      </c>
      <c r="BF1000" s="229">
        <f t="shared" si="404"/>
        <v>26</v>
      </c>
      <c r="BG1000" s="210">
        <f t="shared" si="367"/>
        <v>71</v>
      </c>
      <c r="BH1000" s="210">
        <f t="shared" si="405"/>
        <v>40</v>
      </c>
      <c r="BI1000" s="213">
        <f t="shared" si="406"/>
        <v>177.5</v>
      </c>
      <c r="BJ1000" s="210">
        <f>AH1000+BI1000</f>
        <v>177.5</v>
      </c>
      <c r="BK1000" s="213" t="e">
        <f>#REF!/BJ1000*100</f>
        <v>#REF!</v>
      </c>
      <c r="BL1000" s="229" t="e">
        <f>AJ1000+#REF!</f>
        <v>#REF!</v>
      </c>
      <c r="BM1000" s="210">
        <f>AK1000+BJ1000</f>
        <v>177.5</v>
      </c>
      <c r="BN1000" s="210" t="e">
        <f>AO1000+#REF!</f>
        <v>#REF!</v>
      </c>
    </row>
    <row r="1001" spans="1:66" s="17" customFormat="1" ht="15.95" customHeight="1">
      <c r="A1001" s="123">
        <v>4</v>
      </c>
      <c r="B1001" s="9" t="s">
        <v>1059</v>
      </c>
      <c r="C1001" s="11" t="s">
        <v>1060</v>
      </c>
      <c r="D1001" s="229"/>
      <c r="E1001" s="13"/>
      <c r="F1001" s="229"/>
      <c r="G1001" s="13"/>
      <c r="H1001" s="229">
        <v>3</v>
      </c>
      <c r="I1001" s="13">
        <v>3</v>
      </c>
      <c r="J1001" s="229"/>
      <c r="K1001" s="13"/>
      <c r="L1001" s="229"/>
      <c r="M1001" s="13"/>
      <c r="N1001" s="229"/>
      <c r="O1001" s="13"/>
      <c r="P1001" s="229"/>
      <c r="Q1001" s="13"/>
      <c r="R1001" s="229"/>
      <c r="S1001" s="13"/>
      <c r="T1001" s="229"/>
      <c r="U1001" s="13"/>
      <c r="V1001" s="229"/>
      <c r="W1001" s="13"/>
      <c r="X1001" s="229"/>
      <c r="Y1001" s="13"/>
      <c r="Z1001" s="229"/>
      <c r="AA1001" s="13"/>
      <c r="AB1001" s="229">
        <f t="shared" si="402"/>
        <v>3</v>
      </c>
      <c r="AC1001" s="228">
        <f t="shared" si="362"/>
        <v>3</v>
      </c>
      <c r="AD1001" s="19">
        <v>0</v>
      </c>
      <c r="AE1001" s="229"/>
      <c r="AF1001" s="20"/>
      <c r="AG1001" s="229"/>
      <c r="AH1001" s="20"/>
      <c r="AI1001" s="229"/>
      <c r="AJ1001" s="20"/>
      <c r="AK1001" s="229"/>
      <c r="AL1001" s="20"/>
      <c r="AM1001" s="229"/>
      <c r="AN1001" s="20"/>
      <c r="AO1001" s="229">
        <v>2</v>
      </c>
      <c r="AP1001" s="20">
        <v>2</v>
      </c>
      <c r="AQ1001" s="229"/>
      <c r="AR1001" s="20"/>
      <c r="AS1001" s="229"/>
      <c r="AT1001" s="20"/>
      <c r="AU1001" s="229"/>
      <c r="AV1001" s="20"/>
      <c r="AW1001" s="229"/>
      <c r="AX1001" s="20"/>
      <c r="AY1001" s="229"/>
      <c r="AZ1001" s="20"/>
      <c r="BA1001" s="229"/>
      <c r="BB1001" s="20"/>
      <c r="BC1001" s="229">
        <f t="shared" si="403"/>
        <v>2</v>
      </c>
      <c r="BD1001" s="48">
        <f t="shared" si="365"/>
        <v>2</v>
      </c>
      <c r="BE1001" s="19">
        <v>0</v>
      </c>
      <c r="BF1001" s="229">
        <f t="shared" si="404"/>
        <v>5</v>
      </c>
      <c r="BG1001" s="210">
        <f t="shared" si="367"/>
        <v>5</v>
      </c>
      <c r="BH1001" s="210">
        <f t="shared" si="405"/>
        <v>0</v>
      </c>
      <c r="BI1001" s="213" t="e">
        <f t="shared" si="406"/>
        <v>#DIV/0!</v>
      </c>
      <c r="BJ1001" s="141"/>
      <c r="BK1001" s="201"/>
      <c r="BL1001" s="198"/>
      <c r="BM1001" s="198"/>
    </row>
    <row r="1002" spans="1:66" s="17" customFormat="1" ht="15.95" customHeight="1">
      <c r="A1002" s="123">
        <v>5</v>
      </c>
      <c r="B1002" s="9" t="s">
        <v>391</v>
      </c>
      <c r="C1002" s="11" t="s">
        <v>2595</v>
      </c>
      <c r="D1002" s="229"/>
      <c r="E1002" s="13"/>
      <c r="F1002" s="229"/>
      <c r="G1002" s="13"/>
      <c r="H1002" s="229"/>
      <c r="I1002" s="13"/>
      <c r="J1002" s="229"/>
      <c r="K1002" s="13"/>
      <c r="L1002" s="229"/>
      <c r="M1002" s="13"/>
      <c r="N1002" s="229"/>
      <c r="O1002" s="13"/>
      <c r="P1002" s="229"/>
      <c r="Q1002" s="13"/>
      <c r="R1002" s="229"/>
      <c r="S1002" s="13"/>
      <c r="T1002" s="229"/>
      <c r="U1002" s="13"/>
      <c r="V1002" s="229"/>
      <c r="W1002" s="13"/>
      <c r="X1002" s="229"/>
      <c r="Y1002" s="13"/>
      <c r="Z1002" s="229"/>
      <c r="AA1002" s="13"/>
      <c r="AB1002" s="229">
        <f t="shared" si="402"/>
        <v>0</v>
      </c>
      <c r="AC1002" s="228">
        <f t="shared" si="362"/>
        <v>0</v>
      </c>
      <c r="AD1002" s="19">
        <v>1</v>
      </c>
      <c r="AE1002" s="229"/>
      <c r="AF1002" s="20"/>
      <c r="AG1002" s="229"/>
      <c r="AH1002" s="20"/>
      <c r="AI1002" s="229"/>
      <c r="AJ1002" s="20"/>
      <c r="AK1002" s="229"/>
      <c r="AL1002" s="20"/>
      <c r="AM1002" s="229"/>
      <c r="AN1002" s="20"/>
      <c r="AO1002" s="229"/>
      <c r="AP1002" s="20"/>
      <c r="AQ1002" s="229"/>
      <c r="AR1002" s="20"/>
      <c r="AS1002" s="229"/>
      <c r="AT1002" s="20"/>
      <c r="AU1002" s="229"/>
      <c r="AV1002" s="20"/>
      <c r="AW1002" s="229"/>
      <c r="AX1002" s="20"/>
      <c r="AY1002" s="229"/>
      <c r="AZ1002" s="20"/>
      <c r="BA1002" s="229"/>
      <c r="BB1002" s="20"/>
      <c r="BC1002" s="229">
        <f t="shared" si="403"/>
        <v>0</v>
      </c>
      <c r="BD1002" s="48">
        <f t="shared" si="365"/>
        <v>0</v>
      </c>
      <c r="BE1002" s="19">
        <v>0</v>
      </c>
      <c r="BF1002" s="229">
        <f t="shared" si="404"/>
        <v>0</v>
      </c>
      <c r="BG1002" s="210">
        <f t="shared" si="367"/>
        <v>0</v>
      </c>
      <c r="BH1002" s="210">
        <f t="shared" si="405"/>
        <v>1</v>
      </c>
      <c r="BI1002" s="213">
        <f t="shared" si="406"/>
        <v>0</v>
      </c>
      <c r="BJ1002" s="141"/>
      <c r="BK1002" s="201"/>
      <c r="BL1002" s="198"/>
      <c r="BM1002" s="198"/>
    </row>
    <row r="1003" spans="1:66" s="17" customFormat="1" ht="15.95" customHeight="1">
      <c r="A1003" s="123">
        <v>6</v>
      </c>
      <c r="B1003" s="9" t="s">
        <v>392</v>
      </c>
      <c r="C1003" s="11" t="s">
        <v>393</v>
      </c>
      <c r="D1003" s="229"/>
      <c r="E1003" s="13"/>
      <c r="F1003" s="229"/>
      <c r="G1003" s="13"/>
      <c r="H1003" s="229"/>
      <c r="I1003" s="13"/>
      <c r="J1003" s="229"/>
      <c r="K1003" s="13"/>
      <c r="L1003" s="229"/>
      <c r="M1003" s="13"/>
      <c r="N1003" s="229"/>
      <c r="O1003" s="13"/>
      <c r="P1003" s="229"/>
      <c r="Q1003" s="13"/>
      <c r="R1003" s="229"/>
      <c r="S1003" s="13"/>
      <c r="T1003" s="229"/>
      <c r="U1003" s="13"/>
      <c r="V1003" s="229"/>
      <c r="W1003" s="13"/>
      <c r="X1003" s="229"/>
      <c r="Y1003" s="13"/>
      <c r="Z1003" s="229"/>
      <c r="AA1003" s="13"/>
      <c r="AB1003" s="229">
        <f t="shared" si="402"/>
        <v>0</v>
      </c>
      <c r="AC1003" s="228">
        <f t="shared" si="362"/>
        <v>0</v>
      </c>
      <c r="AD1003" s="19">
        <v>1</v>
      </c>
      <c r="AE1003" s="229"/>
      <c r="AF1003" s="20"/>
      <c r="AG1003" s="229"/>
      <c r="AH1003" s="20"/>
      <c r="AI1003" s="229"/>
      <c r="AJ1003" s="20"/>
      <c r="AK1003" s="229"/>
      <c r="AL1003" s="20"/>
      <c r="AM1003" s="229"/>
      <c r="AN1003" s="20"/>
      <c r="AO1003" s="229"/>
      <c r="AP1003" s="20"/>
      <c r="AQ1003" s="229"/>
      <c r="AR1003" s="20"/>
      <c r="AS1003" s="229"/>
      <c r="AT1003" s="20"/>
      <c r="AU1003" s="229"/>
      <c r="AV1003" s="20"/>
      <c r="AW1003" s="229"/>
      <c r="AX1003" s="20"/>
      <c r="AY1003" s="229"/>
      <c r="AZ1003" s="20"/>
      <c r="BA1003" s="229"/>
      <c r="BB1003" s="20"/>
      <c r="BC1003" s="229">
        <f t="shared" si="403"/>
        <v>0</v>
      </c>
      <c r="BD1003" s="48">
        <f t="shared" si="365"/>
        <v>0</v>
      </c>
      <c r="BE1003" s="19">
        <v>0</v>
      </c>
      <c r="BF1003" s="229">
        <f t="shared" si="404"/>
        <v>0</v>
      </c>
      <c r="BG1003" s="210">
        <f t="shared" si="367"/>
        <v>0</v>
      </c>
      <c r="BH1003" s="210">
        <f t="shared" si="405"/>
        <v>1</v>
      </c>
      <c r="BI1003" s="213">
        <f t="shared" si="406"/>
        <v>0</v>
      </c>
      <c r="BJ1003" s="141"/>
      <c r="BK1003" s="201"/>
      <c r="BL1003" s="198"/>
      <c r="BM1003" s="198"/>
    </row>
    <row r="1004" spans="1:66" s="17" customFormat="1" ht="15.95" customHeight="1">
      <c r="A1004" s="123">
        <v>7</v>
      </c>
      <c r="B1004" s="9" t="s">
        <v>18</v>
      </c>
      <c r="C1004" s="11" t="s">
        <v>19</v>
      </c>
      <c r="D1004" s="229"/>
      <c r="E1004" s="13"/>
      <c r="F1004" s="229"/>
      <c r="G1004" s="13"/>
      <c r="H1004" s="229">
        <v>3</v>
      </c>
      <c r="I1004" s="13">
        <v>4</v>
      </c>
      <c r="J1004" s="229"/>
      <c r="K1004" s="13"/>
      <c r="L1004" s="229"/>
      <c r="M1004" s="13"/>
      <c r="N1004" s="229"/>
      <c r="O1004" s="13"/>
      <c r="P1004" s="229"/>
      <c r="Q1004" s="13"/>
      <c r="R1004" s="229"/>
      <c r="S1004" s="13"/>
      <c r="T1004" s="229"/>
      <c r="U1004" s="13">
        <v>5</v>
      </c>
      <c r="V1004" s="229"/>
      <c r="W1004" s="13"/>
      <c r="X1004" s="229"/>
      <c r="Y1004" s="13"/>
      <c r="Z1004" s="229"/>
      <c r="AA1004" s="13"/>
      <c r="AB1004" s="229">
        <f t="shared" si="402"/>
        <v>3</v>
      </c>
      <c r="AC1004" s="228">
        <f t="shared" si="362"/>
        <v>9</v>
      </c>
      <c r="AD1004" s="19">
        <v>4</v>
      </c>
      <c r="AE1004" s="229"/>
      <c r="AF1004" s="20"/>
      <c r="AG1004" s="229"/>
      <c r="AH1004" s="20"/>
      <c r="AI1004" s="229"/>
      <c r="AJ1004" s="20"/>
      <c r="AK1004" s="229"/>
      <c r="AL1004" s="20"/>
      <c r="AM1004" s="229"/>
      <c r="AN1004" s="20"/>
      <c r="AO1004" s="229">
        <v>2</v>
      </c>
      <c r="AP1004" s="20">
        <v>2</v>
      </c>
      <c r="AQ1004" s="229"/>
      <c r="AR1004" s="20"/>
      <c r="AS1004" s="229"/>
      <c r="AT1004" s="20"/>
      <c r="AU1004" s="229"/>
      <c r="AV1004" s="20"/>
      <c r="AW1004" s="229"/>
      <c r="AX1004" s="20"/>
      <c r="AY1004" s="229"/>
      <c r="AZ1004" s="20"/>
      <c r="BA1004" s="229"/>
      <c r="BB1004" s="20"/>
      <c r="BC1004" s="229">
        <f t="shared" si="403"/>
        <v>2</v>
      </c>
      <c r="BD1004" s="48">
        <f t="shared" si="365"/>
        <v>2</v>
      </c>
      <c r="BE1004" s="19">
        <v>0</v>
      </c>
      <c r="BF1004" s="229">
        <f t="shared" si="404"/>
        <v>5</v>
      </c>
      <c r="BG1004" s="210">
        <f t="shared" si="367"/>
        <v>11</v>
      </c>
      <c r="BH1004" s="210">
        <f t="shared" si="405"/>
        <v>4</v>
      </c>
      <c r="BI1004" s="213">
        <f t="shared" si="406"/>
        <v>275</v>
      </c>
      <c r="BJ1004" s="141"/>
      <c r="BK1004" s="201"/>
      <c r="BL1004" s="198"/>
      <c r="BM1004" s="198"/>
    </row>
    <row r="1005" spans="1:66" s="17" customFormat="1" ht="15.95" customHeight="1">
      <c r="A1005" s="123">
        <v>8</v>
      </c>
      <c r="B1005" s="9" t="s">
        <v>474</v>
      </c>
      <c r="C1005" s="11" t="s">
        <v>475</v>
      </c>
      <c r="D1005" s="229"/>
      <c r="E1005" s="13"/>
      <c r="F1005" s="229"/>
      <c r="G1005" s="13"/>
      <c r="H1005" s="229">
        <v>6</v>
      </c>
      <c r="I1005" s="13">
        <v>6</v>
      </c>
      <c r="J1005" s="229"/>
      <c r="K1005" s="13"/>
      <c r="L1005" s="229"/>
      <c r="M1005" s="13"/>
      <c r="N1005" s="229"/>
      <c r="O1005" s="13"/>
      <c r="P1005" s="229"/>
      <c r="Q1005" s="13"/>
      <c r="R1005" s="229"/>
      <c r="S1005" s="13"/>
      <c r="T1005" s="229"/>
      <c r="U1005" s="13">
        <v>8</v>
      </c>
      <c r="V1005" s="229"/>
      <c r="W1005" s="13"/>
      <c r="X1005" s="229"/>
      <c r="Y1005" s="13"/>
      <c r="Z1005" s="229"/>
      <c r="AA1005" s="13">
        <f>9+27</f>
        <v>36</v>
      </c>
      <c r="AB1005" s="229">
        <f t="shared" si="402"/>
        <v>6</v>
      </c>
      <c r="AC1005" s="228">
        <f t="shared" si="362"/>
        <v>50</v>
      </c>
      <c r="AD1005" s="19">
        <v>14</v>
      </c>
      <c r="AE1005" s="229"/>
      <c r="AF1005" s="20"/>
      <c r="AG1005" s="229"/>
      <c r="AH1005" s="20"/>
      <c r="AI1005" s="229"/>
      <c r="AJ1005" s="20"/>
      <c r="AK1005" s="229"/>
      <c r="AL1005" s="20"/>
      <c r="AM1005" s="229"/>
      <c r="AN1005" s="20"/>
      <c r="AO1005" s="229">
        <v>7</v>
      </c>
      <c r="AP1005" s="20">
        <v>7</v>
      </c>
      <c r="AQ1005" s="229"/>
      <c r="AR1005" s="20"/>
      <c r="AS1005" s="229"/>
      <c r="AT1005" s="20"/>
      <c r="AU1005" s="229"/>
      <c r="AV1005" s="20"/>
      <c r="AW1005" s="229"/>
      <c r="AX1005" s="20"/>
      <c r="AY1005" s="229"/>
      <c r="AZ1005" s="20"/>
      <c r="BA1005" s="229"/>
      <c r="BB1005" s="20"/>
      <c r="BC1005" s="229">
        <f t="shared" si="403"/>
        <v>7</v>
      </c>
      <c r="BD1005" s="48">
        <f t="shared" si="365"/>
        <v>7</v>
      </c>
      <c r="BE1005" s="19">
        <v>0</v>
      </c>
      <c r="BF1005" s="229">
        <f t="shared" si="404"/>
        <v>13</v>
      </c>
      <c r="BG1005" s="210">
        <f t="shared" si="367"/>
        <v>57</v>
      </c>
      <c r="BH1005" s="210">
        <f t="shared" si="405"/>
        <v>14</v>
      </c>
      <c r="BI1005" s="213">
        <f t="shared" si="406"/>
        <v>407.14285714285711</v>
      </c>
      <c r="BJ1005" s="141"/>
      <c r="BK1005" s="201"/>
      <c r="BL1005" s="198"/>
      <c r="BM1005" s="198"/>
    </row>
    <row r="1006" spans="1:66" s="17" customFormat="1" ht="15.95" customHeight="1">
      <c r="A1006" s="123">
        <v>9</v>
      </c>
      <c r="B1006" s="9" t="s">
        <v>529</v>
      </c>
      <c r="C1006" s="11" t="s">
        <v>1643</v>
      </c>
      <c r="D1006" s="229"/>
      <c r="E1006" s="13"/>
      <c r="F1006" s="229"/>
      <c r="G1006" s="13"/>
      <c r="H1006" s="229"/>
      <c r="I1006" s="13"/>
      <c r="J1006" s="229"/>
      <c r="K1006" s="13"/>
      <c r="L1006" s="229"/>
      <c r="M1006" s="13"/>
      <c r="N1006" s="229"/>
      <c r="O1006" s="13"/>
      <c r="P1006" s="229"/>
      <c r="Q1006" s="13"/>
      <c r="R1006" s="229"/>
      <c r="S1006" s="13"/>
      <c r="T1006" s="229"/>
      <c r="U1006" s="13"/>
      <c r="V1006" s="229"/>
      <c r="W1006" s="13"/>
      <c r="X1006" s="229"/>
      <c r="Y1006" s="13"/>
      <c r="Z1006" s="229"/>
      <c r="AA1006" s="13"/>
      <c r="AB1006" s="229">
        <f t="shared" si="402"/>
        <v>0</v>
      </c>
      <c r="AC1006" s="228">
        <f t="shared" si="362"/>
        <v>0</v>
      </c>
      <c r="AD1006" s="19">
        <v>1</v>
      </c>
      <c r="AE1006" s="229"/>
      <c r="AF1006" s="20"/>
      <c r="AG1006" s="229"/>
      <c r="AH1006" s="20"/>
      <c r="AI1006" s="229"/>
      <c r="AJ1006" s="20"/>
      <c r="AK1006" s="229"/>
      <c r="AL1006" s="20"/>
      <c r="AM1006" s="229"/>
      <c r="AN1006" s="20"/>
      <c r="AO1006" s="229"/>
      <c r="AP1006" s="20"/>
      <c r="AQ1006" s="229"/>
      <c r="AR1006" s="20"/>
      <c r="AS1006" s="229"/>
      <c r="AT1006" s="20"/>
      <c r="AU1006" s="229"/>
      <c r="AV1006" s="20"/>
      <c r="AW1006" s="229"/>
      <c r="AX1006" s="20"/>
      <c r="AY1006" s="229"/>
      <c r="AZ1006" s="20"/>
      <c r="BA1006" s="229"/>
      <c r="BB1006" s="20"/>
      <c r="BC1006" s="229">
        <f t="shared" si="403"/>
        <v>0</v>
      </c>
      <c r="BD1006" s="48">
        <f t="shared" si="365"/>
        <v>0</v>
      </c>
      <c r="BE1006" s="19">
        <v>0</v>
      </c>
      <c r="BF1006" s="229">
        <f t="shared" si="404"/>
        <v>0</v>
      </c>
      <c r="BG1006" s="210">
        <f t="shared" si="367"/>
        <v>0</v>
      </c>
      <c r="BH1006" s="210">
        <f t="shared" si="405"/>
        <v>1</v>
      </c>
      <c r="BI1006" s="213">
        <f t="shared" si="406"/>
        <v>0</v>
      </c>
      <c r="BJ1006" s="141"/>
      <c r="BK1006" s="201"/>
      <c r="BL1006" s="198"/>
      <c r="BM1006" s="198"/>
    </row>
    <row r="1007" spans="1:66" s="17" customFormat="1" ht="15.95" customHeight="1">
      <c r="A1007" s="123">
        <v>10</v>
      </c>
      <c r="B1007" s="9" t="s">
        <v>192</v>
      </c>
      <c r="C1007" s="181" t="s">
        <v>321</v>
      </c>
      <c r="D1007" s="229"/>
      <c r="E1007" s="13"/>
      <c r="F1007" s="229"/>
      <c r="G1007" s="13"/>
      <c r="H1007" s="229"/>
      <c r="I1007" s="13"/>
      <c r="J1007" s="229"/>
      <c r="K1007" s="13"/>
      <c r="L1007" s="229"/>
      <c r="M1007" s="13"/>
      <c r="N1007" s="229"/>
      <c r="O1007" s="13"/>
      <c r="P1007" s="229"/>
      <c r="Q1007" s="13"/>
      <c r="R1007" s="229"/>
      <c r="S1007" s="13"/>
      <c r="T1007" s="229"/>
      <c r="U1007" s="13"/>
      <c r="V1007" s="229"/>
      <c r="W1007" s="13"/>
      <c r="X1007" s="229"/>
      <c r="Y1007" s="13"/>
      <c r="Z1007" s="229"/>
      <c r="AA1007" s="13"/>
      <c r="AB1007" s="229">
        <f t="shared" si="402"/>
        <v>0</v>
      </c>
      <c r="AC1007" s="228">
        <f t="shared" si="362"/>
        <v>0</v>
      </c>
      <c r="AD1007" s="19">
        <v>1</v>
      </c>
      <c r="AE1007" s="229"/>
      <c r="AF1007" s="20"/>
      <c r="AG1007" s="229"/>
      <c r="AH1007" s="20"/>
      <c r="AI1007" s="229"/>
      <c r="AJ1007" s="20"/>
      <c r="AK1007" s="229"/>
      <c r="AL1007" s="20"/>
      <c r="AM1007" s="229"/>
      <c r="AN1007" s="20"/>
      <c r="AO1007" s="229"/>
      <c r="AP1007" s="20"/>
      <c r="AQ1007" s="229"/>
      <c r="AR1007" s="20"/>
      <c r="AS1007" s="229"/>
      <c r="AT1007" s="20"/>
      <c r="AU1007" s="229"/>
      <c r="AV1007" s="20"/>
      <c r="AW1007" s="229"/>
      <c r="AX1007" s="20"/>
      <c r="AY1007" s="229"/>
      <c r="AZ1007" s="20"/>
      <c r="BA1007" s="229"/>
      <c r="BB1007" s="20"/>
      <c r="BC1007" s="229">
        <f t="shared" si="403"/>
        <v>0</v>
      </c>
      <c r="BD1007" s="48">
        <f t="shared" si="365"/>
        <v>0</v>
      </c>
      <c r="BE1007" s="19">
        <v>0</v>
      </c>
      <c r="BF1007" s="229">
        <f t="shared" si="404"/>
        <v>0</v>
      </c>
      <c r="BG1007" s="210">
        <f t="shared" si="367"/>
        <v>0</v>
      </c>
      <c r="BH1007" s="210">
        <f t="shared" si="405"/>
        <v>1</v>
      </c>
      <c r="BI1007" s="213">
        <f t="shared" si="406"/>
        <v>0</v>
      </c>
      <c r="BJ1007" s="141"/>
      <c r="BK1007" s="201"/>
      <c r="BL1007" s="198"/>
      <c r="BM1007" s="198"/>
    </row>
    <row r="1008" spans="1:66" s="17" customFormat="1" ht="15.95" customHeight="1">
      <c r="A1008" s="123">
        <v>11</v>
      </c>
      <c r="B1008" s="9" t="s">
        <v>1123</v>
      </c>
      <c r="C1008" s="11" t="s">
        <v>1124</v>
      </c>
      <c r="D1008" s="229"/>
      <c r="E1008" s="13"/>
      <c r="F1008" s="229"/>
      <c r="G1008" s="13"/>
      <c r="H1008" s="229">
        <v>3</v>
      </c>
      <c r="I1008" s="13">
        <v>3</v>
      </c>
      <c r="J1008" s="229"/>
      <c r="K1008" s="13"/>
      <c r="L1008" s="229"/>
      <c r="M1008" s="13"/>
      <c r="N1008" s="229"/>
      <c r="O1008" s="13"/>
      <c r="P1008" s="229"/>
      <c r="Q1008" s="13"/>
      <c r="R1008" s="229"/>
      <c r="S1008" s="13"/>
      <c r="T1008" s="229"/>
      <c r="U1008" s="13"/>
      <c r="V1008" s="229"/>
      <c r="W1008" s="13"/>
      <c r="X1008" s="229"/>
      <c r="Y1008" s="13"/>
      <c r="Z1008" s="229"/>
      <c r="AA1008" s="13"/>
      <c r="AB1008" s="229">
        <f t="shared" si="402"/>
        <v>3</v>
      </c>
      <c r="AC1008" s="228">
        <f t="shared" si="362"/>
        <v>3</v>
      </c>
      <c r="AD1008" s="19">
        <v>0</v>
      </c>
      <c r="AE1008" s="229"/>
      <c r="AF1008" s="20"/>
      <c r="AG1008" s="229"/>
      <c r="AH1008" s="20"/>
      <c r="AI1008" s="229"/>
      <c r="AJ1008" s="20"/>
      <c r="AK1008" s="229"/>
      <c r="AL1008" s="20"/>
      <c r="AM1008" s="229"/>
      <c r="AN1008" s="20"/>
      <c r="AO1008" s="229">
        <v>2</v>
      </c>
      <c r="AP1008" s="20">
        <v>2</v>
      </c>
      <c r="AQ1008" s="229"/>
      <c r="AR1008" s="20"/>
      <c r="AS1008" s="229"/>
      <c r="AT1008" s="20"/>
      <c r="AU1008" s="229"/>
      <c r="AV1008" s="20"/>
      <c r="AW1008" s="229"/>
      <c r="AX1008" s="20"/>
      <c r="AY1008" s="229"/>
      <c r="AZ1008" s="20"/>
      <c r="BA1008" s="229"/>
      <c r="BB1008" s="20"/>
      <c r="BC1008" s="229">
        <f t="shared" si="403"/>
        <v>2</v>
      </c>
      <c r="BD1008" s="48">
        <f t="shared" si="365"/>
        <v>2</v>
      </c>
      <c r="BE1008" s="19">
        <v>0</v>
      </c>
      <c r="BF1008" s="229">
        <f t="shared" si="404"/>
        <v>5</v>
      </c>
      <c r="BG1008" s="210">
        <f t="shared" si="367"/>
        <v>5</v>
      </c>
      <c r="BH1008" s="210">
        <f t="shared" si="405"/>
        <v>0</v>
      </c>
      <c r="BI1008" s="213" t="e">
        <f t="shared" si="406"/>
        <v>#DIV/0!</v>
      </c>
      <c r="BJ1008" s="141"/>
      <c r="BK1008" s="201"/>
      <c r="BL1008" s="198"/>
      <c r="BM1008" s="198"/>
    </row>
    <row r="1009" spans="1:65" s="17" customFormat="1" ht="15.95" customHeight="1">
      <c r="A1009" s="123">
        <v>12</v>
      </c>
      <c r="B1009" s="321" t="s">
        <v>390</v>
      </c>
      <c r="C1009" s="322" t="s">
        <v>2062</v>
      </c>
      <c r="D1009" s="323"/>
      <c r="E1009" s="324"/>
      <c r="F1009" s="323"/>
      <c r="G1009" s="324"/>
      <c r="H1009" s="323"/>
      <c r="I1009" s="324"/>
      <c r="J1009" s="323"/>
      <c r="K1009" s="324"/>
      <c r="L1009" s="323"/>
      <c r="M1009" s="324"/>
      <c r="N1009" s="323"/>
      <c r="O1009" s="324"/>
      <c r="P1009" s="323"/>
      <c r="Q1009" s="324"/>
      <c r="R1009" s="323"/>
      <c r="S1009" s="324"/>
      <c r="T1009" s="323"/>
      <c r="U1009" s="324"/>
      <c r="V1009" s="323"/>
      <c r="W1009" s="324"/>
      <c r="X1009" s="323"/>
      <c r="Y1009" s="324"/>
      <c r="Z1009" s="323"/>
      <c r="AA1009" s="324">
        <v>1</v>
      </c>
      <c r="AB1009" s="323"/>
      <c r="AC1009" s="228">
        <f>E1009+G1009+I1009+K1009+M1009+O1009+Q1009+S1009+U1009+W1009+Y1009+AA1009</f>
        <v>1</v>
      </c>
      <c r="AD1009" s="326">
        <v>0</v>
      </c>
      <c r="AE1009" s="323"/>
      <c r="AF1009" s="327"/>
      <c r="AG1009" s="323"/>
      <c r="AH1009" s="327"/>
      <c r="AI1009" s="323"/>
      <c r="AJ1009" s="327"/>
      <c r="AK1009" s="323"/>
      <c r="AL1009" s="327"/>
      <c r="AM1009" s="323"/>
      <c r="AN1009" s="327"/>
      <c r="AO1009" s="323"/>
      <c r="AP1009" s="327"/>
      <c r="AQ1009" s="323"/>
      <c r="AR1009" s="327"/>
      <c r="AS1009" s="323"/>
      <c r="AT1009" s="327"/>
      <c r="AU1009" s="323"/>
      <c r="AV1009" s="327"/>
      <c r="AW1009" s="323"/>
      <c r="AX1009" s="327"/>
      <c r="AY1009" s="323"/>
      <c r="AZ1009" s="327"/>
      <c r="BA1009" s="323"/>
      <c r="BB1009" s="327"/>
      <c r="BC1009" s="323"/>
      <c r="BD1009" s="48">
        <f>AF1009+AH1009+AJ1009+AL1009+AN1009+AP1009+AR1009+AT1009+AV1009+AX1009+AZ1009+BB1009</f>
        <v>0</v>
      </c>
      <c r="BE1009" s="326">
        <v>0</v>
      </c>
      <c r="BF1009" s="323"/>
      <c r="BG1009" s="210">
        <f>AC1009+BD1009</f>
        <v>1</v>
      </c>
      <c r="BH1009" s="210">
        <f>AD1009+BE1009</f>
        <v>0</v>
      </c>
      <c r="BI1009" s="213" t="e">
        <f t="shared" si="406"/>
        <v>#DIV/0!</v>
      </c>
      <c r="BJ1009" s="141"/>
      <c r="BK1009" s="201"/>
      <c r="BL1009" s="198"/>
      <c r="BM1009" s="198"/>
    </row>
    <row r="1010" spans="1:65" s="17" customFormat="1" ht="25.5" customHeight="1">
      <c r="A1010" s="123">
        <v>13</v>
      </c>
      <c r="B1010" s="9" t="s">
        <v>11</v>
      </c>
      <c r="C1010" s="10" t="s">
        <v>2461</v>
      </c>
      <c r="D1010" s="229"/>
      <c r="E1010" s="13"/>
      <c r="F1010" s="229"/>
      <c r="G1010" s="13"/>
      <c r="H1010" s="229"/>
      <c r="I1010" s="13"/>
      <c r="J1010" s="229"/>
      <c r="K1010" s="13"/>
      <c r="L1010" s="229"/>
      <c r="M1010" s="13"/>
      <c r="N1010" s="229"/>
      <c r="O1010" s="13"/>
      <c r="P1010" s="229"/>
      <c r="Q1010" s="13"/>
      <c r="R1010" s="229"/>
      <c r="S1010" s="13"/>
      <c r="T1010" s="229"/>
      <c r="U1010" s="13"/>
      <c r="V1010" s="229"/>
      <c r="W1010" s="13"/>
      <c r="X1010" s="229"/>
      <c r="Y1010" s="13"/>
      <c r="Z1010" s="229"/>
      <c r="AA1010" s="13">
        <v>1</v>
      </c>
      <c r="AB1010" s="229">
        <f>D1010+F1010+H1010+J1010+L1010+N1010+P1010+R1010+T1010+V1010+X1010+Z1010</f>
        <v>0</v>
      </c>
      <c r="AC1010" s="228">
        <f>E1010+G1010+I1010+K1010+M1010+O1010+Q1010+S1010+U1010+W1010+Y1010+AA1010</f>
        <v>1</v>
      </c>
      <c r="AD1010" s="19">
        <v>2</v>
      </c>
      <c r="AE1010" s="229"/>
      <c r="AF1010" s="20"/>
      <c r="AG1010" s="229"/>
      <c r="AH1010" s="20"/>
      <c r="AI1010" s="229"/>
      <c r="AJ1010" s="20"/>
      <c r="AK1010" s="229"/>
      <c r="AL1010" s="20"/>
      <c r="AM1010" s="229"/>
      <c r="AN1010" s="20"/>
      <c r="AO1010" s="229"/>
      <c r="AP1010" s="20"/>
      <c r="AQ1010" s="229"/>
      <c r="AR1010" s="20"/>
      <c r="AS1010" s="229"/>
      <c r="AT1010" s="20"/>
      <c r="AU1010" s="229"/>
      <c r="AV1010" s="20"/>
      <c r="AW1010" s="229"/>
      <c r="AX1010" s="20"/>
      <c r="AY1010" s="229"/>
      <c r="AZ1010" s="20"/>
      <c r="BA1010" s="229"/>
      <c r="BB1010" s="20"/>
      <c r="BC1010" s="229">
        <f>AE1010+AG1010+AI1010+AK1010+AM1010+AO1010+AQ1010+AS1010+AU1010+AW1010+AY1010+BA1010</f>
        <v>0</v>
      </c>
      <c r="BD1010" s="48">
        <f>AF1010+AH1010+AJ1010+AL1010+AN1010+AP1010+AR1010+AT1010+AV1010+AX1010+AZ1010+BB1010</f>
        <v>0</v>
      </c>
      <c r="BE1010" s="19">
        <v>0</v>
      </c>
      <c r="BF1010" s="229">
        <f>AB1010+BC1010</f>
        <v>0</v>
      </c>
      <c r="BG1010" s="210">
        <f>AC1010+BD1010</f>
        <v>1</v>
      </c>
      <c r="BH1010" s="210">
        <f>AD1010+BE1010</f>
        <v>2</v>
      </c>
      <c r="BI1010" s="213">
        <f t="shared" si="406"/>
        <v>50</v>
      </c>
      <c r="BJ1010" s="141"/>
      <c r="BK1010" s="201"/>
      <c r="BL1010" s="198"/>
      <c r="BM1010" s="198"/>
    </row>
    <row r="1011" spans="1:65" s="17" customFormat="1" ht="21.95" customHeight="1">
      <c r="A1011" s="375" t="s">
        <v>2759</v>
      </c>
      <c r="B1011" s="375"/>
      <c r="C1011" s="375"/>
      <c r="D1011" s="220">
        <f t="shared" ref="D1011:AA1011" si="407">SUM(D1012:D1182)</f>
        <v>0</v>
      </c>
      <c r="E1011" s="220">
        <f t="shared" si="407"/>
        <v>0</v>
      </c>
      <c r="F1011" s="220">
        <f t="shared" si="407"/>
        <v>0</v>
      </c>
      <c r="G1011" s="220">
        <f t="shared" si="407"/>
        <v>0</v>
      </c>
      <c r="H1011" s="220">
        <f t="shared" si="407"/>
        <v>0</v>
      </c>
      <c r="I1011" s="220">
        <f t="shared" si="407"/>
        <v>9016</v>
      </c>
      <c r="J1011" s="220">
        <f t="shared" si="407"/>
        <v>0</v>
      </c>
      <c r="K1011" s="220">
        <f t="shared" si="407"/>
        <v>0</v>
      </c>
      <c r="L1011" s="220">
        <f t="shared" si="407"/>
        <v>0</v>
      </c>
      <c r="M1011" s="220">
        <f t="shared" si="407"/>
        <v>0</v>
      </c>
      <c r="N1011" s="220">
        <f t="shared" si="407"/>
        <v>0</v>
      </c>
      <c r="O1011" s="220">
        <f t="shared" si="407"/>
        <v>10498</v>
      </c>
      <c r="P1011" s="220">
        <f t="shared" si="407"/>
        <v>0</v>
      </c>
      <c r="Q1011" s="220">
        <f t="shared" si="407"/>
        <v>0</v>
      </c>
      <c r="R1011" s="220">
        <f t="shared" si="407"/>
        <v>0</v>
      </c>
      <c r="S1011" s="220">
        <f t="shared" si="407"/>
        <v>0</v>
      </c>
      <c r="T1011" s="220">
        <f t="shared" si="407"/>
        <v>0</v>
      </c>
      <c r="U1011" s="220">
        <f t="shared" si="407"/>
        <v>14360</v>
      </c>
      <c r="V1011" s="220">
        <f t="shared" si="407"/>
        <v>0</v>
      </c>
      <c r="W1011" s="220">
        <f t="shared" si="407"/>
        <v>0</v>
      </c>
      <c r="X1011" s="220">
        <f t="shared" si="407"/>
        <v>0</v>
      </c>
      <c r="Y1011" s="220">
        <f t="shared" si="407"/>
        <v>0</v>
      </c>
      <c r="Z1011" s="220">
        <f t="shared" si="407"/>
        <v>0</v>
      </c>
      <c r="AA1011" s="220">
        <f t="shared" si="407"/>
        <v>7887</v>
      </c>
      <c r="AB1011" s="220">
        <f t="shared" si="361"/>
        <v>0</v>
      </c>
      <c r="AC1011" s="220">
        <f t="shared" si="362"/>
        <v>41761</v>
      </c>
      <c r="AD1011" s="274">
        <f t="shared" ref="AD1011:BB1011" si="408">SUM(AD1012:AD1182)</f>
        <v>31224</v>
      </c>
      <c r="AE1011" s="275">
        <f t="shared" si="408"/>
        <v>0</v>
      </c>
      <c r="AF1011" s="275">
        <f t="shared" si="408"/>
        <v>0</v>
      </c>
      <c r="AG1011" s="275">
        <f t="shared" si="408"/>
        <v>0</v>
      </c>
      <c r="AH1011" s="275">
        <f t="shared" si="408"/>
        <v>0</v>
      </c>
      <c r="AI1011" s="275">
        <f t="shared" si="408"/>
        <v>0</v>
      </c>
      <c r="AJ1011" s="275">
        <f t="shared" si="408"/>
        <v>32491</v>
      </c>
      <c r="AK1011" s="275">
        <f t="shared" si="408"/>
        <v>0</v>
      </c>
      <c r="AL1011" s="275">
        <f t="shared" si="408"/>
        <v>0</v>
      </c>
      <c r="AM1011" s="275">
        <f t="shared" si="408"/>
        <v>0</v>
      </c>
      <c r="AN1011" s="275">
        <f t="shared" si="408"/>
        <v>0</v>
      </c>
      <c r="AO1011" s="275">
        <f t="shared" si="408"/>
        <v>0</v>
      </c>
      <c r="AP1011" s="275">
        <f t="shared" si="408"/>
        <v>33606</v>
      </c>
      <c r="AQ1011" s="275">
        <f t="shared" si="408"/>
        <v>0</v>
      </c>
      <c r="AR1011" s="275">
        <f t="shared" si="408"/>
        <v>0</v>
      </c>
      <c r="AS1011" s="275">
        <f t="shared" si="408"/>
        <v>0</v>
      </c>
      <c r="AT1011" s="275">
        <f t="shared" si="408"/>
        <v>0</v>
      </c>
      <c r="AU1011" s="275">
        <f t="shared" si="408"/>
        <v>0</v>
      </c>
      <c r="AV1011" s="275">
        <f t="shared" si="408"/>
        <v>35794</v>
      </c>
      <c r="AW1011" s="275">
        <f t="shared" si="408"/>
        <v>0</v>
      </c>
      <c r="AX1011" s="275">
        <f t="shared" si="408"/>
        <v>0</v>
      </c>
      <c r="AY1011" s="275">
        <f t="shared" si="408"/>
        <v>0</v>
      </c>
      <c r="AZ1011" s="275">
        <f t="shared" si="408"/>
        <v>0</v>
      </c>
      <c r="BA1011" s="275">
        <f t="shared" si="408"/>
        <v>0</v>
      </c>
      <c r="BB1011" s="275">
        <f t="shared" si="408"/>
        <v>32743</v>
      </c>
      <c r="BC1011" s="220">
        <f t="shared" si="364"/>
        <v>0</v>
      </c>
      <c r="BD1011" s="210">
        <f t="shared" si="365"/>
        <v>134634</v>
      </c>
      <c r="BE1011" s="275">
        <f>SUM(BE1012:BE1182)</f>
        <v>147290</v>
      </c>
      <c r="BF1011" s="220">
        <f t="shared" si="366"/>
        <v>0</v>
      </c>
      <c r="BG1011" s="210">
        <f t="shared" si="367"/>
        <v>176395</v>
      </c>
      <c r="BH1011" s="210">
        <f t="shared" ref="BH1011" si="409">AD1011+BE1011</f>
        <v>178514</v>
      </c>
      <c r="BI1011" s="213">
        <f t="shared" si="368"/>
        <v>98.812978253806421</v>
      </c>
      <c r="BJ1011" s="140">
        <v>178514</v>
      </c>
      <c r="BK1011" s="203">
        <f>BH1011-BJ1011</f>
        <v>0</v>
      </c>
      <c r="BL1011" s="198">
        <v>131357</v>
      </c>
      <c r="BM1011" s="199">
        <f>BG1011-BL1011</f>
        <v>45038</v>
      </c>
    </row>
    <row r="1012" spans="1:65" s="17" customFormat="1" ht="18" customHeight="1">
      <c r="A1012" s="114">
        <v>1</v>
      </c>
      <c r="B1012" s="24" t="s">
        <v>2024</v>
      </c>
      <c r="C1012" s="25" t="s">
        <v>2025</v>
      </c>
      <c r="D1012" s="121"/>
      <c r="E1012" s="121"/>
      <c r="F1012" s="121"/>
      <c r="G1012" s="121"/>
      <c r="H1012" s="121"/>
      <c r="I1012" s="121">
        <f>2+519+3+8+3</f>
        <v>535</v>
      </c>
      <c r="J1012" s="121"/>
      <c r="K1012" s="121"/>
      <c r="L1012" s="121"/>
      <c r="M1012" s="121"/>
      <c r="N1012" s="121"/>
      <c r="O1012" s="121">
        <f>4+550+10+9</f>
        <v>573</v>
      </c>
      <c r="P1012" s="121"/>
      <c r="Q1012" s="121"/>
      <c r="R1012" s="121"/>
      <c r="S1012" s="121"/>
      <c r="T1012" s="121"/>
      <c r="U1012" s="121">
        <f>1+492+1+2+13+13</f>
        <v>522</v>
      </c>
      <c r="V1012" s="121"/>
      <c r="W1012" s="121"/>
      <c r="X1012" s="121"/>
      <c r="Y1012" s="121"/>
      <c r="Z1012" s="121"/>
      <c r="AA1012" s="121">
        <f>3+586+1+2</f>
        <v>592</v>
      </c>
      <c r="AB1012" s="229">
        <f t="shared" ref="AB1012:AB1022" si="410">D1012+F1012+H1012+J1012+L1012+N1012+P1012+R1012+T1012+V1012+X1012+Z1012</f>
        <v>0</v>
      </c>
      <c r="AC1012" s="228">
        <f t="shared" ref="AC1012:AC1022" si="411">E1012+G1012+I1012+K1012+M1012+O1012+Q1012+S1012+U1012+W1012+Y1012+AA1012</f>
        <v>2222</v>
      </c>
      <c r="AD1012" s="19">
        <v>1398</v>
      </c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29">
        <f t="shared" ref="BC1012:BC1022" si="412">AE1012+AG1012+AI1012+AK1012+AM1012+AO1012+AQ1012+AS1012+AU1012+AW1012+AY1012+BA1012</f>
        <v>0</v>
      </c>
      <c r="BD1012" s="48">
        <f t="shared" ref="BD1012:BD1022" si="413">AF1012+AH1012+AJ1012+AL1012+AN1012+AP1012+AR1012+AT1012+AV1012+AX1012+AZ1012+BB1012</f>
        <v>0</v>
      </c>
      <c r="BE1012" s="19">
        <v>0</v>
      </c>
      <c r="BF1012" s="229">
        <f t="shared" ref="BF1012:BF1022" si="414">AB1012+BC1012</f>
        <v>0</v>
      </c>
      <c r="BG1012" s="210">
        <f t="shared" ref="BG1012:BG1022" si="415">AC1012+BD1012</f>
        <v>2222</v>
      </c>
      <c r="BH1012" s="210">
        <f t="shared" ref="BH1012:BH1022" si="416">AD1012+BE1012</f>
        <v>1398</v>
      </c>
      <c r="BI1012" s="213">
        <f t="shared" ref="BI1012:BI1043" si="417">BG1012/BH1012*100</f>
        <v>158.94134477825466</v>
      </c>
      <c r="BJ1012" s="270" t="s">
        <v>2857</v>
      </c>
      <c r="BK1012" s="201"/>
      <c r="BL1012" s="202"/>
      <c r="BM1012" s="202"/>
    </row>
    <row r="1013" spans="1:65" s="17" customFormat="1" ht="18" customHeight="1">
      <c r="A1013" s="114">
        <v>2</v>
      </c>
      <c r="B1013" s="24" t="s">
        <v>2265</v>
      </c>
      <c r="C1013" s="25" t="s">
        <v>2266</v>
      </c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>
        <v>1</v>
      </c>
      <c r="V1013" s="121"/>
      <c r="W1013" s="121"/>
      <c r="X1013" s="121"/>
      <c r="Y1013" s="121"/>
      <c r="Z1013" s="121"/>
      <c r="AA1013" s="121"/>
      <c r="AB1013" s="229">
        <f t="shared" si="410"/>
        <v>0</v>
      </c>
      <c r="AC1013" s="228">
        <f t="shared" si="411"/>
        <v>1</v>
      </c>
      <c r="AD1013" s="19">
        <v>3</v>
      </c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29">
        <f t="shared" si="412"/>
        <v>0</v>
      </c>
      <c r="BD1013" s="48">
        <f t="shared" si="413"/>
        <v>0</v>
      </c>
      <c r="BE1013" s="19">
        <v>0</v>
      </c>
      <c r="BF1013" s="229">
        <f t="shared" si="414"/>
        <v>0</v>
      </c>
      <c r="BG1013" s="210">
        <f t="shared" si="415"/>
        <v>1</v>
      </c>
      <c r="BH1013" s="210">
        <f t="shared" si="416"/>
        <v>3</v>
      </c>
      <c r="BI1013" s="213">
        <f t="shared" si="417"/>
        <v>33.333333333333329</v>
      </c>
      <c r="BJ1013" s="270" t="s">
        <v>2857</v>
      </c>
      <c r="BK1013" s="201"/>
      <c r="BL1013" s="202"/>
      <c r="BM1013" s="202"/>
    </row>
    <row r="1014" spans="1:65" s="17" customFormat="1" ht="18" customHeight="1">
      <c r="A1014" s="114">
        <v>3</v>
      </c>
      <c r="B1014" s="24" t="s">
        <v>549</v>
      </c>
      <c r="C1014" s="25" t="s">
        <v>1393</v>
      </c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229">
        <f t="shared" si="410"/>
        <v>0</v>
      </c>
      <c r="AC1014" s="228">
        <f t="shared" si="411"/>
        <v>0</v>
      </c>
      <c r="AD1014" s="19">
        <v>10</v>
      </c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29">
        <f t="shared" si="412"/>
        <v>0</v>
      </c>
      <c r="BD1014" s="48">
        <f t="shared" si="413"/>
        <v>0</v>
      </c>
      <c r="BE1014" s="19">
        <v>0</v>
      </c>
      <c r="BF1014" s="229">
        <f t="shared" si="414"/>
        <v>0</v>
      </c>
      <c r="BG1014" s="210">
        <f t="shared" si="415"/>
        <v>0</v>
      </c>
      <c r="BH1014" s="210">
        <f t="shared" si="416"/>
        <v>10</v>
      </c>
      <c r="BI1014" s="213">
        <f t="shared" si="417"/>
        <v>0</v>
      </c>
      <c r="BJ1014" s="270" t="s">
        <v>2857</v>
      </c>
      <c r="BK1014" s="201"/>
      <c r="BL1014" s="202"/>
      <c r="BM1014" s="202"/>
    </row>
    <row r="1015" spans="1:65" s="17" customFormat="1" ht="18" customHeight="1">
      <c r="A1015" s="114">
        <v>4</v>
      </c>
      <c r="B1015" s="24" t="s">
        <v>1384</v>
      </c>
      <c r="C1015" s="25" t="s">
        <v>1385</v>
      </c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>
        <f>1+1+1</f>
        <v>3</v>
      </c>
      <c r="V1015" s="121"/>
      <c r="W1015" s="121"/>
      <c r="X1015" s="121"/>
      <c r="Y1015" s="121"/>
      <c r="Z1015" s="121"/>
      <c r="AA1015" s="121"/>
      <c r="AB1015" s="229">
        <f t="shared" si="410"/>
        <v>0</v>
      </c>
      <c r="AC1015" s="228">
        <f t="shared" si="411"/>
        <v>3</v>
      </c>
      <c r="AD1015" s="19">
        <v>5</v>
      </c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29">
        <f t="shared" si="412"/>
        <v>0</v>
      </c>
      <c r="BD1015" s="48">
        <f t="shared" si="413"/>
        <v>0</v>
      </c>
      <c r="BE1015" s="19">
        <v>0</v>
      </c>
      <c r="BF1015" s="229">
        <f t="shared" si="414"/>
        <v>0</v>
      </c>
      <c r="BG1015" s="210">
        <f t="shared" si="415"/>
        <v>3</v>
      </c>
      <c r="BH1015" s="210">
        <f t="shared" si="416"/>
        <v>5</v>
      </c>
      <c r="BI1015" s="213">
        <f t="shared" si="417"/>
        <v>60</v>
      </c>
      <c r="BJ1015" s="270" t="s">
        <v>2857</v>
      </c>
      <c r="BK1015" s="201"/>
      <c r="BL1015" s="202"/>
      <c r="BM1015" s="202"/>
    </row>
    <row r="1016" spans="1:65" s="17" customFormat="1" ht="18" customHeight="1">
      <c r="A1016" s="114">
        <v>5</v>
      </c>
      <c r="B1016" s="24" t="s">
        <v>937</v>
      </c>
      <c r="C1016" s="25" t="s">
        <v>1466</v>
      </c>
      <c r="D1016" s="121"/>
      <c r="E1016" s="121"/>
      <c r="F1016" s="121"/>
      <c r="G1016" s="121"/>
      <c r="H1016" s="121"/>
      <c r="I1016" s="121">
        <v>162</v>
      </c>
      <c r="J1016" s="121"/>
      <c r="K1016" s="121"/>
      <c r="L1016" s="121"/>
      <c r="M1016" s="121"/>
      <c r="N1016" s="121"/>
      <c r="O1016" s="121">
        <v>128</v>
      </c>
      <c r="P1016" s="121"/>
      <c r="Q1016" s="121"/>
      <c r="R1016" s="121"/>
      <c r="S1016" s="121"/>
      <c r="T1016" s="121"/>
      <c r="U1016" s="121">
        <f>150+258+258</f>
        <v>666</v>
      </c>
      <c r="V1016" s="121"/>
      <c r="W1016" s="121"/>
      <c r="X1016" s="121"/>
      <c r="Y1016" s="121"/>
      <c r="Z1016" s="121"/>
      <c r="AA1016" s="121"/>
      <c r="AB1016" s="229">
        <f t="shared" si="410"/>
        <v>0</v>
      </c>
      <c r="AC1016" s="228">
        <f t="shared" si="411"/>
        <v>956</v>
      </c>
      <c r="AD1016" s="19">
        <v>628</v>
      </c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29">
        <f t="shared" si="412"/>
        <v>0</v>
      </c>
      <c r="BD1016" s="48">
        <f t="shared" si="413"/>
        <v>0</v>
      </c>
      <c r="BE1016" s="19">
        <v>0</v>
      </c>
      <c r="BF1016" s="229">
        <f t="shared" si="414"/>
        <v>0</v>
      </c>
      <c r="BG1016" s="210">
        <f t="shared" si="415"/>
        <v>956</v>
      </c>
      <c r="BH1016" s="210">
        <f t="shared" si="416"/>
        <v>628</v>
      </c>
      <c r="BI1016" s="213">
        <f t="shared" si="417"/>
        <v>152.22929936305732</v>
      </c>
      <c r="BJ1016" s="270" t="s">
        <v>2857</v>
      </c>
      <c r="BK1016" s="201"/>
      <c r="BL1016" s="202"/>
      <c r="BM1016" s="202"/>
    </row>
    <row r="1017" spans="1:65" s="17" customFormat="1" ht="18" customHeight="1">
      <c r="A1017" s="114">
        <v>6</v>
      </c>
      <c r="B1017" s="24" t="s">
        <v>1468</v>
      </c>
      <c r="C1017" s="25" t="s">
        <v>1471</v>
      </c>
      <c r="D1017" s="121"/>
      <c r="E1017" s="121"/>
      <c r="F1017" s="121"/>
      <c r="G1017" s="121"/>
      <c r="H1017" s="121"/>
      <c r="I1017" s="121">
        <f>259+1+3+58+3497</f>
        <v>3818</v>
      </c>
      <c r="J1017" s="121"/>
      <c r="K1017" s="121"/>
      <c r="L1017" s="121"/>
      <c r="M1017" s="121"/>
      <c r="N1017" s="121"/>
      <c r="O1017" s="121">
        <f>318+1+69+100+3617</f>
        <v>4105</v>
      </c>
      <c r="P1017" s="121"/>
      <c r="Q1017" s="121"/>
      <c r="R1017" s="121"/>
      <c r="S1017" s="121"/>
      <c r="T1017" s="121"/>
      <c r="U1017" s="121">
        <f>324+1+1+57+3157+3665</f>
        <v>7205</v>
      </c>
      <c r="V1017" s="121"/>
      <c r="W1017" s="121"/>
      <c r="X1017" s="121"/>
      <c r="Y1017" s="121"/>
      <c r="Z1017" s="121"/>
      <c r="AA1017" s="121">
        <f>334+56</f>
        <v>390</v>
      </c>
      <c r="AB1017" s="229">
        <f t="shared" si="410"/>
        <v>0</v>
      </c>
      <c r="AC1017" s="228">
        <f t="shared" si="411"/>
        <v>15518</v>
      </c>
      <c r="AD1017" s="19">
        <v>15998</v>
      </c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29">
        <f t="shared" si="412"/>
        <v>0</v>
      </c>
      <c r="BD1017" s="48">
        <f t="shared" si="413"/>
        <v>0</v>
      </c>
      <c r="BE1017" s="19">
        <v>0</v>
      </c>
      <c r="BF1017" s="229">
        <f t="shared" si="414"/>
        <v>0</v>
      </c>
      <c r="BG1017" s="210">
        <f t="shared" si="415"/>
        <v>15518</v>
      </c>
      <c r="BH1017" s="210">
        <f t="shared" si="416"/>
        <v>15998</v>
      </c>
      <c r="BI1017" s="213">
        <f t="shared" si="417"/>
        <v>96.999624953119138</v>
      </c>
      <c r="BJ1017" s="270" t="s">
        <v>2857</v>
      </c>
      <c r="BK1017" s="201"/>
      <c r="BL1017" s="202"/>
      <c r="BM1017" s="202"/>
    </row>
    <row r="1018" spans="1:65" s="17" customFormat="1" ht="18" customHeight="1">
      <c r="A1018" s="114">
        <v>7</v>
      </c>
      <c r="B1018" s="24" t="s">
        <v>1482</v>
      </c>
      <c r="C1018" s="25" t="s">
        <v>1483</v>
      </c>
      <c r="D1018" s="121"/>
      <c r="E1018" s="121"/>
      <c r="F1018" s="121"/>
      <c r="G1018" s="121"/>
      <c r="H1018" s="121"/>
      <c r="I1018" s="121">
        <f>1409+10+3</f>
        <v>1422</v>
      </c>
      <c r="J1018" s="121"/>
      <c r="K1018" s="121"/>
      <c r="L1018" s="121"/>
      <c r="M1018" s="121"/>
      <c r="N1018" s="121"/>
      <c r="O1018" s="121">
        <f>1638+215+1</f>
        <v>1854</v>
      </c>
      <c r="P1018" s="121"/>
      <c r="Q1018" s="121"/>
      <c r="R1018" s="121"/>
      <c r="S1018" s="121"/>
      <c r="T1018" s="121"/>
      <c r="U1018" s="121">
        <f>1489+220+2+2</f>
        <v>1713</v>
      </c>
      <c r="V1018" s="121"/>
      <c r="W1018" s="121"/>
      <c r="X1018" s="121"/>
      <c r="Y1018" s="121"/>
      <c r="Z1018" s="121"/>
      <c r="AA1018" s="121">
        <f>1697+227</f>
        <v>1924</v>
      </c>
      <c r="AB1018" s="229">
        <f t="shared" si="410"/>
        <v>0</v>
      </c>
      <c r="AC1018" s="228">
        <f t="shared" si="411"/>
        <v>6913</v>
      </c>
      <c r="AD1018" s="19">
        <v>5798</v>
      </c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29">
        <f t="shared" si="412"/>
        <v>0</v>
      </c>
      <c r="BD1018" s="48">
        <f t="shared" si="413"/>
        <v>0</v>
      </c>
      <c r="BE1018" s="19">
        <v>0</v>
      </c>
      <c r="BF1018" s="229">
        <f t="shared" si="414"/>
        <v>0</v>
      </c>
      <c r="BG1018" s="210">
        <f t="shared" si="415"/>
        <v>6913</v>
      </c>
      <c r="BH1018" s="210">
        <f t="shared" si="416"/>
        <v>5798</v>
      </c>
      <c r="BI1018" s="213">
        <f t="shared" si="417"/>
        <v>119.23076923076923</v>
      </c>
      <c r="BJ1018" s="270" t="s">
        <v>2857</v>
      </c>
      <c r="BK1018" s="201"/>
      <c r="BL1018" s="202"/>
      <c r="BM1018" s="202"/>
    </row>
    <row r="1019" spans="1:65" s="17" customFormat="1" ht="18" customHeight="1">
      <c r="A1019" s="114">
        <v>8</v>
      </c>
      <c r="B1019" s="24" t="s">
        <v>2234</v>
      </c>
      <c r="C1019" s="25" t="s">
        <v>2235</v>
      </c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229">
        <f t="shared" si="410"/>
        <v>0</v>
      </c>
      <c r="AC1019" s="228">
        <f t="shared" si="411"/>
        <v>0</v>
      </c>
      <c r="AD1019" s="19">
        <v>0</v>
      </c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>
        <v>2</v>
      </c>
      <c r="BC1019" s="229">
        <f t="shared" si="412"/>
        <v>0</v>
      </c>
      <c r="BD1019" s="48">
        <f t="shared" si="413"/>
        <v>2</v>
      </c>
      <c r="BE1019" s="19">
        <v>14</v>
      </c>
      <c r="BF1019" s="229">
        <f t="shared" si="414"/>
        <v>0</v>
      </c>
      <c r="BG1019" s="210">
        <f t="shared" si="415"/>
        <v>2</v>
      </c>
      <c r="BH1019" s="210">
        <f t="shared" si="416"/>
        <v>14</v>
      </c>
      <c r="BI1019" s="213">
        <f t="shared" si="417"/>
        <v>14.285714285714285</v>
      </c>
      <c r="BJ1019" s="165"/>
      <c r="BK1019" s="201"/>
      <c r="BL1019" s="202"/>
      <c r="BM1019" s="202"/>
    </row>
    <row r="1020" spans="1:65" s="17" customFormat="1" ht="18" customHeight="1">
      <c r="A1020" s="114">
        <v>9</v>
      </c>
      <c r="B1020" s="24" t="s">
        <v>2287</v>
      </c>
      <c r="C1020" s="25" t="s">
        <v>2288</v>
      </c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229">
        <f t="shared" si="410"/>
        <v>0</v>
      </c>
      <c r="AC1020" s="228">
        <f t="shared" si="411"/>
        <v>0</v>
      </c>
      <c r="AD1020" s="19">
        <v>0</v>
      </c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>
        <v>2</v>
      </c>
      <c r="BC1020" s="229">
        <f t="shared" si="412"/>
        <v>0</v>
      </c>
      <c r="BD1020" s="48">
        <f t="shared" si="413"/>
        <v>2</v>
      </c>
      <c r="BE1020" s="19">
        <v>16</v>
      </c>
      <c r="BF1020" s="229">
        <f t="shared" si="414"/>
        <v>0</v>
      </c>
      <c r="BG1020" s="210">
        <f t="shared" si="415"/>
        <v>2</v>
      </c>
      <c r="BH1020" s="210">
        <f t="shared" si="416"/>
        <v>16</v>
      </c>
      <c r="BI1020" s="213">
        <f t="shared" si="417"/>
        <v>12.5</v>
      </c>
      <c r="BJ1020" s="165"/>
      <c r="BK1020" s="201"/>
      <c r="BL1020" s="202"/>
      <c r="BM1020" s="202"/>
    </row>
    <row r="1021" spans="1:65" s="17" customFormat="1" ht="18" customHeight="1">
      <c r="A1021" s="114">
        <v>10</v>
      </c>
      <c r="B1021" s="24" t="s">
        <v>2289</v>
      </c>
      <c r="C1021" s="25" t="s">
        <v>2290</v>
      </c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229">
        <f t="shared" si="410"/>
        <v>0</v>
      </c>
      <c r="AC1021" s="228">
        <f t="shared" si="411"/>
        <v>0</v>
      </c>
      <c r="AD1021" s="19">
        <v>0</v>
      </c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29">
        <f t="shared" si="412"/>
        <v>0</v>
      </c>
      <c r="BD1021" s="48">
        <f t="shared" si="413"/>
        <v>0</v>
      </c>
      <c r="BE1021" s="19">
        <v>7</v>
      </c>
      <c r="BF1021" s="229">
        <f t="shared" si="414"/>
        <v>0</v>
      </c>
      <c r="BG1021" s="210">
        <f t="shared" si="415"/>
        <v>0</v>
      </c>
      <c r="BH1021" s="210">
        <f t="shared" si="416"/>
        <v>7</v>
      </c>
      <c r="BI1021" s="213">
        <f t="shared" si="417"/>
        <v>0</v>
      </c>
      <c r="BJ1021" s="165"/>
      <c r="BK1021" s="201"/>
      <c r="BL1021" s="202"/>
      <c r="BM1021" s="202"/>
    </row>
    <row r="1022" spans="1:65" s="17" customFormat="1" ht="18" customHeight="1">
      <c r="A1022" s="114">
        <v>11</v>
      </c>
      <c r="B1022" s="24" t="s">
        <v>2282</v>
      </c>
      <c r="C1022" s="25" t="s">
        <v>2609</v>
      </c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229">
        <f t="shared" si="410"/>
        <v>0</v>
      </c>
      <c r="AC1022" s="228">
        <f t="shared" si="411"/>
        <v>0</v>
      </c>
      <c r="AD1022" s="19">
        <v>74</v>
      </c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29">
        <f t="shared" si="412"/>
        <v>0</v>
      </c>
      <c r="BD1022" s="48">
        <f t="shared" si="413"/>
        <v>0</v>
      </c>
      <c r="BE1022" s="19">
        <v>0</v>
      </c>
      <c r="BF1022" s="229">
        <f t="shared" si="414"/>
        <v>0</v>
      </c>
      <c r="BG1022" s="210">
        <f t="shared" si="415"/>
        <v>0</v>
      </c>
      <c r="BH1022" s="210">
        <f t="shared" si="416"/>
        <v>74</v>
      </c>
      <c r="BI1022" s="213">
        <f t="shared" si="417"/>
        <v>0</v>
      </c>
      <c r="BJ1022" s="165"/>
      <c r="BK1022" s="201"/>
      <c r="BL1022" s="202"/>
      <c r="BM1022" s="202"/>
    </row>
    <row r="1023" spans="1:65" s="17" customFormat="1" ht="18" customHeight="1">
      <c r="A1023" s="114">
        <v>12</v>
      </c>
      <c r="B1023" s="24" t="s">
        <v>670</v>
      </c>
      <c r="C1023" s="25" t="s">
        <v>671</v>
      </c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229"/>
      <c r="AC1023" s="228">
        <f t="shared" ref="AC1023:AC1054" si="418">E1023+G1023+I1023+K1023+M1023+O1023+Q1023+S1023+U1023+W1023+Y1023+AA1023</f>
        <v>0</v>
      </c>
      <c r="AD1023" s="19">
        <v>0</v>
      </c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>
        <v>1</v>
      </c>
      <c r="AW1023" s="26"/>
      <c r="AX1023" s="26"/>
      <c r="AY1023" s="26"/>
      <c r="AZ1023" s="26"/>
      <c r="BA1023" s="26"/>
      <c r="BB1023" s="26"/>
      <c r="BC1023" s="229"/>
      <c r="BD1023" s="48">
        <f t="shared" ref="BD1023:BD1054" si="419">AF1023+AH1023+AJ1023+AL1023+AN1023+AP1023+AR1023+AT1023+AV1023+AX1023+AZ1023+BB1023</f>
        <v>1</v>
      </c>
      <c r="BE1023" s="19">
        <v>0</v>
      </c>
      <c r="BF1023" s="229"/>
      <c r="BG1023" s="210">
        <f t="shared" ref="BG1023:BG1054" si="420">AC1023+BD1023</f>
        <v>1</v>
      </c>
      <c r="BH1023" s="210">
        <f t="shared" ref="BH1023:BH1054" si="421">AD1023+BE1023</f>
        <v>0</v>
      </c>
      <c r="BI1023" s="213" t="e">
        <f t="shared" si="417"/>
        <v>#DIV/0!</v>
      </c>
      <c r="BJ1023" s="165"/>
      <c r="BK1023" s="201"/>
      <c r="BL1023" s="202"/>
      <c r="BM1023" s="202"/>
    </row>
    <row r="1024" spans="1:65" s="17" customFormat="1" ht="18" customHeight="1">
      <c r="A1024" s="114">
        <v>13</v>
      </c>
      <c r="B1024" s="24" t="s">
        <v>941</v>
      </c>
      <c r="C1024" s="25" t="s">
        <v>942</v>
      </c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229">
        <f t="shared" ref="AB1024:AB1056" si="422">D1024+F1024+H1024+J1024+L1024+N1024+P1024+R1024+T1024+V1024+X1024+Z1024</f>
        <v>0</v>
      </c>
      <c r="AC1024" s="228">
        <f t="shared" si="418"/>
        <v>0</v>
      </c>
      <c r="AD1024" s="19">
        <v>74</v>
      </c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29">
        <f t="shared" ref="BC1024:BC1056" si="423">AE1024+AG1024+AI1024+AK1024+AM1024+AO1024+AQ1024+AS1024+AU1024+AW1024+AY1024+BA1024</f>
        <v>0</v>
      </c>
      <c r="BD1024" s="48">
        <f t="shared" si="419"/>
        <v>0</v>
      </c>
      <c r="BE1024" s="19">
        <v>0</v>
      </c>
      <c r="BF1024" s="229">
        <f t="shared" ref="BF1024:BF1056" si="424">AB1024+BC1024</f>
        <v>0</v>
      </c>
      <c r="BG1024" s="210">
        <f t="shared" si="420"/>
        <v>0</v>
      </c>
      <c r="BH1024" s="210">
        <f t="shared" si="421"/>
        <v>74</v>
      </c>
      <c r="BI1024" s="213">
        <f t="shared" si="417"/>
        <v>0</v>
      </c>
      <c r="BJ1024" s="165"/>
      <c r="BK1024" s="201"/>
      <c r="BL1024" s="202"/>
      <c r="BM1024" s="202"/>
    </row>
    <row r="1025" spans="1:65" s="17" customFormat="1" ht="21.95" customHeight="1">
      <c r="A1025" s="114">
        <v>14</v>
      </c>
      <c r="B1025" s="24" t="s">
        <v>550</v>
      </c>
      <c r="C1025" s="27" t="s">
        <v>1922</v>
      </c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229">
        <f t="shared" si="422"/>
        <v>0</v>
      </c>
      <c r="AC1025" s="228">
        <f t="shared" si="418"/>
        <v>0</v>
      </c>
      <c r="AD1025" s="19">
        <v>68</v>
      </c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29">
        <f t="shared" si="423"/>
        <v>0</v>
      </c>
      <c r="BD1025" s="48">
        <f t="shared" si="419"/>
        <v>0</v>
      </c>
      <c r="BE1025" s="19">
        <v>0</v>
      </c>
      <c r="BF1025" s="229">
        <f t="shared" si="424"/>
        <v>0</v>
      </c>
      <c r="BG1025" s="210">
        <f t="shared" si="420"/>
        <v>0</v>
      </c>
      <c r="BH1025" s="210">
        <f t="shared" si="421"/>
        <v>68</v>
      </c>
      <c r="BI1025" s="213">
        <f t="shared" si="417"/>
        <v>0</v>
      </c>
      <c r="BJ1025" s="165"/>
      <c r="BK1025" s="201"/>
      <c r="BL1025" s="202"/>
      <c r="BM1025" s="202"/>
    </row>
    <row r="1026" spans="1:65" s="17" customFormat="1" ht="18" customHeight="1">
      <c r="A1026" s="114">
        <v>15</v>
      </c>
      <c r="B1026" s="24" t="s">
        <v>553</v>
      </c>
      <c r="C1026" s="25" t="s">
        <v>554</v>
      </c>
      <c r="D1026" s="121"/>
      <c r="E1026" s="121"/>
      <c r="F1026" s="121"/>
      <c r="G1026" s="121"/>
      <c r="H1026" s="121"/>
      <c r="I1026" s="121">
        <v>1237</v>
      </c>
      <c r="J1026" s="121"/>
      <c r="K1026" s="121"/>
      <c r="L1026" s="121"/>
      <c r="M1026" s="121"/>
      <c r="N1026" s="121"/>
      <c r="O1026" s="121">
        <f>1474+41</f>
        <v>1515</v>
      </c>
      <c r="P1026" s="121"/>
      <c r="Q1026" s="121"/>
      <c r="R1026" s="121"/>
      <c r="S1026" s="121"/>
      <c r="T1026" s="121"/>
      <c r="U1026" s="121">
        <f>1319+216</f>
        <v>1535</v>
      </c>
      <c r="V1026" s="121"/>
      <c r="W1026" s="121"/>
      <c r="X1026" s="121"/>
      <c r="Y1026" s="121"/>
      <c r="Z1026" s="121"/>
      <c r="AA1026" s="121">
        <f>1544+184</f>
        <v>1728</v>
      </c>
      <c r="AB1026" s="229">
        <f t="shared" si="422"/>
        <v>0</v>
      </c>
      <c r="AC1026" s="228">
        <f t="shared" si="418"/>
        <v>6015</v>
      </c>
      <c r="AD1026" s="19">
        <v>0</v>
      </c>
      <c r="AE1026" s="26"/>
      <c r="AF1026" s="26"/>
      <c r="AG1026" s="26"/>
      <c r="AH1026" s="26"/>
      <c r="AI1026" s="26"/>
      <c r="AJ1026" s="26">
        <f>10+1</f>
        <v>11</v>
      </c>
      <c r="AK1026" s="26"/>
      <c r="AL1026" s="26"/>
      <c r="AM1026" s="26"/>
      <c r="AN1026" s="26"/>
      <c r="AO1026" s="26"/>
      <c r="AP1026" s="26">
        <f>15+1</f>
        <v>16</v>
      </c>
      <c r="AQ1026" s="26"/>
      <c r="AR1026" s="26"/>
      <c r="AS1026" s="26"/>
      <c r="AT1026" s="26"/>
      <c r="AU1026" s="26"/>
      <c r="AV1026" s="26">
        <v>13</v>
      </c>
      <c r="AW1026" s="26"/>
      <c r="AX1026" s="26"/>
      <c r="AY1026" s="26"/>
      <c r="AZ1026" s="26"/>
      <c r="BA1026" s="26"/>
      <c r="BB1026" s="26">
        <f>16+2</f>
        <v>18</v>
      </c>
      <c r="BC1026" s="229">
        <f t="shared" si="423"/>
        <v>0</v>
      </c>
      <c r="BD1026" s="48">
        <f t="shared" si="419"/>
        <v>58</v>
      </c>
      <c r="BE1026" s="19">
        <v>10</v>
      </c>
      <c r="BF1026" s="229">
        <f t="shared" si="424"/>
        <v>0</v>
      </c>
      <c r="BG1026" s="210">
        <f t="shared" si="420"/>
        <v>6073</v>
      </c>
      <c r="BH1026" s="210">
        <f t="shared" si="421"/>
        <v>10</v>
      </c>
      <c r="BI1026" s="313">
        <f t="shared" si="417"/>
        <v>60729.999999999993</v>
      </c>
      <c r="BJ1026" s="141"/>
      <c r="BK1026" s="201"/>
      <c r="BL1026" s="202"/>
      <c r="BM1026" s="202"/>
    </row>
    <row r="1027" spans="1:65" s="17" customFormat="1" ht="18" customHeight="1">
      <c r="A1027" s="114">
        <v>16</v>
      </c>
      <c r="B1027" s="24" t="s">
        <v>555</v>
      </c>
      <c r="C1027" s="25" t="s">
        <v>556</v>
      </c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229">
        <f t="shared" si="422"/>
        <v>0</v>
      </c>
      <c r="AC1027" s="228">
        <f t="shared" si="418"/>
        <v>0</v>
      </c>
      <c r="AD1027" s="19">
        <v>0</v>
      </c>
      <c r="AE1027" s="26"/>
      <c r="AF1027" s="26"/>
      <c r="AG1027" s="26"/>
      <c r="AH1027" s="26"/>
      <c r="AI1027" s="26"/>
      <c r="AJ1027" s="26">
        <f>17+820+12</f>
        <v>849</v>
      </c>
      <c r="AK1027" s="26"/>
      <c r="AL1027" s="26"/>
      <c r="AM1027" s="26"/>
      <c r="AN1027" s="26"/>
      <c r="AO1027" s="26"/>
      <c r="AP1027" s="26">
        <f>8+952+1+10</f>
        <v>971</v>
      </c>
      <c r="AQ1027" s="26"/>
      <c r="AR1027" s="26"/>
      <c r="AS1027" s="26"/>
      <c r="AT1027" s="26"/>
      <c r="AU1027" s="26"/>
      <c r="AV1027" s="26">
        <f>9+692+2</f>
        <v>703</v>
      </c>
      <c r="AW1027" s="26"/>
      <c r="AX1027" s="26"/>
      <c r="AY1027" s="26"/>
      <c r="AZ1027" s="26"/>
      <c r="BA1027" s="26"/>
      <c r="BB1027" s="26">
        <v>522</v>
      </c>
      <c r="BC1027" s="229">
        <f t="shared" si="423"/>
        <v>0</v>
      </c>
      <c r="BD1027" s="48">
        <f t="shared" si="419"/>
        <v>3045</v>
      </c>
      <c r="BE1027" s="19">
        <v>3294</v>
      </c>
      <c r="BF1027" s="229">
        <f t="shared" si="424"/>
        <v>0</v>
      </c>
      <c r="BG1027" s="210">
        <f t="shared" si="420"/>
        <v>3045</v>
      </c>
      <c r="BH1027" s="210">
        <f t="shared" si="421"/>
        <v>3294</v>
      </c>
      <c r="BI1027" s="213">
        <f t="shared" si="417"/>
        <v>92.440801457194894</v>
      </c>
      <c r="BJ1027" s="141"/>
      <c r="BK1027" s="201"/>
      <c r="BL1027" s="202"/>
      <c r="BM1027" s="202"/>
    </row>
    <row r="1028" spans="1:65" s="17" customFormat="1" ht="18" customHeight="1">
      <c r="A1028" s="114">
        <v>17</v>
      </c>
      <c r="B1028" s="24" t="s">
        <v>557</v>
      </c>
      <c r="C1028" s="25" t="s">
        <v>558</v>
      </c>
      <c r="D1028" s="121"/>
      <c r="E1028" s="121"/>
      <c r="F1028" s="121"/>
      <c r="G1028" s="121"/>
      <c r="H1028" s="121"/>
      <c r="I1028" s="121">
        <f>256+1+58</f>
        <v>315</v>
      </c>
      <c r="J1028" s="121"/>
      <c r="K1028" s="121"/>
      <c r="L1028" s="121"/>
      <c r="M1028" s="121"/>
      <c r="N1028" s="121"/>
      <c r="O1028" s="121">
        <f>318+69</f>
        <v>387</v>
      </c>
      <c r="P1028" s="121"/>
      <c r="Q1028" s="121"/>
      <c r="R1028" s="121"/>
      <c r="S1028" s="121"/>
      <c r="T1028" s="121"/>
      <c r="U1028" s="121">
        <f>324+1+57</f>
        <v>382</v>
      </c>
      <c r="V1028" s="121"/>
      <c r="W1028" s="121"/>
      <c r="X1028" s="121"/>
      <c r="Y1028" s="121"/>
      <c r="Z1028" s="121"/>
      <c r="AA1028" s="121">
        <f>334+56</f>
        <v>390</v>
      </c>
      <c r="AB1028" s="229">
        <f t="shared" si="422"/>
        <v>0</v>
      </c>
      <c r="AC1028" s="228">
        <f t="shared" si="418"/>
        <v>1474</v>
      </c>
      <c r="AD1028" s="19">
        <v>628</v>
      </c>
      <c r="AE1028" s="26"/>
      <c r="AF1028" s="26"/>
      <c r="AG1028" s="26"/>
      <c r="AH1028" s="26"/>
      <c r="AI1028" s="26"/>
      <c r="AJ1028" s="26">
        <v>20</v>
      </c>
      <c r="AK1028" s="26"/>
      <c r="AL1028" s="26"/>
      <c r="AM1028" s="26"/>
      <c r="AN1028" s="26"/>
      <c r="AO1028" s="26"/>
      <c r="AP1028" s="26">
        <v>36</v>
      </c>
      <c r="AQ1028" s="26"/>
      <c r="AR1028" s="26"/>
      <c r="AS1028" s="26"/>
      <c r="AT1028" s="26"/>
      <c r="AU1028" s="26"/>
      <c r="AV1028" s="26">
        <v>30</v>
      </c>
      <c r="AW1028" s="26"/>
      <c r="AX1028" s="26"/>
      <c r="AY1028" s="26"/>
      <c r="AZ1028" s="26"/>
      <c r="BA1028" s="26"/>
      <c r="BB1028" s="26">
        <v>35</v>
      </c>
      <c r="BC1028" s="229">
        <f t="shared" si="423"/>
        <v>0</v>
      </c>
      <c r="BD1028" s="48">
        <f t="shared" si="419"/>
        <v>121</v>
      </c>
      <c r="BE1028" s="19">
        <v>5</v>
      </c>
      <c r="BF1028" s="229">
        <f t="shared" si="424"/>
        <v>0</v>
      </c>
      <c r="BG1028" s="210">
        <f t="shared" si="420"/>
        <v>1595</v>
      </c>
      <c r="BH1028" s="210">
        <f t="shared" si="421"/>
        <v>633</v>
      </c>
      <c r="BI1028" s="213">
        <f t="shared" si="417"/>
        <v>251.97472353870455</v>
      </c>
      <c r="BJ1028" s="141"/>
      <c r="BK1028" s="201"/>
      <c r="BL1028" s="202"/>
      <c r="BM1028" s="202"/>
    </row>
    <row r="1029" spans="1:65" s="17" customFormat="1" ht="18" customHeight="1">
      <c r="A1029" s="114">
        <v>18</v>
      </c>
      <c r="B1029" s="24" t="s">
        <v>559</v>
      </c>
      <c r="C1029" s="25" t="s">
        <v>560</v>
      </c>
      <c r="D1029" s="121"/>
      <c r="E1029" s="121"/>
      <c r="F1029" s="121"/>
      <c r="G1029" s="121"/>
      <c r="H1029" s="121"/>
      <c r="I1029" s="121">
        <v>93</v>
      </c>
      <c r="J1029" s="121"/>
      <c r="K1029" s="121"/>
      <c r="L1029" s="121"/>
      <c r="M1029" s="121"/>
      <c r="N1029" s="121"/>
      <c r="O1029" s="121">
        <v>92</v>
      </c>
      <c r="P1029" s="121"/>
      <c r="Q1029" s="121"/>
      <c r="R1029" s="121"/>
      <c r="S1029" s="121"/>
      <c r="T1029" s="121"/>
      <c r="U1029" s="121">
        <v>64</v>
      </c>
      <c r="V1029" s="121"/>
      <c r="W1029" s="121"/>
      <c r="X1029" s="121"/>
      <c r="Y1029" s="121"/>
      <c r="Z1029" s="121"/>
      <c r="AA1029" s="121">
        <f>1+94</f>
        <v>95</v>
      </c>
      <c r="AB1029" s="229">
        <f t="shared" si="422"/>
        <v>0</v>
      </c>
      <c r="AC1029" s="228">
        <f t="shared" si="418"/>
        <v>344</v>
      </c>
      <c r="AD1029" s="19">
        <v>1</v>
      </c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>
        <f>1+2</f>
        <v>3</v>
      </c>
      <c r="AW1029" s="26"/>
      <c r="AX1029" s="26"/>
      <c r="AY1029" s="26"/>
      <c r="AZ1029" s="26"/>
      <c r="BA1029" s="26"/>
      <c r="BB1029" s="26"/>
      <c r="BC1029" s="229">
        <f t="shared" si="423"/>
        <v>0</v>
      </c>
      <c r="BD1029" s="48">
        <f t="shared" si="419"/>
        <v>3</v>
      </c>
      <c r="BE1029" s="19">
        <v>2</v>
      </c>
      <c r="BF1029" s="229">
        <f t="shared" si="424"/>
        <v>0</v>
      </c>
      <c r="BG1029" s="210">
        <f t="shared" si="420"/>
        <v>347</v>
      </c>
      <c r="BH1029" s="210">
        <f t="shared" si="421"/>
        <v>3</v>
      </c>
      <c r="BI1029" s="313">
        <f t="shared" si="417"/>
        <v>11566.666666666668</v>
      </c>
      <c r="BJ1029" s="141"/>
      <c r="BK1029" s="201"/>
      <c r="BL1029" s="202"/>
      <c r="BM1029" s="202"/>
    </row>
    <row r="1030" spans="1:65" s="17" customFormat="1" ht="18" customHeight="1">
      <c r="A1030" s="114">
        <v>19</v>
      </c>
      <c r="B1030" s="24" t="s">
        <v>561</v>
      </c>
      <c r="C1030" s="25" t="s">
        <v>562</v>
      </c>
      <c r="D1030" s="121"/>
      <c r="E1030" s="121"/>
      <c r="F1030" s="121"/>
      <c r="G1030" s="121"/>
      <c r="H1030" s="121"/>
      <c r="I1030" s="121">
        <f>11+37+1+1243+1</f>
        <v>1293</v>
      </c>
      <c r="J1030" s="121"/>
      <c r="K1030" s="121"/>
      <c r="L1030" s="121"/>
      <c r="M1030" s="121"/>
      <c r="N1030" s="121"/>
      <c r="O1030" s="121">
        <f>11+59+1484+147</f>
        <v>1701</v>
      </c>
      <c r="P1030" s="121"/>
      <c r="Q1030" s="121"/>
      <c r="R1030" s="121"/>
      <c r="S1030" s="121"/>
      <c r="T1030" s="121"/>
      <c r="U1030" s="121">
        <f>51+463+1+1335+1+215</f>
        <v>2066</v>
      </c>
      <c r="V1030" s="121"/>
      <c r="W1030" s="121"/>
      <c r="X1030" s="121"/>
      <c r="Y1030" s="121"/>
      <c r="Z1030" s="121"/>
      <c r="AA1030" s="121">
        <f>121+627+1+2+1549+243</f>
        <v>2543</v>
      </c>
      <c r="AB1030" s="229">
        <f t="shared" si="422"/>
        <v>0</v>
      </c>
      <c r="AC1030" s="228">
        <f t="shared" si="418"/>
        <v>7603</v>
      </c>
      <c r="AD1030" s="19">
        <v>5892</v>
      </c>
      <c r="AE1030" s="26"/>
      <c r="AF1030" s="26"/>
      <c r="AG1030" s="26"/>
      <c r="AH1030" s="26"/>
      <c r="AI1030" s="26"/>
      <c r="AJ1030" s="26">
        <f>992+44+1+1+24+3+3+1+9+29</f>
        <v>1107</v>
      </c>
      <c r="AK1030" s="26"/>
      <c r="AL1030" s="26"/>
      <c r="AM1030" s="26"/>
      <c r="AN1030" s="26"/>
      <c r="AO1030" s="26"/>
      <c r="AP1030" s="26">
        <f>1175+15+2+1+39+6+1+4</f>
        <v>1243</v>
      </c>
      <c r="AQ1030" s="26"/>
      <c r="AR1030" s="26"/>
      <c r="AS1030" s="26"/>
      <c r="AT1030" s="26"/>
      <c r="AU1030" s="26"/>
      <c r="AV1030" s="26">
        <f>1029+30+5+5+34+3+46</f>
        <v>1152</v>
      </c>
      <c r="AW1030" s="26"/>
      <c r="AX1030" s="26"/>
      <c r="AY1030" s="26"/>
      <c r="AZ1030" s="26"/>
      <c r="BA1030" s="26"/>
      <c r="BB1030" s="26">
        <f>1251+251+6+2+32+90+5</f>
        <v>1637</v>
      </c>
      <c r="BC1030" s="229">
        <f t="shared" si="423"/>
        <v>0</v>
      </c>
      <c r="BD1030" s="48">
        <f t="shared" si="419"/>
        <v>5139</v>
      </c>
      <c r="BE1030" s="19">
        <v>4897</v>
      </c>
      <c r="BF1030" s="229">
        <f t="shared" si="424"/>
        <v>0</v>
      </c>
      <c r="BG1030" s="210">
        <f t="shared" si="420"/>
        <v>12742</v>
      </c>
      <c r="BH1030" s="210">
        <f t="shared" si="421"/>
        <v>10789</v>
      </c>
      <c r="BI1030" s="213">
        <f t="shared" si="417"/>
        <v>118.10177032162387</v>
      </c>
      <c r="BJ1030" s="141"/>
      <c r="BK1030" s="201"/>
      <c r="BL1030" s="202"/>
      <c r="BM1030" s="202"/>
    </row>
    <row r="1031" spans="1:65" s="17" customFormat="1" ht="18" customHeight="1">
      <c r="A1031" s="114">
        <v>20</v>
      </c>
      <c r="B1031" s="24" t="s">
        <v>2032</v>
      </c>
      <c r="C1031" s="25" t="s">
        <v>2033</v>
      </c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>
        <v>36</v>
      </c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229">
        <f t="shared" si="422"/>
        <v>0</v>
      </c>
      <c r="AC1031" s="228">
        <f t="shared" si="418"/>
        <v>36</v>
      </c>
      <c r="AD1031" s="19">
        <v>3</v>
      </c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29">
        <f t="shared" si="423"/>
        <v>0</v>
      </c>
      <c r="BD1031" s="48">
        <f t="shared" si="419"/>
        <v>0</v>
      </c>
      <c r="BE1031" s="19">
        <v>0</v>
      </c>
      <c r="BF1031" s="229">
        <f t="shared" si="424"/>
        <v>0</v>
      </c>
      <c r="BG1031" s="210">
        <f t="shared" si="420"/>
        <v>36</v>
      </c>
      <c r="BH1031" s="210">
        <f t="shared" si="421"/>
        <v>3</v>
      </c>
      <c r="BI1031" s="213">
        <f t="shared" si="417"/>
        <v>1200</v>
      </c>
      <c r="BJ1031" s="141"/>
      <c r="BK1031" s="201"/>
      <c r="BL1031" s="202"/>
      <c r="BM1031" s="202"/>
    </row>
    <row r="1032" spans="1:65" s="17" customFormat="1" ht="21.95" customHeight="1">
      <c r="A1032" s="114">
        <v>21</v>
      </c>
      <c r="B1032" s="24" t="s">
        <v>2034</v>
      </c>
      <c r="C1032" s="27" t="s">
        <v>2035</v>
      </c>
      <c r="D1032" s="121"/>
      <c r="E1032" s="121"/>
      <c r="F1032" s="121"/>
      <c r="G1032" s="121"/>
      <c r="H1032" s="121"/>
      <c r="I1032" s="121">
        <v>20</v>
      </c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>
        <v>50</v>
      </c>
      <c r="V1032" s="121"/>
      <c r="W1032" s="121"/>
      <c r="X1032" s="121"/>
      <c r="Y1032" s="121"/>
      <c r="Z1032" s="121"/>
      <c r="AA1032" s="121">
        <f>1+59</f>
        <v>60</v>
      </c>
      <c r="AB1032" s="229">
        <f t="shared" si="422"/>
        <v>0</v>
      </c>
      <c r="AC1032" s="228">
        <f t="shared" si="418"/>
        <v>130</v>
      </c>
      <c r="AD1032" s="19">
        <v>58</v>
      </c>
      <c r="AE1032" s="26"/>
      <c r="AF1032" s="26"/>
      <c r="AG1032" s="26"/>
      <c r="AH1032" s="26"/>
      <c r="AI1032" s="26"/>
      <c r="AJ1032" s="26">
        <f>15+6</f>
        <v>21</v>
      </c>
      <c r="AK1032" s="26"/>
      <c r="AL1032" s="26"/>
      <c r="AM1032" s="26"/>
      <c r="AN1032" s="26"/>
      <c r="AO1032" s="26"/>
      <c r="AP1032" s="26">
        <f>24+3+1</f>
        <v>28</v>
      </c>
      <c r="AQ1032" s="26"/>
      <c r="AR1032" s="26"/>
      <c r="AS1032" s="26"/>
      <c r="AT1032" s="26"/>
      <c r="AU1032" s="26"/>
      <c r="AV1032" s="26">
        <f>10+4</f>
        <v>14</v>
      </c>
      <c r="AW1032" s="26"/>
      <c r="AX1032" s="26"/>
      <c r="AY1032" s="26"/>
      <c r="AZ1032" s="26"/>
      <c r="BA1032" s="26"/>
      <c r="BB1032" s="26">
        <f>17+6+7</f>
        <v>30</v>
      </c>
      <c r="BC1032" s="229">
        <f t="shared" si="423"/>
        <v>0</v>
      </c>
      <c r="BD1032" s="48">
        <f t="shared" si="419"/>
        <v>93</v>
      </c>
      <c r="BE1032" s="19">
        <v>53</v>
      </c>
      <c r="BF1032" s="229">
        <f t="shared" si="424"/>
        <v>0</v>
      </c>
      <c r="BG1032" s="210">
        <f t="shared" si="420"/>
        <v>223</v>
      </c>
      <c r="BH1032" s="210">
        <f t="shared" si="421"/>
        <v>111</v>
      </c>
      <c r="BI1032" s="213">
        <f t="shared" si="417"/>
        <v>200.90090090090089</v>
      </c>
      <c r="BJ1032" s="141"/>
      <c r="BK1032" s="201"/>
      <c r="BL1032" s="202"/>
      <c r="BM1032" s="202"/>
    </row>
    <row r="1033" spans="1:65" s="17" customFormat="1" ht="20.100000000000001" customHeight="1">
      <c r="A1033" s="114">
        <v>22</v>
      </c>
      <c r="B1033" s="24" t="s">
        <v>2267</v>
      </c>
      <c r="C1033" s="25" t="s">
        <v>2268</v>
      </c>
      <c r="D1033" s="121"/>
      <c r="E1033" s="121"/>
      <c r="F1033" s="121"/>
      <c r="G1033" s="121"/>
      <c r="H1033" s="121"/>
      <c r="I1033" s="121">
        <v>1</v>
      </c>
      <c r="J1033" s="121"/>
      <c r="K1033" s="121"/>
      <c r="L1033" s="121"/>
      <c r="M1033" s="121"/>
      <c r="N1033" s="121"/>
      <c r="O1033" s="121">
        <v>4</v>
      </c>
      <c r="P1033" s="121"/>
      <c r="Q1033" s="121"/>
      <c r="R1033" s="121"/>
      <c r="S1033" s="121"/>
      <c r="T1033" s="121"/>
      <c r="U1033" s="121">
        <v>4</v>
      </c>
      <c r="V1033" s="121"/>
      <c r="W1033" s="121"/>
      <c r="X1033" s="121"/>
      <c r="Y1033" s="121"/>
      <c r="Z1033" s="121"/>
      <c r="AA1033" s="121">
        <v>4</v>
      </c>
      <c r="AB1033" s="229">
        <f t="shared" si="422"/>
        <v>0</v>
      </c>
      <c r="AC1033" s="228">
        <f t="shared" si="418"/>
        <v>13</v>
      </c>
      <c r="AD1033" s="19">
        <v>11</v>
      </c>
      <c r="AE1033" s="26"/>
      <c r="AF1033" s="26"/>
      <c r="AG1033" s="26"/>
      <c r="AH1033" s="26"/>
      <c r="AI1033" s="26"/>
      <c r="AJ1033" s="26">
        <f>2+2</f>
        <v>4</v>
      </c>
      <c r="AK1033" s="26"/>
      <c r="AL1033" s="26"/>
      <c r="AM1033" s="26"/>
      <c r="AN1033" s="26"/>
      <c r="AO1033" s="26"/>
      <c r="AP1033" s="26">
        <v>1</v>
      </c>
      <c r="AQ1033" s="26"/>
      <c r="AR1033" s="26"/>
      <c r="AS1033" s="26"/>
      <c r="AT1033" s="26"/>
      <c r="AU1033" s="26"/>
      <c r="AV1033" s="26">
        <v>1</v>
      </c>
      <c r="AW1033" s="26"/>
      <c r="AX1033" s="26"/>
      <c r="AY1033" s="26"/>
      <c r="AZ1033" s="26"/>
      <c r="BA1033" s="26"/>
      <c r="BB1033" s="26">
        <f>2+2</f>
        <v>4</v>
      </c>
      <c r="BC1033" s="229">
        <f t="shared" si="423"/>
        <v>0</v>
      </c>
      <c r="BD1033" s="48">
        <f t="shared" si="419"/>
        <v>10</v>
      </c>
      <c r="BE1033" s="19">
        <v>6</v>
      </c>
      <c r="BF1033" s="229">
        <f t="shared" si="424"/>
        <v>0</v>
      </c>
      <c r="BG1033" s="210">
        <f t="shared" si="420"/>
        <v>23</v>
      </c>
      <c r="BH1033" s="210">
        <f t="shared" si="421"/>
        <v>17</v>
      </c>
      <c r="BI1033" s="213">
        <f t="shared" si="417"/>
        <v>135.29411764705884</v>
      </c>
      <c r="BJ1033" s="141"/>
      <c r="BK1033" s="201"/>
      <c r="BL1033" s="202"/>
      <c r="BM1033" s="202"/>
    </row>
    <row r="1034" spans="1:65" s="17" customFormat="1" ht="18" customHeight="1">
      <c r="A1034" s="114">
        <v>23</v>
      </c>
      <c r="B1034" s="24" t="s">
        <v>672</v>
      </c>
      <c r="C1034" s="25" t="s">
        <v>673</v>
      </c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229">
        <f t="shared" si="422"/>
        <v>0</v>
      </c>
      <c r="AC1034" s="228">
        <f t="shared" si="418"/>
        <v>0</v>
      </c>
      <c r="AD1034" s="19">
        <v>0</v>
      </c>
      <c r="AE1034" s="26"/>
      <c r="AF1034" s="26"/>
      <c r="AG1034" s="26"/>
      <c r="AH1034" s="26"/>
      <c r="AI1034" s="26"/>
      <c r="AJ1034" s="26">
        <f>1138+1348+5+17+113</f>
        <v>2621</v>
      </c>
      <c r="AK1034" s="26"/>
      <c r="AL1034" s="26"/>
      <c r="AM1034" s="26"/>
      <c r="AN1034" s="26"/>
      <c r="AO1034" s="26"/>
      <c r="AP1034" s="26">
        <f>1341+1111+24</f>
        <v>2476</v>
      </c>
      <c r="AQ1034" s="26"/>
      <c r="AR1034" s="26"/>
      <c r="AS1034" s="26"/>
      <c r="AT1034" s="26"/>
      <c r="AU1034" s="26"/>
      <c r="AV1034" s="26">
        <f>1187+1016+9</f>
        <v>2212</v>
      </c>
      <c r="AW1034" s="26"/>
      <c r="AX1034" s="26"/>
      <c r="AY1034" s="26"/>
      <c r="AZ1034" s="26"/>
      <c r="BA1034" s="26"/>
      <c r="BB1034" s="26">
        <f>1201+1158</f>
        <v>2359</v>
      </c>
      <c r="BC1034" s="229">
        <f t="shared" si="423"/>
        <v>0</v>
      </c>
      <c r="BD1034" s="48">
        <f t="shared" si="419"/>
        <v>9668</v>
      </c>
      <c r="BE1034" s="19">
        <v>11795</v>
      </c>
      <c r="BF1034" s="229">
        <f t="shared" si="424"/>
        <v>0</v>
      </c>
      <c r="BG1034" s="210">
        <f t="shared" si="420"/>
        <v>9668</v>
      </c>
      <c r="BH1034" s="210">
        <f t="shared" si="421"/>
        <v>11795</v>
      </c>
      <c r="BI1034" s="213">
        <f t="shared" si="417"/>
        <v>81.966935142009319</v>
      </c>
      <c r="BJ1034" s="141"/>
      <c r="BK1034" s="201"/>
      <c r="BL1034" s="202"/>
      <c r="BM1034" s="202"/>
    </row>
    <row r="1035" spans="1:65" s="17" customFormat="1" ht="18" customHeight="1">
      <c r="A1035" s="114">
        <v>24</v>
      </c>
      <c r="B1035" s="24" t="s">
        <v>563</v>
      </c>
      <c r="C1035" s="25" t="s">
        <v>564</v>
      </c>
      <c r="D1035" s="121"/>
      <c r="E1035" s="121"/>
      <c r="F1035" s="121"/>
      <c r="G1035" s="121"/>
      <c r="H1035" s="121"/>
      <c r="I1035" s="121">
        <v>1</v>
      </c>
      <c r="J1035" s="121"/>
      <c r="K1035" s="121"/>
      <c r="L1035" s="121"/>
      <c r="M1035" s="121"/>
      <c r="N1035" s="121"/>
      <c r="O1035" s="121">
        <v>1</v>
      </c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229">
        <f t="shared" si="422"/>
        <v>0</v>
      </c>
      <c r="AC1035" s="228">
        <f t="shared" si="418"/>
        <v>2</v>
      </c>
      <c r="AD1035" s="19">
        <v>14</v>
      </c>
      <c r="AE1035" s="26"/>
      <c r="AF1035" s="26"/>
      <c r="AG1035" s="26"/>
      <c r="AH1035" s="26"/>
      <c r="AI1035" s="26"/>
      <c r="AJ1035" s="26">
        <f>11+5+11</f>
        <v>27</v>
      </c>
      <c r="AK1035" s="26"/>
      <c r="AL1035" s="26"/>
      <c r="AM1035" s="26"/>
      <c r="AN1035" s="26"/>
      <c r="AO1035" s="26"/>
      <c r="AP1035" s="26">
        <f>15+7+1</f>
        <v>23</v>
      </c>
      <c r="AQ1035" s="26"/>
      <c r="AR1035" s="26"/>
      <c r="AS1035" s="26"/>
      <c r="AT1035" s="26"/>
      <c r="AU1035" s="26"/>
      <c r="AV1035" s="26">
        <f>6+14+1</f>
        <v>21</v>
      </c>
      <c r="AW1035" s="26"/>
      <c r="AX1035" s="26"/>
      <c r="AY1035" s="26"/>
      <c r="AZ1035" s="26"/>
      <c r="BA1035" s="26"/>
      <c r="BB1035" s="26">
        <f>22+18+2</f>
        <v>42</v>
      </c>
      <c r="BC1035" s="229">
        <f t="shared" si="423"/>
        <v>0</v>
      </c>
      <c r="BD1035" s="48">
        <f t="shared" si="419"/>
        <v>113</v>
      </c>
      <c r="BE1035" s="19">
        <v>111</v>
      </c>
      <c r="BF1035" s="229">
        <f t="shared" si="424"/>
        <v>0</v>
      </c>
      <c r="BG1035" s="210">
        <f t="shared" si="420"/>
        <v>115</v>
      </c>
      <c r="BH1035" s="210">
        <f t="shared" si="421"/>
        <v>125</v>
      </c>
      <c r="BI1035" s="213">
        <f t="shared" si="417"/>
        <v>92</v>
      </c>
      <c r="BJ1035" s="141"/>
      <c r="BK1035" s="201"/>
      <c r="BL1035" s="202"/>
      <c r="BM1035" s="202"/>
    </row>
    <row r="1036" spans="1:65" s="17" customFormat="1" ht="18" customHeight="1">
      <c r="A1036" s="114">
        <v>25</v>
      </c>
      <c r="B1036" s="24" t="s">
        <v>808</v>
      </c>
      <c r="C1036" s="25" t="s">
        <v>809</v>
      </c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229">
        <f t="shared" si="422"/>
        <v>0</v>
      </c>
      <c r="AC1036" s="228">
        <f t="shared" si="418"/>
        <v>0</v>
      </c>
      <c r="AD1036" s="19">
        <v>0</v>
      </c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29">
        <f t="shared" si="423"/>
        <v>0</v>
      </c>
      <c r="BD1036" s="48">
        <f t="shared" si="419"/>
        <v>0</v>
      </c>
      <c r="BE1036" s="19">
        <v>8</v>
      </c>
      <c r="BF1036" s="229">
        <f t="shared" si="424"/>
        <v>0</v>
      </c>
      <c r="BG1036" s="210">
        <f t="shared" si="420"/>
        <v>0</v>
      </c>
      <c r="BH1036" s="210">
        <f t="shared" si="421"/>
        <v>8</v>
      </c>
      <c r="BI1036" s="213">
        <f t="shared" si="417"/>
        <v>0</v>
      </c>
      <c r="BJ1036" s="141"/>
      <c r="BK1036" s="201"/>
      <c r="BL1036" s="202"/>
      <c r="BM1036" s="202"/>
    </row>
    <row r="1037" spans="1:65" s="17" customFormat="1" ht="18" customHeight="1">
      <c r="A1037" s="114">
        <v>26</v>
      </c>
      <c r="B1037" s="24" t="s">
        <v>565</v>
      </c>
      <c r="C1037" s="25" t="s">
        <v>566</v>
      </c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229">
        <f t="shared" si="422"/>
        <v>0</v>
      </c>
      <c r="AC1037" s="228">
        <f t="shared" si="418"/>
        <v>0</v>
      </c>
      <c r="AD1037" s="19">
        <v>0</v>
      </c>
      <c r="AE1037" s="26"/>
      <c r="AF1037" s="26"/>
      <c r="AG1037" s="26"/>
      <c r="AH1037" s="26"/>
      <c r="AI1037" s="26"/>
      <c r="AJ1037" s="26">
        <f>18+13</f>
        <v>31</v>
      </c>
      <c r="AK1037" s="26"/>
      <c r="AL1037" s="26"/>
      <c r="AM1037" s="26"/>
      <c r="AN1037" s="26"/>
      <c r="AO1037" s="26"/>
      <c r="AP1037" s="26">
        <f>32+10+3</f>
        <v>45</v>
      </c>
      <c r="AQ1037" s="26"/>
      <c r="AR1037" s="26"/>
      <c r="AS1037" s="26"/>
      <c r="AT1037" s="26"/>
      <c r="AU1037" s="26"/>
      <c r="AV1037" s="26">
        <f>25+11+1+1</f>
        <v>38</v>
      </c>
      <c r="AW1037" s="26"/>
      <c r="AX1037" s="26"/>
      <c r="AY1037" s="26"/>
      <c r="AZ1037" s="26"/>
      <c r="BA1037" s="26"/>
      <c r="BB1037" s="26">
        <f>10+9</f>
        <v>19</v>
      </c>
      <c r="BC1037" s="229">
        <f t="shared" si="423"/>
        <v>0</v>
      </c>
      <c r="BD1037" s="48">
        <f t="shared" si="419"/>
        <v>133</v>
      </c>
      <c r="BE1037" s="19">
        <v>212</v>
      </c>
      <c r="BF1037" s="229">
        <f t="shared" si="424"/>
        <v>0</v>
      </c>
      <c r="BG1037" s="210">
        <f t="shared" si="420"/>
        <v>133</v>
      </c>
      <c r="BH1037" s="210">
        <f t="shared" si="421"/>
        <v>212</v>
      </c>
      <c r="BI1037" s="213">
        <f t="shared" si="417"/>
        <v>62.735849056603776</v>
      </c>
      <c r="BJ1037" s="141"/>
      <c r="BK1037" s="201"/>
      <c r="BL1037" s="202"/>
      <c r="BM1037" s="202"/>
    </row>
    <row r="1038" spans="1:65" s="17" customFormat="1" ht="18" customHeight="1">
      <c r="A1038" s="114">
        <v>27</v>
      </c>
      <c r="B1038" s="24" t="s">
        <v>707</v>
      </c>
      <c r="C1038" s="25" t="s">
        <v>708</v>
      </c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229">
        <f t="shared" si="422"/>
        <v>0</v>
      </c>
      <c r="AC1038" s="228">
        <f t="shared" si="418"/>
        <v>0</v>
      </c>
      <c r="AD1038" s="19">
        <v>0</v>
      </c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29">
        <f t="shared" si="423"/>
        <v>0</v>
      </c>
      <c r="BD1038" s="48">
        <f t="shared" si="419"/>
        <v>0</v>
      </c>
      <c r="BE1038" s="19">
        <v>1</v>
      </c>
      <c r="BF1038" s="229">
        <f t="shared" si="424"/>
        <v>0</v>
      </c>
      <c r="BG1038" s="210">
        <f t="shared" si="420"/>
        <v>0</v>
      </c>
      <c r="BH1038" s="210">
        <f t="shared" si="421"/>
        <v>1</v>
      </c>
      <c r="BI1038" s="213">
        <f t="shared" si="417"/>
        <v>0</v>
      </c>
      <c r="BJ1038" s="141"/>
      <c r="BK1038" s="201"/>
      <c r="BL1038" s="202"/>
      <c r="BM1038" s="202"/>
    </row>
    <row r="1039" spans="1:65" s="17" customFormat="1" ht="18" customHeight="1">
      <c r="A1039" s="114">
        <v>28</v>
      </c>
      <c r="B1039" s="24" t="s">
        <v>709</v>
      </c>
      <c r="C1039" s="25" t="s">
        <v>710</v>
      </c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229">
        <f t="shared" si="422"/>
        <v>0</v>
      </c>
      <c r="AC1039" s="228">
        <f t="shared" si="418"/>
        <v>0</v>
      </c>
      <c r="AD1039" s="19">
        <v>0</v>
      </c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29">
        <f t="shared" si="423"/>
        <v>0</v>
      </c>
      <c r="BD1039" s="48">
        <f t="shared" si="419"/>
        <v>0</v>
      </c>
      <c r="BE1039" s="19">
        <v>1</v>
      </c>
      <c r="BF1039" s="229">
        <f t="shared" si="424"/>
        <v>0</v>
      </c>
      <c r="BG1039" s="210">
        <f t="shared" si="420"/>
        <v>0</v>
      </c>
      <c r="BH1039" s="210">
        <f t="shared" si="421"/>
        <v>1</v>
      </c>
      <c r="BI1039" s="213">
        <f t="shared" si="417"/>
        <v>0</v>
      </c>
      <c r="BJ1039" s="141"/>
      <c r="BK1039" s="201"/>
      <c r="BL1039" s="202"/>
      <c r="BM1039" s="202"/>
    </row>
    <row r="1040" spans="1:65" s="17" customFormat="1" ht="18" customHeight="1">
      <c r="A1040" s="114">
        <v>29</v>
      </c>
      <c r="B1040" s="24" t="s">
        <v>567</v>
      </c>
      <c r="C1040" s="25" t="s">
        <v>568</v>
      </c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229">
        <f t="shared" si="422"/>
        <v>0</v>
      </c>
      <c r="AC1040" s="228">
        <f t="shared" si="418"/>
        <v>0</v>
      </c>
      <c r="AD1040" s="19">
        <v>0</v>
      </c>
      <c r="AE1040" s="28"/>
      <c r="AF1040" s="28"/>
      <c r="AG1040" s="28"/>
      <c r="AH1040" s="28"/>
      <c r="AI1040" s="28"/>
      <c r="AJ1040" s="28">
        <v>20</v>
      </c>
      <c r="AK1040" s="28"/>
      <c r="AL1040" s="28"/>
      <c r="AM1040" s="28"/>
      <c r="AN1040" s="28"/>
      <c r="AO1040" s="28"/>
      <c r="AP1040" s="28">
        <f>24+2</f>
        <v>26</v>
      </c>
      <c r="AQ1040" s="28"/>
      <c r="AR1040" s="28"/>
      <c r="AS1040" s="28"/>
      <c r="AT1040" s="28"/>
      <c r="AU1040" s="28"/>
      <c r="AV1040" s="28">
        <v>8</v>
      </c>
      <c r="AW1040" s="28"/>
      <c r="AX1040" s="28"/>
      <c r="AY1040" s="28"/>
      <c r="AZ1040" s="28"/>
      <c r="BA1040" s="28"/>
      <c r="BB1040" s="28">
        <v>23</v>
      </c>
      <c r="BC1040" s="229">
        <f t="shared" si="423"/>
        <v>0</v>
      </c>
      <c r="BD1040" s="48">
        <f t="shared" si="419"/>
        <v>77</v>
      </c>
      <c r="BE1040" s="19">
        <v>92</v>
      </c>
      <c r="BF1040" s="229">
        <f t="shared" si="424"/>
        <v>0</v>
      </c>
      <c r="BG1040" s="210">
        <f t="shared" si="420"/>
        <v>77</v>
      </c>
      <c r="BH1040" s="210">
        <f t="shared" si="421"/>
        <v>92</v>
      </c>
      <c r="BI1040" s="213">
        <f t="shared" si="417"/>
        <v>83.695652173913047</v>
      </c>
      <c r="BJ1040" s="141"/>
      <c r="BK1040" s="201"/>
      <c r="BL1040" s="202"/>
      <c r="BM1040" s="202"/>
    </row>
    <row r="1041" spans="1:65" s="17" customFormat="1" ht="18" customHeight="1">
      <c r="A1041" s="114">
        <v>30</v>
      </c>
      <c r="B1041" s="24" t="s">
        <v>569</v>
      </c>
      <c r="C1041" s="25" t="s">
        <v>570</v>
      </c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229">
        <f t="shared" si="422"/>
        <v>0</v>
      </c>
      <c r="AC1041" s="228">
        <f t="shared" si="418"/>
        <v>0</v>
      </c>
      <c r="AD1041" s="19">
        <v>4</v>
      </c>
      <c r="AE1041" s="28"/>
      <c r="AF1041" s="28"/>
      <c r="AG1041" s="28"/>
      <c r="AH1041" s="28"/>
      <c r="AI1041" s="28"/>
      <c r="AJ1041" s="28">
        <v>1</v>
      </c>
      <c r="AK1041" s="28"/>
      <c r="AL1041" s="28"/>
      <c r="AM1041" s="28"/>
      <c r="AN1041" s="28"/>
      <c r="AO1041" s="28"/>
      <c r="AP1041" s="28">
        <v>1</v>
      </c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29">
        <f t="shared" si="423"/>
        <v>0</v>
      </c>
      <c r="BD1041" s="48">
        <f t="shared" si="419"/>
        <v>2</v>
      </c>
      <c r="BE1041" s="19">
        <v>3</v>
      </c>
      <c r="BF1041" s="229">
        <f t="shared" si="424"/>
        <v>0</v>
      </c>
      <c r="BG1041" s="210">
        <f t="shared" si="420"/>
        <v>2</v>
      </c>
      <c r="BH1041" s="210">
        <f t="shared" si="421"/>
        <v>7</v>
      </c>
      <c r="BI1041" s="213">
        <f t="shared" si="417"/>
        <v>28.571428571428569</v>
      </c>
      <c r="BJ1041" s="141"/>
      <c r="BK1041" s="201"/>
      <c r="BL1041" s="202"/>
      <c r="BM1041" s="202"/>
    </row>
    <row r="1042" spans="1:65" s="17" customFormat="1" ht="18" customHeight="1">
      <c r="A1042" s="114">
        <v>31</v>
      </c>
      <c r="B1042" s="24" t="s">
        <v>1416</v>
      </c>
      <c r="C1042" s="25" t="s">
        <v>2606</v>
      </c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229">
        <f t="shared" si="422"/>
        <v>0</v>
      </c>
      <c r="AC1042" s="228">
        <f t="shared" si="418"/>
        <v>0</v>
      </c>
      <c r="AD1042" s="19">
        <v>0</v>
      </c>
      <c r="AE1042" s="28"/>
      <c r="AF1042" s="28"/>
      <c r="AG1042" s="28"/>
      <c r="AH1042" s="28"/>
      <c r="AI1042" s="28"/>
      <c r="AJ1042" s="28">
        <v>4</v>
      </c>
      <c r="AK1042" s="28"/>
      <c r="AL1042" s="28"/>
      <c r="AM1042" s="28"/>
      <c r="AN1042" s="28"/>
      <c r="AO1042" s="28"/>
      <c r="AP1042" s="28">
        <v>1</v>
      </c>
      <c r="AQ1042" s="28"/>
      <c r="AR1042" s="28"/>
      <c r="AS1042" s="28"/>
      <c r="AT1042" s="28"/>
      <c r="AU1042" s="28"/>
      <c r="AV1042" s="28">
        <v>3</v>
      </c>
      <c r="AW1042" s="28"/>
      <c r="AX1042" s="28"/>
      <c r="AY1042" s="28"/>
      <c r="AZ1042" s="28"/>
      <c r="BA1042" s="28"/>
      <c r="BB1042" s="28">
        <v>1</v>
      </c>
      <c r="BC1042" s="229">
        <f t="shared" si="423"/>
        <v>0</v>
      </c>
      <c r="BD1042" s="48">
        <f t="shared" si="419"/>
        <v>9</v>
      </c>
      <c r="BE1042" s="19">
        <v>7</v>
      </c>
      <c r="BF1042" s="229">
        <f t="shared" si="424"/>
        <v>0</v>
      </c>
      <c r="BG1042" s="210">
        <f t="shared" si="420"/>
        <v>9</v>
      </c>
      <c r="BH1042" s="210">
        <f t="shared" si="421"/>
        <v>7</v>
      </c>
      <c r="BI1042" s="213">
        <f t="shared" si="417"/>
        <v>128.57142857142858</v>
      </c>
      <c r="BJ1042" s="141"/>
      <c r="BK1042" s="201"/>
      <c r="BL1042" s="202"/>
      <c r="BM1042" s="202"/>
    </row>
    <row r="1043" spans="1:65" s="17" customFormat="1" ht="18" customHeight="1">
      <c r="A1043" s="114">
        <v>32</v>
      </c>
      <c r="B1043" s="24" t="s">
        <v>571</v>
      </c>
      <c r="C1043" s="25" t="s">
        <v>572</v>
      </c>
      <c r="D1043" s="121"/>
      <c r="E1043" s="121"/>
      <c r="F1043" s="121"/>
      <c r="G1043" s="121"/>
      <c r="H1043" s="121"/>
      <c r="I1043" s="121">
        <f>28+1+1</f>
        <v>30</v>
      </c>
      <c r="J1043" s="121"/>
      <c r="K1043" s="121"/>
      <c r="L1043" s="121"/>
      <c r="M1043" s="121"/>
      <c r="N1043" s="121"/>
      <c r="O1043" s="121">
        <f>8+23</f>
        <v>31</v>
      </c>
      <c r="P1043" s="121"/>
      <c r="Q1043" s="121"/>
      <c r="R1043" s="121"/>
      <c r="S1043" s="121"/>
      <c r="T1043" s="121"/>
      <c r="U1043" s="121">
        <f>34+17+2+1</f>
        <v>54</v>
      </c>
      <c r="V1043" s="121"/>
      <c r="W1043" s="121"/>
      <c r="X1043" s="121"/>
      <c r="Y1043" s="121"/>
      <c r="Z1043" s="121"/>
      <c r="AA1043" s="121">
        <f>80+22</f>
        <v>102</v>
      </c>
      <c r="AB1043" s="229">
        <f t="shared" si="422"/>
        <v>0</v>
      </c>
      <c r="AC1043" s="228">
        <f t="shared" si="418"/>
        <v>217</v>
      </c>
      <c r="AD1043" s="19">
        <v>64</v>
      </c>
      <c r="AE1043" s="28"/>
      <c r="AF1043" s="28"/>
      <c r="AG1043" s="28"/>
      <c r="AH1043" s="28"/>
      <c r="AI1043" s="28"/>
      <c r="AJ1043" s="28">
        <f>1003+1057+24+3+8+72</f>
        <v>2167</v>
      </c>
      <c r="AK1043" s="28"/>
      <c r="AL1043" s="28"/>
      <c r="AM1043" s="28"/>
      <c r="AN1043" s="28"/>
      <c r="AO1043" s="28"/>
      <c r="AP1043" s="28">
        <f>1140+1149+1+42+7+5+1+26</f>
        <v>2371</v>
      </c>
      <c r="AQ1043" s="28"/>
      <c r="AR1043" s="28"/>
      <c r="AS1043" s="28"/>
      <c r="AT1043" s="28"/>
      <c r="AU1043" s="28"/>
      <c r="AV1043" s="28">
        <f>883+798+1+36+7+4</f>
        <v>1729</v>
      </c>
      <c r="AW1043" s="28"/>
      <c r="AX1043" s="28"/>
      <c r="AY1043" s="28"/>
      <c r="AZ1043" s="28"/>
      <c r="BA1043" s="28"/>
      <c r="BB1043" s="28">
        <f>997+1165+32+6</f>
        <v>2200</v>
      </c>
      <c r="BC1043" s="229">
        <f t="shared" si="423"/>
        <v>0</v>
      </c>
      <c r="BD1043" s="48">
        <f t="shared" si="419"/>
        <v>8467</v>
      </c>
      <c r="BE1043" s="19">
        <v>9595</v>
      </c>
      <c r="BF1043" s="229">
        <f t="shared" si="424"/>
        <v>0</v>
      </c>
      <c r="BG1043" s="210">
        <f t="shared" si="420"/>
        <v>8684</v>
      </c>
      <c r="BH1043" s="210">
        <f t="shared" si="421"/>
        <v>9659</v>
      </c>
      <c r="BI1043" s="213">
        <f t="shared" si="417"/>
        <v>89.905787348586813</v>
      </c>
      <c r="BJ1043" s="141"/>
      <c r="BK1043" s="201"/>
      <c r="BL1043" s="202"/>
      <c r="BM1043" s="202"/>
    </row>
    <row r="1044" spans="1:65" s="17" customFormat="1" ht="18" customHeight="1">
      <c r="A1044" s="114">
        <v>33</v>
      </c>
      <c r="B1044" s="24" t="s">
        <v>573</v>
      </c>
      <c r="C1044" s="25" t="s">
        <v>574</v>
      </c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229">
        <f t="shared" si="422"/>
        <v>0</v>
      </c>
      <c r="AC1044" s="228">
        <f t="shared" si="418"/>
        <v>0</v>
      </c>
      <c r="AD1044" s="19">
        <v>0</v>
      </c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29">
        <f t="shared" si="423"/>
        <v>0</v>
      </c>
      <c r="BD1044" s="48">
        <f t="shared" si="419"/>
        <v>0</v>
      </c>
      <c r="BE1044" s="19">
        <v>1</v>
      </c>
      <c r="BF1044" s="229">
        <f t="shared" si="424"/>
        <v>0</v>
      </c>
      <c r="BG1044" s="210">
        <f t="shared" si="420"/>
        <v>0</v>
      </c>
      <c r="BH1044" s="210">
        <f t="shared" si="421"/>
        <v>1</v>
      </c>
      <c r="BI1044" s="213">
        <f t="shared" ref="BI1044:BI1075" si="425">BG1044/BH1044*100</f>
        <v>0</v>
      </c>
      <c r="BJ1044" s="141"/>
      <c r="BK1044" s="201"/>
      <c r="BL1044" s="202"/>
      <c r="BM1044" s="202"/>
    </row>
    <row r="1045" spans="1:65" s="17" customFormat="1" ht="18" customHeight="1">
      <c r="A1045" s="114">
        <v>34</v>
      </c>
      <c r="B1045" s="24" t="s">
        <v>575</v>
      </c>
      <c r="C1045" s="25" t="s">
        <v>576</v>
      </c>
      <c r="D1045" s="121"/>
      <c r="E1045" s="121"/>
      <c r="F1045" s="121"/>
      <c r="G1045" s="121"/>
      <c r="H1045" s="121"/>
      <c r="I1045" s="121">
        <v>1</v>
      </c>
      <c r="J1045" s="121"/>
      <c r="K1045" s="121"/>
      <c r="L1045" s="121"/>
      <c r="M1045" s="121"/>
      <c r="N1045" s="121"/>
      <c r="O1045" s="121">
        <v>1</v>
      </c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229">
        <f t="shared" si="422"/>
        <v>0</v>
      </c>
      <c r="AC1045" s="228">
        <f t="shared" si="418"/>
        <v>2</v>
      </c>
      <c r="AD1045" s="19">
        <v>3</v>
      </c>
      <c r="AE1045" s="28"/>
      <c r="AF1045" s="28"/>
      <c r="AG1045" s="28"/>
      <c r="AH1045" s="28"/>
      <c r="AI1045" s="28"/>
      <c r="AJ1045" s="28">
        <f>12+2+3</f>
        <v>17</v>
      </c>
      <c r="AK1045" s="28"/>
      <c r="AL1045" s="28"/>
      <c r="AM1045" s="28"/>
      <c r="AN1045" s="28"/>
      <c r="AO1045" s="28"/>
      <c r="AP1045" s="28">
        <f>15+2</f>
        <v>17</v>
      </c>
      <c r="AQ1045" s="28"/>
      <c r="AR1045" s="28"/>
      <c r="AS1045" s="28"/>
      <c r="AT1045" s="28"/>
      <c r="AU1045" s="28"/>
      <c r="AV1045" s="28">
        <f>7+5+1</f>
        <v>13</v>
      </c>
      <c r="AW1045" s="28"/>
      <c r="AX1045" s="28"/>
      <c r="AY1045" s="28"/>
      <c r="AZ1045" s="28"/>
      <c r="BA1045" s="28"/>
      <c r="BB1045" s="28">
        <f>22+4</f>
        <v>26</v>
      </c>
      <c r="BC1045" s="229">
        <f t="shared" si="423"/>
        <v>0</v>
      </c>
      <c r="BD1045" s="48">
        <f t="shared" si="419"/>
        <v>73</v>
      </c>
      <c r="BE1045" s="19">
        <v>44</v>
      </c>
      <c r="BF1045" s="229">
        <f t="shared" si="424"/>
        <v>0</v>
      </c>
      <c r="BG1045" s="210">
        <f t="shared" si="420"/>
        <v>75</v>
      </c>
      <c r="BH1045" s="210">
        <f t="shared" si="421"/>
        <v>47</v>
      </c>
      <c r="BI1045" s="213">
        <f t="shared" si="425"/>
        <v>159.57446808510639</v>
      </c>
      <c r="BJ1045" s="141"/>
      <c r="BK1045" s="201"/>
      <c r="BL1045" s="202"/>
      <c r="BM1045" s="202"/>
    </row>
    <row r="1046" spans="1:65" s="17" customFormat="1" ht="24" customHeight="1">
      <c r="A1046" s="114">
        <v>35</v>
      </c>
      <c r="B1046" s="24" t="s">
        <v>577</v>
      </c>
      <c r="C1046" s="27" t="s">
        <v>1630</v>
      </c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229">
        <f t="shared" si="422"/>
        <v>0</v>
      </c>
      <c r="AC1046" s="228">
        <f t="shared" si="418"/>
        <v>0</v>
      </c>
      <c r="AD1046" s="19">
        <v>0</v>
      </c>
      <c r="AE1046" s="28"/>
      <c r="AF1046" s="28"/>
      <c r="AG1046" s="28"/>
      <c r="AH1046" s="28"/>
      <c r="AI1046" s="28"/>
      <c r="AJ1046" s="28">
        <v>4</v>
      </c>
      <c r="AK1046" s="28"/>
      <c r="AL1046" s="28"/>
      <c r="AM1046" s="28"/>
      <c r="AN1046" s="28"/>
      <c r="AO1046" s="28"/>
      <c r="AP1046" s="28">
        <f>6+1</f>
        <v>7</v>
      </c>
      <c r="AQ1046" s="28"/>
      <c r="AR1046" s="28"/>
      <c r="AS1046" s="28"/>
      <c r="AT1046" s="28"/>
      <c r="AU1046" s="28"/>
      <c r="AV1046" s="28">
        <v>4</v>
      </c>
      <c r="AW1046" s="28"/>
      <c r="AX1046" s="28"/>
      <c r="AY1046" s="28"/>
      <c r="AZ1046" s="28"/>
      <c r="BA1046" s="28"/>
      <c r="BB1046" s="28">
        <v>5</v>
      </c>
      <c r="BC1046" s="229">
        <f t="shared" si="423"/>
        <v>0</v>
      </c>
      <c r="BD1046" s="48">
        <f t="shared" si="419"/>
        <v>20</v>
      </c>
      <c r="BE1046" s="19">
        <v>10</v>
      </c>
      <c r="BF1046" s="229">
        <f t="shared" si="424"/>
        <v>0</v>
      </c>
      <c r="BG1046" s="210">
        <f t="shared" si="420"/>
        <v>20</v>
      </c>
      <c r="BH1046" s="210">
        <f t="shared" si="421"/>
        <v>10</v>
      </c>
      <c r="BI1046" s="213">
        <f t="shared" si="425"/>
        <v>200</v>
      </c>
      <c r="BJ1046" s="141"/>
      <c r="BK1046" s="201"/>
      <c r="BL1046" s="202"/>
      <c r="BM1046" s="202"/>
    </row>
    <row r="1047" spans="1:65" s="17" customFormat="1" ht="18" customHeight="1">
      <c r="A1047" s="114">
        <v>36</v>
      </c>
      <c r="B1047" s="24" t="s">
        <v>578</v>
      </c>
      <c r="C1047" s="25" t="s">
        <v>1587</v>
      </c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229">
        <f t="shared" si="422"/>
        <v>0</v>
      </c>
      <c r="AC1047" s="228">
        <f t="shared" si="418"/>
        <v>0</v>
      </c>
      <c r="AD1047" s="19">
        <v>0</v>
      </c>
      <c r="AE1047" s="28"/>
      <c r="AF1047" s="28"/>
      <c r="AG1047" s="28"/>
      <c r="AH1047" s="28"/>
      <c r="AI1047" s="28"/>
      <c r="AJ1047" s="28">
        <v>4</v>
      </c>
      <c r="AK1047" s="28"/>
      <c r="AL1047" s="28"/>
      <c r="AM1047" s="28"/>
      <c r="AN1047" s="28"/>
      <c r="AO1047" s="28"/>
      <c r="AP1047" s="28">
        <v>5</v>
      </c>
      <c r="AQ1047" s="28"/>
      <c r="AR1047" s="28"/>
      <c r="AS1047" s="28"/>
      <c r="AT1047" s="28"/>
      <c r="AU1047" s="28"/>
      <c r="AV1047" s="28">
        <v>1</v>
      </c>
      <c r="AW1047" s="28"/>
      <c r="AX1047" s="28"/>
      <c r="AY1047" s="28"/>
      <c r="AZ1047" s="28"/>
      <c r="BA1047" s="28"/>
      <c r="BB1047" s="28">
        <v>3</v>
      </c>
      <c r="BC1047" s="229">
        <f t="shared" si="423"/>
        <v>0</v>
      </c>
      <c r="BD1047" s="48">
        <f t="shared" si="419"/>
        <v>13</v>
      </c>
      <c r="BE1047" s="19">
        <v>26</v>
      </c>
      <c r="BF1047" s="229">
        <f t="shared" si="424"/>
        <v>0</v>
      </c>
      <c r="BG1047" s="210">
        <f t="shared" si="420"/>
        <v>13</v>
      </c>
      <c r="BH1047" s="210">
        <f t="shared" si="421"/>
        <v>26</v>
      </c>
      <c r="BI1047" s="213">
        <f t="shared" si="425"/>
        <v>50</v>
      </c>
      <c r="BJ1047" s="141"/>
      <c r="BK1047" s="201"/>
      <c r="BL1047" s="202"/>
      <c r="BM1047" s="202"/>
    </row>
    <row r="1048" spans="1:65" s="17" customFormat="1" ht="18" customHeight="1">
      <c r="A1048" s="114">
        <v>37</v>
      </c>
      <c r="B1048" s="24" t="s">
        <v>579</v>
      </c>
      <c r="C1048" s="25" t="s">
        <v>580</v>
      </c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229">
        <f t="shared" si="422"/>
        <v>0</v>
      </c>
      <c r="AC1048" s="228">
        <f t="shared" si="418"/>
        <v>0</v>
      </c>
      <c r="AD1048" s="19">
        <v>0</v>
      </c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29">
        <f t="shared" si="423"/>
        <v>0</v>
      </c>
      <c r="BD1048" s="48">
        <f t="shared" si="419"/>
        <v>0</v>
      </c>
      <c r="BE1048" s="19">
        <v>1</v>
      </c>
      <c r="BF1048" s="229">
        <f t="shared" si="424"/>
        <v>0</v>
      </c>
      <c r="BG1048" s="210">
        <f t="shared" si="420"/>
        <v>0</v>
      </c>
      <c r="BH1048" s="210">
        <f t="shared" si="421"/>
        <v>1</v>
      </c>
      <c r="BI1048" s="213">
        <f t="shared" si="425"/>
        <v>0</v>
      </c>
      <c r="BJ1048" s="141"/>
      <c r="BK1048" s="201"/>
      <c r="BL1048" s="202"/>
      <c r="BM1048" s="202"/>
    </row>
    <row r="1049" spans="1:65" s="17" customFormat="1" ht="18" customHeight="1">
      <c r="A1049" s="114">
        <v>38</v>
      </c>
      <c r="B1049" s="24" t="s">
        <v>581</v>
      </c>
      <c r="C1049" s="25" t="s">
        <v>2732</v>
      </c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>
        <v>1</v>
      </c>
      <c r="P1049" s="121"/>
      <c r="Q1049" s="121"/>
      <c r="R1049" s="121"/>
      <c r="S1049" s="121"/>
      <c r="T1049" s="121"/>
      <c r="U1049" s="121">
        <v>6</v>
      </c>
      <c r="V1049" s="121"/>
      <c r="W1049" s="121"/>
      <c r="X1049" s="121"/>
      <c r="Y1049" s="121"/>
      <c r="Z1049" s="121"/>
      <c r="AA1049" s="121"/>
      <c r="AB1049" s="229">
        <f t="shared" si="422"/>
        <v>0</v>
      </c>
      <c r="AC1049" s="228">
        <f t="shared" si="418"/>
        <v>7</v>
      </c>
      <c r="AD1049" s="19">
        <v>5</v>
      </c>
      <c r="AE1049" s="28"/>
      <c r="AF1049" s="28"/>
      <c r="AG1049" s="28"/>
      <c r="AH1049" s="28"/>
      <c r="AI1049" s="28"/>
      <c r="AJ1049" s="28">
        <v>83</v>
      </c>
      <c r="AK1049" s="28"/>
      <c r="AL1049" s="28"/>
      <c r="AM1049" s="28"/>
      <c r="AN1049" s="28"/>
      <c r="AO1049" s="28"/>
      <c r="AP1049" s="28">
        <v>92</v>
      </c>
      <c r="AQ1049" s="28"/>
      <c r="AR1049" s="28"/>
      <c r="AS1049" s="28"/>
      <c r="AT1049" s="28"/>
      <c r="AU1049" s="28"/>
      <c r="AV1049" s="28">
        <v>97</v>
      </c>
      <c r="AW1049" s="28"/>
      <c r="AX1049" s="28"/>
      <c r="AY1049" s="28"/>
      <c r="AZ1049" s="28"/>
      <c r="BA1049" s="28"/>
      <c r="BB1049" s="28">
        <v>101</v>
      </c>
      <c r="BC1049" s="229">
        <f t="shared" si="423"/>
        <v>0</v>
      </c>
      <c r="BD1049" s="48">
        <f t="shared" si="419"/>
        <v>373</v>
      </c>
      <c r="BE1049" s="19">
        <v>758</v>
      </c>
      <c r="BF1049" s="229">
        <f t="shared" si="424"/>
        <v>0</v>
      </c>
      <c r="BG1049" s="210">
        <f t="shared" si="420"/>
        <v>380</v>
      </c>
      <c r="BH1049" s="210">
        <f t="shared" si="421"/>
        <v>763</v>
      </c>
      <c r="BI1049" s="213">
        <f t="shared" si="425"/>
        <v>49.803407601572744</v>
      </c>
      <c r="BJ1049" s="141"/>
      <c r="BK1049" s="201"/>
      <c r="BL1049" s="202"/>
      <c r="BM1049" s="202"/>
    </row>
    <row r="1050" spans="1:65" s="17" customFormat="1" ht="18" customHeight="1">
      <c r="A1050" s="114">
        <v>39</v>
      </c>
      <c r="B1050" s="24" t="s">
        <v>2047</v>
      </c>
      <c r="C1050" s="25" t="s">
        <v>2048</v>
      </c>
      <c r="D1050" s="121"/>
      <c r="E1050" s="121"/>
      <c r="F1050" s="121"/>
      <c r="G1050" s="121"/>
      <c r="H1050" s="121"/>
      <c r="I1050" s="121">
        <v>1</v>
      </c>
      <c r="J1050" s="121"/>
      <c r="K1050" s="121"/>
      <c r="L1050" s="121"/>
      <c r="M1050" s="121"/>
      <c r="N1050" s="121"/>
      <c r="O1050" s="121">
        <v>1</v>
      </c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229">
        <f t="shared" si="422"/>
        <v>0</v>
      </c>
      <c r="AC1050" s="228">
        <f t="shared" si="418"/>
        <v>2</v>
      </c>
      <c r="AD1050" s="19">
        <v>5</v>
      </c>
      <c r="AE1050" s="28"/>
      <c r="AF1050" s="28"/>
      <c r="AG1050" s="28"/>
      <c r="AH1050" s="28"/>
      <c r="AI1050" s="28"/>
      <c r="AJ1050" s="28">
        <v>431</v>
      </c>
      <c r="AK1050" s="28"/>
      <c r="AL1050" s="28"/>
      <c r="AM1050" s="28"/>
      <c r="AN1050" s="28"/>
      <c r="AO1050" s="28"/>
      <c r="AP1050" s="28">
        <v>480</v>
      </c>
      <c r="AQ1050" s="28"/>
      <c r="AR1050" s="28"/>
      <c r="AS1050" s="28"/>
      <c r="AT1050" s="28"/>
      <c r="AU1050" s="28"/>
      <c r="AV1050" s="28">
        <v>489</v>
      </c>
      <c r="AW1050" s="28"/>
      <c r="AX1050" s="28"/>
      <c r="AY1050" s="28"/>
      <c r="AZ1050" s="28"/>
      <c r="BA1050" s="28"/>
      <c r="BB1050" s="28">
        <v>543</v>
      </c>
      <c r="BC1050" s="229">
        <f t="shared" si="423"/>
        <v>0</v>
      </c>
      <c r="BD1050" s="48">
        <f t="shared" si="419"/>
        <v>1943</v>
      </c>
      <c r="BE1050" s="19">
        <v>1692</v>
      </c>
      <c r="BF1050" s="229">
        <f t="shared" si="424"/>
        <v>0</v>
      </c>
      <c r="BG1050" s="210">
        <f t="shared" si="420"/>
        <v>1945</v>
      </c>
      <c r="BH1050" s="210">
        <f t="shared" si="421"/>
        <v>1697</v>
      </c>
      <c r="BI1050" s="213">
        <f t="shared" si="425"/>
        <v>114.61402474955804</v>
      </c>
      <c r="BJ1050" s="141"/>
      <c r="BK1050" s="201"/>
      <c r="BL1050" s="202"/>
      <c r="BM1050" s="202"/>
    </row>
    <row r="1051" spans="1:65" s="17" customFormat="1" ht="18" customHeight="1">
      <c r="A1051" s="114">
        <v>40</v>
      </c>
      <c r="B1051" s="24" t="s">
        <v>2049</v>
      </c>
      <c r="C1051" s="25" t="s">
        <v>2050</v>
      </c>
      <c r="D1051" s="121"/>
      <c r="E1051" s="121"/>
      <c r="F1051" s="121"/>
      <c r="G1051" s="121"/>
      <c r="H1051" s="121"/>
      <c r="I1051" s="121">
        <v>2</v>
      </c>
      <c r="J1051" s="121"/>
      <c r="K1051" s="121"/>
      <c r="L1051" s="121"/>
      <c r="M1051" s="121"/>
      <c r="N1051" s="121"/>
      <c r="O1051" s="121">
        <v>1</v>
      </c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229">
        <f t="shared" si="422"/>
        <v>0</v>
      </c>
      <c r="AC1051" s="228">
        <f t="shared" si="418"/>
        <v>3</v>
      </c>
      <c r="AD1051" s="19">
        <v>4</v>
      </c>
      <c r="AE1051" s="28"/>
      <c r="AF1051" s="28"/>
      <c r="AG1051" s="28"/>
      <c r="AH1051" s="28"/>
      <c r="AI1051" s="28"/>
      <c r="AJ1051" s="28">
        <v>101</v>
      </c>
      <c r="AK1051" s="28"/>
      <c r="AL1051" s="28"/>
      <c r="AM1051" s="28"/>
      <c r="AN1051" s="28"/>
      <c r="AO1051" s="28"/>
      <c r="AP1051" s="28">
        <v>115</v>
      </c>
      <c r="AQ1051" s="28"/>
      <c r="AR1051" s="28"/>
      <c r="AS1051" s="28"/>
      <c r="AT1051" s="28"/>
      <c r="AU1051" s="28"/>
      <c r="AV1051" s="28">
        <v>87</v>
      </c>
      <c r="AW1051" s="28"/>
      <c r="AX1051" s="28"/>
      <c r="AY1051" s="28"/>
      <c r="AZ1051" s="28"/>
      <c r="BA1051" s="28"/>
      <c r="BB1051" s="28">
        <v>87</v>
      </c>
      <c r="BC1051" s="229">
        <f t="shared" si="423"/>
        <v>0</v>
      </c>
      <c r="BD1051" s="48">
        <f t="shared" si="419"/>
        <v>390</v>
      </c>
      <c r="BE1051" s="19">
        <v>438</v>
      </c>
      <c r="BF1051" s="229">
        <f t="shared" si="424"/>
        <v>0</v>
      </c>
      <c r="BG1051" s="210">
        <f t="shared" si="420"/>
        <v>393</v>
      </c>
      <c r="BH1051" s="210">
        <f t="shared" si="421"/>
        <v>442</v>
      </c>
      <c r="BI1051" s="213">
        <f t="shared" si="425"/>
        <v>88.914027149321257</v>
      </c>
      <c r="BJ1051" s="141"/>
      <c r="BK1051" s="201"/>
      <c r="BL1051" s="202"/>
      <c r="BM1051" s="202"/>
    </row>
    <row r="1052" spans="1:65" s="17" customFormat="1" ht="18" customHeight="1">
      <c r="A1052" s="114">
        <v>41</v>
      </c>
      <c r="B1052" s="24" t="s">
        <v>582</v>
      </c>
      <c r="C1052" s="25" t="s">
        <v>583</v>
      </c>
      <c r="D1052" s="121"/>
      <c r="E1052" s="121"/>
      <c r="F1052" s="121"/>
      <c r="G1052" s="121"/>
      <c r="H1052" s="121"/>
      <c r="I1052" s="121">
        <v>1</v>
      </c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229">
        <f t="shared" si="422"/>
        <v>0</v>
      </c>
      <c r="AC1052" s="228">
        <f t="shared" si="418"/>
        <v>1</v>
      </c>
      <c r="AD1052" s="19">
        <v>11</v>
      </c>
      <c r="AE1052" s="28"/>
      <c r="AF1052" s="28"/>
      <c r="AG1052" s="28"/>
      <c r="AH1052" s="28"/>
      <c r="AI1052" s="28"/>
      <c r="AJ1052" s="28">
        <f>21+3+3</f>
        <v>27</v>
      </c>
      <c r="AK1052" s="28"/>
      <c r="AL1052" s="28"/>
      <c r="AM1052" s="28"/>
      <c r="AN1052" s="28"/>
      <c r="AO1052" s="28"/>
      <c r="AP1052" s="28">
        <f>26+2+1</f>
        <v>29</v>
      </c>
      <c r="AQ1052" s="28"/>
      <c r="AR1052" s="28"/>
      <c r="AS1052" s="28"/>
      <c r="AT1052" s="28"/>
      <c r="AU1052" s="28"/>
      <c r="AV1052" s="28">
        <f>9+5+2</f>
        <v>16</v>
      </c>
      <c r="AW1052" s="28"/>
      <c r="AX1052" s="28"/>
      <c r="AY1052" s="28"/>
      <c r="AZ1052" s="28"/>
      <c r="BA1052" s="28"/>
      <c r="BB1052" s="28">
        <f>22+1+1+4</f>
        <v>28</v>
      </c>
      <c r="BC1052" s="229">
        <f t="shared" si="423"/>
        <v>0</v>
      </c>
      <c r="BD1052" s="48">
        <f t="shared" si="419"/>
        <v>100</v>
      </c>
      <c r="BE1052" s="19">
        <v>111</v>
      </c>
      <c r="BF1052" s="229">
        <f t="shared" si="424"/>
        <v>0</v>
      </c>
      <c r="BG1052" s="210">
        <f t="shared" si="420"/>
        <v>101</v>
      </c>
      <c r="BH1052" s="210">
        <f t="shared" si="421"/>
        <v>122</v>
      </c>
      <c r="BI1052" s="213">
        <f t="shared" si="425"/>
        <v>82.786885245901644</v>
      </c>
      <c r="BJ1052" s="141"/>
      <c r="BK1052" s="201"/>
      <c r="BL1052" s="202"/>
      <c r="BM1052" s="202"/>
    </row>
    <row r="1053" spans="1:65" s="17" customFormat="1" ht="18" customHeight="1">
      <c r="A1053" s="114">
        <v>42</v>
      </c>
      <c r="B1053" s="24" t="s">
        <v>584</v>
      </c>
      <c r="C1053" s="25" t="s">
        <v>2603</v>
      </c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>
        <v>1</v>
      </c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229">
        <f t="shared" si="422"/>
        <v>0</v>
      </c>
      <c r="AC1053" s="228">
        <f t="shared" si="418"/>
        <v>1</v>
      </c>
      <c r="AD1053" s="19">
        <v>10</v>
      </c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29">
        <f t="shared" si="423"/>
        <v>0</v>
      </c>
      <c r="BD1053" s="48">
        <f t="shared" si="419"/>
        <v>0</v>
      </c>
      <c r="BE1053" s="19">
        <v>457</v>
      </c>
      <c r="BF1053" s="229">
        <f t="shared" si="424"/>
        <v>0</v>
      </c>
      <c r="BG1053" s="210">
        <f t="shared" si="420"/>
        <v>1</v>
      </c>
      <c r="BH1053" s="210">
        <f t="shared" si="421"/>
        <v>467</v>
      </c>
      <c r="BI1053" s="213">
        <f t="shared" si="425"/>
        <v>0.21413276231263384</v>
      </c>
      <c r="BJ1053" s="141"/>
      <c r="BK1053" s="201"/>
      <c r="BL1053" s="202"/>
      <c r="BM1053" s="202"/>
    </row>
    <row r="1054" spans="1:65" s="17" customFormat="1" ht="18" customHeight="1">
      <c r="A1054" s="114">
        <v>43</v>
      </c>
      <c r="B1054" s="24" t="s">
        <v>585</v>
      </c>
      <c r="C1054" s="25" t="s">
        <v>586</v>
      </c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229">
        <f t="shared" si="422"/>
        <v>0</v>
      </c>
      <c r="AC1054" s="228">
        <f t="shared" si="418"/>
        <v>0</v>
      </c>
      <c r="AD1054" s="19">
        <v>5</v>
      </c>
      <c r="AE1054" s="28"/>
      <c r="AF1054" s="28"/>
      <c r="AG1054" s="28"/>
      <c r="AH1054" s="28"/>
      <c r="AI1054" s="28"/>
      <c r="AJ1054" s="28">
        <f>110+375+2+1</f>
        <v>488</v>
      </c>
      <c r="AK1054" s="28"/>
      <c r="AL1054" s="28"/>
      <c r="AM1054" s="28"/>
      <c r="AN1054" s="28"/>
      <c r="AO1054" s="28"/>
      <c r="AP1054" s="28">
        <f>198+391+1</f>
        <v>590</v>
      </c>
      <c r="AQ1054" s="28"/>
      <c r="AR1054" s="28"/>
      <c r="AS1054" s="28"/>
      <c r="AT1054" s="28"/>
      <c r="AU1054" s="28"/>
      <c r="AV1054" s="28">
        <f>146+401+3</f>
        <v>550</v>
      </c>
      <c r="AW1054" s="28"/>
      <c r="AX1054" s="28"/>
      <c r="AY1054" s="28"/>
      <c r="AZ1054" s="28"/>
      <c r="BA1054" s="28"/>
      <c r="BB1054" s="28">
        <f>169+441</f>
        <v>610</v>
      </c>
      <c r="BC1054" s="229">
        <f t="shared" si="423"/>
        <v>0</v>
      </c>
      <c r="BD1054" s="48">
        <f t="shared" si="419"/>
        <v>2238</v>
      </c>
      <c r="BE1054" s="19">
        <v>2215</v>
      </c>
      <c r="BF1054" s="229">
        <f t="shared" si="424"/>
        <v>0</v>
      </c>
      <c r="BG1054" s="210">
        <f t="shared" si="420"/>
        <v>2238</v>
      </c>
      <c r="BH1054" s="210">
        <f t="shared" si="421"/>
        <v>2220</v>
      </c>
      <c r="BI1054" s="213">
        <f t="shared" si="425"/>
        <v>100.81081081081081</v>
      </c>
      <c r="BJ1054" s="141"/>
      <c r="BK1054" s="201"/>
      <c r="BL1054" s="202"/>
      <c r="BM1054" s="202"/>
    </row>
    <row r="1055" spans="1:65" s="17" customFormat="1" ht="18" customHeight="1">
      <c r="A1055" s="114">
        <v>44</v>
      </c>
      <c r="B1055" s="24" t="s">
        <v>682</v>
      </c>
      <c r="C1055" s="25" t="s">
        <v>683</v>
      </c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229">
        <f t="shared" si="422"/>
        <v>0</v>
      </c>
      <c r="AC1055" s="228">
        <f t="shared" ref="AC1055:AC1086" si="426">E1055+G1055+I1055+K1055+M1055+O1055+Q1055+S1055+U1055+W1055+Y1055+AA1055</f>
        <v>0</v>
      </c>
      <c r="AD1055" s="19">
        <v>0</v>
      </c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29">
        <f t="shared" si="423"/>
        <v>0</v>
      </c>
      <c r="BD1055" s="48">
        <f t="shared" ref="BD1055:BD1086" si="427">AF1055+AH1055+AJ1055+AL1055+AN1055+AP1055+AR1055+AT1055+AV1055+AX1055+AZ1055+BB1055</f>
        <v>0</v>
      </c>
      <c r="BE1055" s="19">
        <v>1</v>
      </c>
      <c r="BF1055" s="229">
        <f t="shared" si="424"/>
        <v>0</v>
      </c>
      <c r="BG1055" s="210">
        <f t="shared" ref="BG1055:BG1086" si="428">AC1055+BD1055</f>
        <v>0</v>
      </c>
      <c r="BH1055" s="210">
        <f t="shared" ref="BH1055:BH1086" si="429">AD1055+BE1055</f>
        <v>1</v>
      </c>
      <c r="BI1055" s="213">
        <f t="shared" si="425"/>
        <v>0</v>
      </c>
      <c r="BJ1055" s="141"/>
      <c r="BK1055" s="201"/>
      <c r="BL1055" s="202"/>
      <c r="BM1055" s="202"/>
    </row>
    <row r="1056" spans="1:65" s="17" customFormat="1" ht="18" customHeight="1">
      <c r="A1056" s="114">
        <v>45</v>
      </c>
      <c r="B1056" s="24" t="s">
        <v>1932</v>
      </c>
      <c r="C1056" s="25" t="s">
        <v>1933</v>
      </c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229">
        <f t="shared" si="422"/>
        <v>0</v>
      </c>
      <c r="AC1056" s="228">
        <f t="shared" si="426"/>
        <v>0</v>
      </c>
      <c r="AD1056" s="19">
        <v>0</v>
      </c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29">
        <f t="shared" si="423"/>
        <v>0</v>
      </c>
      <c r="BD1056" s="48">
        <f t="shared" si="427"/>
        <v>0</v>
      </c>
      <c r="BE1056" s="19">
        <v>1</v>
      </c>
      <c r="BF1056" s="229">
        <f t="shared" si="424"/>
        <v>0</v>
      </c>
      <c r="BG1056" s="210">
        <f t="shared" si="428"/>
        <v>0</v>
      </c>
      <c r="BH1056" s="210">
        <f t="shared" si="429"/>
        <v>1</v>
      </c>
      <c r="BI1056" s="213">
        <f t="shared" si="425"/>
        <v>0</v>
      </c>
      <c r="BJ1056" s="141"/>
      <c r="BK1056" s="201"/>
      <c r="BL1056" s="202"/>
      <c r="BM1056" s="202"/>
    </row>
    <row r="1057" spans="1:65" s="17" customFormat="1" ht="18" customHeight="1">
      <c r="A1057" s="114">
        <v>46</v>
      </c>
      <c r="B1057" s="24" t="s">
        <v>593</v>
      </c>
      <c r="C1057" s="25" t="s">
        <v>755</v>
      </c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>
        <v>1</v>
      </c>
      <c r="V1057" s="121"/>
      <c r="W1057" s="121"/>
      <c r="X1057" s="121"/>
      <c r="Y1057" s="121"/>
      <c r="Z1057" s="121"/>
      <c r="AA1057" s="121"/>
      <c r="AB1057" s="229"/>
      <c r="AC1057" s="228">
        <f t="shared" si="426"/>
        <v>1</v>
      </c>
      <c r="AD1057" s="19">
        <v>0</v>
      </c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>
        <v>3</v>
      </c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29"/>
      <c r="BD1057" s="48">
        <f t="shared" si="427"/>
        <v>3</v>
      </c>
      <c r="BE1057" s="19">
        <v>0</v>
      </c>
      <c r="BF1057" s="229"/>
      <c r="BG1057" s="210">
        <f t="shared" si="428"/>
        <v>4</v>
      </c>
      <c r="BH1057" s="210">
        <f t="shared" si="429"/>
        <v>0</v>
      </c>
      <c r="BI1057" s="213" t="e">
        <f t="shared" si="425"/>
        <v>#DIV/0!</v>
      </c>
      <c r="BJ1057" s="141"/>
      <c r="BK1057" s="201"/>
      <c r="BL1057" s="202"/>
      <c r="BM1057" s="202"/>
    </row>
    <row r="1058" spans="1:65" s="17" customFormat="1" ht="18" customHeight="1">
      <c r="A1058" s="114">
        <v>47</v>
      </c>
      <c r="B1058" s="24" t="s">
        <v>324</v>
      </c>
      <c r="C1058" s="25" t="s">
        <v>325</v>
      </c>
      <c r="D1058" s="121"/>
      <c r="E1058" s="121"/>
      <c r="F1058" s="121"/>
      <c r="G1058" s="121"/>
      <c r="H1058" s="121"/>
      <c r="I1058" s="121">
        <v>3</v>
      </c>
      <c r="J1058" s="121"/>
      <c r="K1058" s="121"/>
      <c r="L1058" s="121"/>
      <c r="M1058" s="121"/>
      <c r="N1058" s="121"/>
      <c r="O1058" s="121">
        <v>2</v>
      </c>
      <c r="P1058" s="121"/>
      <c r="Q1058" s="121"/>
      <c r="R1058" s="121"/>
      <c r="S1058" s="121"/>
      <c r="T1058" s="121"/>
      <c r="U1058" s="121">
        <v>6</v>
      </c>
      <c r="V1058" s="121"/>
      <c r="W1058" s="121"/>
      <c r="X1058" s="121"/>
      <c r="Y1058" s="121"/>
      <c r="Z1058" s="121"/>
      <c r="AA1058" s="121"/>
      <c r="AB1058" s="229">
        <f t="shared" ref="AB1058:AB1090" si="430">D1058+F1058+H1058+J1058+L1058+N1058+P1058+R1058+T1058+V1058+X1058+Z1058</f>
        <v>0</v>
      </c>
      <c r="AC1058" s="228">
        <f t="shared" si="426"/>
        <v>11</v>
      </c>
      <c r="AD1058" s="19">
        <v>9</v>
      </c>
      <c r="AE1058" s="28"/>
      <c r="AF1058" s="28"/>
      <c r="AG1058" s="28"/>
      <c r="AH1058" s="28"/>
      <c r="AI1058" s="28"/>
      <c r="AJ1058" s="28">
        <v>574</v>
      </c>
      <c r="AK1058" s="28"/>
      <c r="AL1058" s="28"/>
      <c r="AM1058" s="28"/>
      <c r="AN1058" s="28"/>
      <c r="AO1058" s="28"/>
      <c r="AP1058" s="28">
        <v>640</v>
      </c>
      <c r="AQ1058" s="28"/>
      <c r="AR1058" s="28"/>
      <c r="AS1058" s="28"/>
      <c r="AT1058" s="28"/>
      <c r="AU1058" s="28"/>
      <c r="AV1058" s="28">
        <v>619</v>
      </c>
      <c r="AW1058" s="28"/>
      <c r="AX1058" s="28"/>
      <c r="AY1058" s="28"/>
      <c r="AZ1058" s="28"/>
      <c r="BA1058" s="28"/>
      <c r="BB1058" s="28">
        <v>658</v>
      </c>
      <c r="BC1058" s="229">
        <f t="shared" ref="BC1058:BC1090" si="431">AE1058+AG1058+AI1058+AK1058+AM1058+AO1058+AQ1058+AS1058+AU1058+AW1058+AY1058+BA1058</f>
        <v>0</v>
      </c>
      <c r="BD1058" s="48">
        <f t="shared" si="427"/>
        <v>2491</v>
      </c>
      <c r="BE1058" s="19">
        <v>2594</v>
      </c>
      <c r="BF1058" s="229">
        <f t="shared" ref="BF1058:BF1090" si="432">AB1058+BC1058</f>
        <v>0</v>
      </c>
      <c r="BG1058" s="210">
        <f t="shared" si="428"/>
        <v>2502</v>
      </c>
      <c r="BH1058" s="210">
        <f t="shared" si="429"/>
        <v>2603</v>
      </c>
      <c r="BI1058" s="213">
        <f t="shared" si="425"/>
        <v>96.119861698040722</v>
      </c>
      <c r="BJ1058" s="141"/>
      <c r="BK1058" s="201"/>
      <c r="BL1058" s="202"/>
      <c r="BM1058" s="202"/>
    </row>
    <row r="1059" spans="1:65" s="17" customFormat="1" ht="18" customHeight="1">
      <c r="A1059" s="114">
        <v>48</v>
      </c>
      <c r="B1059" s="24" t="s">
        <v>594</v>
      </c>
      <c r="C1059" s="25" t="s">
        <v>595</v>
      </c>
      <c r="D1059" s="121"/>
      <c r="E1059" s="121"/>
      <c r="F1059" s="121"/>
      <c r="G1059" s="121"/>
      <c r="H1059" s="121"/>
      <c r="I1059" s="121">
        <v>3</v>
      </c>
      <c r="J1059" s="121"/>
      <c r="K1059" s="121"/>
      <c r="L1059" s="121"/>
      <c r="M1059" s="121"/>
      <c r="N1059" s="121"/>
      <c r="O1059" s="121">
        <v>2</v>
      </c>
      <c r="P1059" s="121"/>
      <c r="Q1059" s="121"/>
      <c r="R1059" s="121"/>
      <c r="S1059" s="121"/>
      <c r="T1059" s="121"/>
      <c r="U1059" s="121">
        <v>7</v>
      </c>
      <c r="V1059" s="121"/>
      <c r="W1059" s="121"/>
      <c r="X1059" s="121"/>
      <c r="Y1059" s="121"/>
      <c r="Z1059" s="121"/>
      <c r="AA1059" s="121"/>
      <c r="AB1059" s="229">
        <f t="shared" si="430"/>
        <v>0</v>
      </c>
      <c r="AC1059" s="228">
        <f t="shared" si="426"/>
        <v>12</v>
      </c>
      <c r="AD1059" s="19">
        <v>9</v>
      </c>
      <c r="AE1059" s="28"/>
      <c r="AF1059" s="28"/>
      <c r="AG1059" s="28"/>
      <c r="AH1059" s="28"/>
      <c r="AI1059" s="28"/>
      <c r="AJ1059" s="28">
        <v>594</v>
      </c>
      <c r="AK1059" s="28"/>
      <c r="AL1059" s="28"/>
      <c r="AM1059" s="28"/>
      <c r="AN1059" s="28"/>
      <c r="AO1059" s="28"/>
      <c r="AP1059" s="28">
        <v>701</v>
      </c>
      <c r="AQ1059" s="28"/>
      <c r="AR1059" s="28"/>
      <c r="AS1059" s="28"/>
      <c r="AT1059" s="28"/>
      <c r="AU1059" s="28"/>
      <c r="AV1059" s="28">
        <v>628</v>
      </c>
      <c r="AW1059" s="28"/>
      <c r="AX1059" s="28"/>
      <c r="AY1059" s="28"/>
      <c r="AZ1059" s="28"/>
      <c r="BA1059" s="28"/>
      <c r="BB1059" s="28">
        <v>685</v>
      </c>
      <c r="BC1059" s="229">
        <f t="shared" si="431"/>
        <v>0</v>
      </c>
      <c r="BD1059" s="48">
        <f t="shared" si="427"/>
        <v>2608</v>
      </c>
      <c r="BE1059" s="19">
        <v>2597</v>
      </c>
      <c r="BF1059" s="229">
        <f t="shared" si="432"/>
        <v>0</v>
      </c>
      <c r="BG1059" s="210">
        <f t="shared" si="428"/>
        <v>2620</v>
      </c>
      <c r="BH1059" s="210">
        <f t="shared" si="429"/>
        <v>2606</v>
      </c>
      <c r="BI1059" s="213">
        <f t="shared" si="425"/>
        <v>100.53722179585571</v>
      </c>
      <c r="BJ1059" s="141"/>
      <c r="BK1059" s="201"/>
      <c r="BL1059" s="202"/>
      <c r="BM1059" s="202"/>
    </row>
    <row r="1060" spans="1:65" s="17" customFormat="1" ht="18" customHeight="1">
      <c r="A1060" s="114">
        <v>49</v>
      </c>
      <c r="B1060" s="24" t="s">
        <v>1959</v>
      </c>
      <c r="C1060" s="25" t="s">
        <v>1960</v>
      </c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229">
        <f t="shared" si="430"/>
        <v>0</v>
      </c>
      <c r="AC1060" s="228">
        <f t="shared" si="426"/>
        <v>0</v>
      </c>
      <c r="AD1060" s="19">
        <v>0</v>
      </c>
      <c r="AE1060" s="26"/>
      <c r="AF1060" s="26"/>
      <c r="AG1060" s="26"/>
      <c r="AH1060" s="26"/>
      <c r="AI1060" s="26"/>
      <c r="AJ1060" s="26">
        <v>8</v>
      </c>
      <c r="AK1060" s="26"/>
      <c r="AL1060" s="26"/>
      <c r="AM1060" s="26"/>
      <c r="AN1060" s="26"/>
      <c r="AO1060" s="26"/>
      <c r="AP1060" s="26">
        <v>17</v>
      </c>
      <c r="AQ1060" s="26"/>
      <c r="AR1060" s="26"/>
      <c r="AS1060" s="26"/>
      <c r="AT1060" s="26"/>
      <c r="AU1060" s="26"/>
      <c r="AV1060" s="26">
        <v>17</v>
      </c>
      <c r="AW1060" s="26"/>
      <c r="AX1060" s="26"/>
      <c r="AY1060" s="26"/>
      <c r="AZ1060" s="26"/>
      <c r="BA1060" s="26"/>
      <c r="BB1060" s="26">
        <v>3</v>
      </c>
      <c r="BC1060" s="229">
        <f t="shared" si="431"/>
        <v>0</v>
      </c>
      <c r="BD1060" s="48">
        <f t="shared" si="427"/>
        <v>45</v>
      </c>
      <c r="BE1060" s="19">
        <v>7</v>
      </c>
      <c r="BF1060" s="229">
        <f t="shared" si="432"/>
        <v>0</v>
      </c>
      <c r="BG1060" s="210">
        <f t="shared" si="428"/>
        <v>45</v>
      </c>
      <c r="BH1060" s="210">
        <f t="shared" si="429"/>
        <v>7</v>
      </c>
      <c r="BI1060" s="213">
        <f t="shared" si="425"/>
        <v>642.85714285714289</v>
      </c>
      <c r="BJ1060" s="141"/>
      <c r="BK1060" s="201"/>
      <c r="BL1060" s="202"/>
      <c r="BM1060" s="202"/>
    </row>
    <row r="1061" spans="1:65" s="17" customFormat="1" ht="21.95" customHeight="1">
      <c r="A1061" s="114">
        <v>50</v>
      </c>
      <c r="B1061" s="24" t="s">
        <v>2389</v>
      </c>
      <c r="C1061" s="27" t="s">
        <v>2529</v>
      </c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229">
        <f t="shared" si="430"/>
        <v>0</v>
      </c>
      <c r="AC1061" s="228">
        <f t="shared" si="426"/>
        <v>0</v>
      </c>
      <c r="AD1061" s="19">
        <v>0</v>
      </c>
      <c r="AE1061" s="26"/>
      <c r="AF1061" s="26"/>
      <c r="AG1061" s="26"/>
      <c r="AH1061" s="26"/>
      <c r="AI1061" s="26"/>
      <c r="AJ1061" s="26">
        <v>3</v>
      </c>
      <c r="AK1061" s="26"/>
      <c r="AL1061" s="26"/>
      <c r="AM1061" s="26"/>
      <c r="AN1061" s="26"/>
      <c r="AO1061" s="26"/>
      <c r="AP1061" s="26">
        <v>2</v>
      </c>
      <c r="AQ1061" s="26"/>
      <c r="AR1061" s="26"/>
      <c r="AS1061" s="26"/>
      <c r="AT1061" s="26"/>
      <c r="AU1061" s="26"/>
      <c r="AV1061" s="26">
        <v>2</v>
      </c>
      <c r="AW1061" s="26"/>
      <c r="AX1061" s="26"/>
      <c r="AY1061" s="26"/>
      <c r="AZ1061" s="26"/>
      <c r="BA1061" s="26"/>
      <c r="BB1061" s="26"/>
      <c r="BC1061" s="229">
        <f t="shared" si="431"/>
        <v>0</v>
      </c>
      <c r="BD1061" s="48">
        <f t="shared" si="427"/>
        <v>7</v>
      </c>
      <c r="BE1061" s="19">
        <v>4</v>
      </c>
      <c r="BF1061" s="229">
        <f t="shared" si="432"/>
        <v>0</v>
      </c>
      <c r="BG1061" s="210">
        <f t="shared" si="428"/>
        <v>7</v>
      </c>
      <c r="BH1061" s="210">
        <f t="shared" si="429"/>
        <v>4</v>
      </c>
      <c r="BI1061" s="213">
        <f t="shared" si="425"/>
        <v>175</v>
      </c>
      <c r="BJ1061" s="141"/>
      <c r="BK1061" s="201"/>
      <c r="BL1061" s="202"/>
      <c r="BM1061" s="202"/>
    </row>
    <row r="1062" spans="1:65" s="17" customFormat="1" ht="21.95" customHeight="1">
      <c r="A1062" s="114">
        <v>51</v>
      </c>
      <c r="B1062" s="24" t="s">
        <v>2687</v>
      </c>
      <c r="C1062" s="27" t="s">
        <v>2688</v>
      </c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229">
        <f t="shared" si="430"/>
        <v>0</v>
      </c>
      <c r="AC1062" s="228">
        <f t="shared" si="426"/>
        <v>0</v>
      </c>
      <c r="AD1062" s="19">
        <v>0</v>
      </c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29">
        <f t="shared" si="431"/>
        <v>0</v>
      </c>
      <c r="BD1062" s="48">
        <f t="shared" si="427"/>
        <v>0</v>
      </c>
      <c r="BE1062" s="19">
        <v>4</v>
      </c>
      <c r="BF1062" s="229">
        <f t="shared" si="432"/>
        <v>0</v>
      </c>
      <c r="BG1062" s="210">
        <f t="shared" si="428"/>
        <v>0</v>
      </c>
      <c r="BH1062" s="210">
        <f t="shared" si="429"/>
        <v>4</v>
      </c>
      <c r="BI1062" s="213">
        <f t="shared" si="425"/>
        <v>0</v>
      </c>
      <c r="BJ1062" s="141"/>
      <c r="BK1062" s="201"/>
      <c r="BL1062" s="202"/>
      <c r="BM1062" s="202"/>
    </row>
    <row r="1063" spans="1:65" s="17" customFormat="1" ht="18" customHeight="1">
      <c r="A1063" s="114">
        <v>52</v>
      </c>
      <c r="B1063" s="24" t="s">
        <v>596</v>
      </c>
      <c r="C1063" s="25" t="s">
        <v>597</v>
      </c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229">
        <f t="shared" si="430"/>
        <v>0</v>
      </c>
      <c r="AC1063" s="228">
        <f t="shared" si="426"/>
        <v>0</v>
      </c>
      <c r="AD1063" s="19">
        <v>3</v>
      </c>
      <c r="AE1063" s="28"/>
      <c r="AF1063" s="28"/>
      <c r="AG1063" s="28"/>
      <c r="AH1063" s="28"/>
      <c r="AI1063" s="28"/>
      <c r="AJ1063" s="28">
        <f>74+71+1+1+5</f>
        <v>152</v>
      </c>
      <c r="AK1063" s="28"/>
      <c r="AL1063" s="28"/>
      <c r="AM1063" s="28"/>
      <c r="AN1063" s="28"/>
      <c r="AO1063" s="28"/>
      <c r="AP1063" s="28">
        <f>96+74+1</f>
        <v>171</v>
      </c>
      <c r="AQ1063" s="28"/>
      <c r="AR1063" s="28"/>
      <c r="AS1063" s="28"/>
      <c r="AT1063" s="28"/>
      <c r="AU1063" s="28"/>
      <c r="AV1063" s="28">
        <f>75+61+4</f>
        <v>140</v>
      </c>
      <c r="AW1063" s="28"/>
      <c r="AX1063" s="28"/>
      <c r="AY1063" s="28"/>
      <c r="AZ1063" s="28"/>
      <c r="BA1063" s="28"/>
      <c r="BB1063" s="28">
        <f>97+72+2</f>
        <v>171</v>
      </c>
      <c r="BC1063" s="229">
        <f t="shared" si="431"/>
        <v>0</v>
      </c>
      <c r="BD1063" s="48">
        <f t="shared" si="427"/>
        <v>634</v>
      </c>
      <c r="BE1063" s="19">
        <v>764</v>
      </c>
      <c r="BF1063" s="229">
        <f t="shared" si="432"/>
        <v>0</v>
      </c>
      <c r="BG1063" s="210">
        <f t="shared" si="428"/>
        <v>634</v>
      </c>
      <c r="BH1063" s="210">
        <f t="shared" si="429"/>
        <v>767</v>
      </c>
      <c r="BI1063" s="213">
        <f t="shared" si="425"/>
        <v>82.65971316818775</v>
      </c>
      <c r="BJ1063" s="141"/>
      <c r="BK1063" s="201"/>
      <c r="BL1063" s="202"/>
      <c r="BM1063" s="202"/>
    </row>
    <row r="1064" spans="1:65" s="17" customFormat="1" ht="18" customHeight="1">
      <c r="A1064" s="114">
        <v>53</v>
      </c>
      <c r="B1064" s="24" t="s">
        <v>868</v>
      </c>
      <c r="C1064" s="25" t="s">
        <v>869</v>
      </c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229">
        <f t="shared" si="430"/>
        <v>0</v>
      </c>
      <c r="AC1064" s="228">
        <f t="shared" si="426"/>
        <v>0</v>
      </c>
      <c r="AD1064" s="19">
        <v>0</v>
      </c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29">
        <f t="shared" si="431"/>
        <v>0</v>
      </c>
      <c r="BD1064" s="48">
        <f t="shared" si="427"/>
        <v>0</v>
      </c>
      <c r="BE1064" s="19">
        <v>1</v>
      </c>
      <c r="BF1064" s="229">
        <f t="shared" si="432"/>
        <v>0</v>
      </c>
      <c r="BG1064" s="210">
        <f t="shared" si="428"/>
        <v>0</v>
      </c>
      <c r="BH1064" s="210">
        <f t="shared" si="429"/>
        <v>1</v>
      </c>
      <c r="BI1064" s="213">
        <f t="shared" si="425"/>
        <v>0</v>
      </c>
      <c r="BJ1064" s="141"/>
      <c r="BK1064" s="201"/>
      <c r="BL1064" s="202"/>
      <c r="BM1064" s="202"/>
    </row>
    <row r="1065" spans="1:65" s="17" customFormat="1" ht="18" customHeight="1">
      <c r="A1065" s="114">
        <v>54</v>
      </c>
      <c r="B1065" s="24" t="s">
        <v>598</v>
      </c>
      <c r="C1065" s="25" t="s">
        <v>599</v>
      </c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229">
        <f t="shared" si="430"/>
        <v>0</v>
      </c>
      <c r="AC1065" s="228">
        <f t="shared" si="426"/>
        <v>0</v>
      </c>
      <c r="AD1065" s="19">
        <v>0</v>
      </c>
      <c r="AE1065" s="26"/>
      <c r="AF1065" s="26"/>
      <c r="AG1065" s="26"/>
      <c r="AH1065" s="26"/>
      <c r="AI1065" s="26"/>
      <c r="AJ1065" s="26">
        <v>8</v>
      </c>
      <c r="AK1065" s="26"/>
      <c r="AL1065" s="26"/>
      <c r="AM1065" s="26"/>
      <c r="AN1065" s="26"/>
      <c r="AO1065" s="26"/>
      <c r="AP1065" s="26">
        <v>1</v>
      </c>
      <c r="AQ1065" s="26"/>
      <c r="AR1065" s="26"/>
      <c r="AS1065" s="26"/>
      <c r="AT1065" s="26"/>
      <c r="AU1065" s="26"/>
      <c r="AV1065" s="26">
        <v>3</v>
      </c>
      <c r="AW1065" s="26"/>
      <c r="AX1065" s="26"/>
      <c r="AY1065" s="26"/>
      <c r="AZ1065" s="26"/>
      <c r="BA1065" s="26"/>
      <c r="BB1065" s="26">
        <v>1</v>
      </c>
      <c r="BC1065" s="229">
        <f t="shared" si="431"/>
        <v>0</v>
      </c>
      <c r="BD1065" s="48">
        <f t="shared" si="427"/>
        <v>13</v>
      </c>
      <c r="BE1065" s="19">
        <v>18</v>
      </c>
      <c r="BF1065" s="229">
        <f t="shared" si="432"/>
        <v>0</v>
      </c>
      <c r="BG1065" s="210">
        <f t="shared" si="428"/>
        <v>13</v>
      </c>
      <c r="BH1065" s="210">
        <f t="shared" si="429"/>
        <v>18</v>
      </c>
      <c r="BI1065" s="213">
        <f t="shared" si="425"/>
        <v>72.222222222222214</v>
      </c>
      <c r="BJ1065" s="141"/>
      <c r="BK1065" s="201"/>
      <c r="BL1065" s="202"/>
      <c r="BM1065" s="202"/>
    </row>
    <row r="1066" spans="1:65" s="17" customFormat="1" ht="21.95" customHeight="1">
      <c r="A1066" s="114">
        <v>55</v>
      </c>
      <c r="B1066" s="24" t="s">
        <v>2623</v>
      </c>
      <c r="C1066" s="27" t="s">
        <v>2624</v>
      </c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229">
        <f t="shared" si="430"/>
        <v>0</v>
      </c>
      <c r="AC1066" s="228">
        <f t="shared" si="426"/>
        <v>0</v>
      </c>
      <c r="AD1066" s="19">
        <v>0</v>
      </c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29">
        <f t="shared" si="431"/>
        <v>0</v>
      </c>
      <c r="BD1066" s="48">
        <f t="shared" si="427"/>
        <v>0</v>
      </c>
      <c r="BE1066" s="19">
        <v>4</v>
      </c>
      <c r="BF1066" s="229">
        <f t="shared" si="432"/>
        <v>0</v>
      </c>
      <c r="BG1066" s="210">
        <f t="shared" si="428"/>
        <v>0</v>
      </c>
      <c r="BH1066" s="210">
        <f t="shared" si="429"/>
        <v>4</v>
      </c>
      <c r="BI1066" s="213">
        <f t="shared" si="425"/>
        <v>0</v>
      </c>
      <c r="BJ1066" s="141"/>
      <c r="BK1066" s="201"/>
      <c r="BL1066" s="202"/>
      <c r="BM1066" s="202"/>
    </row>
    <row r="1067" spans="1:65" s="17" customFormat="1" ht="18" customHeight="1">
      <c r="A1067" s="114">
        <v>56</v>
      </c>
      <c r="B1067" s="224" t="s">
        <v>600</v>
      </c>
      <c r="C1067" s="70" t="s">
        <v>601</v>
      </c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229">
        <f t="shared" si="430"/>
        <v>0</v>
      </c>
      <c r="AC1067" s="228">
        <f t="shared" si="426"/>
        <v>0</v>
      </c>
      <c r="AD1067" s="19">
        <v>0</v>
      </c>
      <c r="AE1067" s="68"/>
      <c r="AF1067" s="68"/>
      <c r="AG1067" s="68"/>
      <c r="AH1067" s="68"/>
      <c r="AI1067" s="68"/>
      <c r="AJ1067" s="68">
        <v>398</v>
      </c>
      <c r="AK1067" s="68"/>
      <c r="AL1067" s="68"/>
      <c r="AM1067" s="68"/>
      <c r="AN1067" s="68"/>
      <c r="AO1067" s="68"/>
      <c r="AP1067" s="68">
        <v>458</v>
      </c>
      <c r="AQ1067" s="68"/>
      <c r="AR1067" s="68"/>
      <c r="AS1067" s="68"/>
      <c r="AT1067" s="68"/>
      <c r="AU1067" s="68"/>
      <c r="AV1067" s="68">
        <f>418+6</f>
        <v>424</v>
      </c>
      <c r="AW1067" s="68"/>
      <c r="AX1067" s="68"/>
      <c r="AY1067" s="68"/>
      <c r="AZ1067" s="68"/>
      <c r="BA1067" s="68"/>
      <c r="BB1067" s="68">
        <f>5+444+12</f>
        <v>461</v>
      </c>
      <c r="BC1067" s="229">
        <f t="shared" si="431"/>
        <v>0</v>
      </c>
      <c r="BD1067" s="48">
        <f t="shared" si="427"/>
        <v>1741</v>
      </c>
      <c r="BE1067" s="19">
        <v>2200</v>
      </c>
      <c r="BF1067" s="229">
        <f t="shared" si="432"/>
        <v>0</v>
      </c>
      <c r="BG1067" s="210">
        <f t="shared" si="428"/>
        <v>1741</v>
      </c>
      <c r="BH1067" s="210">
        <f t="shared" si="429"/>
        <v>2200</v>
      </c>
      <c r="BI1067" s="213">
        <f t="shared" si="425"/>
        <v>79.13636363636364</v>
      </c>
      <c r="BJ1067" s="141"/>
      <c r="BK1067" s="201"/>
      <c r="BL1067" s="202"/>
      <c r="BM1067" s="202"/>
    </row>
    <row r="1068" spans="1:65" s="17" customFormat="1" ht="18" customHeight="1">
      <c r="A1068" s="114">
        <v>57</v>
      </c>
      <c r="B1068" s="24" t="s">
        <v>602</v>
      </c>
      <c r="C1068" s="25" t="s">
        <v>2491</v>
      </c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229">
        <f t="shared" si="430"/>
        <v>0</v>
      </c>
      <c r="AC1068" s="228">
        <f t="shared" si="426"/>
        <v>0</v>
      </c>
      <c r="AD1068" s="19">
        <v>0</v>
      </c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29">
        <f t="shared" si="431"/>
        <v>0</v>
      </c>
      <c r="BD1068" s="48">
        <f t="shared" si="427"/>
        <v>0</v>
      </c>
      <c r="BE1068" s="19">
        <v>2</v>
      </c>
      <c r="BF1068" s="229">
        <f t="shared" si="432"/>
        <v>0</v>
      </c>
      <c r="BG1068" s="210">
        <f t="shared" si="428"/>
        <v>0</v>
      </c>
      <c r="BH1068" s="210">
        <f t="shared" si="429"/>
        <v>2</v>
      </c>
      <c r="BI1068" s="213">
        <f t="shared" si="425"/>
        <v>0</v>
      </c>
      <c r="BJ1068" s="141"/>
      <c r="BK1068" s="201"/>
      <c r="BL1068" s="202"/>
      <c r="BM1068" s="202"/>
    </row>
    <row r="1069" spans="1:65" s="17" customFormat="1" ht="18" customHeight="1">
      <c r="A1069" s="114">
        <v>58</v>
      </c>
      <c r="B1069" s="30" t="s">
        <v>603</v>
      </c>
      <c r="C1069" s="31" t="s">
        <v>604</v>
      </c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>
        <v>1</v>
      </c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229">
        <f t="shared" si="430"/>
        <v>0</v>
      </c>
      <c r="AC1069" s="228">
        <f t="shared" si="426"/>
        <v>1</v>
      </c>
      <c r="AD1069" s="19">
        <v>0</v>
      </c>
      <c r="AE1069" s="28"/>
      <c r="AF1069" s="28"/>
      <c r="AG1069" s="28"/>
      <c r="AH1069" s="28"/>
      <c r="AI1069" s="28"/>
      <c r="AJ1069" s="28">
        <v>4</v>
      </c>
      <c r="AK1069" s="28"/>
      <c r="AL1069" s="28"/>
      <c r="AM1069" s="28"/>
      <c r="AN1069" s="28"/>
      <c r="AO1069" s="28"/>
      <c r="AP1069" s="28">
        <v>8</v>
      </c>
      <c r="AQ1069" s="28"/>
      <c r="AR1069" s="28"/>
      <c r="AS1069" s="28"/>
      <c r="AT1069" s="28"/>
      <c r="AU1069" s="28"/>
      <c r="AV1069" s="28">
        <v>9</v>
      </c>
      <c r="AW1069" s="28"/>
      <c r="AX1069" s="28"/>
      <c r="AY1069" s="28"/>
      <c r="AZ1069" s="28"/>
      <c r="BA1069" s="28"/>
      <c r="BB1069" s="28">
        <v>7</v>
      </c>
      <c r="BC1069" s="229">
        <f t="shared" si="431"/>
        <v>0</v>
      </c>
      <c r="BD1069" s="48">
        <f t="shared" si="427"/>
        <v>28</v>
      </c>
      <c r="BE1069" s="19">
        <v>59</v>
      </c>
      <c r="BF1069" s="229">
        <f t="shared" si="432"/>
        <v>0</v>
      </c>
      <c r="BG1069" s="210">
        <f t="shared" si="428"/>
        <v>29</v>
      </c>
      <c r="BH1069" s="210">
        <f t="shared" si="429"/>
        <v>59</v>
      </c>
      <c r="BI1069" s="213">
        <f t="shared" si="425"/>
        <v>49.152542372881356</v>
      </c>
      <c r="BJ1069" s="141"/>
      <c r="BK1069" s="201">
        <v>1196</v>
      </c>
      <c r="BL1069" s="202"/>
      <c r="BM1069" s="202"/>
    </row>
    <row r="1070" spans="1:65" s="17" customFormat="1" ht="21.95" customHeight="1">
      <c r="A1070" s="114">
        <v>59</v>
      </c>
      <c r="B1070" s="208" t="s">
        <v>605</v>
      </c>
      <c r="C1070" s="69" t="s">
        <v>606</v>
      </c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229">
        <f t="shared" si="430"/>
        <v>0</v>
      </c>
      <c r="AC1070" s="228">
        <f t="shared" si="426"/>
        <v>0</v>
      </c>
      <c r="AD1070" s="19">
        <v>0</v>
      </c>
      <c r="AE1070" s="68"/>
      <c r="AF1070" s="68"/>
      <c r="AG1070" s="68"/>
      <c r="AH1070" s="68"/>
      <c r="AI1070" s="68"/>
      <c r="AJ1070" s="68">
        <v>72</v>
      </c>
      <c r="AK1070" s="68"/>
      <c r="AL1070" s="68"/>
      <c r="AM1070" s="68"/>
      <c r="AN1070" s="68"/>
      <c r="AO1070" s="68"/>
      <c r="AP1070" s="68">
        <v>85</v>
      </c>
      <c r="AQ1070" s="68"/>
      <c r="AR1070" s="68"/>
      <c r="AS1070" s="68"/>
      <c r="AT1070" s="68"/>
      <c r="AU1070" s="68"/>
      <c r="AV1070" s="68">
        <f>86+1</f>
        <v>87</v>
      </c>
      <c r="AW1070" s="68"/>
      <c r="AX1070" s="68"/>
      <c r="AY1070" s="68"/>
      <c r="AZ1070" s="68"/>
      <c r="BA1070" s="68"/>
      <c r="BB1070" s="68">
        <f>65+1</f>
        <v>66</v>
      </c>
      <c r="BC1070" s="229">
        <f t="shared" si="431"/>
        <v>0</v>
      </c>
      <c r="BD1070" s="48">
        <f t="shared" si="427"/>
        <v>310</v>
      </c>
      <c r="BE1070" s="19">
        <v>282</v>
      </c>
      <c r="BF1070" s="229">
        <f t="shared" si="432"/>
        <v>0</v>
      </c>
      <c r="BG1070" s="210">
        <f t="shared" si="428"/>
        <v>310</v>
      </c>
      <c r="BH1070" s="210">
        <f t="shared" si="429"/>
        <v>282</v>
      </c>
      <c r="BI1070" s="213">
        <f t="shared" si="425"/>
        <v>109.92907801418438</v>
      </c>
      <c r="BJ1070" s="141">
        <f>SUM(BG1070:BG1074)</f>
        <v>1085</v>
      </c>
      <c r="BK1070" s="205">
        <f>SUM(BH1070:BH1074)</f>
        <v>1196</v>
      </c>
      <c r="BL1070" s="202"/>
      <c r="BM1070" s="202"/>
    </row>
    <row r="1071" spans="1:65" s="17" customFormat="1" ht="21.95" customHeight="1">
      <c r="A1071" s="114">
        <v>60</v>
      </c>
      <c r="B1071" s="208" t="s">
        <v>607</v>
      </c>
      <c r="C1071" s="69" t="s">
        <v>608</v>
      </c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229">
        <f t="shared" si="430"/>
        <v>0</v>
      </c>
      <c r="AC1071" s="228">
        <f t="shared" si="426"/>
        <v>0</v>
      </c>
      <c r="AD1071" s="19">
        <v>0</v>
      </c>
      <c r="AE1071" s="68"/>
      <c r="AF1071" s="68"/>
      <c r="AG1071" s="68"/>
      <c r="AH1071" s="68"/>
      <c r="AI1071" s="68"/>
      <c r="AJ1071" s="68">
        <v>6</v>
      </c>
      <c r="AK1071" s="68"/>
      <c r="AL1071" s="68"/>
      <c r="AM1071" s="68"/>
      <c r="AN1071" s="68"/>
      <c r="AO1071" s="68"/>
      <c r="AP1071" s="68">
        <v>2</v>
      </c>
      <c r="AQ1071" s="68"/>
      <c r="AR1071" s="68"/>
      <c r="AS1071" s="68"/>
      <c r="AT1071" s="68"/>
      <c r="AU1071" s="68"/>
      <c r="AV1071" s="68">
        <v>9</v>
      </c>
      <c r="AW1071" s="68"/>
      <c r="AX1071" s="68"/>
      <c r="AY1071" s="68"/>
      <c r="AZ1071" s="68"/>
      <c r="BA1071" s="68"/>
      <c r="BB1071" s="68">
        <f>1+1</f>
        <v>2</v>
      </c>
      <c r="BC1071" s="229">
        <f t="shared" si="431"/>
        <v>0</v>
      </c>
      <c r="BD1071" s="48">
        <f t="shared" si="427"/>
        <v>19</v>
      </c>
      <c r="BE1071" s="19">
        <v>24</v>
      </c>
      <c r="BF1071" s="229">
        <f t="shared" si="432"/>
        <v>0</v>
      </c>
      <c r="BG1071" s="210">
        <f t="shared" si="428"/>
        <v>19</v>
      </c>
      <c r="BH1071" s="210">
        <f t="shared" si="429"/>
        <v>24</v>
      </c>
      <c r="BI1071" s="213">
        <f t="shared" si="425"/>
        <v>79.166666666666657</v>
      </c>
      <c r="BJ1071" s="141"/>
      <c r="BK1071" s="201">
        <f>BK1070-BK1069</f>
        <v>0</v>
      </c>
      <c r="BL1071" s="202"/>
      <c r="BM1071" s="202"/>
    </row>
    <row r="1072" spans="1:65" s="17" customFormat="1" ht="21.95" customHeight="1">
      <c r="A1072" s="114">
        <v>61</v>
      </c>
      <c r="B1072" s="208" t="s">
        <v>609</v>
      </c>
      <c r="C1072" s="69" t="s">
        <v>610</v>
      </c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229">
        <f t="shared" si="430"/>
        <v>0</v>
      </c>
      <c r="AC1072" s="228">
        <f t="shared" si="426"/>
        <v>0</v>
      </c>
      <c r="AD1072" s="19">
        <v>0</v>
      </c>
      <c r="AE1072" s="68"/>
      <c r="AF1072" s="68"/>
      <c r="AG1072" s="68"/>
      <c r="AH1072" s="68"/>
      <c r="AI1072" s="68"/>
      <c r="AJ1072" s="68">
        <v>68</v>
      </c>
      <c r="AK1072" s="68"/>
      <c r="AL1072" s="68"/>
      <c r="AM1072" s="68"/>
      <c r="AN1072" s="68"/>
      <c r="AO1072" s="68"/>
      <c r="AP1072" s="68">
        <v>97</v>
      </c>
      <c r="AQ1072" s="68"/>
      <c r="AR1072" s="68"/>
      <c r="AS1072" s="68"/>
      <c r="AT1072" s="68"/>
      <c r="AU1072" s="68"/>
      <c r="AV1072" s="68">
        <f>66+1</f>
        <v>67</v>
      </c>
      <c r="AW1072" s="68"/>
      <c r="AX1072" s="68"/>
      <c r="AY1072" s="68"/>
      <c r="AZ1072" s="68"/>
      <c r="BA1072" s="68"/>
      <c r="BB1072" s="68">
        <f>99+6</f>
        <v>105</v>
      </c>
      <c r="BC1072" s="229">
        <f t="shared" si="431"/>
        <v>0</v>
      </c>
      <c r="BD1072" s="48">
        <f t="shared" si="427"/>
        <v>337</v>
      </c>
      <c r="BE1072" s="19">
        <v>398</v>
      </c>
      <c r="BF1072" s="229">
        <f t="shared" si="432"/>
        <v>0</v>
      </c>
      <c r="BG1072" s="210">
        <f t="shared" si="428"/>
        <v>337</v>
      </c>
      <c r="BH1072" s="210">
        <f t="shared" si="429"/>
        <v>398</v>
      </c>
      <c r="BI1072" s="213">
        <f t="shared" si="425"/>
        <v>84.673366834170849</v>
      </c>
      <c r="BJ1072" s="141"/>
      <c r="BK1072" s="201"/>
      <c r="BL1072" s="202"/>
      <c r="BM1072" s="202"/>
    </row>
    <row r="1073" spans="1:65" s="17" customFormat="1" ht="21.95" customHeight="1">
      <c r="A1073" s="114">
        <v>62</v>
      </c>
      <c r="B1073" s="208" t="s">
        <v>611</v>
      </c>
      <c r="C1073" s="69" t="s">
        <v>612</v>
      </c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229">
        <f t="shared" si="430"/>
        <v>0</v>
      </c>
      <c r="AC1073" s="228">
        <f t="shared" si="426"/>
        <v>0</v>
      </c>
      <c r="AD1073" s="19">
        <v>0</v>
      </c>
      <c r="AE1073" s="68"/>
      <c r="AF1073" s="68"/>
      <c r="AG1073" s="68"/>
      <c r="AH1073" s="68"/>
      <c r="AI1073" s="68"/>
      <c r="AJ1073" s="68">
        <v>73</v>
      </c>
      <c r="AK1073" s="68"/>
      <c r="AL1073" s="68"/>
      <c r="AM1073" s="68"/>
      <c r="AN1073" s="68"/>
      <c r="AO1073" s="68"/>
      <c r="AP1073" s="68">
        <v>96</v>
      </c>
      <c r="AQ1073" s="68"/>
      <c r="AR1073" s="68"/>
      <c r="AS1073" s="68"/>
      <c r="AT1073" s="68"/>
      <c r="AU1073" s="68"/>
      <c r="AV1073" s="68">
        <f>65+1</f>
        <v>66</v>
      </c>
      <c r="AW1073" s="68"/>
      <c r="AX1073" s="68"/>
      <c r="AY1073" s="68"/>
      <c r="AZ1073" s="68"/>
      <c r="BA1073" s="68"/>
      <c r="BB1073" s="68">
        <f>83+1</f>
        <v>84</v>
      </c>
      <c r="BC1073" s="229">
        <f t="shared" si="431"/>
        <v>0</v>
      </c>
      <c r="BD1073" s="48">
        <f t="shared" si="427"/>
        <v>319</v>
      </c>
      <c r="BE1073" s="19">
        <v>330</v>
      </c>
      <c r="BF1073" s="229">
        <f t="shared" si="432"/>
        <v>0</v>
      </c>
      <c r="BG1073" s="210">
        <f t="shared" si="428"/>
        <v>319</v>
      </c>
      <c r="BH1073" s="210">
        <f t="shared" si="429"/>
        <v>330</v>
      </c>
      <c r="BI1073" s="213">
        <f t="shared" si="425"/>
        <v>96.666666666666671</v>
      </c>
      <c r="BJ1073" s="141"/>
      <c r="BK1073" s="201"/>
      <c r="BL1073" s="202"/>
      <c r="BM1073" s="202"/>
    </row>
    <row r="1074" spans="1:65" s="17" customFormat="1" ht="21.95" customHeight="1">
      <c r="A1074" s="114">
        <v>63</v>
      </c>
      <c r="B1074" s="208" t="s">
        <v>613</v>
      </c>
      <c r="C1074" s="69" t="s">
        <v>614</v>
      </c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229">
        <f t="shared" si="430"/>
        <v>0</v>
      </c>
      <c r="AC1074" s="228">
        <f t="shared" si="426"/>
        <v>0</v>
      </c>
      <c r="AD1074" s="19">
        <v>0</v>
      </c>
      <c r="AE1074" s="68"/>
      <c r="AF1074" s="68"/>
      <c r="AG1074" s="68"/>
      <c r="AH1074" s="68"/>
      <c r="AI1074" s="68"/>
      <c r="AJ1074" s="68">
        <v>28</v>
      </c>
      <c r="AK1074" s="68"/>
      <c r="AL1074" s="68"/>
      <c r="AM1074" s="68"/>
      <c r="AN1074" s="68"/>
      <c r="AO1074" s="68"/>
      <c r="AP1074" s="68">
        <v>33</v>
      </c>
      <c r="AQ1074" s="68"/>
      <c r="AR1074" s="68"/>
      <c r="AS1074" s="68"/>
      <c r="AT1074" s="68"/>
      <c r="AU1074" s="68"/>
      <c r="AV1074" s="68">
        <v>19</v>
      </c>
      <c r="AW1074" s="68"/>
      <c r="AX1074" s="68"/>
      <c r="AY1074" s="68"/>
      <c r="AZ1074" s="68"/>
      <c r="BA1074" s="68"/>
      <c r="BB1074" s="68">
        <f>18+2</f>
        <v>20</v>
      </c>
      <c r="BC1074" s="229">
        <f t="shared" si="431"/>
        <v>0</v>
      </c>
      <c r="BD1074" s="48">
        <f t="shared" si="427"/>
        <v>100</v>
      </c>
      <c r="BE1074" s="19">
        <v>162</v>
      </c>
      <c r="BF1074" s="229">
        <f t="shared" si="432"/>
        <v>0</v>
      </c>
      <c r="BG1074" s="210">
        <f t="shared" si="428"/>
        <v>100</v>
      </c>
      <c r="BH1074" s="210">
        <f t="shared" si="429"/>
        <v>162</v>
      </c>
      <c r="BI1074" s="213">
        <f t="shared" si="425"/>
        <v>61.728395061728392</v>
      </c>
      <c r="BJ1074" s="141"/>
      <c r="BK1074" s="201"/>
      <c r="BL1074" s="202"/>
      <c r="BM1074" s="202"/>
    </row>
    <row r="1075" spans="1:65" s="17" customFormat="1" ht="21.95" customHeight="1">
      <c r="A1075" s="114">
        <v>64</v>
      </c>
      <c r="B1075" s="24" t="s">
        <v>2689</v>
      </c>
      <c r="C1075" s="27" t="s">
        <v>2690</v>
      </c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229">
        <f t="shared" si="430"/>
        <v>0</v>
      </c>
      <c r="AC1075" s="228">
        <f t="shared" si="426"/>
        <v>0</v>
      </c>
      <c r="AD1075" s="19">
        <v>0</v>
      </c>
      <c r="AE1075" s="28"/>
      <c r="AF1075" s="28"/>
      <c r="AG1075" s="28"/>
      <c r="AH1075" s="28"/>
      <c r="AI1075" s="28"/>
      <c r="AJ1075" s="28">
        <v>1</v>
      </c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>
        <v>1</v>
      </c>
      <c r="BC1075" s="229">
        <f t="shared" si="431"/>
        <v>0</v>
      </c>
      <c r="BD1075" s="48">
        <f t="shared" si="427"/>
        <v>2</v>
      </c>
      <c r="BE1075" s="19">
        <v>4</v>
      </c>
      <c r="BF1075" s="229">
        <f t="shared" si="432"/>
        <v>0</v>
      </c>
      <c r="BG1075" s="210">
        <f t="shared" si="428"/>
        <v>2</v>
      </c>
      <c r="BH1075" s="210">
        <f t="shared" si="429"/>
        <v>4</v>
      </c>
      <c r="BI1075" s="213">
        <f t="shared" si="425"/>
        <v>50</v>
      </c>
      <c r="BJ1075" s="141"/>
      <c r="BK1075" s="201"/>
      <c r="BL1075" s="202"/>
      <c r="BM1075" s="202"/>
    </row>
    <row r="1076" spans="1:65" s="17" customFormat="1" ht="21.95" customHeight="1">
      <c r="A1076" s="114">
        <v>65</v>
      </c>
      <c r="B1076" s="24" t="s">
        <v>2220</v>
      </c>
      <c r="C1076" s="27" t="s">
        <v>2221</v>
      </c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229">
        <f t="shared" si="430"/>
        <v>0</v>
      </c>
      <c r="AC1076" s="228">
        <f t="shared" si="426"/>
        <v>0</v>
      </c>
      <c r="AD1076" s="19">
        <v>0</v>
      </c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>
        <v>1</v>
      </c>
      <c r="AQ1076" s="28"/>
      <c r="AR1076" s="28"/>
      <c r="AS1076" s="28"/>
      <c r="AT1076" s="28"/>
      <c r="AU1076" s="28"/>
      <c r="AV1076" s="28">
        <v>1</v>
      </c>
      <c r="AW1076" s="28"/>
      <c r="AX1076" s="28"/>
      <c r="AY1076" s="28"/>
      <c r="AZ1076" s="28"/>
      <c r="BA1076" s="28"/>
      <c r="BB1076" s="28">
        <v>6</v>
      </c>
      <c r="BC1076" s="229">
        <f t="shared" si="431"/>
        <v>0</v>
      </c>
      <c r="BD1076" s="48">
        <f t="shared" si="427"/>
        <v>8</v>
      </c>
      <c r="BE1076" s="19">
        <v>4</v>
      </c>
      <c r="BF1076" s="229">
        <f t="shared" si="432"/>
        <v>0</v>
      </c>
      <c r="BG1076" s="210">
        <f t="shared" si="428"/>
        <v>8</v>
      </c>
      <c r="BH1076" s="210">
        <f t="shared" si="429"/>
        <v>4</v>
      </c>
      <c r="BI1076" s="213">
        <f t="shared" ref="BI1076:BI1107" si="433">BG1076/BH1076*100</f>
        <v>200</v>
      </c>
      <c r="BJ1076" s="141"/>
      <c r="BK1076" s="201"/>
      <c r="BL1076" s="202"/>
      <c r="BM1076" s="202"/>
    </row>
    <row r="1077" spans="1:65" s="17" customFormat="1" ht="21.95" customHeight="1">
      <c r="A1077" s="114">
        <v>66</v>
      </c>
      <c r="B1077" s="79" t="s">
        <v>615</v>
      </c>
      <c r="C1077" s="81" t="s">
        <v>1529</v>
      </c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Q1077" s="104"/>
      <c r="R1077" s="104"/>
      <c r="S1077" s="104"/>
      <c r="T1077" s="104"/>
      <c r="U1077" s="104"/>
      <c r="V1077" s="104"/>
      <c r="W1077" s="104"/>
      <c r="X1077" s="104"/>
      <c r="Y1077" s="104"/>
      <c r="Z1077" s="104"/>
      <c r="AA1077" s="104"/>
      <c r="AB1077" s="229">
        <f t="shared" si="430"/>
        <v>0</v>
      </c>
      <c r="AC1077" s="228">
        <f t="shared" si="426"/>
        <v>0</v>
      </c>
      <c r="AD1077" s="19">
        <v>0</v>
      </c>
      <c r="AE1077" s="103"/>
      <c r="AF1077" s="103"/>
      <c r="AG1077" s="103"/>
      <c r="AH1077" s="103"/>
      <c r="AI1077" s="103"/>
      <c r="AJ1077" s="103">
        <v>19</v>
      </c>
      <c r="AK1077" s="103"/>
      <c r="AL1077" s="103"/>
      <c r="AM1077" s="103"/>
      <c r="AN1077" s="103"/>
      <c r="AO1077" s="103"/>
      <c r="AP1077" s="103">
        <v>19</v>
      </c>
      <c r="AQ1077" s="103"/>
      <c r="AR1077" s="103"/>
      <c r="AS1077" s="103"/>
      <c r="AT1077" s="103"/>
      <c r="AU1077" s="103"/>
      <c r="AV1077" s="103">
        <v>18</v>
      </c>
      <c r="AW1077" s="103"/>
      <c r="AX1077" s="103"/>
      <c r="AY1077" s="103"/>
      <c r="AZ1077" s="103"/>
      <c r="BA1077" s="103"/>
      <c r="BB1077" s="103">
        <v>23</v>
      </c>
      <c r="BC1077" s="229">
        <f t="shared" si="431"/>
        <v>0</v>
      </c>
      <c r="BD1077" s="48">
        <f t="shared" si="427"/>
        <v>79</v>
      </c>
      <c r="BE1077" s="19">
        <v>38</v>
      </c>
      <c r="BF1077" s="229">
        <f t="shared" si="432"/>
        <v>0</v>
      </c>
      <c r="BG1077" s="210">
        <f t="shared" si="428"/>
        <v>79</v>
      </c>
      <c r="BH1077" s="210">
        <f t="shared" si="429"/>
        <v>38</v>
      </c>
      <c r="BI1077" s="213">
        <f t="shared" si="433"/>
        <v>207.89473684210526</v>
      </c>
      <c r="BJ1077" s="141"/>
      <c r="BK1077" s="201"/>
      <c r="BL1077" s="202"/>
      <c r="BM1077" s="202"/>
    </row>
    <row r="1078" spans="1:65" s="17" customFormat="1" ht="18" customHeight="1">
      <c r="A1078" s="114">
        <v>67</v>
      </c>
      <c r="B1078" s="79" t="s">
        <v>1525</v>
      </c>
      <c r="C1078" s="82" t="s">
        <v>1526</v>
      </c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Q1078" s="104"/>
      <c r="R1078" s="104"/>
      <c r="S1078" s="104"/>
      <c r="T1078" s="104"/>
      <c r="U1078" s="104"/>
      <c r="V1078" s="104"/>
      <c r="W1078" s="104"/>
      <c r="X1078" s="104"/>
      <c r="Y1078" s="104"/>
      <c r="Z1078" s="104"/>
      <c r="AA1078" s="104"/>
      <c r="AB1078" s="229">
        <f t="shared" si="430"/>
        <v>0</v>
      </c>
      <c r="AC1078" s="228">
        <f t="shared" si="426"/>
        <v>0</v>
      </c>
      <c r="AD1078" s="19">
        <v>0</v>
      </c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229">
        <f t="shared" si="431"/>
        <v>0</v>
      </c>
      <c r="BD1078" s="48">
        <f t="shared" si="427"/>
        <v>0</v>
      </c>
      <c r="BE1078" s="19">
        <v>2</v>
      </c>
      <c r="BF1078" s="229">
        <f t="shared" si="432"/>
        <v>0</v>
      </c>
      <c r="BG1078" s="210">
        <f t="shared" si="428"/>
        <v>0</v>
      </c>
      <c r="BH1078" s="210">
        <f t="shared" si="429"/>
        <v>2</v>
      </c>
      <c r="BI1078" s="213">
        <f t="shared" si="433"/>
        <v>0</v>
      </c>
      <c r="BJ1078" s="141"/>
      <c r="BK1078" s="201"/>
      <c r="BL1078" s="202"/>
      <c r="BM1078" s="202"/>
    </row>
    <row r="1079" spans="1:65" s="17" customFormat="1" ht="18" customHeight="1">
      <c r="A1079" s="114">
        <v>68</v>
      </c>
      <c r="B1079" s="79" t="s">
        <v>1523</v>
      </c>
      <c r="C1079" s="80" t="s">
        <v>1524</v>
      </c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Q1079" s="104"/>
      <c r="R1079" s="104"/>
      <c r="S1079" s="104"/>
      <c r="T1079" s="104"/>
      <c r="U1079" s="104"/>
      <c r="V1079" s="104"/>
      <c r="W1079" s="104"/>
      <c r="X1079" s="104"/>
      <c r="Y1079" s="104"/>
      <c r="Z1079" s="104"/>
      <c r="AA1079" s="104"/>
      <c r="AB1079" s="229">
        <f t="shared" si="430"/>
        <v>0</v>
      </c>
      <c r="AC1079" s="228">
        <f t="shared" si="426"/>
        <v>0</v>
      </c>
      <c r="AD1079" s="19">
        <v>0</v>
      </c>
      <c r="AE1079" s="103"/>
      <c r="AF1079" s="103"/>
      <c r="AG1079" s="103"/>
      <c r="AH1079" s="103"/>
      <c r="AI1079" s="103"/>
      <c r="AJ1079" s="103">
        <v>10</v>
      </c>
      <c r="AK1079" s="103"/>
      <c r="AL1079" s="103"/>
      <c r="AM1079" s="103"/>
      <c r="AN1079" s="103"/>
      <c r="AO1079" s="103"/>
      <c r="AP1079" s="103">
        <v>15</v>
      </c>
      <c r="AQ1079" s="103"/>
      <c r="AR1079" s="103"/>
      <c r="AS1079" s="103"/>
      <c r="AT1079" s="103"/>
      <c r="AU1079" s="103"/>
      <c r="AV1079" s="103">
        <v>11</v>
      </c>
      <c r="AW1079" s="103"/>
      <c r="AX1079" s="103"/>
      <c r="AY1079" s="103"/>
      <c r="AZ1079" s="103"/>
      <c r="BA1079" s="103"/>
      <c r="BB1079" s="103">
        <v>14</v>
      </c>
      <c r="BC1079" s="229">
        <f t="shared" si="431"/>
        <v>0</v>
      </c>
      <c r="BD1079" s="48">
        <f t="shared" si="427"/>
        <v>50</v>
      </c>
      <c r="BE1079" s="19">
        <v>25</v>
      </c>
      <c r="BF1079" s="229">
        <f t="shared" si="432"/>
        <v>0</v>
      </c>
      <c r="BG1079" s="210">
        <f t="shared" si="428"/>
        <v>50</v>
      </c>
      <c r="BH1079" s="210">
        <f t="shared" si="429"/>
        <v>25</v>
      </c>
      <c r="BI1079" s="213">
        <f t="shared" si="433"/>
        <v>200</v>
      </c>
      <c r="BJ1079" s="141"/>
      <c r="BK1079" s="201"/>
      <c r="BL1079" s="202"/>
      <c r="BM1079" s="202"/>
    </row>
    <row r="1080" spans="1:65" s="17" customFormat="1" ht="18" customHeight="1">
      <c r="A1080" s="114">
        <v>69</v>
      </c>
      <c r="B1080" s="79" t="s">
        <v>2077</v>
      </c>
      <c r="C1080" s="80" t="s">
        <v>2078</v>
      </c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Q1080" s="104"/>
      <c r="R1080" s="104"/>
      <c r="S1080" s="104"/>
      <c r="T1080" s="104"/>
      <c r="U1080" s="104"/>
      <c r="V1080" s="104"/>
      <c r="W1080" s="104"/>
      <c r="X1080" s="104"/>
      <c r="Y1080" s="104"/>
      <c r="Z1080" s="104"/>
      <c r="AA1080" s="104"/>
      <c r="AB1080" s="229">
        <f t="shared" si="430"/>
        <v>0</v>
      </c>
      <c r="AC1080" s="228">
        <f t="shared" si="426"/>
        <v>0</v>
      </c>
      <c r="AD1080" s="19">
        <v>0</v>
      </c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>
        <v>1</v>
      </c>
      <c r="BC1080" s="229">
        <f t="shared" si="431"/>
        <v>0</v>
      </c>
      <c r="BD1080" s="48">
        <f t="shared" si="427"/>
        <v>1</v>
      </c>
      <c r="BE1080" s="19">
        <v>3</v>
      </c>
      <c r="BF1080" s="229">
        <f t="shared" si="432"/>
        <v>0</v>
      </c>
      <c r="BG1080" s="210">
        <f t="shared" si="428"/>
        <v>1</v>
      </c>
      <c r="BH1080" s="210">
        <f t="shared" si="429"/>
        <v>3</v>
      </c>
      <c r="BI1080" s="213">
        <f t="shared" si="433"/>
        <v>33.333333333333329</v>
      </c>
      <c r="BJ1080" s="141"/>
      <c r="BK1080" s="201"/>
      <c r="BL1080" s="202"/>
      <c r="BM1080" s="202"/>
    </row>
    <row r="1081" spans="1:65" s="17" customFormat="1" ht="18" customHeight="1">
      <c r="A1081" s="114">
        <v>70</v>
      </c>
      <c r="B1081" s="30" t="s">
        <v>616</v>
      </c>
      <c r="C1081" s="31" t="s">
        <v>617</v>
      </c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229">
        <f t="shared" si="430"/>
        <v>0</v>
      </c>
      <c r="AC1081" s="228">
        <f t="shared" si="426"/>
        <v>0</v>
      </c>
      <c r="AD1081" s="19">
        <v>3</v>
      </c>
      <c r="AE1081" s="28"/>
      <c r="AF1081" s="28"/>
      <c r="AG1081" s="28"/>
      <c r="AH1081" s="28"/>
      <c r="AI1081" s="28"/>
      <c r="AJ1081" s="28">
        <v>2</v>
      </c>
      <c r="AK1081" s="28"/>
      <c r="AL1081" s="28"/>
      <c r="AM1081" s="28"/>
      <c r="AN1081" s="28"/>
      <c r="AO1081" s="28"/>
      <c r="AP1081" s="28">
        <f>1+3+1</f>
        <v>5</v>
      </c>
      <c r="AQ1081" s="28"/>
      <c r="AR1081" s="28"/>
      <c r="AS1081" s="28"/>
      <c r="AT1081" s="28"/>
      <c r="AU1081" s="28"/>
      <c r="AV1081" s="28">
        <f>1+3</f>
        <v>4</v>
      </c>
      <c r="AW1081" s="28"/>
      <c r="AX1081" s="28"/>
      <c r="AY1081" s="28"/>
      <c r="AZ1081" s="28"/>
      <c r="BA1081" s="28"/>
      <c r="BB1081" s="28">
        <v>5</v>
      </c>
      <c r="BC1081" s="229">
        <f t="shared" si="431"/>
        <v>0</v>
      </c>
      <c r="BD1081" s="48">
        <f t="shared" si="427"/>
        <v>16</v>
      </c>
      <c r="BE1081" s="19">
        <v>22</v>
      </c>
      <c r="BF1081" s="229">
        <f t="shared" si="432"/>
        <v>0</v>
      </c>
      <c r="BG1081" s="210">
        <f t="shared" si="428"/>
        <v>16</v>
      </c>
      <c r="BH1081" s="210">
        <f t="shared" si="429"/>
        <v>25</v>
      </c>
      <c r="BI1081" s="213">
        <f t="shared" si="433"/>
        <v>64</v>
      </c>
      <c r="BJ1081" s="141"/>
      <c r="BK1081" s="201"/>
      <c r="BL1081" s="202"/>
      <c r="BM1081" s="202"/>
    </row>
    <row r="1082" spans="1:65" s="17" customFormat="1" ht="18" customHeight="1">
      <c r="A1082" s="114">
        <v>71</v>
      </c>
      <c r="B1082" s="24" t="s">
        <v>618</v>
      </c>
      <c r="C1082" s="25" t="s">
        <v>619</v>
      </c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229">
        <f t="shared" si="430"/>
        <v>0</v>
      </c>
      <c r="AC1082" s="228">
        <f t="shared" si="426"/>
        <v>0</v>
      </c>
      <c r="AD1082" s="19">
        <v>0</v>
      </c>
      <c r="AE1082" s="28"/>
      <c r="AF1082" s="28"/>
      <c r="AG1082" s="28"/>
      <c r="AH1082" s="28"/>
      <c r="AI1082" s="28"/>
      <c r="AJ1082" s="28">
        <v>1</v>
      </c>
      <c r="AK1082" s="28"/>
      <c r="AL1082" s="28"/>
      <c r="AM1082" s="28"/>
      <c r="AN1082" s="28"/>
      <c r="AO1082" s="28"/>
      <c r="AP1082" s="28">
        <v>3</v>
      </c>
      <c r="AQ1082" s="28"/>
      <c r="AR1082" s="28"/>
      <c r="AS1082" s="28"/>
      <c r="AT1082" s="28"/>
      <c r="AU1082" s="28"/>
      <c r="AV1082" s="28">
        <v>2</v>
      </c>
      <c r="AW1082" s="28"/>
      <c r="AX1082" s="28"/>
      <c r="AY1082" s="28"/>
      <c r="AZ1082" s="28"/>
      <c r="BA1082" s="28"/>
      <c r="BB1082" s="28">
        <v>3</v>
      </c>
      <c r="BC1082" s="229">
        <f t="shared" si="431"/>
        <v>0</v>
      </c>
      <c r="BD1082" s="48">
        <f t="shared" si="427"/>
        <v>9</v>
      </c>
      <c r="BE1082" s="19">
        <v>6</v>
      </c>
      <c r="BF1082" s="229">
        <f t="shared" si="432"/>
        <v>0</v>
      </c>
      <c r="BG1082" s="210">
        <f t="shared" si="428"/>
        <v>9</v>
      </c>
      <c r="BH1082" s="210">
        <f t="shared" si="429"/>
        <v>6</v>
      </c>
      <c r="BI1082" s="213">
        <f t="shared" si="433"/>
        <v>150</v>
      </c>
      <c r="BJ1082" s="141"/>
      <c r="BK1082" s="201"/>
      <c r="BL1082" s="202"/>
      <c r="BM1082" s="202"/>
    </row>
    <row r="1083" spans="1:65" s="17" customFormat="1" ht="21.95" customHeight="1">
      <c r="A1083" s="114">
        <v>72</v>
      </c>
      <c r="B1083" s="24" t="s">
        <v>2079</v>
      </c>
      <c r="C1083" s="27" t="s">
        <v>2080</v>
      </c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229">
        <f t="shared" si="430"/>
        <v>0</v>
      </c>
      <c r="AC1083" s="228">
        <f t="shared" si="426"/>
        <v>0</v>
      </c>
      <c r="AD1083" s="19">
        <v>0</v>
      </c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>
        <v>1</v>
      </c>
      <c r="AQ1083" s="28"/>
      <c r="AR1083" s="28"/>
      <c r="AS1083" s="28"/>
      <c r="AT1083" s="28"/>
      <c r="AU1083" s="28"/>
      <c r="AV1083" s="28">
        <v>1</v>
      </c>
      <c r="AW1083" s="28"/>
      <c r="AX1083" s="28"/>
      <c r="AY1083" s="28"/>
      <c r="AZ1083" s="28"/>
      <c r="BA1083" s="28"/>
      <c r="BB1083" s="28">
        <v>1</v>
      </c>
      <c r="BC1083" s="229">
        <f t="shared" si="431"/>
        <v>0</v>
      </c>
      <c r="BD1083" s="48">
        <f t="shared" si="427"/>
        <v>3</v>
      </c>
      <c r="BE1083" s="19">
        <v>5</v>
      </c>
      <c r="BF1083" s="229">
        <f t="shared" si="432"/>
        <v>0</v>
      </c>
      <c r="BG1083" s="210">
        <f t="shared" si="428"/>
        <v>3</v>
      </c>
      <c r="BH1083" s="210">
        <f t="shared" si="429"/>
        <v>5</v>
      </c>
      <c r="BI1083" s="213">
        <f t="shared" si="433"/>
        <v>60</v>
      </c>
      <c r="BJ1083" s="141"/>
      <c r="BK1083" s="201"/>
      <c r="BL1083" s="202"/>
      <c r="BM1083" s="202"/>
    </row>
    <row r="1084" spans="1:65" s="17" customFormat="1" ht="18" customHeight="1">
      <c r="A1084" s="114">
        <v>73</v>
      </c>
      <c r="B1084" s="24" t="s">
        <v>2081</v>
      </c>
      <c r="C1084" s="25" t="s">
        <v>2082</v>
      </c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229">
        <f t="shared" si="430"/>
        <v>0</v>
      </c>
      <c r="AC1084" s="228">
        <f t="shared" si="426"/>
        <v>0</v>
      </c>
      <c r="AD1084" s="19">
        <v>0</v>
      </c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>
        <v>1</v>
      </c>
      <c r="AQ1084" s="28"/>
      <c r="AR1084" s="28"/>
      <c r="AS1084" s="28"/>
      <c r="AT1084" s="28"/>
      <c r="AU1084" s="28"/>
      <c r="AV1084" s="28">
        <v>1</v>
      </c>
      <c r="AW1084" s="28"/>
      <c r="AX1084" s="28"/>
      <c r="AY1084" s="28"/>
      <c r="AZ1084" s="28"/>
      <c r="BA1084" s="28"/>
      <c r="BB1084" s="28">
        <v>1</v>
      </c>
      <c r="BC1084" s="229">
        <f t="shared" si="431"/>
        <v>0</v>
      </c>
      <c r="BD1084" s="48">
        <f t="shared" si="427"/>
        <v>3</v>
      </c>
      <c r="BE1084" s="19">
        <v>5</v>
      </c>
      <c r="BF1084" s="229">
        <f t="shared" si="432"/>
        <v>0</v>
      </c>
      <c r="BG1084" s="210">
        <f t="shared" si="428"/>
        <v>3</v>
      </c>
      <c r="BH1084" s="210">
        <f t="shared" si="429"/>
        <v>5</v>
      </c>
      <c r="BI1084" s="213">
        <f t="shared" si="433"/>
        <v>60</v>
      </c>
      <c r="BJ1084" s="141"/>
      <c r="BK1084" s="201"/>
      <c r="BL1084" s="202"/>
      <c r="BM1084" s="202"/>
    </row>
    <row r="1085" spans="1:65" s="17" customFormat="1" ht="18" customHeight="1">
      <c r="A1085" s="114">
        <v>74</v>
      </c>
      <c r="B1085" s="24" t="s">
        <v>1763</v>
      </c>
      <c r="C1085" s="25" t="s">
        <v>1764</v>
      </c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229">
        <f t="shared" si="430"/>
        <v>0</v>
      </c>
      <c r="AC1085" s="228">
        <f t="shared" si="426"/>
        <v>0</v>
      </c>
      <c r="AD1085" s="19">
        <v>0</v>
      </c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>
        <v>1</v>
      </c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29">
        <f t="shared" si="431"/>
        <v>0</v>
      </c>
      <c r="BD1085" s="48">
        <f t="shared" si="427"/>
        <v>1</v>
      </c>
      <c r="BE1085" s="19">
        <v>6</v>
      </c>
      <c r="BF1085" s="229">
        <f t="shared" si="432"/>
        <v>0</v>
      </c>
      <c r="BG1085" s="210">
        <f t="shared" si="428"/>
        <v>1</v>
      </c>
      <c r="BH1085" s="210">
        <f t="shared" si="429"/>
        <v>6</v>
      </c>
      <c r="BI1085" s="213">
        <f t="shared" si="433"/>
        <v>16.666666666666664</v>
      </c>
      <c r="BJ1085" s="141"/>
      <c r="BK1085" s="201"/>
      <c r="BL1085" s="202"/>
      <c r="BM1085" s="202"/>
    </row>
    <row r="1086" spans="1:65" s="17" customFormat="1" ht="18" customHeight="1">
      <c r="A1086" s="114">
        <v>75</v>
      </c>
      <c r="B1086" s="24" t="s">
        <v>1412</v>
      </c>
      <c r="C1086" s="25" t="s">
        <v>1413</v>
      </c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229">
        <f t="shared" si="430"/>
        <v>0</v>
      </c>
      <c r="AC1086" s="228">
        <f t="shared" si="426"/>
        <v>0</v>
      </c>
      <c r="AD1086" s="19">
        <v>0</v>
      </c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29">
        <f t="shared" si="431"/>
        <v>0</v>
      </c>
      <c r="BD1086" s="48">
        <f t="shared" si="427"/>
        <v>0</v>
      </c>
      <c r="BE1086" s="19">
        <v>4</v>
      </c>
      <c r="BF1086" s="229">
        <f t="shared" si="432"/>
        <v>0</v>
      </c>
      <c r="BG1086" s="210">
        <f t="shared" si="428"/>
        <v>0</v>
      </c>
      <c r="BH1086" s="210">
        <f t="shared" si="429"/>
        <v>4</v>
      </c>
      <c r="BI1086" s="213">
        <f t="shared" si="433"/>
        <v>0</v>
      </c>
      <c r="BJ1086" s="141"/>
      <c r="BK1086" s="201"/>
      <c r="BL1086" s="202"/>
      <c r="BM1086" s="202"/>
    </row>
    <row r="1087" spans="1:65" s="17" customFormat="1" ht="18" customHeight="1">
      <c r="A1087" s="114">
        <v>76</v>
      </c>
      <c r="B1087" s="30" t="s">
        <v>620</v>
      </c>
      <c r="C1087" s="31" t="s">
        <v>621</v>
      </c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229">
        <f t="shared" si="430"/>
        <v>0</v>
      </c>
      <c r="AC1087" s="228">
        <f t="shared" ref="AC1087:AC1118" si="434">E1087+G1087+I1087+K1087+M1087+O1087+Q1087+S1087+U1087+W1087+Y1087+AA1087</f>
        <v>0</v>
      </c>
      <c r="AD1087" s="19">
        <v>0</v>
      </c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29">
        <f t="shared" si="431"/>
        <v>0</v>
      </c>
      <c r="BD1087" s="48">
        <f t="shared" ref="BD1087:BD1118" si="435">AF1087+AH1087+AJ1087+AL1087+AN1087+AP1087+AR1087+AT1087+AV1087+AX1087+AZ1087+BB1087</f>
        <v>0</v>
      </c>
      <c r="BE1087" s="19">
        <v>2</v>
      </c>
      <c r="BF1087" s="229">
        <f t="shared" si="432"/>
        <v>0</v>
      </c>
      <c r="BG1087" s="210">
        <f t="shared" ref="BG1087:BG1118" si="436">AC1087+BD1087</f>
        <v>0</v>
      </c>
      <c r="BH1087" s="210">
        <f t="shared" ref="BH1087:BH1118" si="437">AD1087+BE1087</f>
        <v>2</v>
      </c>
      <c r="BI1087" s="213">
        <f t="shared" si="433"/>
        <v>0</v>
      </c>
      <c r="BJ1087" s="141"/>
      <c r="BK1087" s="201"/>
      <c r="BL1087" s="202"/>
      <c r="BM1087" s="202"/>
    </row>
    <row r="1088" spans="1:65" s="17" customFormat="1" ht="18" customHeight="1">
      <c r="A1088" s="114">
        <v>77</v>
      </c>
      <c r="B1088" s="24" t="s">
        <v>622</v>
      </c>
      <c r="C1088" s="25" t="s">
        <v>623</v>
      </c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229">
        <f t="shared" si="430"/>
        <v>0</v>
      </c>
      <c r="AC1088" s="228">
        <f t="shared" si="434"/>
        <v>0</v>
      </c>
      <c r="AD1088" s="19">
        <v>0</v>
      </c>
      <c r="AE1088" s="26"/>
      <c r="AF1088" s="26"/>
      <c r="AG1088" s="26"/>
      <c r="AH1088" s="26"/>
      <c r="AI1088" s="26"/>
      <c r="AJ1088" s="26"/>
      <c r="AK1088" s="26"/>
      <c r="AL1088" s="26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29">
        <f t="shared" si="431"/>
        <v>0</v>
      </c>
      <c r="BD1088" s="48">
        <f t="shared" si="435"/>
        <v>0</v>
      </c>
      <c r="BE1088" s="19">
        <v>1</v>
      </c>
      <c r="BF1088" s="229">
        <f t="shared" si="432"/>
        <v>0</v>
      </c>
      <c r="BG1088" s="210">
        <f t="shared" si="436"/>
        <v>0</v>
      </c>
      <c r="BH1088" s="210">
        <f t="shared" si="437"/>
        <v>1</v>
      </c>
      <c r="BI1088" s="213">
        <f t="shared" si="433"/>
        <v>0</v>
      </c>
      <c r="BJ1088" s="141"/>
      <c r="BK1088" s="201"/>
      <c r="BL1088" s="202"/>
      <c r="BM1088" s="202"/>
    </row>
    <row r="1089" spans="1:65" s="17" customFormat="1" ht="21.95" customHeight="1">
      <c r="A1089" s="114">
        <v>78</v>
      </c>
      <c r="B1089" s="24" t="s">
        <v>626</v>
      </c>
      <c r="C1089" s="25" t="s">
        <v>627</v>
      </c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229">
        <f t="shared" si="430"/>
        <v>0</v>
      </c>
      <c r="AC1089" s="228">
        <f t="shared" si="434"/>
        <v>0</v>
      </c>
      <c r="AD1089" s="19">
        <v>66</v>
      </c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29">
        <f t="shared" si="431"/>
        <v>0</v>
      </c>
      <c r="BD1089" s="48">
        <f t="shared" si="435"/>
        <v>0</v>
      </c>
      <c r="BE1089" s="19">
        <v>2874</v>
      </c>
      <c r="BF1089" s="229">
        <f t="shared" si="432"/>
        <v>0</v>
      </c>
      <c r="BG1089" s="210">
        <f t="shared" si="436"/>
        <v>0</v>
      </c>
      <c r="BH1089" s="210">
        <f t="shared" si="437"/>
        <v>2940</v>
      </c>
      <c r="BI1089" s="213">
        <f t="shared" si="433"/>
        <v>0</v>
      </c>
      <c r="BJ1089" s="141"/>
      <c r="BK1089" s="201"/>
      <c r="BL1089" s="202"/>
      <c r="BM1089" s="202"/>
    </row>
    <row r="1090" spans="1:65" s="17" customFormat="1" ht="18" customHeight="1">
      <c r="A1090" s="114">
        <v>79</v>
      </c>
      <c r="B1090" s="24" t="s">
        <v>1993</v>
      </c>
      <c r="C1090" s="25" t="s">
        <v>2845</v>
      </c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229">
        <f t="shared" si="430"/>
        <v>0</v>
      </c>
      <c r="AC1090" s="228">
        <f t="shared" si="434"/>
        <v>0</v>
      </c>
      <c r="AD1090" s="19">
        <v>0</v>
      </c>
      <c r="AE1090" s="28"/>
      <c r="AF1090" s="28"/>
      <c r="AG1090" s="28"/>
      <c r="AH1090" s="28"/>
      <c r="AI1090" s="28"/>
      <c r="AJ1090" s="28">
        <v>1</v>
      </c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>
        <v>17</v>
      </c>
      <c r="BC1090" s="229">
        <f t="shared" si="431"/>
        <v>0</v>
      </c>
      <c r="BD1090" s="48">
        <f t="shared" si="435"/>
        <v>18</v>
      </c>
      <c r="BE1090" s="19">
        <v>0</v>
      </c>
      <c r="BF1090" s="229">
        <f t="shared" si="432"/>
        <v>0</v>
      </c>
      <c r="BG1090" s="210">
        <f t="shared" si="436"/>
        <v>18</v>
      </c>
      <c r="BH1090" s="210">
        <f t="shared" si="437"/>
        <v>0</v>
      </c>
      <c r="BI1090" s="213" t="e">
        <f t="shared" si="433"/>
        <v>#DIV/0!</v>
      </c>
      <c r="BJ1090" s="141"/>
      <c r="BK1090" s="201"/>
      <c r="BL1090" s="202"/>
      <c r="BM1090" s="202"/>
    </row>
    <row r="1091" spans="1:65" s="17" customFormat="1" ht="18" customHeight="1">
      <c r="A1091" s="114">
        <v>80</v>
      </c>
      <c r="B1091" s="24" t="s">
        <v>3010</v>
      </c>
      <c r="C1091" s="25" t="s">
        <v>3011</v>
      </c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229"/>
      <c r="AC1091" s="228">
        <f t="shared" si="434"/>
        <v>0</v>
      </c>
      <c r="AD1091" s="19">
        <v>0</v>
      </c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>
        <v>36</v>
      </c>
      <c r="AQ1091" s="28"/>
      <c r="AR1091" s="28"/>
      <c r="AS1091" s="28"/>
      <c r="AT1091" s="28"/>
      <c r="AU1091" s="28"/>
      <c r="AV1091" s="28">
        <v>32</v>
      </c>
      <c r="AW1091" s="28"/>
      <c r="AX1091" s="28"/>
      <c r="AY1091" s="28"/>
      <c r="AZ1091" s="28"/>
      <c r="BA1091" s="28"/>
      <c r="BB1091" s="28"/>
      <c r="BC1091" s="229"/>
      <c r="BD1091" s="48">
        <f t="shared" si="435"/>
        <v>68</v>
      </c>
      <c r="BE1091" s="19">
        <v>0</v>
      </c>
      <c r="BF1091" s="229"/>
      <c r="BG1091" s="210">
        <f t="shared" si="436"/>
        <v>68</v>
      </c>
      <c r="BH1091" s="210">
        <f t="shared" si="437"/>
        <v>0</v>
      </c>
      <c r="BI1091" s="213" t="e">
        <f t="shared" si="433"/>
        <v>#DIV/0!</v>
      </c>
      <c r="BJ1091" s="141"/>
      <c r="BK1091" s="201"/>
      <c r="BL1091" s="202"/>
      <c r="BM1091" s="202"/>
    </row>
    <row r="1092" spans="1:65" s="17" customFormat="1" ht="18" customHeight="1">
      <c r="A1092" s="114">
        <v>81</v>
      </c>
      <c r="B1092" s="24" t="s">
        <v>2691</v>
      </c>
      <c r="C1092" s="25" t="s">
        <v>2692</v>
      </c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229">
        <f t="shared" ref="AB1092:AB1098" si="438">D1092+F1092+H1092+J1092+L1092+N1092+P1092+R1092+T1092+V1092+X1092+Z1092</f>
        <v>0</v>
      </c>
      <c r="AC1092" s="228">
        <f t="shared" si="434"/>
        <v>0</v>
      </c>
      <c r="AD1092" s="19">
        <v>0</v>
      </c>
      <c r="AE1092" s="28"/>
      <c r="AF1092" s="28"/>
      <c r="AG1092" s="28"/>
      <c r="AH1092" s="28"/>
      <c r="AI1092" s="28"/>
      <c r="AJ1092" s="28">
        <v>6</v>
      </c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>
        <v>1</v>
      </c>
      <c r="BC1092" s="229">
        <f t="shared" ref="BC1092:BC1098" si="439">AE1092+AG1092+AI1092+AK1092+AM1092+AO1092+AQ1092+AS1092+AU1092+AW1092+AY1092+BA1092</f>
        <v>0</v>
      </c>
      <c r="BD1092" s="48">
        <f t="shared" si="435"/>
        <v>7</v>
      </c>
      <c r="BE1092" s="19">
        <v>4</v>
      </c>
      <c r="BF1092" s="229">
        <f t="shared" ref="BF1092:BF1098" si="440">AB1092+BC1092</f>
        <v>0</v>
      </c>
      <c r="BG1092" s="210">
        <f t="shared" si="436"/>
        <v>7</v>
      </c>
      <c r="BH1092" s="210">
        <f t="shared" si="437"/>
        <v>4</v>
      </c>
      <c r="BI1092" s="213">
        <f t="shared" si="433"/>
        <v>175</v>
      </c>
      <c r="BJ1092" s="141"/>
      <c r="BK1092" s="201"/>
      <c r="BL1092" s="202"/>
      <c r="BM1092" s="202"/>
    </row>
    <row r="1093" spans="1:65" s="17" customFormat="1" ht="18" customHeight="1">
      <c r="A1093" s="114">
        <v>82</v>
      </c>
      <c r="B1093" s="24" t="s">
        <v>695</v>
      </c>
      <c r="C1093" s="25" t="s">
        <v>1856</v>
      </c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229">
        <f t="shared" si="438"/>
        <v>0</v>
      </c>
      <c r="AC1093" s="228">
        <f t="shared" si="434"/>
        <v>0</v>
      </c>
      <c r="AD1093" s="19">
        <v>0</v>
      </c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29">
        <f t="shared" si="439"/>
        <v>0</v>
      </c>
      <c r="BD1093" s="48">
        <f t="shared" si="435"/>
        <v>0</v>
      </c>
      <c r="BE1093" s="19">
        <v>1</v>
      </c>
      <c r="BF1093" s="229">
        <f t="shared" si="440"/>
        <v>0</v>
      </c>
      <c r="BG1093" s="210">
        <f t="shared" si="436"/>
        <v>0</v>
      </c>
      <c r="BH1093" s="210">
        <f t="shared" si="437"/>
        <v>1</v>
      </c>
      <c r="BI1093" s="213">
        <f t="shared" si="433"/>
        <v>0</v>
      </c>
      <c r="BJ1093" s="141"/>
      <c r="BK1093" s="201"/>
      <c r="BL1093" s="202"/>
      <c r="BM1093" s="202"/>
    </row>
    <row r="1094" spans="1:65" s="17" customFormat="1" ht="18" customHeight="1">
      <c r="A1094" s="114">
        <v>83</v>
      </c>
      <c r="B1094" s="24" t="s">
        <v>1414</v>
      </c>
      <c r="C1094" s="25" t="s">
        <v>1415</v>
      </c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229">
        <f t="shared" si="438"/>
        <v>0</v>
      </c>
      <c r="AC1094" s="228">
        <f t="shared" si="434"/>
        <v>0</v>
      </c>
      <c r="AD1094" s="19">
        <v>0</v>
      </c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29">
        <f t="shared" si="439"/>
        <v>0</v>
      </c>
      <c r="BD1094" s="48">
        <f t="shared" si="435"/>
        <v>0</v>
      </c>
      <c r="BE1094" s="19">
        <v>3</v>
      </c>
      <c r="BF1094" s="229">
        <f t="shared" si="440"/>
        <v>0</v>
      </c>
      <c r="BG1094" s="210">
        <f t="shared" si="436"/>
        <v>0</v>
      </c>
      <c r="BH1094" s="210">
        <f t="shared" si="437"/>
        <v>3</v>
      </c>
      <c r="BI1094" s="213">
        <f t="shared" si="433"/>
        <v>0</v>
      </c>
      <c r="BJ1094" s="141"/>
      <c r="BK1094" s="201"/>
      <c r="BL1094" s="202"/>
      <c r="BM1094" s="202"/>
    </row>
    <row r="1095" spans="1:65" s="17" customFormat="1" ht="18" customHeight="1">
      <c r="A1095" s="114">
        <v>84</v>
      </c>
      <c r="B1095" s="79" t="s">
        <v>1527</v>
      </c>
      <c r="C1095" s="82" t="s">
        <v>1528</v>
      </c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229">
        <f t="shared" si="438"/>
        <v>0</v>
      </c>
      <c r="AC1095" s="228">
        <f t="shared" si="434"/>
        <v>0</v>
      </c>
      <c r="AD1095" s="19">
        <v>0</v>
      </c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>
        <f>12+8</f>
        <v>20</v>
      </c>
      <c r="AW1095" s="103"/>
      <c r="AX1095" s="103"/>
      <c r="AY1095" s="103"/>
      <c r="AZ1095" s="103"/>
      <c r="BA1095" s="103"/>
      <c r="BB1095" s="103"/>
      <c r="BC1095" s="229">
        <f t="shared" si="439"/>
        <v>0</v>
      </c>
      <c r="BD1095" s="48">
        <f t="shared" si="435"/>
        <v>20</v>
      </c>
      <c r="BE1095" s="19">
        <v>10</v>
      </c>
      <c r="BF1095" s="229">
        <f t="shared" si="440"/>
        <v>0</v>
      </c>
      <c r="BG1095" s="210">
        <f t="shared" si="436"/>
        <v>20</v>
      </c>
      <c r="BH1095" s="210">
        <f t="shared" si="437"/>
        <v>10</v>
      </c>
      <c r="BI1095" s="213">
        <f t="shared" si="433"/>
        <v>200</v>
      </c>
      <c r="BJ1095" s="141"/>
      <c r="BK1095" s="201"/>
      <c r="BL1095" s="202"/>
      <c r="BM1095" s="202"/>
    </row>
    <row r="1096" spans="1:65" s="17" customFormat="1" ht="18" customHeight="1">
      <c r="A1096" s="114">
        <v>85</v>
      </c>
      <c r="B1096" s="24" t="s">
        <v>2083</v>
      </c>
      <c r="C1096" s="25" t="s">
        <v>2084</v>
      </c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>
        <v>1</v>
      </c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229">
        <f t="shared" si="438"/>
        <v>0</v>
      </c>
      <c r="AC1096" s="228">
        <f t="shared" si="434"/>
        <v>1</v>
      </c>
      <c r="AD1096" s="19">
        <v>0</v>
      </c>
      <c r="AE1096" s="26"/>
      <c r="AF1096" s="26"/>
      <c r="AG1096" s="26"/>
      <c r="AH1096" s="26"/>
      <c r="AI1096" s="26"/>
      <c r="AJ1096" s="26">
        <f>2+4</f>
        <v>6</v>
      </c>
      <c r="AK1096" s="26"/>
      <c r="AL1096" s="26"/>
      <c r="AM1096" s="26"/>
      <c r="AN1096" s="26"/>
      <c r="AO1096" s="26"/>
      <c r="AP1096" s="26">
        <v>8</v>
      </c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>
        <f>1+7</f>
        <v>8</v>
      </c>
      <c r="BC1096" s="229">
        <f t="shared" si="439"/>
        <v>0</v>
      </c>
      <c r="BD1096" s="48">
        <f t="shared" si="435"/>
        <v>22</v>
      </c>
      <c r="BE1096" s="19">
        <v>32</v>
      </c>
      <c r="BF1096" s="229">
        <f t="shared" si="440"/>
        <v>0</v>
      </c>
      <c r="BG1096" s="210">
        <f t="shared" si="436"/>
        <v>23</v>
      </c>
      <c r="BH1096" s="210">
        <f t="shared" si="437"/>
        <v>32</v>
      </c>
      <c r="BI1096" s="213">
        <f t="shared" si="433"/>
        <v>71.875</v>
      </c>
      <c r="BJ1096" s="141"/>
      <c r="BK1096" s="201"/>
      <c r="BL1096" s="202"/>
      <c r="BM1096" s="202"/>
    </row>
    <row r="1097" spans="1:65" s="17" customFormat="1" ht="18" customHeight="1">
      <c r="A1097" s="114">
        <v>86</v>
      </c>
      <c r="B1097" s="24" t="s">
        <v>2085</v>
      </c>
      <c r="C1097" s="25" t="s">
        <v>2086</v>
      </c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229">
        <f t="shared" si="438"/>
        <v>0</v>
      </c>
      <c r="AC1097" s="228">
        <f t="shared" si="434"/>
        <v>0</v>
      </c>
      <c r="AD1097" s="19">
        <v>0</v>
      </c>
      <c r="AE1097" s="26"/>
      <c r="AF1097" s="26"/>
      <c r="AG1097" s="26"/>
      <c r="AH1097" s="26"/>
      <c r="AI1097" s="26"/>
      <c r="AJ1097" s="26">
        <v>9</v>
      </c>
      <c r="AK1097" s="26"/>
      <c r="AL1097" s="26"/>
      <c r="AM1097" s="26"/>
      <c r="AN1097" s="26"/>
      <c r="AO1097" s="26"/>
      <c r="AP1097" s="26">
        <v>14</v>
      </c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>
        <f>15+1</f>
        <v>16</v>
      </c>
      <c r="BC1097" s="229">
        <f t="shared" si="439"/>
        <v>0</v>
      </c>
      <c r="BD1097" s="48">
        <f t="shared" si="435"/>
        <v>39</v>
      </c>
      <c r="BE1097" s="19">
        <v>20</v>
      </c>
      <c r="BF1097" s="229">
        <f t="shared" si="440"/>
        <v>0</v>
      </c>
      <c r="BG1097" s="210">
        <f t="shared" si="436"/>
        <v>39</v>
      </c>
      <c r="BH1097" s="210">
        <f t="shared" si="437"/>
        <v>20</v>
      </c>
      <c r="BI1097" s="213">
        <f t="shared" si="433"/>
        <v>195</v>
      </c>
      <c r="BJ1097" s="141"/>
      <c r="BK1097" s="201"/>
      <c r="BL1097" s="202"/>
      <c r="BM1097" s="202"/>
    </row>
    <row r="1098" spans="1:65" s="17" customFormat="1" ht="18" customHeight="1">
      <c r="A1098" s="114">
        <v>87</v>
      </c>
      <c r="B1098" s="24" t="s">
        <v>2087</v>
      </c>
      <c r="C1098" s="25" t="s">
        <v>2088</v>
      </c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229">
        <f t="shared" si="438"/>
        <v>0</v>
      </c>
      <c r="AC1098" s="228">
        <f t="shared" si="434"/>
        <v>0</v>
      </c>
      <c r="AD1098" s="19">
        <v>0</v>
      </c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29">
        <f t="shared" si="439"/>
        <v>0</v>
      </c>
      <c r="BD1098" s="48">
        <f t="shared" si="435"/>
        <v>0</v>
      </c>
      <c r="BE1098" s="19">
        <v>5</v>
      </c>
      <c r="BF1098" s="229">
        <f t="shared" si="440"/>
        <v>0</v>
      </c>
      <c r="BG1098" s="210">
        <f t="shared" si="436"/>
        <v>0</v>
      </c>
      <c r="BH1098" s="210">
        <f t="shared" si="437"/>
        <v>5</v>
      </c>
      <c r="BI1098" s="213">
        <f t="shared" si="433"/>
        <v>0</v>
      </c>
      <c r="BJ1098" s="141"/>
      <c r="BK1098" s="201"/>
      <c r="BL1098" s="202"/>
      <c r="BM1098" s="202"/>
    </row>
    <row r="1099" spans="1:65" s="17" customFormat="1" ht="18" customHeight="1">
      <c r="A1099" s="114">
        <v>88</v>
      </c>
      <c r="B1099" s="24" t="s">
        <v>3159</v>
      </c>
      <c r="C1099" s="25" t="s">
        <v>3160</v>
      </c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229"/>
      <c r="AC1099" s="228">
        <f t="shared" si="434"/>
        <v>0</v>
      </c>
      <c r="AD1099" s="19">
        <v>0</v>
      </c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>
        <v>1</v>
      </c>
      <c r="AQ1099" s="26"/>
      <c r="AR1099" s="26"/>
      <c r="AS1099" s="26"/>
      <c r="AT1099" s="26"/>
      <c r="AU1099" s="26"/>
      <c r="AV1099" s="26">
        <v>1</v>
      </c>
      <c r="AW1099" s="26"/>
      <c r="AX1099" s="26"/>
      <c r="AY1099" s="26"/>
      <c r="AZ1099" s="26"/>
      <c r="BA1099" s="26"/>
      <c r="BB1099" s="26">
        <v>1</v>
      </c>
      <c r="BC1099" s="229"/>
      <c r="BD1099" s="48">
        <f t="shared" si="435"/>
        <v>3</v>
      </c>
      <c r="BE1099" s="19">
        <v>0</v>
      </c>
      <c r="BF1099" s="229"/>
      <c r="BG1099" s="210">
        <f t="shared" si="436"/>
        <v>3</v>
      </c>
      <c r="BH1099" s="210">
        <f t="shared" si="437"/>
        <v>0</v>
      </c>
      <c r="BI1099" s="213" t="e">
        <f t="shared" si="433"/>
        <v>#DIV/0!</v>
      </c>
      <c r="BJ1099" s="141"/>
      <c r="BK1099" s="201"/>
      <c r="BL1099" s="202"/>
      <c r="BM1099" s="202"/>
    </row>
    <row r="1100" spans="1:65" s="17" customFormat="1" ht="18" customHeight="1">
      <c r="A1100" s="114">
        <v>89</v>
      </c>
      <c r="B1100" s="24" t="s">
        <v>628</v>
      </c>
      <c r="C1100" s="25" t="s">
        <v>629</v>
      </c>
      <c r="D1100" s="121"/>
      <c r="E1100" s="121"/>
      <c r="F1100" s="121"/>
      <c r="G1100" s="121"/>
      <c r="H1100" s="121"/>
      <c r="I1100" s="121">
        <f>2+1</f>
        <v>3</v>
      </c>
      <c r="J1100" s="121"/>
      <c r="K1100" s="121"/>
      <c r="L1100" s="121"/>
      <c r="M1100" s="121"/>
      <c r="N1100" s="121"/>
      <c r="O1100" s="121">
        <v>1</v>
      </c>
      <c r="P1100" s="121"/>
      <c r="Q1100" s="121"/>
      <c r="R1100" s="121"/>
      <c r="S1100" s="121"/>
      <c r="T1100" s="121"/>
      <c r="U1100" s="121">
        <f>3+1</f>
        <v>4</v>
      </c>
      <c r="V1100" s="121"/>
      <c r="W1100" s="121"/>
      <c r="X1100" s="121"/>
      <c r="Y1100" s="121"/>
      <c r="Z1100" s="121"/>
      <c r="AA1100" s="121">
        <v>1</v>
      </c>
      <c r="AB1100" s="229">
        <f t="shared" ref="AB1100:AB1124" si="441">D1100+F1100+H1100+J1100+L1100+N1100+P1100+R1100+T1100+V1100+X1100+Z1100</f>
        <v>0</v>
      </c>
      <c r="AC1100" s="228">
        <f t="shared" si="434"/>
        <v>9</v>
      </c>
      <c r="AD1100" s="19">
        <v>18</v>
      </c>
      <c r="AE1100" s="26"/>
      <c r="AF1100" s="26"/>
      <c r="AG1100" s="26"/>
      <c r="AH1100" s="26"/>
      <c r="AI1100" s="26"/>
      <c r="AJ1100" s="26">
        <f>233+630+24+17+12</f>
        <v>916</v>
      </c>
      <c r="AK1100" s="26"/>
      <c r="AL1100" s="26"/>
      <c r="AM1100" s="26"/>
      <c r="AN1100" s="26"/>
      <c r="AO1100" s="26"/>
      <c r="AP1100" s="26">
        <f>242+565+39+1+1</f>
        <v>848</v>
      </c>
      <c r="AQ1100" s="26"/>
      <c r="AR1100" s="26"/>
      <c r="AS1100" s="26"/>
      <c r="AT1100" s="26"/>
      <c r="AU1100" s="26"/>
      <c r="AV1100" s="26">
        <f>235+531+34+1</f>
        <v>801</v>
      </c>
      <c r="AW1100" s="26"/>
      <c r="AX1100" s="26"/>
      <c r="AY1100" s="26"/>
      <c r="AZ1100" s="26"/>
      <c r="BA1100" s="26"/>
      <c r="BB1100" s="26">
        <f>249+615+32+1</f>
        <v>897</v>
      </c>
      <c r="BC1100" s="229">
        <f t="shared" ref="BC1100:BC1124" si="442">AE1100+AG1100+AI1100+AK1100+AM1100+AO1100+AQ1100+AS1100+AU1100+AW1100+AY1100+BA1100</f>
        <v>0</v>
      </c>
      <c r="BD1100" s="48">
        <f t="shared" si="435"/>
        <v>3462</v>
      </c>
      <c r="BE1100" s="19">
        <v>3989</v>
      </c>
      <c r="BF1100" s="229">
        <f t="shared" ref="BF1100:BF1124" si="443">AB1100+BC1100</f>
        <v>0</v>
      </c>
      <c r="BG1100" s="210">
        <f t="shared" si="436"/>
        <v>3471</v>
      </c>
      <c r="BH1100" s="210">
        <f t="shared" si="437"/>
        <v>4007</v>
      </c>
      <c r="BI1100" s="213">
        <f t="shared" si="433"/>
        <v>86.623409034190175</v>
      </c>
      <c r="BJ1100" s="141"/>
      <c r="BK1100" s="201"/>
      <c r="BL1100" s="202"/>
      <c r="BM1100" s="202"/>
    </row>
    <row r="1101" spans="1:65" s="17" customFormat="1" ht="18" customHeight="1">
      <c r="A1101" s="114">
        <v>90</v>
      </c>
      <c r="B1101" s="24" t="s">
        <v>630</v>
      </c>
      <c r="C1101" s="25" t="s">
        <v>631</v>
      </c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229">
        <f t="shared" si="441"/>
        <v>0</v>
      </c>
      <c r="AC1101" s="228">
        <f t="shared" si="434"/>
        <v>0</v>
      </c>
      <c r="AD1101" s="19">
        <v>0</v>
      </c>
      <c r="AE1101" s="28"/>
      <c r="AF1101" s="28"/>
      <c r="AG1101" s="28"/>
      <c r="AH1101" s="28"/>
      <c r="AI1101" s="28"/>
      <c r="AJ1101" s="28">
        <f>18+1+1</f>
        <v>20</v>
      </c>
      <c r="AK1101" s="28"/>
      <c r="AL1101" s="28"/>
      <c r="AM1101" s="28"/>
      <c r="AN1101" s="28"/>
      <c r="AO1101" s="28"/>
      <c r="AP1101" s="28">
        <f>16+1</f>
        <v>17</v>
      </c>
      <c r="AQ1101" s="28"/>
      <c r="AR1101" s="28"/>
      <c r="AS1101" s="28"/>
      <c r="AT1101" s="28"/>
      <c r="AU1101" s="28"/>
      <c r="AV1101" s="28">
        <f>9+3</f>
        <v>12</v>
      </c>
      <c r="AW1101" s="28"/>
      <c r="AX1101" s="28"/>
      <c r="AY1101" s="28"/>
      <c r="AZ1101" s="28"/>
      <c r="BA1101" s="28"/>
      <c r="BB1101" s="28">
        <f>32+1</f>
        <v>33</v>
      </c>
      <c r="BC1101" s="229">
        <f t="shared" si="442"/>
        <v>0</v>
      </c>
      <c r="BD1101" s="48">
        <f t="shared" si="435"/>
        <v>82</v>
      </c>
      <c r="BE1101" s="19">
        <v>108</v>
      </c>
      <c r="BF1101" s="229">
        <f t="shared" si="443"/>
        <v>0</v>
      </c>
      <c r="BG1101" s="210">
        <f t="shared" si="436"/>
        <v>82</v>
      </c>
      <c r="BH1101" s="210">
        <f t="shared" si="437"/>
        <v>108</v>
      </c>
      <c r="BI1101" s="213">
        <f t="shared" si="433"/>
        <v>75.925925925925924</v>
      </c>
      <c r="BJ1101" s="141"/>
      <c r="BK1101" s="201"/>
      <c r="BL1101" s="202"/>
      <c r="BM1101" s="202"/>
    </row>
    <row r="1102" spans="1:65" s="17" customFormat="1" ht="18" customHeight="1">
      <c r="A1102" s="114">
        <v>91</v>
      </c>
      <c r="B1102" s="24" t="s">
        <v>770</v>
      </c>
      <c r="C1102" s="25" t="s">
        <v>771</v>
      </c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229">
        <f t="shared" si="441"/>
        <v>0</v>
      </c>
      <c r="AC1102" s="228">
        <f t="shared" si="434"/>
        <v>0</v>
      </c>
      <c r="AD1102" s="19">
        <v>0</v>
      </c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29">
        <f t="shared" si="442"/>
        <v>0</v>
      </c>
      <c r="BD1102" s="48">
        <f t="shared" si="435"/>
        <v>0</v>
      </c>
      <c r="BE1102" s="19">
        <v>3</v>
      </c>
      <c r="BF1102" s="229">
        <f t="shared" si="443"/>
        <v>0</v>
      </c>
      <c r="BG1102" s="210">
        <f t="shared" si="436"/>
        <v>0</v>
      </c>
      <c r="BH1102" s="210">
        <f t="shared" si="437"/>
        <v>3</v>
      </c>
      <c r="BI1102" s="213">
        <f t="shared" si="433"/>
        <v>0</v>
      </c>
      <c r="BJ1102" s="141"/>
      <c r="BK1102" s="201"/>
      <c r="BL1102" s="202"/>
      <c r="BM1102" s="202"/>
    </row>
    <row r="1103" spans="1:65" s="17" customFormat="1" ht="18" customHeight="1">
      <c r="A1103" s="114">
        <v>92</v>
      </c>
      <c r="B1103" s="24" t="s">
        <v>632</v>
      </c>
      <c r="C1103" s="25" t="s">
        <v>633</v>
      </c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229">
        <f t="shared" si="441"/>
        <v>0</v>
      </c>
      <c r="AC1103" s="228">
        <f t="shared" si="434"/>
        <v>0</v>
      </c>
      <c r="AD1103" s="19">
        <v>62</v>
      </c>
      <c r="AE1103" s="28"/>
      <c r="AF1103" s="28"/>
      <c r="AG1103" s="28"/>
      <c r="AH1103" s="28"/>
      <c r="AI1103" s="28"/>
      <c r="AJ1103" s="28">
        <f>69+189+7</f>
        <v>265</v>
      </c>
      <c r="AK1103" s="28"/>
      <c r="AL1103" s="28"/>
      <c r="AM1103" s="28"/>
      <c r="AN1103" s="28"/>
      <c r="AO1103" s="28"/>
      <c r="AP1103" s="28">
        <v>119</v>
      </c>
      <c r="AQ1103" s="28"/>
      <c r="AR1103" s="28"/>
      <c r="AS1103" s="28"/>
      <c r="AT1103" s="28"/>
      <c r="AU1103" s="28"/>
      <c r="AV1103" s="28">
        <f>29+64+5</f>
        <v>98</v>
      </c>
      <c r="AW1103" s="28"/>
      <c r="AX1103" s="28"/>
      <c r="AY1103" s="28"/>
      <c r="AZ1103" s="28"/>
      <c r="BA1103" s="28"/>
      <c r="BB1103" s="28">
        <f>35+242</f>
        <v>277</v>
      </c>
      <c r="BC1103" s="229">
        <f t="shared" si="442"/>
        <v>0</v>
      </c>
      <c r="BD1103" s="48">
        <f t="shared" si="435"/>
        <v>759</v>
      </c>
      <c r="BE1103" s="19">
        <v>1448</v>
      </c>
      <c r="BF1103" s="229">
        <f t="shared" si="443"/>
        <v>0</v>
      </c>
      <c r="BG1103" s="210">
        <f t="shared" si="436"/>
        <v>759</v>
      </c>
      <c r="BH1103" s="210">
        <f t="shared" si="437"/>
        <v>1510</v>
      </c>
      <c r="BI1103" s="213">
        <f t="shared" si="433"/>
        <v>50.264900662251655</v>
      </c>
      <c r="BJ1103" s="141"/>
      <c r="BK1103" s="201"/>
      <c r="BL1103" s="202"/>
      <c r="BM1103" s="202"/>
    </row>
    <row r="1104" spans="1:65" s="17" customFormat="1" ht="18" customHeight="1">
      <c r="A1104" s="114">
        <v>93</v>
      </c>
      <c r="B1104" s="24" t="s">
        <v>634</v>
      </c>
      <c r="C1104" s="25" t="s">
        <v>635</v>
      </c>
      <c r="D1104" s="121"/>
      <c r="E1104" s="121"/>
      <c r="F1104" s="121"/>
      <c r="G1104" s="121"/>
      <c r="H1104" s="121"/>
      <c r="I1104" s="121">
        <v>2</v>
      </c>
      <c r="J1104" s="121"/>
      <c r="K1104" s="121"/>
      <c r="L1104" s="121"/>
      <c r="M1104" s="121"/>
      <c r="N1104" s="121"/>
      <c r="O1104" s="121">
        <v>1</v>
      </c>
      <c r="P1104" s="121"/>
      <c r="Q1104" s="121"/>
      <c r="R1104" s="121"/>
      <c r="S1104" s="121"/>
      <c r="T1104" s="121"/>
      <c r="U1104" s="121">
        <f>1+1</f>
        <v>2</v>
      </c>
      <c r="V1104" s="121"/>
      <c r="W1104" s="121"/>
      <c r="X1104" s="121"/>
      <c r="Y1104" s="121"/>
      <c r="Z1104" s="121"/>
      <c r="AA1104" s="121"/>
      <c r="AB1104" s="229">
        <f t="shared" si="441"/>
        <v>0</v>
      </c>
      <c r="AC1104" s="228">
        <f t="shared" si="434"/>
        <v>5</v>
      </c>
      <c r="AD1104" s="19">
        <v>8</v>
      </c>
      <c r="AE1104" s="28"/>
      <c r="AF1104" s="28"/>
      <c r="AG1104" s="28"/>
      <c r="AH1104" s="28"/>
      <c r="AI1104" s="28"/>
      <c r="AJ1104" s="28">
        <f>410+91+27+5+5+20</f>
        <v>558</v>
      </c>
      <c r="AK1104" s="28"/>
      <c r="AL1104" s="28"/>
      <c r="AM1104" s="28"/>
      <c r="AN1104" s="28"/>
      <c r="AO1104" s="28"/>
      <c r="AP1104" s="28">
        <f>443+91+40+10+4</f>
        <v>588</v>
      </c>
      <c r="AQ1104" s="28"/>
      <c r="AR1104" s="28"/>
      <c r="AS1104" s="28"/>
      <c r="AT1104" s="28"/>
      <c r="AU1104" s="28"/>
      <c r="AV1104" s="28">
        <f>213+44+40+8+1</f>
        <v>306</v>
      </c>
      <c r="AW1104" s="28"/>
      <c r="AX1104" s="28"/>
      <c r="AY1104" s="28"/>
      <c r="AZ1104" s="28"/>
      <c r="BA1104" s="28"/>
      <c r="BB1104" s="28">
        <f>184+144+36</f>
        <v>364</v>
      </c>
      <c r="BC1104" s="229">
        <f t="shared" si="442"/>
        <v>0</v>
      </c>
      <c r="BD1104" s="48">
        <f t="shared" si="435"/>
        <v>1816</v>
      </c>
      <c r="BE1104" s="19">
        <v>3598</v>
      </c>
      <c r="BF1104" s="229">
        <f t="shared" si="443"/>
        <v>0</v>
      </c>
      <c r="BG1104" s="210">
        <f t="shared" si="436"/>
        <v>1821</v>
      </c>
      <c r="BH1104" s="210">
        <f t="shared" si="437"/>
        <v>3606</v>
      </c>
      <c r="BI1104" s="213">
        <f t="shared" si="433"/>
        <v>50.499168053244588</v>
      </c>
      <c r="BJ1104" s="141"/>
      <c r="BK1104" s="201"/>
      <c r="BL1104" s="202"/>
      <c r="BM1104" s="202"/>
    </row>
    <row r="1105" spans="1:65" s="17" customFormat="1" ht="18" customHeight="1">
      <c r="A1105" s="114">
        <v>94</v>
      </c>
      <c r="B1105" s="24" t="s">
        <v>636</v>
      </c>
      <c r="C1105" s="25" t="s">
        <v>637</v>
      </c>
      <c r="D1105" s="121"/>
      <c r="E1105" s="121"/>
      <c r="F1105" s="121"/>
      <c r="G1105" s="121"/>
      <c r="H1105" s="121"/>
      <c r="I1105" s="121">
        <v>1</v>
      </c>
      <c r="J1105" s="121"/>
      <c r="K1105" s="121"/>
      <c r="L1105" s="121"/>
      <c r="M1105" s="121"/>
      <c r="N1105" s="121"/>
      <c r="O1105" s="121">
        <v>1</v>
      </c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229">
        <f t="shared" si="441"/>
        <v>0</v>
      </c>
      <c r="AC1105" s="228">
        <f t="shared" si="434"/>
        <v>2</v>
      </c>
      <c r="AD1105" s="19">
        <v>2</v>
      </c>
      <c r="AE1105" s="28"/>
      <c r="AF1105" s="28"/>
      <c r="AG1105" s="28"/>
      <c r="AH1105" s="28"/>
      <c r="AI1105" s="28"/>
      <c r="AJ1105" s="28">
        <f>24+6+4+2</f>
        <v>36</v>
      </c>
      <c r="AK1105" s="28"/>
      <c r="AL1105" s="28"/>
      <c r="AM1105" s="28"/>
      <c r="AN1105" s="28"/>
      <c r="AO1105" s="28"/>
      <c r="AP1105" s="28">
        <f>15+4+4+1+1</f>
        <v>25</v>
      </c>
      <c r="AQ1105" s="28"/>
      <c r="AR1105" s="28"/>
      <c r="AS1105" s="28"/>
      <c r="AT1105" s="28"/>
      <c r="AU1105" s="28"/>
      <c r="AV1105" s="28">
        <f>10+1+6</f>
        <v>17</v>
      </c>
      <c r="AW1105" s="28"/>
      <c r="AX1105" s="28"/>
      <c r="AY1105" s="28"/>
      <c r="AZ1105" s="28"/>
      <c r="BA1105" s="28"/>
      <c r="BB1105" s="28">
        <f>5+1+6</f>
        <v>12</v>
      </c>
      <c r="BC1105" s="229">
        <f t="shared" si="442"/>
        <v>0</v>
      </c>
      <c r="BD1105" s="48">
        <f t="shared" si="435"/>
        <v>90</v>
      </c>
      <c r="BE1105" s="19">
        <v>114</v>
      </c>
      <c r="BF1105" s="229">
        <f t="shared" si="443"/>
        <v>0</v>
      </c>
      <c r="BG1105" s="210">
        <f t="shared" si="436"/>
        <v>92</v>
      </c>
      <c r="BH1105" s="210">
        <f t="shared" si="437"/>
        <v>116</v>
      </c>
      <c r="BI1105" s="213">
        <f t="shared" si="433"/>
        <v>79.310344827586206</v>
      </c>
      <c r="BJ1105" s="141"/>
      <c r="BK1105" s="201"/>
      <c r="BL1105" s="202"/>
      <c r="BM1105" s="202"/>
    </row>
    <row r="1106" spans="1:65" s="17" customFormat="1" ht="18" customHeight="1">
      <c r="A1106" s="114">
        <v>95</v>
      </c>
      <c r="B1106" s="24" t="s">
        <v>638</v>
      </c>
      <c r="C1106" s="25" t="s">
        <v>639</v>
      </c>
      <c r="D1106" s="121"/>
      <c r="E1106" s="121"/>
      <c r="F1106" s="121"/>
      <c r="G1106" s="121"/>
      <c r="H1106" s="121"/>
      <c r="I1106" s="121">
        <v>1</v>
      </c>
      <c r="J1106" s="121"/>
      <c r="K1106" s="121"/>
      <c r="L1106" s="121"/>
      <c r="M1106" s="121"/>
      <c r="N1106" s="121"/>
      <c r="O1106" s="121">
        <v>1</v>
      </c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229">
        <f t="shared" si="441"/>
        <v>0</v>
      </c>
      <c r="AC1106" s="228">
        <f t="shared" si="434"/>
        <v>2</v>
      </c>
      <c r="AD1106" s="19">
        <v>4</v>
      </c>
      <c r="AE1106" s="28"/>
      <c r="AF1106" s="28"/>
      <c r="AG1106" s="28"/>
      <c r="AH1106" s="28"/>
      <c r="AI1106" s="28"/>
      <c r="AJ1106" s="28">
        <v>5</v>
      </c>
      <c r="AK1106" s="28"/>
      <c r="AL1106" s="28"/>
      <c r="AM1106" s="28"/>
      <c r="AN1106" s="28"/>
      <c r="AO1106" s="28"/>
      <c r="AP1106" s="28">
        <v>3</v>
      </c>
      <c r="AQ1106" s="28"/>
      <c r="AR1106" s="28"/>
      <c r="AS1106" s="28"/>
      <c r="AT1106" s="28"/>
      <c r="AU1106" s="28"/>
      <c r="AV1106" s="28">
        <v>5</v>
      </c>
      <c r="AW1106" s="28"/>
      <c r="AX1106" s="28"/>
      <c r="AY1106" s="28"/>
      <c r="AZ1106" s="28"/>
      <c r="BA1106" s="28"/>
      <c r="BB1106" s="28">
        <v>4</v>
      </c>
      <c r="BC1106" s="229">
        <f t="shared" si="442"/>
        <v>0</v>
      </c>
      <c r="BD1106" s="48">
        <f t="shared" si="435"/>
        <v>17</v>
      </c>
      <c r="BE1106" s="19">
        <v>15</v>
      </c>
      <c r="BF1106" s="229">
        <f t="shared" si="443"/>
        <v>0</v>
      </c>
      <c r="BG1106" s="210">
        <f t="shared" si="436"/>
        <v>19</v>
      </c>
      <c r="BH1106" s="210">
        <f t="shared" si="437"/>
        <v>19</v>
      </c>
      <c r="BI1106" s="213">
        <f t="shared" si="433"/>
        <v>100</v>
      </c>
      <c r="BJ1106" s="141"/>
      <c r="BK1106" s="201"/>
      <c r="BL1106" s="202"/>
      <c r="BM1106" s="202"/>
    </row>
    <row r="1107" spans="1:65" s="17" customFormat="1" ht="18" customHeight="1">
      <c r="A1107" s="114">
        <v>96</v>
      </c>
      <c r="B1107" s="24" t="s">
        <v>640</v>
      </c>
      <c r="C1107" s="25" t="s">
        <v>641</v>
      </c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229">
        <f t="shared" si="441"/>
        <v>0</v>
      </c>
      <c r="AC1107" s="228">
        <f t="shared" si="434"/>
        <v>0</v>
      </c>
      <c r="AD1107" s="19">
        <v>0</v>
      </c>
      <c r="AE1107" s="26"/>
      <c r="AF1107" s="26"/>
      <c r="AG1107" s="26"/>
      <c r="AH1107" s="26"/>
      <c r="AI1107" s="26"/>
      <c r="AJ1107" s="26">
        <f>14+1</f>
        <v>15</v>
      </c>
      <c r="AK1107" s="26"/>
      <c r="AL1107" s="26"/>
      <c r="AM1107" s="26"/>
      <c r="AN1107" s="26"/>
      <c r="AO1107" s="26"/>
      <c r="AP1107" s="26">
        <f>1+1+1</f>
        <v>3</v>
      </c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>
        <f>1+2</f>
        <v>3</v>
      </c>
      <c r="BC1107" s="229">
        <f t="shared" si="442"/>
        <v>0</v>
      </c>
      <c r="BD1107" s="48">
        <f t="shared" si="435"/>
        <v>21</v>
      </c>
      <c r="BE1107" s="19">
        <v>12</v>
      </c>
      <c r="BF1107" s="229">
        <f t="shared" si="443"/>
        <v>0</v>
      </c>
      <c r="BG1107" s="210">
        <f t="shared" si="436"/>
        <v>21</v>
      </c>
      <c r="BH1107" s="210">
        <f t="shared" si="437"/>
        <v>12</v>
      </c>
      <c r="BI1107" s="213">
        <f t="shared" si="433"/>
        <v>175</v>
      </c>
      <c r="BJ1107" s="141"/>
      <c r="BK1107" s="201"/>
      <c r="BL1107" s="202"/>
      <c r="BM1107" s="202"/>
    </row>
    <row r="1108" spans="1:65" s="17" customFormat="1" ht="24" customHeight="1">
      <c r="A1108" s="114">
        <v>97</v>
      </c>
      <c r="B1108" s="24" t="s">
        <v>642</v>
      </c>
      <c r="C1108" s="27" t="s">
        <v>2448</v>
      </c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229">
        <f t="shared" si="441"/>
        <v>0</v>
      </c>
      <c r="AC1108" s="228">
        <f t="shared" si="434"/>
        <v>0</v>
      </c>
      <c r="AD1108" s="19">
        <v>1</v>
      </c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29">
        <f t="shared" si="442"/>
        <v>0</v>
      </c>
      <c r="BD1108" s="48">
        <f t="shared" si="435"/>
        <v>0</v>
      </c>
      <c r="BE1108" s="19">
        <v>2</v>
      </c>
      <c r="BF1108" s="229">
        <f t="shared" si="443"/>
        <v>0</v>
      </c>
      <c r="BG1108" s="210">
        <f t="shared" si="436"/>
        <v>0</v>
      </c>
      <c r="BH1108" s="210">
        <f t="shared" si="437"/>
        <v>3</v>
      </c>
      <c r="BI1108" s="213">
        <f t="shared" ref="BI1108:BI1138" si="444">BG1108/BH1108*100</f>
        <v>0</v>
      </c>
      <c r="BJ1108" s="141"/>
      <c r="BK1108" s="201"/>
      <c r="BL1108" s="202"/>
      <c r="BM1108" s="202"/>
    </row>
    <row r="1109" spans="1:65" s="17" customFormat="1" ht="18" customHeight="1">
      <c r="A1109" s="114">
        <v>98</v>
      </c>
      <c r="B1109" s="24" t="s">
        <v>643</v>
      </c>
      <c r="C1109" s="25" t="s">
        <v>722</v>
      </c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229">
        <f t="shared" si="441"/>
        <v>0</v>
      </c>
      <c r="AC1109" s="228">
        <f t="shared" si="434"/>
        <v>0</v>
      </c>
      <c r="AD1109" s="19">
        <v>0</v>
      </c>
      <c r="AE1109" s="28"/>
      <c r="AF1109" s="28"/>
      <c r="AG1109" s="28"/>
      <c r="AH1109" s="28"/>
      <c r="AI1109" s="28"/>
      <c r="AJ1109" s="28">
        <f>19+2+4</f>
        <v>25</v>
      </c>
      <c r="AK1109" s="28"/>
      <c r="AL1109" s="28"/>
      <c r="AM1109" s="28"/>
      <c r="AN1109" s="28"/>
      <c r="AO1109" s="28"/>
      <c r="AP1109" s="28">
        <f>23+1+2</f>
        <v>26</v>
      </c>
      <c r="AQ1109" s="28"/>
      <c r="AR1109" s="28"/>
      <c r="AS1109" s="28"/>
      <c r="AT1109" s="28"/>
      <c r="AU1109" s="28"/>
      <c r="AV1109" s="28">
        <v>15</v>
      </c>
      <c r="AW1109" s="28"/>
      <c r="AX1109" s="28"/>
      <c r="AY1109" s="28"/>
      <c r="AZ1109" s="28"/>
      <c r="BA1109" s="28"/>
      <c r="BB1109" s="28">
        <f>11+56</f>
        <v>67</v>
      </c>
      <c r="BC1109" s="229">
        <f t="shared" si="442"/>
        <v>0</v>
      </c>
      <c r="BD1109" s="48">
        <f t="shared" si="435"/>
        <v>133</v>
      </c>
      <c r="BE1109" s="19">
        <v>88</v>
      </c>
      <c r="BF1109" s="229">
        <f t="shared" si="443"/>
        <v>0</v>
      </c>
      <c r="BG1109" s="210">
        <f t="shared" si="436"/>
        <v>133</v>
      </c>
      <c r="BH1109" s="210">
        <f t="shared" si="437"/>
        <v>88</v>
      </c>
      <c r="BI1109" s="213">
        <f t="shared" si="444"/>
        <v>151.13636363636365</v>
      </c>
      <c r="BJ1109" s="141"/>
      <c r="BK1109" s="201"/>
      <c r="BL1109" s="202"/>
      <c r="BM1109" s="202"/>
    </row>
    <row r="1110" spans="1:65" s="17" customFormat="1" ht="18" customHeight="1">
      <c r="A1110" s="114">
        <v>99</v>
      </c>
      <c r="B1110" s="24" t="s">
        <v>1010</v>
      </c>
      <c r="C1110" s="25" t="s">
        <v>1375</v>
      </c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229">
        <f t="shared" si="441"/>
        <v>0</v>
      </c>
      <c r="AC1110" s="228">
        <f t="shared" si="434"/>
        <v>0</v>
      </c>
      <c r="AD1110" s="19">
        <v>0</v>
      </c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29">
        <f t="shared" si="442"/>
        <v>0</v>
      </c>
      <c r="BD1110" s="48">
        <f t="shared" si="435"/>
        <v>0</v>
      </c>
      <c r="BE1110" s="19">
        <v>1</v>
      </c>
      <c r="BF1110" s="229">
        <f t="shared" si="443"/>
        <v>0</v>
      </c>
      <c r="BG1110" s="210">
        <f t="shared" si="436"/>
        <v>0</v>
      </c>
      <c r="BH1110" s="210">
        <f t="shared" si="437"/>
        <v>1</v>
      </c>
      <c r="BI1110" s="213">
        <f t="shared" si="444"/>
        <v>0</v>
      </c>
      <c r="BJ1110" s="141"/>
      <c r="BK1110" s="201"/>
      <c r="BL1110" s="202"/>
      <c r="BM1110" s="202"/>
    </row>
    <row r="1111" spans="1:65" s="17" customFormat="1" ht="18" customHeight="1">
      <c r="A1111" s="114">
        <v>100</v>
      </c>
      <c r="B1111" s="24" t="s">
        <v>773</v>
      </c>
      <c r="C1111" s="25" t="s">
        <v>1159</v>
      </c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229">
        <f t="shared" si="441"/>
        <v>0</v>
      </c>
      <c r="AC1111" s="228">
        <f t="shared" si="434"/>
        <v>0</v>
      </c>
      <c r="AD1111" s="19">
        <v>0</v>
      </c>
      <c r="AE1111" s="28"/>
      <c r="AF1111" s="28"/>
      <c r="AG1111" s="28"/>
      <c r="AH1111" s="28"/>
      <c r="AI1111" s="28"/>
      <c r="AJ1111" s="28">
        <v>8</v>
      </c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>
        <v>1</v>
      </c>
      <c r="BC1111" s="229">
        <f t="shared" si="442"/>
        <v>0</v>
      </c>
      <c r="BD1111" s="48">
        <f t="shared" si="435"/>
        <v>9</v>
      </c>
      <c r="BE1111" s="19">
        <v>20</v>
      </c>
      <c r="BF1111" s="229">
        <f t="shared" si="443"/>
        <v>0</v>
      </c>
      <c r="BG1111" s="210">
        <f t="shared" si="436"/>
        <v>9</v>
      </c>
      <c r="BH1111" s="210">
        <f t="shared" si="437"/>
        <v>20</v>
      </c>
      <c r="BI1111" s="213">
        <f t="shared" si="444"/>
        <v>45</v>
      </c>
      <c r="BJ1111" s="141"/>
      <c r="BK1111" s="201"/>
      <c r="BL1111" s="202"/>
      <c r="BM1111" s="202"/>
    </row>
    <row r="1112" spans="1:65" s="17" customFormat="1" ht="18" customHeight="1">
      <c r="A1112" s="114">
        <v>101</v>
      </c>
      <c r="B1112" s="24" t="s">
        <v>644</v>
      </c>
      <c r="C1112" s="25" t="s">
        <v>645</v>
      </c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229">
        <f t="shared" si="441"/>
        <v>0</v>
      </c>
      <c r="AC1112" s="228">
        <f t="shared" si="434"/>
        <v>0</v>
      </c>
      <c r="AD1112" s="19">
        <v>0</v>
      </c>
      <c r="AE1112" s="28"/>
      <c r="AF1112" s="28"/>
      <c r="AG1112" s="28"/>
      <c r="AH1112" s="28"/>
      <c r="AI1112" s="28"/>
      <c r="AJ1112" s="28">
        <f>34+20</f>
        <v>54</v>
      </c>
      <c r="AK1112" s="28"/>
      <c r="AL1112" s="28"/>
      <c r="AM1112" s="28"/>
      <c r="AN1112" s="28"/>
      <c r="AO1112" s="28"/>
      <c r="AP1112" s="28">
        <f>20+1</f>
        <v>21</v>
      </c>
      <c r="AQ1112" s="28"/>
      <c r="AR1112" s="28"/>
      <c r="AS1112" s="28"/>
      <c r="AT1112" s="28"/>
      <c r="AU1112" s="28"/>
      <c r="AV1112" s="28">
        <v>3</v>
      </c>
      <c r="AW1112" s="28"/>
      <c r="AX1112" s="28"/>
      <c r="AY1112" s="28"/>
      <c r="AZ1112" s="28"/>
      <c r="BA1112" s="28"/>
      <c r="BB1112" s="28">
        <v>12</v>
      </c>
      <c r="BC1112" s="229">
        <f t="shared" si="442"/>
        <v>0</v>
      </c>
      <c r="BD1112" s="48">
        <f t="shared" si="435"/>
        <v>90</v>
      </c>
      <c r="BE1112" s="19">
        <v>136</v>
      </c>
      <c r="BF1112" s="229">
        <f t="shared" si="443"/>
        <v>0</v>
      </c>
      <c r="BG1112" s="210">
        <f t="shared" si="436"/>
        <v>90</v>
      </c>
      <c r="BH1112" s="210">
        <f t="shared" si="437"/>
        <v>136</v>
      </c>
      <c r="BI1112" s="213">
        <f t="shared" si="444"/>
        <v>66.17647058823529</v>
      </c>
      <c r="BJ1112" s="141"/>
      <c r="BK1112" s="201"/>
      <c r="BL1112" s="202"/>
      <c r="BM1112" s="202"/>
    </row>
    <row r="1113" spans="1:65" s="17" customFormat="1" ht="18" customHeight="1">
      <c r="A1113" s="114">
        <v>102</v>
      </c>
      <c r="B1113" s="24" t="s">
        <v>1011</v>
      </c>
      <c r="C1113" s="25" t="s">
        <v>1596</v>
      </c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229">
        <f t="shared" si="441"/>
        <v>0</v>
      </c>
      <c r="AC1113" s="228">
        <f t="shared" si="434"/>
        <v>0</v>
      </c>
      <c r="AD1113" s="19">
        <v>0</v>
      </c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>
        <v>6</v>
      </c>
      <c r="BC1113" s="229">
        <f t="shared" si="442"/>
        <v>0</v>
      </c>
      <c r="BD1113" s="48">
        <f t="shared" si="435"/>
        <v>6</v>
      </c>
      <c r="BE1113" s="19">
        <v>7</v>
      </c>
      <c r="BF1113" s="229">
        <f t="shared" si="443"/>
        <v>0</v>
      </c>
      <c r="BG1113" s="210">
        <f t="shared" si="436"/>
        <v>6</v>
      </c>
      <c r="BH1113" s="210">
        <f t="shared" si="437"/>
        <v>7</v>
      </c>
      <c r="BI1113" s="213">
        <f t="shared" si="444"/>
        <v>85.714285714285708</v>
      </c>
      <c r="BJ1113" s="141"/>
      <c r="BK1113" s="201"/>
      <c r="BL1113" s="202"/>
      <c r="BM1113" s="202"/>
    </row>
    <row r="1114" spans="1:65" s="17" customFormat="1" ht="18" customHeight="1">
      <c r="A1114" s="114">
        <v>103</v>
      </c>
      <c r="B1114" s="24" t="s">
        <v>1918</v>
      </c>
      <c r="C1114" s="25" t="s">
        <v>1919</v>
      </c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229">
        <f t="shared" si="441"/>
        <v>0</v>
      </c>
      <c r="AC1114" s="228">
        <f t="shared" si="434"/>
        <v>0</v>
      </c>
      <c r="AD1114" s="19">
        <v>0</v>
      </c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29">
        <f t="shared" si="442"/>
        <v>0</v>
      </c>
      <c r="BD1114" s="48">
        <f t="shared" si="435"/>
        <v>0</v>
      </c>
      <c r="BE1114" s="19">
        <v>2</v>
      </c>
      <c r="BF1114" s="229">
        <f t="shared" si="443"/>
        <v>0</v>
      </c>
      <c r="BG1114" s="210">
        <f t="shared" si="436"/>
        <v>0</v>
      </c>
      <c r="BH1114" s="210">
        <f t="shared" si="437"/>
        <v>2</v>
      </c>
      <c r="BI1114" s="213">
        <f t="shared" si="444"/>
        <v>0</v>
      </c>
      <c r="BJ1114" s="141"/>
      <c r="BK1114" s="201"/>
      <c r="BL1114" s="202"/>
      <c r="BM1114" s="202"/>
    </row>
    <row r="1115" spans="1:65" s="17" customFormat="1" ht="18" customHeight="1">
      <c r="A1115" s="114">
        <v>104</v>
      </c>
      <c r="B1115" s="24" t="s">
        <v>648</v>
      </c>
      <c r="C1115" s="25" t="s">
        <v>649</v>
      </c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229">
        <f t="shared" si="441"/>
        <v>0</v>
      </c>
      <c r="AC1115" s="228">
        <f t="shared" si="434"/>
        <v>0</v>
      </c>
      <c r="AD1115" s="19">
        <v>0</v>
      </c>
      <c r="AE1115" s="28"/>
      <c r="AF1115" s="28"/>
      <c r="AG1115" s="28"/>
      <c r="AH1115" s="28"/>
      <c r="AI1115" s="28"/>
      <c r="AJ1115" s="28">
        <f>7+9</f>
        <v>16</v>
      </c>
      <c r="AK1115" s="28"/>
      <c r="AL1115" s="28"/>
      <c r="AM1115" s="28"/>
      <c r="AN1115" s="28"/>
      <c r="AO1115" s="28"/>
      <c r="AP1115" s="28">
        <f>117+8</f>
        <v>125</v>
      </c>
      <c r="AQ1115" s="28"/>
      <c r="AR1115" s="28"/>
      <c r="AS1115" s="28"/>
      <c r="AT1115" s="28"/>
      <c r="AU1115" s="28"/>
      <c r="AV1115" s="28">
        <f>58+6</f>
        <v>64</v>
      </c>
      <c r="AW1115" s="28"/>
      <c r="AX1115" s="28"/>
      <c r="AY1115" s="28"/>
      <c r="AZ1115" s="28"/>
      <c r="BA1115" s="28"/>
      <c r="BB1115" s="28">
        <f>18+6</f>
        <v>24</v>
      </c>
      <c r="BC1115" s="229">
        <f t="shared" si="442"/>
        <v>0</v>
      </c>
      <c r="BD1115" s="48">
        <f t="shared" si="435"/>
        <v>229</v>
      </c>
      <c r="BE1115" s="19">
        <v>112</v>
      </c>
      <c r="BF1115" s="229">
        <f t="shared" si="443"/>
        <v>0</v>
      </c>
      <c r="BG1115" s="210">
        <f t="shared" si="436"/>
        <v>229</v>
      </c>
      <c r="BH1115" s="210">
        <f t="shared" si="437"/>
        <v>112</v>
      </c>
      <c r="BI1115" s="213">
        <f t="shared" si="444"/>
        <v>204.46428571428572</v>
      </c>
      <c r="BJ1115" s="141"/>
      <c r="BK1115" s="201"/>
      <c r="BL1115" s="202"/>
      <c r="BM1115" s="202"/>
    </row>
    <row r="1116" spans="1:65" s="17" customFormat="1" ht="18" customHeight="1">
      <c r="A1116" s="114">
        <v>105</v>
      </c>
      <c r="B1116" s="24" t="s">
        <v>700</v>
      </c>
      <c r="C1116" s="25" t="s">
        <v>845</v>
      </c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229">
        <f t="shared" si="441"/>
        <v>0</v>
      </c>
      <c r="AC1116" s="228">
        <f t="shared" si="434"/>
        <v>0</v>
      </c>
      <c r="AD1116" s="19">
        <v>0</v>
      </c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29">
        <f t="shared" si="442"/>
        <v>0</v>
      </c>
      <c r="BD1116" s="48">
        <f t="shared" si="435"/>
        <v>0</v>
      </c>
      <c r="BE1116" s="19">
        <v>9</v>
      </c>
      <c r="BF1116" s="229">
        <f t="shared" si="443"/>
        <v>0</v>
      </c>
      <c r="BG1116" s="210">
        <f t="shared" si="436"/>
        <v>0</v>
      </c>
      <c r="BH1116" s="210">
        <f t="shared" si="437"/>
        <v>9</v>
      </c>
      <c r="BI1116" s="213">
        <f t="shared" si="444"/>
        <v>0</v>
      </c>
      <c r="BJ1116" s="141"/>
      <c r="BK1116" s="201"/>
      <c r="BL1116" s="202"/>
      <c r="BM1116" s="202"/>
    </row>
    <row r="1117" spans="1:65" s="17" customFormat="1" ht="18" customHeight="1">
      <c r="A1117" s="114">
        <v>106</v>
      </c>
      <c r="B1117" s="24" t="s">
        <v>1048</v>
      </c>
      <c r="C1117" s="25" t="s">
        <v>2846</v>
      </c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229">
        <f t="shared" si="441"/>
        <v>0</v>
      </c>
      <c r="AC1117" s="228">
        <f t="shared" si="434"/>
        <v>0</v>
      </c>
      <c r="AD1117" s="19">
        <v>0</v>
      </c>
      <c r="AE1117" s="28"/>
      <c r="AF1117" s="28"/>
      <c r="AG1117" s="28"/>
      <c r="AH1117" s="28"/>
      <c r="AI1117" s="28"/>
      <c r="AJ1117" s="28">
        <v>1</v>
      </c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29">
        <f t="shared" si="442"/>
        <v>0</v>
      </c>
      <c r="BD1117" s="48">
        <f t="shared" si="435"/>
        <v>1</v>
      </c>
      <c r="BE1117" s="19">
        <v>0</v>
      </c>
      <c r="BF1117" s="229">
        <f t="shared" si="443"/>
        <v>0</v>
      </c>
      <c r="BG1117" s="210">
        <f t="shared" si="436"/>
        <v>1</v>
      </c>
      <c r="BH1117" s="210">
        <f t="shared" si="437"/>
        <v>0</v>
      </c>
      <c r="BI1117" s="213" t="e">
        <f t="shared" si="444"/>
        <v>#DIV/0!</v>
      </c>
      <c r="BJ1117" s="141"/>
      <c r="BK1117" s="201"/>
      <c r="BL1117" s="202"/>
      <c r="BM1117" s="202"/>
    </row>
    <row r="1118" spans="1:65" s="17" customFormat="1" ht="18" customHeight="1">
      <c r="A1118" s="114">
        <v>107</v>
      </c>
      <c r="B1118" s="24" t="s">
        <v>650</v>
      </c>
      <c r="C1118" s="25" t="s">
        <v>2834</v>
      </c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229">
        <f t="shared" si="441"/>
        <v>0</v>
      </c>
      <c r="AC1118" s="228">
        <f t="shared" si="434"/>
        <v>0</v>
      </c>
      <c r="AD1118" s="19">
        <v>0</v>
      </c>
      <c r="AE1118" s="28"/>
      <c r="AF1118" s="28"/>
      <c r="AG1118" s="28"/>
      <c r="AH1118" s="28"/>
      <c r="AI1118" s="28"/>
      <c r="AJ1118" s="28">
        <v>10</v>
      </c>
      <c r="AK1118" s="28"/>
      <c r="AL1118" s="28"/>
      <c r="AM1118" s="28"/>
      <c r="AN1118" s="28"/>
      <c r="AO1118" s="28"/>
      <c r="AP1118" s="28">
        <v>10</v>
      </c>
      <c r="AQ1118" s="28"/>
      <c r="AR1118" s="28"/>
      <c r="AS1118" s="28"/>
      <c r="AT1118" s="28"/>
      <c r="AU1118" s="28"/>
      <c r="AV1118" s="28">
        <v>4</v>
      </c>
      <c r="AW1118" s="28"/>
      <c r="AX1118" s="28"/>
      <c r="AY1118" s="28"/>
      <c r="AZ1118" s="28"/>
      <c r="BA1118" s="28"/>
      <c r="BB1118" s="28">
        <v>8</v>
      </c>
      <c r="BC1118" s="229">
        <f t="shared" si="442"/>
        <v>0</v>
      </c>
      <c r="BD1118" s="48">
        <f t="shared" si="435"/>
        <v>32</v>
      </c>
      <c r="BE1118" s="19">
        <v>37</v>
      </c>
      <c r="BF1118" s="229">
        <f t="shared" si="443"/>
        <v>0</v>
      </c>
      <c r="BG1118" s="210">
        <f t="shared" si="436"/>
        <v>32</v>
      </c>
      <c r="BH1118" s="210">
        <f t="shared" si="437"/>
        <v>37</v>
      </c>
      <c r="BI1118" s="213">
        <f t="shared" si="444"/>
        <v>86.486486486486484</v>
      </c>
      <c r="BJ1118" s="141"/>
      <c r="BK1118" s="201"/>
      <c r="BL1118" s="202"/>
      <c r="BM1118" s="202"/>
    </row>
    <row r="1119" spans="1:65" s="17" customFormat="1" ht="22.5" customHeight="1">
      <c r="A1119" s="114">
        <v>108</v>
      </c>
      <c r="B1119" s="24" t="s">
        <v>701</v>
      </c>
      <c r="C1119" s="27" t="s">
        <v>2835</v>
      </c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229">
        <f t="shared" si="441"/>
        <v>0</v>
      </c>
      <c r="AC1119" s="228">
        <f t="shared" ref="AC1119:AC1151" si="445">E1119+G1119+I1119+K1119+M1119+O1119+Q1119+S1119+U1119+W1119+Y1119+AA1119</f>
        <v>0</v>
      </c>
      <c r="AD1119" s="19">
        <v>0</v>
      </c>
      <c r="AE1119" s="28"/>
      <c r="AF1119" s="28"/>
      <c r="AG1119" s="28"/>
      <c r="AH1119" s="28"/>
      <c r="AI1119" s="28"/>
      <c r="AJ1119" s="28">
        <f>1+1</f>
        <v>2</v>
      </c>
      <c r="AK1119" s="28"/>
      <c r="AL1119" s="28"/>
      <c r="AM1119" s="28"/>
      <c r="AN1119" s="28"/>
      <c r="AO1119" s="28"/>
      <c r="AP1119" s="28">
        <v>3</v>
      </c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29">
        <f t="shared" si="442"/>
        <v>0</v>
      </c>
      <c r="BD1119" s="48">
        <f t="shared" ref="BD1119:BD1151" si="446">AF1119+AH1119+AJ1119+AL1119+AN1119+AP1119+AR1119+AT1119+AV1119+AX1119+AZ1119+BB1119</f>
        <v>5</v>
      </c>
      <c r="BE1119" s="19">
        <v>6</v>
      </c>
      <c r="BF1119" s="229">
        <f t="shared" si="443"/>
        <v>0</v>
      </c>
      <c r="BG1119" s="210">
        <f t="shared" ref="BG1119:BG1151" si="447">AC1119+BD1119</f>
        <v>5</v>
      </c>
      <c r="BH1119" s="210">
        <f t="shared" ref="BH1119:BH1151" si="448">AD1119+BE1119</f>
        <v>6</v>
      </c>
      <c r="BI1119" s="213">
        <f t="shared" si="444"/>
        <v>83.333333333333343</v>
      </c>
      <c r="BJ1119" s="141"/>
      <c r="BK1119" s="201"/>
      <c r="BL1119" s="202"/>
      <c r="BM1119" s="202"/>
    </row>
    <row r="1120" spans="1:65" s="17" customFormat="1" ht="18" customHeight="1">
      <c r="A1120" s="114">
        <v>109</v>
      </c>
      <c r="B1120" s="24" t="s">
        <v>702</v>
      </c>
      <c r="C1120" s="25" t="s">
        <v>2836</v>
      </c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229">
        <f t="shared" si="441"/>
        <v>0</v>
      </c>
      <c r="AC1120" s="228">
        <f t="shared" si="445"/>
        <v>0</v>
      </c>
      <c r="AD1120" s="19">
        <v>0</v>
      </c>
      <c r="AE1120" s="28"/>
      <c r="AF1120" s="28"/>
      <c r="AG1120" s="28"/>
      <c r="AH1120" s="28"/>
      <c r="AI1120" s="28"/>
      <c r="AJ1120" s="28">
        <v>1</v>
      </c>
      <c r="AK1120" s="28"/>
      <c r="AL1120" s="28"/>
      <c r="AM1120" s="28"/>
      <c r="AN1120" s="28"/>
      <c r="AO1120" s="28"/>
      <c r="AP1120" s="28">
        <v>1</v>
      </c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>
        <v>1</v>
      </c>
      <c r="BC1120" s="229">
        <f t="shared" si="442"/>
        <v>0</v>
      </c>
      <c r="BD1120" s="48">
        <f t="shared" si="446"/>
        <v>3</v>
      </c>
      <c r="BE1120" s="19">
        <v>5</v>
      </c>
      <c r="BF1120" s="229">
        <f t="shared" si="443"/>
        <v>0</v>
      </c>
      <c r="BG1120" s="210">
        <f t="shared" si="447"/>
        <v>3</v>
      </c>
      <c r="BH1120" s="210">
        <f t="shared" si="448"/>
        <v>5</v>
      </c>
      <c r="BI1120" s="213">
        <f t="shared" si="444"/>
        <v>60</v>
      </c>
      <c r="BJ1120" s="141"/>
      <c r="BK1120" s="201"/>
      <c r="BL1120" s="202"/>
      <c r="BM1120" s="202"/>
    </row>
    <row r="1121" spans="1:65" s="17" customFormat="1" ht="18" customHeight="1">
      <c r="A1121" s="114">
        <v>110</v>
      </c>
      <c r="B1121" s="24" t="s">
        <v>651</v>
      </c>
      <c r="C1121" s="25" t="s">
        <v>1453</v>
      </c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229">
        <f t="shared" si="441"/>
        <v>0</v>
      </c>
      <c r="AC1121" s="228">
        <f t="shared" si="445"/>
        <v>0</v>
      </c>
      <c r="AD1121" s="19">
        <v>0</v>
      </c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29">
        <f t="shared" si="442"/>
        <v>0</v>
      </c>
      <c r="BD1121" s="48">
        <f t="shared" si="446"/>
        <v>0</v>
      </c>
      <c r="BE1121" s="19">
        <v>1</v>
      </c>
      <c r="BF1121" s="229">
        <f t="shared" si="443"/>
        <v>0</v>
      </c>
      <c r="BG1121" s="210">
        <f t="shared" si="447"/>
        <v>0</v>
      </c>
      <c r="BH1121" s="210">
        <f t="shared" si="448"/>
        <v>1</v>
      </c>
      <c r="BI1121" s="213">
        <f t="shared" si="444"/>
        <v>0</v>
      </c>
      <c r="BJ1121" s="141"/>
      <c r="BK1121" s="201"/>
      <c r="BL1121" s="202"/>
      <c r="BM1121" s="202"/>
    </row>
    <row r="1122" spans="1:65" s="17" customFormat="1" ht="18" customHeight="1">
      <c r="A1122" s="114">
        <v>111</v>
      </c>
      <c r="B1122" s="24" t="s">
        <v>814</v>
      </c>
      <c r="C1122" s="25" t="s">
        <v>815</v>
      </c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229">
        <f t="shared" si="441"/>
        <v>0</v>
      </c>
      <c r="AC1122" s="228">
        <f t="shared" si="445"/>
        <v>0</v>
      </c>
      <c r="AD1122" s="19">
        <v>0</v>
      </c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29">
        <f t="shared" si="442"/>
        <v>0</v>
      </c>
      <c r="BD1122" s="48">
        <f t="shared" si="446"/>
        <v>0</v>
      </c>
      <c r="BE1122" s="19">
        <v>1</v>
      </c>
      <c r="BF1122" s="229">
        <f t="shared" si="443"/>
        <v>0</v>
      </c>
      <c r="BG1122" s="210">
        <f t="shared" si="447"/>
        <v>0</v>
      </c>
      <c r="BH1122" s="210">
        <f t="shared" si="448"/>
        <v>1</v>
      </c>
      <c r="BI1122" s="213">
        <f t="shared" si="444"/>
        <v>0</v>
      </c>
      <c r="BJ1122" s="141"/>
      <c r="BK1122" s="201"/>
      <c r="BL1122" s="202"/>
      <c r="BM1122" s="202"/>
    </row>
    <row r="1123" spans="1:65" s="17" customFormat="1" ht="18" customHeight="1">
      <c r="A1123" s="114">
        <v>113</v>
      </c>
      <c r="B1123" s="24" t="s">
        <v>703</v>
      </c>
      <c r="C1123" s="25" t="s">
        <v>774</v>
      </c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229">
        <f t="shared" si="441"/>
        <v>0</v>
      </c>
      <c r="AC1123" s="228">
        <f t="shared" si="445"/>
        <v>0</v>
      </c>
      <c r="AD1123" s="19">
        <v>0</v>
      </c>
      <c r="AE1123" s="28"/>
      <c r="AF1123" s="28"/>
      <c r="AG1123" s="28"/>
      <c r="AH1123" s="28"/>
      <c r="AI1123" s="28"/>
      <c r="AJ1123" s="28">
        <v>10</v>
      </c>
      <c r="AK1123" s="28"/>
      <c r="AL1123" s="28"/>
      <c r="AM1123" s="28"/>
      <c r="AN1123" s="28"/>
      <c r="AO1123" s="28"/>
      <c r="AP1123" s="28">
        <v>14</v>
      </c>
      <c r="AQ1123" s="28"/>
      <c r="AR1123" s="28"/>
      <c r="AS1123" s="28"/>
      <c r="AT1123" s="28"/>
      <c r="AU1123" s="28"/>
      <c r="AV1123" s="28">
        <v>14</v>
      </c>
      <c r="AW1123" s="28"/>
      <c r="AX1123" s="28"/>
      <c r="AY1123" s="28"/>
      <c r="AZ1123" s="28"/>
      <c r="BA1123" s="28"/>
      <c r="BB1123" s="28">
        <v>17</v>
      </c>
      <c r="BC1123" s="229">
        <f t="shared" si="442"/>
        <v>0</v>
      </c>
      <c r="BD1123" s="48">
        <f t="shared" si="446"/>
        <v>55</v>
      </c>
      <c r="BE1123" s="19">
        <v>17</v>
      </c>
      <c r="BF1123" s="229">
        <f t="shared" si="443"/>
        <v>0</v>
      </c>
      <c r="BG1123" s="210">
        <f t="shared" si="447"/>
        <v>55</v>
      </c>
      <c r="BH1123" s="210">
        <f t="shared" si="448"/>
        <v>17</v>
      </c>
      <c r="BI1123" s="213">
        <f t="shared" si="444"/>
        <v>323.52941176470591</v>
      </c>
      <c r="BJ1123" s="141"/>
      <c r="BK1123" s="201"/>
      <c r="BL1123" s="202"/>
      <c r="BM1123" s="202"/>
    </row>
    <row r="1124" spans="1:65" s="17" customFormat="1" ht="18" customHeight="1">
      <c r="A1124" s="114">
        <v>114</v>
      </c>
      <c r="B1124" s="24" t="s">
        <v>819</v>
      </c>
      <c r="C1124" s="25" t="s">
        <v>993</v>
      </c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229">
        <f t="shared" si="441"/>
        <v>0</v>
      </c>
      <c r="AC1124" s="228">
        <f t="shared" si="445"/>
        <v>0</v>
      </c>
      <c r="AD1124" s="19">
        <v>0</v>
      </c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29">
        <f t="shared" si="442"/>
        <v>0</v>
      </c>
      <c r="BD1124" s="48">
        <f t="shared" si="446"/>
        <v>0</v>
      </c>
      <c r="BE1124" s="19">
        <v>1</v>
      </c>
      <c r="BF1124" s="229">
        <f t="shared" si="443"/>
        <v>0</v>
      </c>
      <c r="BG1124" s="210">
        <f t="shared" si="447"/>
        <v>0</v>
      </c>
      <c r="BH1124" s="210">
        <f t="shared" si="448"/>
        <v>1</v>
      </c>
      <c r="BI1124" s="213">
        <f t="shared" si="444"/>
        <v>0</v>
      </c>
      <c r="BJ1124" s="141"/>
      <c r="BK1124" s="201"/>
      <c r="BL1124" s="202"/>
      <c r="BM1124" s="202"/>
    </row>
    <row r="1125" spans="1:65" s="17" customFormat="1" ht="18" customHeight="1">
      <c r="A1125" s="114">
        <v>115</v>
      </c>
      <c r="B1125" s="24" t="s">
        <v>2944</v>
      </c>
      <c r="C1125" s="25" t="s">
        <v>2945</v>
      </c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229"/>
      <c r="AC1125" s="228">
        <f t="shared" si="445"/>
        <v>0</v>
      </c>
      <c r="AD1125" s="19">
        <v>0</v>
      </c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>
        <v>1</v>
      </c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29"/>
      <c r="BD1125" s="48">
        <f t="shared" si="446"/>
        <v>1</v>
      </c>
      <c r="BE1125" s="19">
        <v>0</v>
      </c>
      <c r="BF1125" s="229"/>
      <c r="BG1125" s="210">
        <f t="shared" si="447"/>
        <v>1</v>
      </c>
      <c r="BH1125" s="210">
        <f t="shared" si="448"/>
        <v>0</v>
      </c>
      <c r="BI1125" s="213" t="e">
        <f t="shared" si="444"/>
        <v>#DIV/0!</v>
      </c>
      <c r="BJ1125" s="141"/>
      <c r="BK1125" s="201"/>
      <c r="BL1125" s="202"/>
      <c r="BM1125" s="202"/>
    </row>
    <row r="1126" spans="1:65" s="17" customFormat="1" ht="18" customHeight="1">
      <c r="A1126" s="114">
        <v>116</v>
      </c>
      <c r="B1126" s="24" t="s">
        <v>725</v>
      </c>
      <c r="C1126" s="25" t="s">
        <v>1494</v>
      </c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229">
        <f t="shared" ref="AB1126:AB1133" si="449">D1126+F1126+H1126+J1126+L1126+N1126+P1126+R1126+T1126+V1126+X1126+Z1126</f>
        <v>0</v>
      </c>
      <c r="AC1126" s="228">
        <f t="shared" si="445"/>
        <v>0</v>
      </c>
      <c r="AD1126" s="19">
        <v>0</v>
      </c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29">
        <f t="shared" ref="BC1126:BC1133" si="450">AE1126+AG1126+AI1126+AK1126+AM1126+AO1126+AQ1126+AS1126+AU1126+AW1126+AY1126+BA1126</f>
        <v>0</v>
      </c>
      <c r="BD1126" s="48">
        <f t="shared" si="446"/>
        <v>0</v>
      </c>
      <c r="BE1126" s="19">
        <v>1</v>
      </c>
      <c r="BF1126" s="229">
        <f t="shared" ref="BF1126:BF1133" si="451">AB1126+BC1126</f>
        <v>0</v>
      </c>
      <c r="BG1126" s="210">
        <f t="shared" si="447"/>
        <v>0</v>
      </c>
      <c r="BH1126" s="210">
        <f t="shared" si="448"/>
        <v>1</v>
      </c>
      <c r="BI1126" s="213">
        <f t="shared" si="444"/>
        <v>0</v>
      </c>
      <c r="BJ1126" s="141"/>
      <c r="BK1126" s="201"/>
      <c r="BL1126" s="202"/>
      <c r="BM1126" s="202"/>
    </row>
    <row r="1127" spans="1:65" s="17" customFormat="1" ht="18" customHeight="1">
      <c r="A1127" s="114">
        <v>117</v>
      </c>
      <c r="B1127" s="24" t="s">
        <v>732</v>
      </c>
      <c r="C1127" s="34" t="s">
        <v>733</v>
      </c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229">
        <f t="shared" si="449"/>
        <v>0</v>
      </c>
      <c r="AC1127" s="228">
        <f t="shared" si="445"/>
        <v>0</v>
      </c>
      <c r="AD1127" s="19">
        <v>0</v>
      </c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29">
        <f t="shared" si="450"/>
        <v>0</v>
      </c>
      <c r="BD1127" s="48">
        <f t="shared" si="446"/>
        <v>0</v>
      </c>
      <c r="BE1127" s="19">
        <v>1</v>
      </c>
      <c r="BF1127" s="229">
        <f t="shared" si="451"/>
        <v>0</v>
      </c>
      <c r="BG1127" s="210">
        <f t="shared" si="447"/>
        <v>0</v>
      </c>
      <c r="BH1127" s="210">
        <f t="shared" si="448"/>
        <v>1</v>
      </c>
      <c r="BI1127" s="213">
        <f t="shared" si="444"/>
        <v>0</v>
      </c>
      <c r="BJ1127" s="141"/>
      <c r="BK1127" s="201"/>
      <c r="BL1127" s="202"/>
      <c r="BM1127" s="202"/>
    </row>
    <row r="1128" spans="1:65" s="17" customFormat="1" ht="18" customHeight="1">
      <c r="A1128" s="114">
        <v>118</v>
      </c>
      <c r="B1128" s="24" t="s">
        <v>996</v>
      </c>
      <c r="C1128" s="25" t="s">
        <v>1026</v>
      </c>
      <c r="D1128" s="25"/>
      <c r="E1128" s="25"/>
      <c r="F1128" s="25"/>
      <c r="G1128" s="25"/>
      <c r="H1128" s="25"/>
      <c r="I1128" s="25"/>
      <c r="J1128" s="25"/>
      <c r="K1128" s="25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229">
        <f t="shared" si="449"/>
        <v>0</v>
      </c>
      <c r="AC1128" s="228">
        <f t="shared" si="445"/>
        <v>0</v>
      </c>
      <c r="AD1128" s="19">
        <v>0</v>
      </c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29">
        <f t="shared" si="450"/>
        <v>0</v>
      </c>
      <c r="BD1128" s="48">
        <f t="shared" si="446"/>
        <v>0</v>
      </c>
      <c r="BE1128" s="19">
        <v>1</v>
      </c>
      <c r="BF1128" s="229">
        <f t="shared" si="451"/>
        <v>0</v>
      </c>
      <c r="BG1128" s="210">
        <f t="shared" si="447"/>
        <v>0</v>
      </c>
      <c r="BH1128" s="210">
        <f t="shared" si="448"/>
        <v>1</v>
      </c>
      <c r="BI1128" s="213">
        <f t="shared" si="444"/>
        <v>0</v>
      </c>
      <c r="BJ1128" s="141"/>
      <c r="BK1128" s="201"/>
      <c r="BL1128" s="202"/>
      <c r="BM1128" s="202"/>
    </row>
    <row r="1129" spans="1:65" s="17" customFormat="1" ht="18" customHeight="1">
      <c r="A1129" s="114">
        <v>119</v>
      </c>
      <c r="B1129" s="24" t="s">
        <v>734</v>
      </c>
      <c r="C1129" s="34" t="s">
        <v>735</v>
      </c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229">
        <f t="shared" si="449"/>
        <v>0</v>
      </c>
      <c r="AC1129" s="228">
        <f t="shared" si="445"/>
        <v>0</v>
      </c>
      <c r="AD1129" s="19">
        <v>0</v>
      </c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29">
        <f t="shared" si="450"/>
        <v>0</v>
      </c>
      <c r="BD1129" s="48">
        <f t="shared" si="446"/>
        <v>0</v>
      </c>
      <c r="BE1129" s="19">
        <v>1</v>
      </c>
      <c r="BF1129" s="229">
        <f t="shared" si="451"/>
        <v>0</v>
      </c>
      <c r="BG1129" s="210">
        <f t="shared" si="447"/>
        <v>0</v>
      </c>
      <c r="BH1129" s="210">
        <f t="shared" si="448"/>
        <v>1</v>
      </c>
      <c r="BI1129" s="213">
        <f t="shared" si="444"/>
        <v>0</v>
      </c>
      <c r="BJ1129" s="141"/>
      <c r="BK1129" s="201"/>
      <c r="BL1129" s="202"/>
      <c r="BM1129" s="202"/>
    </row>
    <row r="1130" spans="1:65" s="17" customFormat="1" ht="18" customHeight="1">
      <c r="A1130" s="114">
        <v>120</v>
      </c>
      <c r="B1130" s="24" t="s">
        <v>736</v>
      </c>
      <c r="C1130" s="25" t="s">
        <v>1027</v>
      </c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229">
        <f t="shared" si="449"/>
        <v>0</v>
      </c>
      <c r="AC1130" s="228">
        <f t="shared" si="445"/>
        <v>0</v>
      </c>
      <c r="AD1130" s="19">
        <v>0</v>
      </c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>
        <v>3</v>
      </c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29">
        <f t="shared" si="450"/>
        <v>0</v>
      </c>
      <c r="BD1130" s="48">
        <f t="shared" si="446"/>
        <v>3</v>
      </c>
      <c r="BE1130" s="19">
        <v>5</v>
      </c>
      <c r="BF1130" s="229">
        <f t="shared" si="451"/>
        <v>0</v>
      </c>
      <c r="BG1130" s="210">
        <f t="shared" si="447"/>
        <v>3</v>
      </c>
      <c r="BH1130" s="210">
        <f t="shared" si="448"/>
        <v>5</v>
      </c>
      <c r="BI1130" s="213">
        <f t="shared" si="444"/>
        <v>60</v>
      </c>
      <c r="BJ1130" s="141"/>
      <c r="BK1130" s="201"/>
      <c r="BL1130" s="202"/>
      <c r="BM1130" s="202"/>
    </row>
    <row r="1131" spans="1:65" s="17" customFormat="1" ht="18" customHeight="1">
      <c r="A1131" s="114">
        <v>121</v>
      </c>
      <c r="B1131" s="24" t="s">
        <v>2277</v>
      </c>
      <c r="C1131" s="25" t="s">
        <v>2278</v>
      </c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229">
        <f t="shared" si="449"/>
        <v>0</v>
      </c>
      <c r="AC1131" s="228">
        <f t="shared" si="445"/>
        <v>0</v>
      </c>
      <c r="AD1131" s="19">
        <v>12</v>
      </c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29">
        <f t="shared" si="450"/>
        <v>0</v>
      </c>
      <c r="BD1131" s="48">
        <f t="shared" si="446"/>
        <v>0</v>
      </c>
      <c r="BE1131" s="19">
        <v>0</v>
      </c>
      <c r="BF1131" s="229">
        <f t="shared" si="451"/>
        <v>0</v>
      </c>
      <c r="BG1131" s="210">
        <f t="shared" si="447"/>
        <v>0</v>
      </c>
      <c r="BH1131" s="210">
        <f t="shared" si="448"/>
        <v>12</v>
      </c>
      <c r="BI1131" s="213">
        <f t="shared" si="444"/>
        <v>0</v>
      </c>
      <c r="BJ1131" s="141"/>
      <c r="BK1131" s="201"/>
      <c r="BL1131" s="202"/>
      <c r="BM1131" s="202"/>
    </row>
    <row r="1132" spans="1:65" s="17" customFormat="1" ht="18" customHeight="1">
      <c r="A1132" s="114">
        <v>122</v>
      </c>
      <c r="B1132" s="24" t="s">
        <v>797</v>
      </c>
      <c r="C1132" s="25" t="s">
        <v>798</v>
      </c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229">
        <f t="shared" si="449"/>
        <v>0</v>
      </c>
      <c r="AC1132" s="228">
        <f t="shared" si="445"/>
        <v>0</v>
      </c>
      <c r="AD1132" s="19">
        <v>0</v>
      </c>
      <c r="AE1132" s="28"/>
      <c r="AF1132" s="28"/>
      <c r="AG1132" s="28"/>
      <c r="AH1132" s="28"/>
      <c r="AI1132" s="28"/>
      <c r="AJ1132" s="28">
        <f>16+14</f>
        <v>30</v>
      </c>
      <c r="AK1132" s="28"/>
      <c r="AL1132" s="28"/>
      <c r="AM1132" s="28"/>
      <c r="AN1132" s="28"/>
      <c r="AO1132" s="28"/>
      <c r="AP1132" s="28">
        <f>5+3+1</f>
        <v>9</v>
      </c>
      <c r="AQ1132" s="28"/>
      <c r="AR1132" s="28"/>
      <c r="AS1132" s="28"/>
      <c r="AT1132" s="28"/>
      <c r="AU1132" s="28"/>
      <c r="AV1132" s="28">
        <v>3</v>
      </c>
      <c r="AW1132" s="28"/>
      <c r="AX1132" s="28"/>
      <c r="AY1132" s="28"/>
      <c r="AZ1132" s="28"/>
      <c r="BA1132" s="28"/>
      <c r="BB1132" s="28">
        <f>7+11</f>
        <v>18</v>
      </c>
      <c r="BC1132" s="229">
        <f t="shared" si="450"/>
        <v>0</v>
      </c>
      <c r="BD1132" s="48">
        <f t="shared" si="446"/>
        <v>60</v>
      </c>
      <c r="BE1132" s="19">
        <v>163</v>
      </c>
      <c r="BF1132" s="229">
        <f t="shared" si="451"/>
        <v>0</v>
      </c>
      <c r="BG1132" s="210">
        <f t="shared" si="447"/>
        <v>60</v>
      </c>
      <c r="BH1132" s="210">
        <f t="shared" si="448"/>
        <v>163</v>
      </c>
      <c r="BI1132" s="213">
        <f t="shared" si="444"/>
        <v>36.809815950920246</v>
      </c>
      <c r="BJ1132" s="141"/>
      <c r="BK1132" s="201"/>
      <c r="BL1132" s="202"/>
      <c r="BM1132" s="202"/>
    </row>
    <row r="1133" spans="1:65" s="17" customFormat="1" ht="18" customHeight="1">
      <c r="A1133" s="114">
        <v>123</v>
      </c>
      <c r="B1133" s="24" t="s">
        <v>653</v>
      </c>
      <c r="C1133" s="25" t="s">
        <v>654</v>
      </c>
      <c r="D1133" s="121"/>
      <c r="E1133" s="121"/>
      <c r="F1133" s="121"/>
      <c r="G1133" s="121"/>
      <c r="H1133" s="121"/>
      <c r="I1133" s="121">
        <v>10</v>
      </c>
      <c r="J1133" s="121"/>
      <c r="K1133" s="121"/>
      <c r="L1133" s="121"/>
      <c r="M1133" s="121"/>
      <c r="N1133" s="121"/>
      <c r="O1133" s="121">
        <v>12</v>
      </c>
      <c r="P1133" s="121"/>
      <c r="Q1133" s="121"/>
      <c r="R1133" s="121"/>
      <c r="S1133" s="121"/>
      <c r="T1133" s="121"/>
      <c r="U1133" s="121">
        <v>9</v>
      </c>
      <c r="V1133" s="121"/>
      <c r="W1133" s="121"/>
      <c r="X1133" s="121"/>
      <c r="Y1133" s="121"/>
      <c r="Z1133" s="121"/>
      <c r="AA1133" s="121"/>
      <c r="AB1133" s="229">
        <f t="shared" si="449"/>
        <v>0</v>
      </c>
      <c r="AC1133" s="228">
        <f t="shared" si="445"/>
        <v>31</v>
      </c>
      <c r="AD1133" s="19">
        <v>27</v>
      </c>
      <c r="AE1133" s="28"/>
      <c r="AF1133" s="28"/>
      <c r="AG1133" s="28"/>
      <c r="AH1133" s="28"/>
      <c r="AI1133" s="28"/>
      <c r="AJ1133" s="28">
        <v>762</v>
      </c>
      <c r="AK1133" s="28"/>
      <c r="AL1133" s="28"/>
      <c r="AM1133" s="28"/>
      <c r="AN1133" s="28"/>
      <c r="AO1133" s="28"/>
      <c r="AP1133" s="28">
        <v>820</v>
      </c>
      <c r="AQ1133" s="28"/>
      <c r="AR1133" s="28"/>
      <c r="AS1133" s="28"/>
      <c r="AT1133" s="28"/>
      <c r="AU1133" s="28"/>
      <c r="AV1133" s="28">
        <v>769</v>
      </c>
      <c r="AW1133" s="28"/>
      <c r="AX1133" s="28"/>
      <c r="AY1133" s="28"/>
      <c r="AZ1133" s="28"/>
      <c r="BA1133" s="28"/>
      <c r="BB1133" s="28">
        <v>879</v>
      </c>
      <c r="BC1133" s="229">
        <f t="shared" si="450"/>
        <v>0</v>
      </c>
      <c r="BD1133" s="48">
        <f t="shared" si="446"/>
        <v>3230</v>
      </c>
      <c r="BE1133" s="19">
        <v>2687</v>
      </c>
      <c r="BF1133" s="229">
        <f t="shared" si="451"/>
        <v>0</v>
      </c>
      <c r="BG1133" s="210">
        <f t="shared" si="447"/>
        <v>3261</v>
      </c>
      <c r="BH1133" s="210">
        <f t="shared" si="448"/>
        <v>2714</v>
      </c>
      <c r="BI1133" s="213">
        <f t="shared" si="444"/>
        <v>120.15475313190862</v>
      </c>
      <c r="BJ1133" s="141"/>
      <c r="BK1133" s="201"/>
      <c r="BL1133" s="202"/>
      <c r="BM1133" s="202"/>
    </row>
    <row r="1134" spans="1:65" s="17" customFormat="1" ht="22.5" customHeight="1">
      <c r="A1134" s="114">
        <v>124</v>
      </c>
      <c r="B1134" s="24" t="s">
        <v>3046</v>
      </c>
      <c r="C1134" s="27" t="s">
        <v>3047</v>
      </c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>
        <v>19</v>
      </c>
      <c r="AB1134" s="229"/>
      <c r="AC1134" s="228">
        <f t="shared" si="445"/>
        <v>19</v>
      </c>
      <c r="AD1134" s="19">
        <v>0</v>
      </c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>
        <v>6</v>
      </c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29"/>
      <c r="BD1134" s="48">
        <f t="shared" si="446"/>
        <v>6</v>
      </c>
      <c r="BE1134" s="19">
        <v>0</v>
      </c>
      <c r="BF1134" s="229"/>
      <c r="BG1134" s="210">
        <f t="shared" si="447"/>
        <v>25</v>
      </c>
      <c r="BH1134" s="210">
        <f t="shared" si="448"/>
        <v>0</v>
      </c>
      <c r="BI1134" s="213" t="e">
        <f t="shared" si="444"/>
        <v>#DIV/0!</v>
      </c>
      <c r="BJ1134" s="141"/>
      <c r="BK1134" s="201"/>
      <c r="BL1134" s="202"/>
      <c r="BM1134" s="202"/>
    </row>
    <row r="1135" spans="1:65" s="17" customFormat="1" ht="18" customHeight="1">
      <c r="A1135" s="114">
        <v>125</v>
      </c>
      <c r="B1135" s="24" t="s">
        <v>655</v>
      </c>
      <c r="C1135" s="25" t="s">
        <v>997</v>
      </c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229">
        <f t="shared" ref="AB1135:AB1182" si="452">D1135+F1135+H1135+J1135+L1135+N1135+P1135+R1135+T1135+V1135+X1135+Z1135</f>
        <v>0</v>
      </c>
      <c r="AC1135" s="228">
        <f t="shared" si="445"/>
        <v>0</v>
      </c>
      <c r="AD1135" s="19">
        <v>0</v>
      </c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29">
        <f t="shared" ref="BC1135:BC1182" si="453">AE1135+AG1135+AI1135+AK1135+AM1135+AO1135+AQ1135+AS1135+AU1135+AW1135+AY1135+BA1135</f>
        <v>0</v>
      </c>
      <c r="BD1135" s="48">
        <f t="shared" si="446"/>
        <v>0</v>
      </c>
      <c r="BE1135" s="19">
        <v>1</v>
      </c>
      <c r="BF1135" s="229">
        <f t="shared" ref="BF1135:BF1182" si="454">AB1135+BC1135</f>
        <v>0</v>
      </c>
      <c r="BG1135" s="210">
        <f t="shared" si="447"/>
        <v>0</v>
      </c>
      <c r="BH1135" s="210">
        <f t="shared" si="448"/>
        <v>1</v>
      </c>
      <c r="BI1135" s="213">
        <f t="shared" si="444"/>
        <v>0</v>
      </c>
      <c r="BJ1135" s="141"/>
      <c r="BK1135" s="201"/>
      <c r="BL1135" s="202"/>
      <c r="BM1135" s="202"/>
    </row>
    <row r="1136" spans="1:65" s="17" customFormat="1" ht="18" customHeight="1">
      <c r="A1136" s="114">
        <v>126</v>
      </c>
      <c r="B1136" s="24" t="s">
        <v>2236</v>
      </c>
      <c r="C1136" s="25" t="s">
        <v>2089</v>
      </c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229">
        <f t="shared" si="452"/>
        <v>0</v>
      </c>
      <c r="AC1136" s="228">
        <f t="shared" si="445"/>
        <v>0</v>
      </c>
      <c r="AD1136" s="19">
        <v>0</v>
      </c>
      <c r="AE1136" s="28"/>
      <c r="AF1136" s="28"/>
      <c r="AG1136" s="28"/>
      <c r="AH1136" s="28"/>
      <c r="AI1136" s="28"/>
      <c r="AJ1136" s="28">
        <v>10</v>
      </c>
      <c r="AK1136" s="28"/>
      <c r="AL1136" s="28"/>
      <c r="AM1136" s="28"/>
      <c r="AN1136" s="28"/>
      <c r="AO1136" s="28"/>
      <c r="AP1136" s="28">
        <v>15</v>
      </c>
      <c r="AQ1136" s="28"/>
      <c r="AR1136" s="28"/>
      <c r="AS1136" s="28"/>
      <c r="AT1136" s="28"/>
      <c r="AU1136" s="28"/>
      <c r="AV1136" s="28">
        <v>13</v>
      </c>
      <c r="AW1136" s="28"/>
      <c r="AX1136" s="28"/>
      <c r="AY1136" s="28"/>
      <c r="AZ1136" s="28"/>
      <c r="BA1136" s="28"/>
      <c r="BB1136" s="28">
        <v>16</v>
      </c>
      <c r="BC1136" s="229">
        <f t="shared" si="453"/>
        <v>0</v>
      </c>
      <c r="BD1136" s="48">
        <f t="shared" si="446"/>
        <v>54</v>
      </c>
      <c r="BE1136" s="19">
        <v>17</v>
      </c>
      <c r="BF1136" s="229">
        <f t="shared" si="454"/>
        <v>0</v>
      </c>
      <c r="BG1136" s="210">
        <f t="shared" si="447"/>
        <v>54</v>
      </c>
      <c r="BH1136" s="210">
        <f t="shared" si="448"/>
        <v>17</v>
      </c>
      <c r="BI1136" s="213">
        <f t="shared" si="444"/>
        <v>317.64705882352939</v>
      </c>
      <c r="BJ1136" s="141"/>
      <c r="BK1136" s="201"/>
      <c r="BL1136" s="202"/>
      <c r="BM1136" s="202"/>
    </row>
    <row r="1137" spans="1:65" s="17" customFormat="1" ht="18" customHeight="1">
      <c r="A1137" s="114">
        <v>127</v>
      </c>
      <c r="B1137" s="24" t="s">
        <v>1094</v>
      </c>
      <c r="C1137" s="25" t="s">
        <v>654</v>
      </c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229">
        <f t="shared" si="452"/>
        <v>0</v>
      </c>
      <c r="AC1137" s="228">
        <f t="shared" si="445"/>
        <v>0</v>
      </c>
      <c r="AD1137" s="19">
        <v>0</v>
      </c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29">
        <f t="shared" si="453"/>
        <v>0</v>
      </c>
      <c r="BD1137" s="48">
        <f t="shared" si="446"/>
        <v>0</v>
      </c>
      <c r="BE1137" s="19">
        <v>1</v>
      </c>
      <c r="BF1137" s="229">
        <f t="shared" si="454"/>
        <v>0</v>
      </c>
      <c r="BG1137" s="210">
        <f t="shared" si="447"/>
        <v>0</v>
      </c>
      <c r="BH1137" s="210">
        <f t="shared" si="448"/>
        <v>1</v>
      </c>
      <c r="BI1137" s="213">
        <f t="shared" si="444"/>
        <v>0</v>
      </c>
      <c r="BJ1137" s="141"/>
      <c r="BK1137" s="201"/>
      <c r="BL1137" s="202"/>
      <c r="BM1137" s="202"/>
    </row>
    <row r="1138" spans="1:65" s="17" customFormat="1" ht="18" customHeight="1">
      <c r="A1138" s="114">
        <v>128</v>
      </c>
      <c r="B1138" s="24" t="s">
        <v>1920</v>
      </c>
      <c r="C1138" s="25" t="s">
        <v>1921</v>
      </c>
      <c r="D1138" s="121"/>
      <c r="E1138" s="121"/>
      <c r="F1138" s="121"/>
      <c r="G1138" s="121"/>
      <c r="H1138" s="121"/>
      <c r="I1138" s="121">
        <v>3</v>
      </c>
      <c r="J1138" s="121"/>
      <c r="K1138" s="121"/>
      <c r="L1138" s="121"/>
      <c r="M1138" s="121"/>
      <c r="N1138" s="121"/>
      <c r="O1138" s="121">
        <v>2</v>
      </c>
      <c r="P1138" s="121"/>
      <c r="Q1138" s="121"/>
      <c r="R1138" s="121"/>
      <c r="S1138" s="121"/>
      <c r="T1138" s="121"/>
      <c r="U1138" s="121">
        <v>6</v>
      </c>
      <c r="V1138" s="121"/>
      <c r="W1138" s="121"/>
      <c r="X1138" s="121"/>
      <c r="Y1138" s="121"/>
      <c r="Z1138" s="121"/>
      <c r="AA1138" s="121"/>
      <c r="AB1138" s="229">
        <f t="shared" si="452"/>
        <v>0</v>
      </c>
      <c r="AC1138" s="228">
        <f t="shared" si="445"/>
        <v>11</v>
      </c>
      <c r="AD1138" s="19">
        <v>9</v>
      </c>
      <c r="AE1138" s="28"/>
      <c r="AF1138" s="28"/>
      <c r="AG1138" s="28"/>
      <c r="AH1138" s="28"/>
      <c r="AI1138" s="28"/>
      <c r="AJ1138" s="28">
        <v>557</v>
      </c>
      <c r="AK1138" s="28"/>
      <c r="AL1138" s="28"/>
      <c r="AM1138" s="28"/>
      <c r="AN1138" s="28"/>
      <c r="AO1138" s="28"/>
      <c r="AP1138" s="28">
        <v>596</v>
      </c>
      <c r="AQ1138" s="28"/>
      <c r="AR1138" s="28"/>
      <c r="AS1138" s="28"/>
      <c r="AT1138" s="28"/>
      <c r="AU1138" s="28"/>
      <c r="AV1138" s="28">
        <v>576</v>
      </c>
      <c r="AW1138" s="28"/>
      <c r="AX1138" s="28"/>
      <c r="AY1138" s="28"/>
      <c r="AZ1138" s="28"/>
      <c r="BA1138" s="28"/>
      <c r="BB1138" s="28">
        <v>654</v>
      </c>
      <c r="BC1138" s="229">
        <f t="shared" si="453"/>
        <v>0</v>
      </c>
      <c r="BD1138" s="48">
        <f t="shared" si="446"/>
        <v>2383</v>
      </c>
      <c r="BE1138" s="19">
        <v>2598</v>
      </c>
      <c r="BF1138" s="229">
        <f t="shared" si="454"/>
        <v>0</v>
      </c>
      <c r="BG1138" s="210">
        <f t="shared" si="447"/>
        <v>2394</v>
      </c>
      <c r="BH1138" s="210">
        <f t="shared" si="448"/>
        <v>2607</v>
      </c>
      <c r="BI1138" s="213">
        <f t="shared" si="444"/>
        <v>91.829689298043732</v>
      </c>
      <c r="BJ1138" s="141"/>
      <c r="BK1138" s="201"/>
      <c r="BL1138" s="202"/>
      <c r="BM1138" s="202"/>
    </row>
    <row r="1139" spans="1:65" s="17" customFormat="1" ht="18" customHeight="1">
      <c r="A1139" s="114">
        <v>129</v>
      </c>
      <c r="B1139" s="24" t="s">
        <v>822</v>
      </c>
      <c r="C1139" s="25" t="s">
        <v>1405</v>
      </c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229">
        <f t="shared" si="452"/>
        <v>0</v>
      </c>
      <c r="AC1139" s="228">
        <f t="shared" si="445"/>
        <v>0</v>
      </c>
      <c r="AD1139" s="19">
        <v>0</v>
      </c>
      <c r="AE1139" s="28"/>
      <c r="AF1139" s="28"/>
      <c r="AG1139" s="28"/>
      <c r="AH1139" s="28"/>
      <c r="AI1139" s="28"/>
      <c r="AJ1139" s="28">
        <v>4</v>
      </c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29">
        <f t="shared" si="453"/>
        <v>0</v>
      </c>
      <c r="BD1139" s="48">
        <f t="shared" si="446"/>
        <v>4</v>
      </c>
      <c r="BE1139" s="19">
        <v>24</v>
      </c>
      <c r="BF1139" s="229">
        <f t="shared" si="454"/>
        <v>0</v>
      </c>
      <c r="BG1139" s="210">
        <f t="shared" si="447"/>
        <v>4</v>
      </c>
      <c r="BH1139" s="210">
        <f t="shared" si="448"/>
        <v>24</v>
      </c>
      <c r="BI1139" s="213">
        <f t="shared" ref="BI1139:BI1173" si="455">BG1139/BH1139*100</f>
        <v>16.666666666666664</v>
      </c>
      <c r="BJ1139" s="141"/>
      <c r="BK1139" s="201"/>
      <c r="BL1139" s="202"/>
      <c r="BM1139" s="202"/>
    </row>
    <row r="1140" spans="1:65" s="17" customFormat="1" ht="18" customHeight="1">
      <c r="A1140" s="114">
        <v>130</v>
      </c>
      <c r="B1140" s="24" t="s">
        <v>1250</v>
      </c>
      <c r="C1140" s="25" t="s">
        <v>1961</v>
      </c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229">
        <f t="shared" si="452"/>
        <v>0</v>
      </c>
      <c r="AC1140" s="228">
        <f t="shared" si="445"/>
        <v>0</v>
      </c>
      <c r="AD1140" s="19">
        <v>0</v>
      </c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29">
        <f t="shared" si="453"/>
        <v>0</v>
      </c>
      <c r="BD1140" s="48">
        <f t="shared" si="446"/>
        <v>0</v>
      </c>
      <c r="BE1140" s="19">
        <v>1</v>
      </c>
      <c r="BF1140" s="229">
        <f t="shared" si="454"/>
        <v>0</v>
      </c>
      <c r="BG1140" s="210">
        <f t="shared" si="447"/>
        <v>0</v>
      </c>
      <c r="BH1140" s="210">
        <f t="shared" si="448"/>
        <v>1</v>
      </c>
      <c r="BI1140" s="213">
        <f t="shared" si="455"/>
        <v>0</v>
      </c>
      <c r="BJ1140" s="141"/>
      <c r="BK1140" s="201"/>
      <c r="BL1140" s="202"/>
      <c r="BM1140" s="202"/>
    </row>
    <row r="1141" spans="1:65" s="17" customFormat="1" ht="18" customHeight="1">
      <c r="A1141" s="114">
        <v>131</v>
      </c>
      <c r="B1141" s="24" t="s">
        <v>776</v>
      </c>
      <c r="C1141" s="25" t="s">
        <v>777</v>
      </c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229">
        <f t="shared" si="452"/>
        <v>0</v>
      </c>
      <c r="AC1141" s="228">
        <f t="shared" si="445"/>
        <v>0</v>
      </c>
      <c r="AD1141" s="19">
        <v>0</v>
      </c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29">
        <f t="shared" si="453"/>
        <v>0</v>
      </c>
      <c r="BD1141" s="48">
        <f t="shared" si="446"/>
        <v>0</v>
      </c>
      <c r="BE1141" s="19">
        <v>1</v>
      </c>
      <c r="BF1141" s="229">
        <f t="shared" si="454"/>
        <v>0</v>
      </c>
      <c r="BG1141" s="210">
        <f t="shared" si="447"/>
        <v>0</v>
      </c>
      <c r="BH1141" s="210">
        <f t="shared" si="448"/>
        <v>1</v>
      </c>
      <c r="BI1141" s="213">
        <f t="shared" si="455"/>
        <v>0</v>
      </c>
      <c r="BJ1141" s="141"/>
      <c r="BK1141" s="201"/>
      <c r="BL1141" s="202"/>
      <c r="BM1141" s="202"/>
    </row>
    <row r="1142" spans="1:65" s="17" customFormat="1" ht="18" customHeight="1">
      <c r="A1142" s="330"/>
      <c r="B1142" s="24" t="s">
        <v>1987</v>
      </c>
      <c r="C1142" s="332" t="s">
        <v>3191</v>
      </c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23"/>
      <c r="AC1142" s="228">
        <f t="shared" si="445"/>
        <v>0</v>
      </c>
      <c r="AD1142" s="326">
        <v>0</v>
      </c>
      <c r="AE1142" s="334"/>
      <c r="AF1142" s="334"/>
      <c r="AG1142" s="334"/>
      <c r="AH1142" s="334"/>
      <c r="AI1142" s="334"/>
      <c r="AJ1142" s="334"/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4"/>
      <c r="AX1142" s="334"/>
      <c r="AY1142" s="334"/>
      <c r="AZ1142" s="334"/>
      <c r="BA1142" s="334"/>
      <c r="BB1142" s="334">
        <v>1</v>
      </c>
      <c r="BC1142" s="323"/>
      <c r="BD1142" s="48">
        <f t="shared" si="446"/>
        <v>1</v>
      </c>
      <c r="BE1142" s="326">
        <v>0</v>
      </c>
      <c r="BF1142" s="323"/>
      <c r="BG1142" s="210">
        <f t="shared" ref="BG1142" si="456">AC1142+BD1142</f>
        <v>1</v>
      </c>
      <c r="BH1142" s="210">
        <f t="shared" ref="BH1142" si="457">AD1142+BE1142</f>
        <v>0</v>
      </c>
      <c r="BI1142" s="213" t="e">
        <f t="shared" ref="BI1142" si="458">BG1142/BH1142*100</f>
        <v>#DIV/0!</v>
      </c>
      <c r="BJ1142" s="141"/>
      <c r="BK1142" s="201"/>
      <c r="BL1142" s="202"/>
      <c r="BM1142" s="202"/>
    </row>
    <row r="1143" spans="1:65" s="17" customFormat="1" ht="21.95" customHeight="1">
      <c r="A1143" s="114">
        <v>132</v>
      </c>
      <c r="B1143" s="24" t="s">
        <v>2051</v>
      </c>
      <c r="C1143" s="27" t="s">
        <v>2052</v>
      </c>
      <c r="D1143" s="121"/>
      <c r="E1143" s="121"/>
      <c r="F1143" s="121"/>
      <c r="G1143" s="121"/>
      <c r="H1143" s="121"/>
      <c r="I1143" s="121">
        <v>2</v>
      </c>
      <c r="J1143" s="121"/>
      <c r="K1143" s="121"/>
      <c r="L1143" s="121"/>
      <c r="M1143" s="121"/>
      <c r="N1143" s="121"/>
      <c r="O1143" s="121">
        <v>1</v>
      </c>
      <c r="P1143" s="121"/>
      <c r="Q1143" s="121"/>
      <c r="R1143" s="121"/>
      <c r="S1143" s="121"/>
      <c r="T1143" s="121"/>
      <c r="U1143" s="121">
        <v>6</v>
      </c>
      <c r="V1143" s="121"/>
      <c r="W1143" s="121"/>
      <c r="X1143" s="121"/>
      <c r="Y1143" s="121"/>
      <c r="Z1143" s="121"/>
      <c r="AA1143" s="121"/>
      <c r="AB1143" s="229">
        <f t="shared" si="452"/>
        <v>0</v>
      </c>
      <c r="AC1143" s="228">
        <f t="shared" si="445"/>
        <v>9</v>
      </c>
      <c r="AD1143" s="19">
        <v>9</v>
      </c>
      <c r="AE1143" s="28"/>
      <c r="AF1143" s="28"/>
      <c r="AG1143" s="28"/>
      <c r="AH1143" s="28"/>
      <c r="AI1143" s="28"/>
      <c r="AJ1143" s="28">
        <v>416</v>
      </c>
      <c r="AK1143" s="28"/>
      <c r="AL1143" s="28"/>
      <c r="AM1143" s="28"/>
      <c r="AN1143" s="28"/>
      <c r="AO1143" s="28"/>
      <c r="AP1143" s="28">
        <v>461</v>
      </c>
      <c r="AQ1143" s="28"/>
      <c r="AR1143" s="28"/>
      <c r="AS1143" s="28"/>
      <c r="AT1143" s="28"/>
      <c r="AU1143" s="28"/>
      <c r="AV1143" s="28">
        <v>431</v>
      </c>
      <c r="AW1143" s="28"/>
      <c r="AX1143" s="28"/>
      <c r="AY1143" s="28"/>
      <c r="AZ1143" s="28"/>
      <c r="BA1143" s="28"/>
      <c r="BB1143" s="28">
        <v>463</v>
      </c>
      <c r="BC1143" s="229">
        <f t="shared" si="453"/>
        <v>0</v>
      </c>
      <c r="BD1143" s="48">
        <f t="shared" si="446"/>
        <v>1771</v>
      </c>
      <c r="BE1143" s="19">
        <v>1728</v>
      </c>
      <c r="BF1143" s="229">
        <f t="shared" si="454"/>
        <v>0</v>
      </c>
      <c r="BG1143" s="210">
        <f t="shared" si="447"/>
        <v>1780</v>
      </c>
      <c r="BH1143" s="210">
        <f t="shared" si="448"/>
        <v>1737</v>
      </c>
      <c r="BI1143" s="213">
        <f t="shared" si="455"/>
        <v>102.475532527346</v>
      </c>
      <c r="BJ1143" s="141"/>
      <c r="BK1143" s="201"/>
      <c r="BL1143" s="202"/>
      <c r="BM1143" s="202"/>
    </row>
    <row r="1144" spans="1:65" s="17" customFormat="1" ht="21.95" customHeight="1">
      <c r="A1144" s="114">
        <v>133</v>
      </c>
      <c r="B1144" s="24" t="s">
        <v>900</v>
      </c>
      <c r="C1144" s="27" t="s">
        <v>1983</v>
      </c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229">
        <f t="shared" si="452"/>
        <v>0</v>
      </c>
      <c r="AC1144" s="228">
        <f t="shared" si="445"/>
        <v>0</v>
      </c>
      <c r="AD1144" s="19">
        <v>4</v>
      </c>
      <c r="AE1144" s="28"/>
      <c r="AF1144" s="28"/>
      <c r="AG1144" s="28"/>
      <c r="AH1144" s="28"/>
      <c r="AI1144" s="28"/>
      <c r="AJ1144" s="28">
        <v>1</v>
      </c>
      <c r="AK1144" s="28"/>
      <c r="AL1144" s="28"/>
      <c r="AM1144" s="28"/>
      <c r="AN1144" s="28"/>
      <c r="AO1144" s="28"/>
      <c r="AP1144" s="28">
        <v>14</v>
      </c>
      <c r="AQ1144" s="28"/>
      <c r="AR1144" s="28"/>
      <c r="AS1144" s="28"/>
      <c r="AT1144" s="28"/>
      <c r="AU1144" s="28"/>
      <c r="AV1144" s="28">
        <v>1</v>
      </c>
      <c r="AW1144" s="28"/>
      <c r="AX1144" s="28"/>
      <c r="AY1144" s="28"/>
      <c r="AZ1144" s="28"/>
      <c r="BA1144" s="28"/>
      <c r="BB1144" s="28"/>
      <c r="BC1144" s="229">
        <f t="shared" si="453"/>
        <v>0</v>
      </c>
      <c r="BD1144" s="48">
        <f t="shared" si="446"/>
        <v>16</v>
      </c>
      <c r="BE1144" s="19">
        <v>0</v>
      </c>
      <c r="BF1144" s="229">
        <f t="shared" si="454"/>
        <v>0</v>
      </c>
      <c r="BG1144" s="210">
        <f t="shared" si="447"/>
        <v>16</v>
      </c>
      <c r="BH1144" s="210">
        <f t="shared" si="448"/>
        <v>4</v>
      </c>
      <c r="BI1144" s="213">
        <f t="shared" si="455"/>
        <v>400</v>
      </c>
      <c r="BJ1144" s="141"/>
      <c r="BK1144" s="201"/>
      <c r="BL1144" s="202"/>
      <c r="BM1144" s="202"/>
    </row>
    <row r="1145" spans="1:65" s="17" customFormat="1" ht="21.95" customHeight="1">
      <c r="A1145" s="114">
        <v>134</v>
      </c>
      <c r="B1145" s="24" t="s">
        <v>799</v>
      </c>
      <c r="C1145" s="27" t="s">
        <v>1860</v>
      </c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229">
        <f t="shared" si="452"/>
        <v>0</v>
      </c>
      <c r="AC1145" s="228">
        <f t="shared" si="445"/>
        <v>0</v>
      </c>
      <c r="AD1145" s="19">
        <v>0</v>
      </c>
      <c r="AE1145" s="28"/>
      <c r="AF1145" s="28"/>
      <c r="AG1145" s="28"/>
      <c r="AH1145" s="28"/>
      <c r="AI1145" s="28"/>
      <c r="AJ1145" s="28">
        <v>10</v>
      </c>
      <c r="AK1145" s="28"/>
      <c r="AL1145" s="28"/>
      <c r="AM1145" s="28"/>
      <c r="AN1145" s="28"/>
      <c r="AO1145" s="28"/>
      <c r="AP1145" s="28">
        <v>15</v>
      </c>
      <c r="AQ1145" s="28"/>
      <c r="AR1145" s="28"/>
      <c r="AS1145" s="28"/>
      <c r="AT1145" s="28"/>
      <c r="AU1145" s="28"/>
      <c r="AV1145" s="28">
        <v>14</v>
      </c>
      <c r="AW1145" s="28"/>
      <c r="AX1145" s="28"/>
      <c r="AY1145" s="28"/>
      <c r="AZ1145" s="28"/>
      <c r="BA1145" s="28"/>
      <c r="BB1145" s="28">
        <f>2+17</f>
        <v>19</v>
      </c>
      <c r="BC1145" s="229">
        <f t="shared" si="453"/>
        <v>0</v>
      </c>
      <c r="BD1145" s="48">
        <f t="shared" si="446"/>
        <v>58</v>
      </c>
      <c r="BE1145" s="19">
        <v>29</v>
      </c>
      <c r="BF1145" s="229">
        <f t="shared" si="454"/>
        <v>0</v>
      </c>
      <c r="BG1145" s="210">
        <f t="shared" si="447"/>
        <v>58</v>
      </c>
      <c r="BH1145" s="210">
        <f t="shared" si="448"/>
        <v>29</v>
      </c>
      <c r="BI1145" s="213">
        <f t="shared" si="455"/>
        <v>200</v>
      </c>
      <c r="BJ1145" s="141"/>
      <c r="BK1145" s="201"/>
      <c r="BL1145" s="202"/>
      <c r="BM1145" s="202"/>
    </row>
    <row r="1146" spans="1:65" s="17" customFormat="1" ht="21.95" customHeight="1">
      <c r="A1146" s="330"/>
      <c r="B1146" s="24" t="s">
        <v>842</v>
      </c>
      <c r="C1146" s="332" t="s">
        <v>3192</v>
      </c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33"/>
      <c r="P1146" s="333"/>
      <c r="Q1146" s="333"/>
      <c r="R1146" s="333"/>
      <c r="S1146" s="333"/>
      <c r="T1146" s="333"/>
      <c r="U1146" s="333"/>
      <c r="V1146" s="333"/>
      <c r="W1146" s="333"/>
      <c r="X1146" s="333"/>
      <c r="Y1146" s="333"/>
      <c r="Z1146" s="333"/>
      <c r="AA1146" s="333"/>
      <c r="AB1146" s="323"/>
      <c r="AC1146" s="228">
        <f t="shared" si="445"/>
        <v>0</v>
      </c>
      <c r="AD1146" s="326">
        <v>0</v>
      </c>
      <c r="AE1146" s="334"/>
      <c r="AF1146" s="334"/>
      <c r="AG1146" s="334"/>
      <c r="AH1146" s="334"/>
      <c r="AI1146" s="334"/>
      <c r="AJ1146" s="334"/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4"/>
      <c r="AX1146" s="334"/>
      <c r="AY1146" s="334"/>
      <c r="AZ1146" s="334"/>
      <c r="BA1146" s="334"/>
      <c r="BB1146" s="334">
        <v>3</v>
      </c>
      <c r="BC1146" s="323"/>
      <c r="BD1146" s="48">
        <f t="shared" si="446"/>
        <v>3</v>
      </c>
      <c r="BE1146" s="326">
        <v>0</v>
      </c>
      <c r="BF1146" s="323"/>
      <c r="BG1146" s="210">
        <f t="shared" ref="BG1146" si="459">AC1146+BD1146</f>
        <v>3</v>
      </c>
      <c r="BH1146" s="210">
        <f t="shared" ref="BH1146" si="460">AD1146+BE1146</f>
        <v>0</v>
      </c>
      <c r="BI1146" s="213" t="e">
        <f t="shared" ref="BI1146" si="461">BG1146/BH1146*100</f>
        <v>#DIV/0!</v>
      </c>
      <c r="BJ1146" s="141"/>
      <c r="BK1146" s="201"/>
      <c r="BL1146" s="202"/>
      <c r="BM1146" s="202"/>
    </row>
    <row r="1147" spans="1:65" s="17" customFormat="1" ht="21.95" customHeight="1">
      <c r="A1147" s="114">
        <v>135</v>
      </c>
      <c r="B1147" s="24" t="s">
        <v>657</v>
      </c>
      <c r="C1147" s="27" t="s">
        <v>1401</v>
      </c>
      <c r="D1147" s="121"/>
      <c r="E1147" s="121"/>
      <c r="F1147" s="121"/>
      <c r="G1147" s="121"/>
      <c r="H1147" s="121"/>
      <c r="I1147" s="121">
        <v>1</v>
      </c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>
        <f>1+10</f>
        <v>11</v>
      </c>
      <c r="AB1147" s="229">
        <f t="shared" si="452"/>
        <v>0</v>
      </c>
      <c r="AC1147" s="228">
        <f t="shared" si="445"/>
        <v>12</v>
      </c>
      <c r="AD1147" s="19">
        <v>9</v>
      </c>
      <c r="AE1147" s="28"/>
      <c r="AF1147" s="28"/>
      <c r="AG1147" s="28"/>
      <c r="AH1147" s="28"/>
      <c r="AI1147" s="28"/>
      <c r="AJ1147" s="28">
        <f>12+3</f>
        <v>15</v>
      </c>
      <c r="AK1147" s="28"/>
      <c r="AL1147" s="28"/>
      <c r="AM1147" s="28"/>
      <c r="AN1147" s="28"/>
      <c r="AO1147" s="28"/>
      <c r="AP1147" s="28">
        <v>7</v>
      </c>
      <c r="AQ1147" s="28"/>
      <c r="AR1147" s="28"/>
      <c r="AS1147" s="28"/>
      <c r="AT1147" s="28"/>
      <c r="AU1147" s="28"/>
      <c r="AV1147" s="28">
        <f>10+16+8</f>
        <v>34</v>
      </c>
      <c r="AW1147" s="28"/>
      <c r="AX1147" s="28"/>
      <c r="AY1147" s="28"/>
      <c r="AZ1147" s="28"/>
      <c r="BA1147" s="28"/>
      <c r="BB1147" s="28">
        <f>7+5</f>
        <v>12</v>
      </c>
      <c r="BC1147" s="229">
        <f t="shared" si="453"/>
        <v>0</v>
      </c>
      <c r="BD1147" s="48">
        <f t="shared" si="446"/>
        <v>68</v>
      </c>
      <c r="BE1147" s="19">
        <v>141</v>
      </c>
      <c r="BF1147" s="229">
        <f t="shared" si="454"/>
        <v>0</v>
      </c>
      <c r="BG1147" s="210">
        <f t="shared" si="447"/>
        <v>80</v>
      </c>
      <c r="BH1147" s="210">
        <f t="shared" si="448"/>
        <v>150</v>
      </c>
      <c r="BI1147" s="213">
        <f t="shared" si="455"/>
        <v>53.333333333333336</v>
      </c>
      <c r="BJ1147" s="141"/>
      <c r="BK1147" s="201"/>
      <c r="BL1147" s="202"/>
      <c r="BM1147" s="202"/>
    </row>
    <row r="1148" spans="1:65" s="17" customFormat="1" ht="21.95" customHeight="1">
      <c r="A1148" s="114">
        <v>136</v>
      </c>
      <c r="B1148" s="24" t="s">
        <v>1505</v>
      </c>
      <c r="C1148" s="27" t="s">
        <v>1740</v>
      </c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229">
        <f t="shared" si="452"/>
        <v>0</v>
      </c>
      <c r="AC1148" s="228">
        <f t="shared" si="445"/>
        <v>0</v>
      </c>
      <c r="AD1148" s="19">
        <v>0</v>
      </c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29">
        <f t="shared" si="453"/>
        <v>0</v>
      </c>
      <c r="BD1148" s="48">
        <f t="shared" si="446"/>
        <v>0</v>
      </c>
      <c r="BE1148" s="19">
        <v>1</v>
      </c>
      <c r="BF1148" s="229">
        <f t="shared" si="454"/>
        <v>0</v>
      </c>
      <c r="BG1148" s="210">
        <f t="shared" si="447"/>
        <v>0</v>
      </c>
      <c r="BH1148" s="210">
        <f t="shared" si="448"/>
        <v>1</v>
      </c>
      <c r="BI1148" s="213">
        <f t="shared" si="455"/>
        <v>0</v>
      </c>
      <c r="BJ1148" s="141"/>
      <c r="BK1148" s="201"/>
      <c r="BL1148" s="202"/>
      <c r="BM1148" s="202"/>
    </row>
    <row r="1149" spans="1:65" s="17" customFormat="1" ht="21.95" customHeight="1">
      <c r="A1149" s="114">
        <v>137</v>
      </c>
      <c r="B1149" s="24" t="s">
        <v>742</v>
      </c>
      <c r="C1149" s="27" t="s">
        <v>778</v>
      </c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229">
        <f t="shared" si="452"/>
        <v>0</v>
      </c>
      <c r="AC1149" s="228">
        <f t="shared" si="445"/>
        <v>0</v>
      </c>
      <c r="AD1149" s="19">
        <v>8</v>
      </c>
      <c r="AE1149" s="28"/>
      <c r="AF1149" s="28"/>
      <c r="AG1149" s="28"/>
      <c r="AH1149" s="28"/>
      <c r="AI1149" s="28"/>
      <c r="AJ1149" s="28">
        <f>1+3</f>
        <v>4</v>
      </c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>
        <v>5</v>
      </c>
      <c r="BC1149" s="229">
        <f t="shared" si="453"/>
        <v>0</v>
      </c>
      <c r="BD1149" s="48">
        <f t="shared" si="446"/>
        <v>9</v>
      </c>
      <c r="BE1149" s="19">
        <v>16</v>
      </c>
      <c r="BF1149" s="229">
        <f t="shared" si="454"/>
        <v>0</v>
      </c>
      <c r="BG1149" s="210">
        <f t="shared" si="447"/>
        <v>9</v>
      </c>
      <c r="BH1149" s="210">
        <f t="shared" si="448"/>
        <v>24</v>
      </c>
      <c r="BI1149" s="213">
        <f t="shared" si="455"/>
        <v>37.5</v>
      </c>
      <c r="BJ1149" s="141"/>
      <c r="BK1149" s="201"/>
      <c r="BL1149" s="202"/>
      <c r="BM1149" s="202"/>
    </row>
    <row r="1150" spans="1:65" s="17" customFormat="1" ht="21.95" customHeight="1">
      <c r="A1150" s="114">
        <v>138</v>
      </c>
      <c r="B1150" s="24" t="s">
        <v>802</v>
      </c>
      <c r="C1150" s="25" t="s">
        <v>803</v>
      </c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229">
        <f t="shared" si="452"/>
        <v>0</v>
      </c>
      <c r="AC1150" s="228">
        <f t="shared" si="445"/>
        <v>0</v>
      </c>
      <c r="AD1150" s="19">
        <v>0</v>
      </c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>
        <v>1</v>
      </c>
      <c r="AQ1150" s="28"/>
      <c r="AR1150" s="28"/>
      <c r="AS1150" s="28"/>
      <c r="AT1150" s="28"/>
      <c r="AU1150" s="28"/>
      <c r="AV1150" s="28">
        <v>1</v>
      </c>
      <c r="AW1150" s="28"/>
      <c r="AX1150" s="28"/>
      <c r="AY1150" s="28"/>
      <c r="AZ1150" s="28"/>
      <c r="BA1150" s="28"/>
      <c r="BB1150" s="28"/>
      <c r="BC1150" s="229">
        <f t="shared" si="453"/>
        <v>0</v>
      </c>
      <c r="BD1150" s="48">
        <f t="shared" si="446"/>
        <v>2</v>
      </c>
      <c r="BE1150" s="19">
        <v>1</v>
      </c>
      <c r="BF1150" s="229">
        <f t="shared" si="454"/>
        <v>0</v>
      </c>
      <c r="BG1150" s="210">
        <f t="shared" si="447"/>
        <v>2</v>
      </c>
      <c r="BH1150" s="210">
        <f t="shared" si="448"/>
        <v>1</v>
      </c>
      <c r="BI1150" s="213">
        <f t="shared" si="455"/>
        <v>200</v>
      </c>
      <c r="BJ1150" s="141"/>
      <c r="BK1150" s="201"/>
      <c r="BL1150" s="202"/>
      <c r="BM1150" s="202"/>
    </row>
    <row r="1151" spans="1:65" s="17" customFormat="1" ht="21.95" customHeight="1">
      <c r="A1151" s="114">
        <v>139</v>
      </c>
      <c r="B1151" s="24" t="s">
        <v>658</v>
      </c>
      <c r="C1151" s="25" t="s">
        <v>779</v>
      </c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229">
        <f t="shared" si="452"/>
        <v>0</v>
      </c>
      <c r="AC1151" s="228">
        <f t="shared" si="445"/>
        <v>0</v>
      </c>
      <c r="AD1151" s="19">
        <v>0</v>
      </c>
      <c r="AE1151" s="28"/>
      <c r="AF1151" s="28"/>
      <c r="AG1151" s="28"/>
      <c r="AH1151" s="28"/>
      <c r="AI1151" s="28"/>
      <c r="AJ1151" s="28">
        <f>779+511+19+55</f>
        <v>1364</v>
      </c>
      <c r="AK1151" s="28"/>
      <c r="AL1151" s="28"/>
      <c r="AM1151" s="28"/>
      <c r="AN1151" s="28"/>
      <c r="AO1151" s="28"/>
      <c r="AP1151" s="28">
        <f>669+612+18</f>
        <v>1299</v>
      </c>
      <c r="AQ1151" s="28"/>
      <c r="AR1151" s="28"/>
      <c r="AS1151" s="28"/>
      <c r="AT1151" s="28"/>
      <c r="AU1151" s="28"/>
      <c r="AV1151" s="28">
        <f>413+516+2</f>
        <v>931</v>
      </c>
      <c r="AW1151" s="28"/>
      <c r="AX1151" s="28"/>
      <c r="AY1151" s="28"/>
      <c r="AZ1151" s="28"/>
      <c r="BA1151" s="28"/>
      <c r="BB1151" s="28">
        <f>686+437</f>
        <v>1123</v>
      </c>
      <c r="BC1151" s="229">
        <f t="shared" si="453"/>
        <v>0</v>
      </c>
      <c r="BD1151" s="48">
        <f t="shared" si="446"/>
        <v>4717</v>
      </c>
      <c r="BE1151" s="19">
        <v>5798</v>
      </c>
      <c r="BF1151" s="229">
        <f t="shared" si="454"/>
        <v>0</v>
      </c>
      <c r="BG1151" s="210">
        <f t="shared" si="447"/>
        <v>4717</v>
      </c>
      <c r="BH1151" s="210">
        <f t="shared" si="448"/>
        <v>5798</v>
      </c>
      <c r="BI1151" s="213">
        <f t="shared" si="455"/>
        <v>81.35563987581925</v>
      </c>
      <c r="BJ1151" s="141"/>
      <c r="BK1151" s="201"/>
      <c r="BL1151" s="202"/>
      <c r="BM1151" s="202"/>
    </row>
    <row r="1152" spans="1:65" s="17" customFormat="1" ht="18" customHeight="1">
      <c r="A1152" s="114">
        <v>140</v>
      </c>
      <c r="B1152" s="24" t="s">
        <v>780</v>
      </c>
      <c r="C1152" s="25" t="s">
        <v>781</v>
      </c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229">
        <f t="shared" si="452"/>
        <v>0</v>
      </c>
      <c r="AC1152" s="228">
        <f t="shared" ref="AC1152:AC1182" si="462">E1152+G1152+I1152+K1152+M1152+O1152+Q1152+S1152+U1152+W1152+Y1152+AA1152</f>
        <v>0</v>
      </c>
      <c r="AD1152" s="19">
        <v>0</v>
      </c>
      <c r="AE1152" s="28"/>
      <c r="AF1152" s="28"/>
      <c r="AG1152" s="28"/>
      <c r="AH1152" s="28"/>
      <c r="AI1152" s="28"/>
      <c r="AJ1152" s="28">
        <f>52+90+21</f>
        <v>163</v>
      </c>
      <c r="AK1152" s="28"/>
      <c r="AL1152" s="28"/>
      <c r="AM1152" s="28"/>
      <c r="AN1152" s="28"/>
      <c r="AO1152" s="28"/>
      <c r="AP1152" s="28">
        <f>95+110</f>
        <v>205</v>
      </c>
      <c r="AQ1152" s="28"/>
      <c r="AR1152" s="28"/>
      <c r="AS1152" s="28"/>
      <c r="AT1152" s="28"/>
      <c r="AU1152" s="28"/>
      <c r="AV1152" s="28">
        <f>55+49</f>
        <v>104</v>
      </c>
      <c r="AW1152" s="28"/>
      <c r="AX1152" s="28"/>
      <c r="AY1152" s="28"/>
      <c r="AZ1152" s="28"/>
      <c r="BA1152" s="28"/>
      <c r="BB1152" s="28">
        <f>39+146</f>
        <v>185</v>
      </c>
      <c r="BC1152" s="229">
        <f t="shared" si="453"/>
        <v>0</v>
      </c>
      <c r="BD1152" s="48">
        <f t="shared" ref="BD1152:BD1182" si="463">AF1152+AH1152+AJ1152+AL1152+AN1152+AP1152+AR1152+AT1152+AV1152+AX1152+AZ1152+BB1152</f>
        <v>657</v>
      </c>
      <c r="BE1152" s="19">
        <v>1674</v>
      </c>
      <c r="BF1152" s="229">
        <f t="shared" si="454"/>
        <v>0</v>
      </c>
      <c r="BG1152" s="210">
        <f t="shared" ref="BG1152:BG1182" si="464">AC1152+BD1152</f>
        <v>657</v>
      </c>
      <c r="BH1152" s="210">
        <f t="shared" ref="BH1152:BH1182" si="465">AD1152+BE1152</f>
        <v>1674</v>
      </c>
      <c r="BI1152" s="213">
        <f t="shared" si="455"/>
        <v>39.247311827956985</v>
      </c>
      <c r="BJ1152" s="141"/>
      <c r="BK1152" s="201"/>
      <c r="BL1152" s="202"/>
      <c r="BM1152" s="202"/>
    </row>
    <row r="1153" spans="1:65" s="17" customFormat="1" ht="18" customHeight="1">
      <c r="A1153" s="114">
        <v>141</v>
      </c>
      <c r="B1153" s="24" t="s">
        <v>782</v>
      </c>
      <c r="C1153" s="25" t="s">
        <v>783</v>
      </c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229">
        <f t="shared" si="452"/>
        <v>0</v>
      </c>
      <c r="AC1153" s="228">
        <f t="shared" si="462"/>
        <v>0</v>
      </c>
      <c r="AD1153" s="19">
        <v>0</v>
      </c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29">
        <f t="shared" si="453"/>
        <v>0</v>
      </c>
      <c r="BD1153" s="48">
        <f t="shared" si="463"/>
        <v>0</v>
      </c>
      <c r="BE1153" s="19">
        <v>1</v>
      </c>
      <c r="BF1153" s="229">
        <f t="shared" si="454"/>
        <v>0</v>
      </c>
      <c r="BG1153" s="210">
        <f t="shared" si="464"/>
        <v>0</v>
      </c>
      <c r="BH1153" s="210">
        <f t="shared" si="465"/>
        <v>1</v>
      </c>
      <c r="BI1153" s="213">
        <f t="shared" si="455"/>
        <v>0</v>
      </c>
      <c r="BJ1153" s="141"/>
      <c r="BK1153" s="201"/>
      <c r="BL1153" s="202"/>
      <c r="BM1153" s="202"/>
    </row>
    <row r="1154" spans="1:65" s="17" customFormat="1" ht="18" customHeight="1">
      <c r="A1154" s="114">
        <v>142</v>
      </c>
      <c r="B1154" s="24" t="s">
        <v>804</v>
      </c>
      <c r="C1154" s="25" t="s">
        <v>1386</v>
      </c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229">
        <f t="shared" si="452"/>
        <v>0</v>
      </c>
      <c r="AC1154" s="228">
        <f t="shared" si="462"/>
        <v>0</v>
      </c>
      <c r="AD1154" s="19">
        <v>0</v>
      </c>
      <c r="AE1154" s="28"/>
      <c r="AF1154" s="28"/>
      <c r="AG1154" s="28"/>
      <c r="AH1154" s="28"/>
      <c r="AI1154" s="28"/>
      <c r="AJ1154" s="28">
        <f>50+22</f>
        <v>72</v>
      </c>
      <c r="AK1154" s="28"/>
      <c r="AL1154" s="28"/>
      <c r="AM1154" s="28"/>
      <c r="AN1154" s="28"/>
      <c r="AO1154" s="28"/>
      <c r="AP1154" s="28">
        <f>2+10+17</f>
        <v>29</v>
      </c>
      <c r="AQ1154" s="28"/>
      <c r="AR1154" s="28"/>
      <c r="AS1154" s="28"/>
      <c r="AT1154" s="28"/>
      <c r="AU1154" s="28"/>
      <c r="AV1154" s="28">
        <f>26+14</f>
        <v>40</v>
      </c>
      <c r="AW1154" s="28"/>
      <c r="AX1154" s="28"/>
      <c r="AY1154" s="28"/>
      <c r="AZ1154" s="28"/>
      <c r="BA1154" s="28"/>
      <c r="BB1154" s="28">
        <v>3</v>
      </c>
      <c r="BC1154" s="229">
        <f t="shared" si="453"/>
        <v>0</v>
      </c>
      <c r="BD1154" s="48">
        <f t="shared" si="463"/>
        <v>144</v>
      </c>
      <c r="BE1154" s="19">
        <v>151</v>
      </c>
      <c r="BF1154" s="229">
        <f t="shared" si="454"/>
        <v>0</v>
      </c>
      <c r="BG1154" s="210">
        <f t="shared" si="464"/>
        <v>144</v>
      </c>
      <c r="BH1154" s="210">
        <f t="shared" si="465"/>
        <v>151</v>
      </c>
      <c r="BI1154" s="213">
        <f t="shared" si="455"/>
        <v>95.36423841059603</v>
      </c>
      <c r="BJ1154" s="141"/>
      <c r="BK1154" s="201"/>
      <c r="BL1154" s="202"/>
      <c r="BM1154" s="202"/>
    </row>
    <row r="1155" spans="1:65" s="17" customFormat="1" ht="18" customHeight="1">
      <c r="A1155" s="114">
        <v>143</v>
      </c>
      <c r="B1155" s="24" t="s">
        <v>903</v>
      </c>
      <c r="C1155" s="25" t="s">
        <v>1165</v>
      </c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229">
        <f t="shared" si="452"/>
        <v>0</v>
      </c>
      <c r="AC1155" s="228">
        <f t="shared" si="462"/>
        <v>0</v>
      </c>
      <c r="AD1155" s="19">
        <v>0</v>
      </c>
      <c r="AE1155" s="28"/>
      <c r="AF1155" s="28"/>
      <c r="AG1155" s="28"/>
      <c r="AH1155" s="28"/>
      <c r="AI1155" s="28"/>
      <c r="AJ1155" s="28">
        <v>13</v>
      </c>
      <c r="AK1155" s="28"/>
      <c r="AL1155" s="28"/>
      <c r="AM1155" s="28"/>
      <c r="AN1155" s="28"/>
      <c r="AO1155" s="28"/>
      <c r="AP1155" s="28">
        <v>2</v>
      </c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29">
        <f t="shared" si="453"/>
        <v>0</v>
      </c>
      <c r="BD1155" s="48">
        <f t="shared" si="463"/>
        <v>15</v>
      </c>
      <c r="BE1155" s="19">
        <v>1</v>
      </c>
      <c r="BF1155" s="229">
        <f t="shared" si="454"/>
        <v>0</v>
      </c>
      <c r="BG1155" s="210">
        <f t="shared" si="464"/>
        <v>15</v>
      </c>
      <c r="BH1155" s="210">
        <f t="shared" si="465"/>
        <v>1</v>
      </c>
      <c r="BI1155" s="213">
        <f t="shared" si="455"/>
        <v>1500</v>
      </c>
      <c r="BJ1155" s="141"/>
      <c r="BK1155" s="201"/>
      <c r="BL1155" s="202"/>
      <c r="BM1155" s="202"/>
    </row>
    <row r="1156" spans="1:65" s="17" customFormat="1" ht="18" customHeight="1">
      <c r="A1156" s="114">
        <v>144</v>
      </c>
      <c r="B1156" s="24" t="s">
        <v>659</v>
      </c>
      <c r="C1156" s="25" t="s">
        <v>660</v>
      </c>
      <c r="D1156" s="121"/>
      <c r="E1156" s="121"/>
      <c r="F1156" s="121"/>
      <c r="G1156" s="121"/>
      <c r="H1156" s="121"/>
      <c r="I1156" s="121">
        <f>2+1</f>
        <v>3</v>
      </c>
      <c r="J1156" s="121"/>
      <c r="K1156" s="121"/>
      <c r="L1156" s="121"/>
      <c r="M1156" s="121"/>
      <c r="N1156" s="121"/>
      <c r="O1156" s="121">
        <v>3</v>
      </c>
      <c r="P1156" s="121"/>
      <c r="Q1156" s="121"/>
      <c r="R1156" s="121"/>
      <c r="S1156" s="121"/>
      <c r="T1156" s="121"/>
      <c r="U1156" s="121">
        <f>4+1</f>
        <v>5</v>
      </c>
      <c r="V1156" s="121"/>
      <c r="W1156" s="121"/>
      <c r="X1156" s="121"/>
      <c r="Y1156" s="121"/>
      <c r="Z1156" s="121"/>
      <c r="AA1156" s="121">
        <v>1</v>
      </c>
      <c r="AB1156" s="229">
        <f t="shared" si="452"/>
        <v>0</v>
      </c>
      <c r="AC1156" s="228">
        <f t="shared" si="462"/>
        <v>12</v>
      </c>
      <c r="AD1156" s="19">
        <v>7</v>
      </c>
      <c r="AE1156" s="28"/>
      <c r="AF1156" s="28"/>
      <c r="AG1156" s="28"/>
      <c r="AH1156" s="28"/>
      <c r="AI1156" s="28"/>
      <c r="AJ1156" s="28">
        <f>168+43+24+2+5+4</f>
        <v>246</v>
      </c>
      <c r="AK1156" s="28"/>
      <c r="AL1156" s="28"/>
      <c r="AM1156" s="28"/>
      <c r="AN1156" s="28"/>
      <c r="AO1156" s="28"/>
      <c r="AP1156" s="28">
        <f>177+25+38+5+1</f>
        <v>246</v>
      </c>
      <c r="AQ1156" s="28"/>
      <c r="AR1156" s="28"/>
      <c r="AS1156" s="28"/>
      <c r="AT1156" s="28"/>
      <c r="AU1156" s="28"/>
      <c r="AV1156" s="28">
        <f>55+32+33+2</f>
        <v>122</v>
      </c>
      <c r="AW1156" s="28"/>
      <c r="AX1156" s="28"/>
      <c r="AY1156" s="28"/>
      <c r="AZ1156" s="28"/>
      <c r="BA1156" s="28"/>
      <c r="BB1156" s="28">
        <f>156+58+32</f>
        <v>246</v>
      </c>
      <c r="BC1156" s="229">
        <f t="shared" si="453"/>
        <v>0</v>
      </c>
      <c r="BD1156" s="48">
        <f t="shared" si="463"/>
        <v>860</v>
      </c>
      <c r="BE1156" s="19">
        <v>839</v>
      </c>
      <c r="BF1156" s="229">
        <f t="shared" si="454"/>
        <v>0</v>
      </c>
      <c r="BG1156" s="210">
        <f t="shared" si="464"/>
        <v>872</v>
      </c>
      <c r="BH1156" s="210">
        <f t="shared" si="465"/>
        <v>846</v>
      </c>
      <c r="BI1156" s="213">
        <f t="shared" si="455"/>
        <v>103.07328605200945</v>
      </c>
      <c r="BJ1156" s="141"/>
      <c r="BK1156" s="201"/>
      <c r="BL1156" s="202"/>
      <c r="BM1156" s="202"/>
    </row>
    <row r="1157" spans="1:65" s="17" customFormat="1" ht="21.95" customHeight="1">
      <c r="A1157" s="114">
        <v>145</v>
      </c>
      <c r="B1157" s="154" t="s">
        <v>661</v>
      </c>
      <c r="C1157" s="32" t="s">
        <v>743</v>
      </c>
      <c r="D1157" s="121"/>
      <c r="E1157" s="121"/>
      <c r="F1157" s="121"/>
      <c r="G1157" s="121"/>
      <c r="H1157" s="121"/>
      <c r="I1157" s="121">
        <f>7+1+4+4</f>
        <v>16</v>
      </c>
      <c r="J1157" s="121"/>
      <c r="K1157" s="121"/>
      <c r="L1157" s="121"/>
      <c r="M1157" s="121"/>
      <c r="N1157" s="121"/>
      <c r="O1157" s="121">
        <f>10+2</f>
        <v>12</v>
      </c>
      <c r="P1157" s="121"/>
      <c r="Q1157" s="121"/>
      <c r="R1157" s="121"/>
      <c r="S1157" s="121"/>
      <c r="T1157" s="121"/>
      <c r="U1157" s="121">
        <f>3+5+7</f>
        <v>15</v>
      </c>
      <c r="V1157" s="121"/>
      <c r="W1157" s="121"/>
      <c r="X1157" s="121"/>
      <c r="Y1157" s="121"/>
      <c r="Z1157" s="121"/>
      <c r="AA1157" s="121">
        <f>4+1+1+6</f>
        <v>12</v>
      </c>
      <c r="AB1157" s="229">
        <f t="shared" si="452"/>
        <v>0</v>
      </c>
      <c r="AC1157" s="228">
        <f t="shared" si="462"/>
        <v>55</v>
      </c>
      <c r="AD1157" s="19">
        <v>37</v>
      </c>
      <c r="AE1157" s="28"/>
      <c r="AF1157" s="28"/>
      <c r="AG1157" s="28"/>
      <c r="AH1157" s="28"/>
      <c r="AI1157" s="28"/>
      <c r="AJ1157" s="28">
        <f>2629+2368+591+12+36+68+174</f>
        <v>5878</v>
      </c>
      <c r="AK1157" s="28"/>
      <c r="AL1157" s="28"/>
      <c r="AM1157" s="28"/>
      <c r="AN1157" s="28"/>
      <c r="AO1157" s="28"/>
      <c r="AP1157" s="28">
        <f>2737+2407+5+33+651+18+49+127</f>
        <v>6027</v>
      </c>
      <c r="AQ1157" s="28"/>
      <c r="AR1157" s="28"/>
      <c r="AS1157" s="28"/>
      <c r="AT1157" s="28"/>
      <c r="AU1157" s="28"/>
      <c r="AV1157" s="28">
        <f>1900+1794+4+23+623+17+28</f>
        <v>4389</v>
      </c>
      <c r="AW1157" s="28"/>
      <c r="AX1157" s="28"/>
      <c r="AY1157" s="28"/>
      <c r="AZ1157" s="28"/>
      <c r="BA1157" s="28"/>
      <c r="BB1157" s="28">
        <f>2486+2365+1+31+667+45</f>
        <v>5595</v>
      </c>
      <c r="BC1157" s="229">
        <f t="shared" si="453"/>
        <v>0</v>
      </c>
      <c r="BD1157" s="48">
        <f t="shared" si="463"/>
        <v>21889</v>
      </c>
      <c r="BE1157" s="19">
        <v>25571</v>
      </c>
      <c r="BF1157" s="229">
        <f t="shared" si="454"/>
        <v>0</v>
      </c>
      <c r="BG1157" s="210">
        <f t="shared" si="464"/>
        <v>21944</v>
      </c>
      <c r="BH1157" s="210">
        <f t="shared" si="465"/>
        <v>25608</v>
      </c>
      <c r="BI1157" s="213">
        <f t="shared" si="455"/>
        <v>85.691971258981567</v>
      </c>
      <c r="BJ1157" s="141"/>
      <c r="BK1157" s="201"/>
      <c r="BL1157" s="202"/>
      <c r="BM1157" s="202"/>
    </row>
    <row r="1158" spans="1:65" s="17" customFormat="1" ht="21.95" customHeight="1">
      <c r="A1158" s="114">
        <v>146</v>
      </c>
      <c r="B1158" s="156" t="s">
        <v>784</v>
      </c>
      <c r="C1158" s="27" t="s">
        <v>1369</v>
      </c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229">
        <f t="shared" si="452"/>
        <v>0</v>
      </c>
      <c r="AC1158" s="228">
        <f t="shared" si="462"/>
        <v>0</v>
      </c>
      <c r="AD1158" s="19">
        <v>0</v>
      </c>
      <c r="AE1158" s="28"/>
      <c r="AF1158" s="28"/>
      <c r="AG1158" s="28"/>
      <c r="AH1158" s="28"/>
      <c r="AI1158" s="28"/>
      <c r="AJ1158" s="28">
        <v>4</v>
      </c>
      <c r="AK1158" s="28"/>
      <c r="AL1158" s="28"/>
      <c r="AM1158" s="28"/>
      <c r="AN1158" s="28"/>
      <c r="AO1158" s="28"/>
      <c r="AP1158" s="28">
        <v>2</v>
      </c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29">
        <f t="shared" si="453"/>
        <v>0</v>
      </c>
      <c r="BD1158" s="48">
        <f t="shared" si="463"/>
        <v>6</v>
      </c>
      <c r="BE1158" s="19">
        <v>0</v>
      </c>
      <c r="BF1158" s="229">
        <f t="shared" si="454"/>
        <v>0</v>
      </c>
      <c r="BG1158" s="210">
        <f t="shared" si="464"/>
        <v>6</v>
      </c>
      <c r="BH1158" s="210">
        <f t="shared" si="465"/>
        <v>0</v>
      </c>
      <c r="BI1158" s="213" t="e">
        <f t="shared" si="455"/>
        <v>#DIV/0!</v>
      </c>
      <c r="BJ1158" s="141"/>
      <c r="BK1158" s="201"/>
      <c r="BL1158" s="202"/>
      <c r="BM1158" s="202"/>
    </row>
    <row r="1159" spans="1:65" s="17" customFormat="1" ht="18" customHeight="1">
      <c r="A1159" s="114">
        <v>147</v>
      </c>
      <c r="B1159" s="24" t="s">
        <v>662</v>
      </c>
      <c r="C1159" s="25" t="s">
        <v>1096</v>
      </c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229">
        <f t="shared" si="452"/>
        <v>0</v>
      </c>
      <c r="AC1159" s="228">
        <f t="shared" si="462"/>
        <v>0</v>
      </c>
      <c r="AD1159" s="19">
        <v>0</v>
      </c>
      <c r="AE1159" s="28"/>
      <c r="AF1159" s="28"/>
      <c r="AG1159" s="28"/>
      <c r="AH1159" s="28"/>
      <c r="AI1159" s="28"/>
      <c r="AJ1159" s="28">
        <f>2+14</f>
        <v>16</v>
      </c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29">
        <f t="shared" si="453"/>
        <v>0</v>
      </c>
      <c r="BD1159" s="48">
        <f t="shared" si="463"/>
        <v>16</v>
      </c>
      <c r="BE1159" s="19">
        <v>1695</v>
      </c>
      <c r="BF1159" s="229">
        <f t="shared" si="454"/>
        <v>0</v>
      </c>
      <c r="BG1159" s="210">
        <f t="shared" si="464"/>
        <v>16</v>
      </c>
      <c r="BH1159" s="210">
        <f t="shared" si="465"/>
        <v>1695</v>
      </c>
      <c r="BI1159" s="213">
        <f t="shared" si="455"/>
        <v>0.94395280235988199</v>
      </c>
      <c r="BJ1159" s="141"/>
      <c r="BK1159" s="201"/>
      <c r="BL1159" s="202"/>
      <c r="BM1159" s="202"/>
    </row>
    <row r="1160" spans="1:65" s="17" customFormat="1" ht="18" customHeight="1">
      <c r="A1160" s="114">
        <v>148</v>
      </c>
      <c r="B1160" s="24" t="s">
        <v>663</v>
      </c>
      <c r="C1160" s="25" t="s">
        <v>1097</v>
      </c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229">
        <f t="shared" si="452"/>
        <v>0</v>
      </c>
      <c r="AC1160" s="228">
        <f t="shared" si="462"/>
        <v>0</v>
      </c>
      <c r="AD1160" s="19">
        <v>0</v>
      </c>
      <c r="AE1160" s="28"/>
      <c r="AF1160" s="28"/>
      <c r="AG1160" s="28"/>
      <c r="AH1160" s="28"/>
      <c r="AI1160" s="28"/>
      <c r="AJ1160" s="28">
        <f>198+430</f>
        <v>628</v>
      </c>
      <c r="AK1160" s="28"/>
      <c r="AL1160" s="28"/>
      <c r="AM1160" s="28"/>
      <c r="AN1160" s="28"/>
      <c r="AO1160" s="28"/>
      <c r="AP1160" s="28">
        <f>197+293+4</f>
        <v>494</v>
      </c>
      <c r="AQ1160" s="28"/>
      <c r="AR1160" s="28"/>
      <c r="AS1160" s="28"/>
      <c r="AT1160" s="28"/>
      <c r="AU1160" s="28"/>
      <c r="AV1160" s="28">
        <f>211+138</f>
        <v>349</v>
      </c>
      <c r="AW1160" s="28"/>
      <c r="AX1160" s="28"/>
      <c r="AY1160" s="28"/>
      <c r="AZ1160" s="28"/>
      <c r="BA1160" s="28"/>
      <c r="BB1160" s="28">
        <f>193+213</f>
        <v>406</v>
      </c>
      <c r="BC1160" s="229">
        <f t="shared" si="453"/>
        <v>0</v>
      </c>
      <c r="BD1160" s="48">
        <f t="shared" si="463"/>
        <v>1877</v>
      </c>
      <c r="BE1160" s="19">
        <v>3197</v>
      </c>
      <c r="BF1160" s="229">
        <f t="shared" si="454"/>
        <v>0</v>
      </c>
      <c r="BG1160" s="210">
        <f t="shared" si="464"/>
        <v>1877</v>
      </c>
      <c r="BH1160" s="210">
        <f t="shared" si="465"/>
        <v>3197</v>
      </c>
      <c r="BI1160" s="213">
        <f t="shared" si="455"/>
        <v>58.711291836096336</v>
      </c>
      <c r="BJ1160" s="141"/>
      <c r="BK1160" s="201"/>
      <c r="BL1160" s="202"/>
      <c r="BM1160" s="202"/>
    </row>
    <row r="1161" spans="1:65" s="17" customFormat="1" ht="21.95" customHeight="1">
      <c r="A1161" s="114">
        <v>149</v>
      </c>
      <c r="B1161" s="24" t="s">
        <v>664</v>
      </c>
      <c r="C1161" s="27" t="s">
        <v>1167</v>
      </c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229">
        <f t="shared" si="452"/>
        <v>0</v>
      </c>
      <c r="AC1161" s="228">
        <f t="shared" si="462"/>
        <v>0</v>
      </c>
      <c r="AD1161" s="19">
        <v>0</v>
      </c>
      <c r="AE1161" s="28"/>
      <c r="AF1161" s="28"/>
      <c r="AG1161" s="28"/>
      <c r="AH1161" s="28"/>
      <c r="AI1161" s="28"/>
      <c r="AJ1161" s="28">
        <f>992+1539+5+120</f>
        <v>2656</v>
      </c>
      <c r="AK1161" s="28"/>
      <c r="AL1161" s="28"/>
      <c r="AM1161" s="28"/>
      <c r="AN1161" s="28"/>
      <c r="AO1161" s="28"/>
      <c r="AP1161" s="28">
        <f>1099+1435+5+58</f>
        <v>2597</v>
      </c>
      <c r="AQ1161" s="28"/>
      <c r="AR1161" s="28"/>
      <c r="AS1161" s="28"/>
      <c r="AT1161" s="28"/>
      <c r="AU1161" s="28"/>
      <c r="AV1161" s="28">
        <f>813+9868</f>
        <v>10681</v>
      </c>
      <c r="AW1161" s="28"/>
      <c r="AX1161" s="28"/>
      <c r="AY1161" s="28"/>
      <c r="AZ1161" s="28"/>
      <c r="BA1161" s="28"/>
      <c r="BB1161" s="28">
        <f>1012+1340</f>
        <v>2352</v>
      </c>
      <c r="BC1161" s="229">
        <f t="shared" si="453"/>
        <v>0</v>
      </c>
      <c r="BD1161" s="48">
        <f t="shared" si="463"/>
        <v>18286</v>
      </c>
      <c r="BE1161" s="19">
        <v>10550</v>
      </c>
      <c r="BF1161" s="229">
        <f t="shared" si="454"/>
        <v>0</v>
      </c>
      <c r="BG1161" s="210">
        <f t="shared" si="464"/>
        <v>18286</v>
      </c>
      <c r="BH1161" s="210">
        <f t="shared" si="465"/>
        <v>10550</v>
      </c>
      <c r="BI1161" s="213">
        <f t="shared" si="455"/>
        <v>173.32701421800948</v>
      </c>
      <c r="BJ1161" s="141"/>
      <c r="BK1161" s="201"/>
      <c r="BL1161" s="202"/>
      <c r="BM1161" s="202"/>
    </row>
    <row r="1162" spans="1:65" s="17" customFormat="1" ht="21.95" customHeight="1">
      <c r="A1162" s="330"/>
      <c r="B1162" s="331" t="s">
        <v>1682</v>
      </c>
      <c r="C1162" s="336" t="s">
        <v>1683</v>
      </c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33"/>
      <c r="P1162" s="333"/>
      <c r="Q1162" s="333"/>
      <c r="R1162" s="333"/>
      <c r="S1162" s="333"/>
      <c r="T1162" s="333"/>
      <c r="U1162" s="333"/>
      <c r="V1162" s="333"/>
      <c r="W1162" s="333"/>
      <c r="X1162" s="333"/>
      <c r="Y1162" s="333"/>
      <c r="Z1162" s="333"/>
      <c r="AA1162" s="333"/>
      <c r="AB1162" s="323"/>
      <c r="AC1162" s="228">
        <f t="shared" si="462"/>
        <v>0</v>
      </c>
      <c r="AD1162" s="326">
        <v>0</v>
      </c>
      <c r="AE1162" s="334"/>
      <c r="AF1162" s="334"/>
      <c r="AG1162" s="334"/>
      <c r="AH1162" s="334"/>
      <c r="AI1162" s="334"/>
      <c r="AJ1162" s="334"/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4"/>
      <c r="AX1162" s="334"/>
      <c r="AY1162" s="334"/>
      <c r="AZ1162" s="334"/>
      <c r="BA1162" s="334"/>
      <c r="BB1162" s="334">
        <v>1</v>
      </c>
      <c r="BC1162" s="323"/>
      <c r="BD1162" s="48">
        <f t="shared" si="463"/>
        <v>1</v>
      </c>
      <c r="BE1162" s="326">
        <v>0</v>
      </c>
      <c r="BF1162" s="323"/>
      <c r="BG1162" s="210">
        <f t="shared" ref="BG1162" si="466">AC1162+BD1162</f>
        <v>1</v>
      </c>
      <c r="BH1162" s="210">
        <f t="shared" ref="BH1162" si="467">AD1162+BE1162</f>
        <v>0</v>
      </c>
      <c r="BI1162" s="213" t="e">
        <f t="shared" ref="BI1162" si="468">BG1162/BH1162*100</f>
        <v>#DIV/0!</v>
      </c>
      <c r="BJ1162" s="141"/>
      <c r="BK1162" s="201"/>
      <c r="BL1162" s="202"/>
      <c r="BM1162" s="202"/>
    </row>
    <row r="1163" spans="1:65" s="17" customFormat="1" ht="21.95" customHeight="1">
      <c r="A1163" s="114">
        <v>150</v>
      </c>
      <c r="B1163" s="24" t="s">
        <v>1634</v>
      </c>
      <c r="C1163" s="27" t="s">
        <v>1705</v>
      </c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229">
        <f t="shared" si="452"/>
        <v>0</v>
      </c>
      <c r="AC1163" s="228">
        <f t="shared" si="462"/>
        <v>0</v>
      </c>
      <c r="AD1163" s="19">
        <v>0</v>
      </c>
      <c r="AE1163" s="28"/>
      <c r="AF1163" s="28"/>
      <c r="AG1163" s="28"/>
      <c r="AH1163" s="28"/>
      <c r="AI1163" s="28"/>
      <c r="AJ1163" s="28">
        <v>1</v>
      </c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>
        <v>12</v>
      </c>
      <c r="BC1163" s="229">
        <f t="shared" si="453"/>
        <v>0</v>
      </c>
      <c r="BD1163" s="48">
        <f t="shared" si="463"/>
        <v>13</v>
      </c>
      <c r="BE1163" s="19">
        <v>0</v>
      </c>
      <c r="BF1163" s="229">
        <f t="shared" si="454"/>
        <v>0</v>
      </c>
      <c r="BG1163" s="210">
        <f t="shared" si="464"/>
        <v>13</v>
      </c>
      <c r="BH1163" s="210">
        <f t="shared" si="465"/>
        <v>0</v>
      </c>
      <c r="BI1163" s="213" t="e">
        <f t="shared" si="455"/>
        <v>#DIV/0!</v>
      </c>
      <c r="BJ1163" s="141"/>
      <c r="BK1163" s="201"/>
      <c r="BL1163" s="202"/>
      <c r="BM1163" s="202"/>
    </row>
    <row r="1164" spans="1:65" s="17" customFormat="1" ht="21.95" customHeight="1">
      <c r="A1164" s="114">
        <v>151</v>
      </c>
      <c r="B1164" s="24" t="s">
        <v>1997</v>
      </c>
      <c r="C1164" s="27" t="s">
        <v>2837</v>
      </c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229">
        <f t="shared" si="452"/>
        <v>0</v>
      </c>
      <c r="AC1164" s="228">
        <f t="shared" si="462"/>
        <v>0</v>
      </c>
      <c r="AD1164" s="19">
        <v>0</v>
      </c>
      <c r="AE1164" s="28"/>
      <c r="AF1164" s="28"/>
      <c r="AG1164" s="28"/>
      <c r="AH1164" s="28"/>
      <c r="AI1164" s="28"/>
      <c r="AJ1164" s="28">
        <v>2</v>
      </c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>
        <v>1</v>
      </c>
      <c r="AW1164" s="28"/>
      <c r="AX1164" s="28"/>
      <c r="AY1164" s="28"/>
      <c r="AZ1164" s="28"/>
      <c r="BA1164" s="28"/>
      <c r="BB1164" s="28"/>
      <c r="BC1164" s="229">
        <f t="shared" si="453"/>
        <v>0</v>
      </c>
      <c r="BD1164" s="48">
        <f t="shared" si="463"/>
        <v>3</v>
      </c>
      <c r="BE1164" s="19">
        <v>0</v>
      </c>
      <c r="BF1164" s="229">
        <f t="shared" si="454"/>
        <v>0</v>
      </c>
      <c r="BG1164" s="210">
        <f t="shared" si="464"/>
        <v>3</v>
      </c>
      <c r="BH1164" s="210">
        <f t="shared" si="465"/>
        <v>0</v>
      </c>
      <c r="BI1164" s="213" t="e">
        <f t="shared" si="455"/>
        <v>#DIV/0!</v>
      </c>
      <c r="BJ1164" s="141"/>
      <c r="BK1164" s="201"/>
      <c r="BL1164" s="202"/>
      <c r="BM1164" s="202"/>
    </row>
    <row r="1165" spans="1:65" s="17" customFormat="1" ht="21.95" customHeight="1">
      <c r="A1165" s="114">
        <v>152</v>
      </c>
      <c r="B1165" s="24" t="s">
        <v>785</v>
      </c>
      <c r="C1165" s="25" t="s">
        <v>1859</v>
      </c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229">
        <f t="shared" si="452"/>
        <v>0</v>
      </c>
      <c r="AC1165" s="228">
        <f t="shared" si="462"/>
        <v>0</v>
      </c>
      <c r="AD1165" s="19">
        <v>0</v>
      </c>
      <c r="AE1165" s="28"/>
      <c r="AF1165" s="28"/>
      <c r="AG1165" s="28"/>
      <c r="AH1165" s="28"/>
      <c r="AI1165" s="28"/>
      <c r="AJ1165" s="28">
        <v>28</v>
      </c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>
        <v>1</v>
      </c>
      <c r="AW1165" s="28"/>
      <c r="AX1165" s="28"/>
      <c r="AY1165" s="28"/>
      <c r="AZ1165" s="28"/>
      <c r="BA1165" s="28"/>
      <c r="BB1165" s="28"/>
      <c r="BC1165" s="229">
        <f t="shared" si="453"/>
        <v>0</v>
      </c>
      <c r="BD1165" s="48">
        <f t="shared" si="463"/>
        <v>29</v>
      </c>
      <c r="BE1165" s="19">
        <v>12</v>
      </c>
      <c r="BF1165" s="229">
        <f t="shared" si="454"/>
        <v>0</v>
      </c>
      <c r="BG1165" s="210">
        <f t="shared" si="464"/>
        <v>29</v>
      </c>
      <c r="BH1165" s="210">
        <f t="shared" si="465"/>
        <v>12</v>
      </c>
      <c r="BI1165" s="213">
        <f t="shared" si="455"/>
        <v>241.66666666666666</v>
      </c>
      <c r="BJ1165" s="141"/>
      <c r="BK1165" s="201"/>
      <c r="BL1165" s="202"/>
      <c r="BM1165" s="202"/>
    </row>
    <row r="1166" spans="1:65" s="17" customFormat="1" ht="18" customHeight="1">
      <c r="A1166" s="114">
        <v>153</v>
      </c>
      <c r="B1166" s="24" t="s">
        <v>1170</v>
      </c>
      <c r="C1166" s="25" t="s">
        <v>2693</v>
      </c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229">
        <f t="shared" si="452"/>
        <v>0</v>
      </c>
      <c r="AC1166" s="228">
        <f t="shared" si="462"/>
        <v>0</v>
      </c>
      <c r="AD1166" s="19">
        <v>0</v>
      </c>
      <c r="AE1166" s="28"/>
      <c r="AF1166" s="28"/>
      <c r="AG1166" s="28"/>
      <c r="AH1166" s="28"/>
      <c r="AI1166" s="28"/>
      <c r="AJ1166" s="28">
        <v>4</v>
      </c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29">
        <f t="shared" si="453"/>
        <v>0</v>
      </c>
      <c r="BD1166" s="48">
        <f t="shared" si="463"/>
        <v>4</v>
      </c>
      <c r="BE1166" s="19">
        <v>0</v>
      </c>
      <c r="BF1166" s="229">
        <f t="shared" si="454"/>
        <v>0</v>
      </c>
      <c r="BG1166" s="210">
        <f t="shared" si="464"/>
        <v>4</v>
      </c>
      <c r="BH1166" s="210">
        <f t="shared" si="465"/>
        <v>0</v>
      </c>
      <c r="BI1166" s="213" t="e">
        <f t="shared" si="455"/>
        <v>#DIV/0!</v>
      </c>
      <c r="BJ1166" s="141"/>
      <c r="BK1166" s="201"/>
      <c r="BL1166" s="202"/>
      <c r="BM1166" s="202"/>
    </row>
    <row r="1167" spans="1:65" s="17" customFormat="1" ht="18" customHeight="1">
      <c r="A1167" s="114">
        <v>154</v>
      </c>
      <c r="B1167" s="24" t="s">
        <v>1558</v>
      </c>
      <c r="C1167" s="25" t="s">
        <v>1559</v>
      </c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229">
        <f t="shared" si="452"/>
        <v>0</v>
      </c>
      <c r="AC1167" s="228">
        <f t="shared" si="462"/>
        <v>0</v>
      </c>
      <c r="AD1167" s="19">
        <v>0</v>
      </c>
      <c r="AE1167" s="28"/>
      <c r="AF1167" s="28"/>
      <c r="AG1167" s="28"/>
      <c r="AH1167" s="28"/>
      <c r="AI1167" s="28"/>
      <c r="AJ1167" s="28">
        <v>32</v>
      </c>
      <c r="AK1167" s="28"/>
      <c r="AL1167" s="28"/>
      <c r="AM1167" s="28"/>
      <c r="AN1167" s="28"/>
      <c r="AO1167" s="28"/>
      <c r="AP1167" s="28">
        <v>3</v>
      </c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>
        <v>27</v>
      </c>
      <c r="BC1167" s="229">
        <f t="shared" si="453"/>
        <v>0</v>
      </c>
      <c r="BD1167" s="48">
        <f t="shared" si="463"/>
        <v>62</v>
      </c>
      <c r="BE1167" s="19">
        <v>65</v>
      </c>
      <c r="BF1167" s="229">
        <f t="shared" si="454"/>
        <v>0</v>
      </c>
      <c r="BG1167" s="210">
        <f t="shared" si="464"/>
        <v>62</v>
      </c>
      <c r="BH1167" s="210">
        <f t="shared" si="465"/>
        <v>65</v>
      </c>
      <c r="BI1167" s="213">
        <f t="shared" si="455"/>
        <v>95.384615384615387</v>
      </c>
      <c r="BJ1167" s="141"/>
      <c r="BK1167" s="201"/>
      <c r="BL1167" s="202"/>
      <c r="BM1167" s="202"/>
    </row>
    <row r="1168" spans="1:65" s="17" customFormat="1" ht="21.95" customHeight="1">
      <c r="A1168" s="114">
        <v>155</v>
      </c>
      <c r="B1168" s="24" t="s">
        <v>786</v>
      </c>
      <c r="C1168" s="27" t="s">
        <v>2250</v>
      </c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229">
        <f t="shared" si="452"/>
        <v>0</v>
      </c>
      <c r="AC1168" s="228">
        <f t="shared" si="462"/>
        <v>0</v>
      </c>
      <c r="AD1168" s="19">
        <v>0</v>
      </c>
      <c r="AE1168" s="28"/>
      <c r="AF1168" s="28"/>
      <c r="AG1168" s="28"/>
      <c r="AH1168" s="28"/>
      <c r="AI1168" s="28"/>
      <c r="AJ1168" s="28">
        <f>238+3+15</f>
        <v>256</v>
      </c>
      <c r="AK1168" s="28"/>
      <c r="AL1168" s="28"/>
      <c r="AM1168" s="28"/>
      <c r="AN1168" s="28"/>
      <c r="AO1168" s="28"/>
      <c r="AP1168" s="28">
        <v>138</v>
      </c>
      <c r="AQ1168" s="28"/>
      <c r="AR1168" s="28"/>
      <c r="AS1168" s="28"/>
      <c r="AT1168" s="28"/>
      <c r="AU1168" s="28"/>
      <c r="AV1168" s="28">
        <f>53+5</f>
        <v>58</v>
      </c>
      <c r="AW1168" s="28"/>
      <c r="AX1168" s="28"/>
      <c r="AY1168" s="28"/>
      <c r="AZ1168" s="28"/>
      <c r="BA1168" s="28"/>
      <c r="BB1168" s="28">
        <v>140</v>
      </c>
      <c r="BC1168" s="229">
        <f t="shared" si="453"/>
        <v>0</v>
      </c>
      <c r="BD1168" s="48">
        <f t="shared" si="463"/>
        <v>592</v>
      </c>
      <c r="BE1168" s="19">
        <v>448</v>
      </c>
      <c r="BF1168" s="229">
        <f t="shared" si="454"/>
        <v>0</v>
      </c>
      <c r="BG1168" s="210">
        <f t="shared" si="464"/>
        <v>592</v>
      </c>
      <c r="BH1168" s="210">
        <f t="shared" si="465"/>
        <v>448</v>
      </c>
      <c r="BI1168" s="213">
        <f t="shared" si="455"/>
        <v>132.14285714285714</v>
      </c>
      <c r="BJ1168" s="141"/>
      <c r="BK1168" s="201"/>
      <c r="BL1168" s="202"/>
      <c r="BM1168" s="202"/>
    </row>
    <row r="1169" spans="1:65" s="317" customFormat="1" ht="18" customHeight="1">
      <c r="A1169" s="114">
        <v>156</v>
      </c>
      <c r="B1169" s="24" t="s">
        <v>704</v>
      </c>
      <c r="C1169" s="25" t="s">
        <v>1383</v>
      </c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>
        <v>3</v>
      </c>
      <c r="V1169" s="121"/>
      <c r="W1169" s="121"/>
      <c r="X1169" s="121"/>
      <c r="Y1169" s="121"/>
      <c r="Z1169" s="121"/>
      <c r="AA1169" s="121"/>
      <c r="AB1169" s="229">
        <f t="shared" si="452"/>
        <v>0</v>
      </c>
      <c r="AC1169" s="228">
        <f t="shared" si="462"/>
        <v>3</v>
      </c>
      <c r="AD1169" s="19">
        <v>8</v>
      </c>
      <c r="AE1169" s="28"/>
      <c r="AF1169" s="28"/>
      <c r="AG1169" s="28"/>
      <c r="AH1169" s="28"/>
      <c r="AI1169" s="28"/>
      <c r="AJ1169" s="28">
        <f>3+3</f>
        <v>6</v>
      </c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>
        <f>4+1+1</f>
        <v>6</v>
      </c>
      <c r="AW1169" s="28"/>
      <c r="AX1169" s="28"/>
      <c r="AY1169" s="28"/>
      <c r="AZ1169" s="28"/>
      <c r="BA1169" s="28"/>
      <c r="BB1169" s="28">
        <f>7+3+1</f>
        <v>11</v>
      </c>
      <c r="BC1169" s="229">
        <f t="shared" si="453"/>
        <v>0</v>
      </c>
      <c r="BD1169" s="48">
        <f t="shared" si="463"/>
        <v>23</v>
      </c>
      <c r="BE1169" s="19">
        <v>141</v>
      </c>
      <c r="BF1169" s="229">
        <f t="shared" si="454"/>
        <v>0</v>
      </c>
      <c r="BG1169" s="210">
        <f t="shared" si="464"/>
        <v>26</v>
      </c>
      <c r="BH1169" s="210">
        <f t="shared" si="465"/>
        <v>149</v>
      </c>
      <c r="BI1169" s="213">
        <f t="shared" si="455"/>
        <v>17.449664429530202</v>
      </c>
      <c r="BJ1169" s="141"/>
      <c r="BK1169" s="201"/>
      <c r="BL1169" s="202"/>
      <c r="BM1169" s="202"/>
    </row>
    <row r="1170" spans="1:65" s="317" customFormat="1" ht="18" customHeight="1">
      <c r="A1170" s="114">
        <v>157</v>
      </c>
      <c r="B1170" s="24" t="s">
        <v>787</v>
      </c>
      <c r="C1170" s="25" t="s">
        <v>1171</v>
      </c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229">
        <f t="shared" si="452"/>
        <v>0</v>
      </c>
      <c r="AC1170" s="228">
        <f t="shared" si="462"/>
        <v>0</v>
      </c>
      <c r="AD1170" s="19">
        <v>0</v>
      </c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>
        <v>5</v>
      </c>
      <c r="AQ1170" s="28"/>
      <c r="AR1170" s="28"/>
      <c r="AS1170" s="28"/>
      <c r="AT1170" s="28"/>
      <c r="AU1170" s="28"/>
      <c r="AV1170" s="28">
        <v>4</v>
      </c>
      <c r="AW1170" s="28"/>
      <c r="AX1170" s="28"/>
      <c r="AY1170" s="28"/>
      <c r="AZ1170" s="28"/>
      <c r="BA1170" s="28"/>
      <c r="BB1170" s="28">
        <v>10</v>
      </c>
      <c r="BC1170" s="229">
        <f t="shared" si="453"/>
        <v>0</v>
      </c>
      <c r="BD1170" s="48">
        <f t="shared" si="463"/>
        <v>19</v>
      </c>
      <c r="BE1170" s="19">
        <v>20</v>
      </c>
      <c r="BF1170" s="229">
        <f t="shared" si="454"/>
        <v>0</v>
      </c>
      <c r="BG1170" s="210">
        <f t="shared" si="464"/>
        <v>19</v>
      </c>
      <c r="BH1170" s="210">
        <f t="shared" si="465"/>
        <v>20</v>
      </c>
      <c r="BI1170" s="213">
        <f t="shared" si="455"/>
        <v>95</v>
      </c>
      <c r="BJ1170" s="141"/>
      <c r="BK1170" s="201"/>
      <c r="BL1170" s="202"/>
      <c r="BM1170" s="202"/>
    </row>
    <row r="1171" spans="1:65" s="317" customFormat="1" ht="18" customHeight="1">
      <c r="A1171" s="114">
        <v>158</v>
      </c>
      <c r="B1171" s="24" t="s">
        <v>788</v>
      </c>
      <c r="C1171" s="25" t="s">
        <v>1172</v>
      </c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229">
        <f t="shared" si="452"/>
        <v>0</v>
      </c>
      <c r="AC1171" s="228">
        <f t="shared" si="462"/>
        <v>0</v>
      </c>
      <c r="AD1171" s="19">
        <v>0</v>
      </c>
      <c r="AE1171" s="28"/>
      <c r="AF1171" s="28"/>
      <c r="AG1171" s="28"/>
      <c r="AH1171" s="28"/>
      <c r="AI1171" s="28"/>
      <c r="AJ1171" s="28">
        <f>87+127</f>
        <v>214</v>
      </c>
      <c r="AK1171" s="28"/>
      <c r="AL1171" s="28"/>
      <c r="AM1171" s="28"/>
      <c r="AN1171" s="28"/>
      <c r="AO1171" s="28"/>
      <c r="AP1171" s="28">
        <f>134+163</f>
        <v>297</v>
      </c>
      <c r="AQ1171" s="28"/>
      <c r="AR1171" s="28"/>
      <c r="AS1171" s="28"/>
      <c r="AT1171" s="28"/>
      <c r="AU1171" s="28"/>
      <c r="AV1171" s="28">
        <f>114+334</f>
        <v>448</v>
      </c>
      <c r="AW1171" s="28"/>
      <c r="AX1171" s="28"/>
      <c r="AY1171" s="28"/>
      <c r="AZ1171" s="28"/>
      <c r="BA1171" s="28"/>
      <c r="BB1171" s="28">
        <f>110+159</f>
        <v>269</v>
      </c>
      <c r="BC1171" s="229">
        <f t="shared" si="453"/>
        <v>0</v>
      </c>
      <c r="BD1171" s="48">
        <f t="shared" si="463"/>
        <v>1228</v>
      </c>
      <c r="BE1171" s="19">
        <v>1710</v>
      </c>
      <c r="BF1171" s="229">
        <f t="shared" si="454"/>
        <v>0</v>
      </c>
      <c r="BG1171" s="210">
        <f t="shared" si="464"/>
        <v>1228</v>
      </c>
      <c r="BH1171" s="210">
        <f t="shared" si="465"/>
        <v>1710</v>
      </c>
      <c r="BI1171" s="213">
        <f t="shared" si="455"/>
        <v>71.812865497076032</v>
      </c>
      <c r="BJ1171" s="141"/>
      <c r="BK1171" s="201"/>
      <c r="BL1171" s="202"/>
      <c r="BM1171" s="202"/>
    </row>
    <row r="1172" spans="1:65" s="317" customFormat="1" ht="18" customHeight="1">
      <c r="A1172" s="114">
        <v>159</v>
      </c>
      <c r="B1172" s="24" t="s">
        <v>789</v>
      </c>
      <c r="C1172" s="25" t="s">
        <v>2127</v>
      </c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>
        <v>2</v>
      </c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229">
        <f t="shared" si="452"/>
        <v>0</v>
      </c>
      <c r="AC1172" s="228">
        <f t="shared" si="462"/>
        <v>2</v>
      </c>
      <c r="AD1172" s="19">
        <v>0</v>
      </c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>
        <v>16</v>
      </c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29">
        <f t="shared" si="453"/>
        <v>0</v>
      </c>
      <c r="BD1172" s="48">
        <f t="shared" si="463"/>
        <v>16</v>
      </c>
      <c r="BE1172" s="19">
        <v>14</v>
      </c>
      <c r="BF1172" s="229">
        <f t="shared" si="454"/>
        <v>0</v>
      </c>
      <c r="BG1172" s="210">
        <f t="shared" si="464"/>
        <v>18</v>
      </c>
      <c r="BH1172" s="210">
        <f t="shared" si="465"/>
        <v>14</v>
      </c>
      <c r="BI1172" s="213">
        <f t="shared" si="455"/>
        <v>128.57142857142858</v>
      </c>
      <c r="BJ1172" s="141"/>
      <c r="BK1172" s="201"/>
      <c r="BL1172" s="202"/>
      <c r="BM1172" s="202"/>
    </row>
    <row r="1173" spans="1:65" s="317" customFormat="1" ht="18" customHeight="1">
      <c r="A1173" s="114">
        <v>160</v>
      </c>
      <c r="B1173" s="24" t="s">
        <v>1173</v>
      </c>
      <c r="C1173" s="25" t="s">
        <v>1371</v>
      </c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229">
        <f t="shared" si="452"/>
        <v>0</v>
      </c>
      <c r="AC1173" s="228">
        <f t="shared" si="462"/>
        <v>0</v>
      </c>
      <c r="AD1173" s="19">
        <v>0</v>
      </c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29">
        <f t="shared" si="453"/>
        <v>0</v>
      </c>
      <c r="BD1173" s="48">
        <f t="shared" si="463"/>
        <v>0</v>
      </c>
      <c r="BE1173" s="19">
        <v>98</v>
      </c>
      <c r="BF1173" s="229">
        <f t="shared" si="454"/>
        <v>0</v>
      </c>
      <c r="BG1173" s="210">
        <f t="shared" si="464"/>
        <v>0</v>
      </c>
      <c r="BH1173" s="210">
        <f t="shared" si="465"/>
        <v>98</v>
      </c>
      <c r="BI1173" s="213">
        <f t="shared" si="455"/>
        <v>0</v>
      </c>
      <c r="BJ1173" s="141"/>
      <c r="BK1173" s="201"/>
      <c r="BL1173" s="202"/>
      <c r="BM1173" s="202"/>
    </row>
    <row r="1174" spans="1:65" s="317" customFormat="1" ht="18" customHeight="1">
      <c r="A1174" s="114">
        <v>161</v>
      </c>
      <c r="B1174" s="24" t="s">
        <v>1174</v>
      </c>
      <c r="C1174" s="25" t="s">
        <v>1175</v>
      </c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229">
        <f t="shared" si="452"/>
        <v>0</v>
      </c>
      <c r="AC1174" s="228">
        <f t="shared" si="462"/>
        <v>0</v>
      </c>
      <c r="AD1174" s="19">
        <v>0</v>
      </c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29">
        <f t="shared" si="453"/>
        <v>0</v>
      </c>
      <c r="BD1174" s="48">
        <f t="shared" si="463"/>
        <v>0</v>
      </c>
      <c r="BE1174" s="19">
        <v>2</v>
      </c>
      <c r="BF1174" s="229">
        <f t="shared" si="454"/>
        <v>0</v>
      </c>
      <c r="BG1174" s="210">
        <f t="shared" si="464"/>
        <v>0</v>
      </c>
      <c r="BH1174" s="210">
        <f t="shared" si="465"/>
        <v>2</v>
      </c>
      <c r="BI1174" s="213">
        <f t="shared" ref="BI1174:BI1182" si="469">BG1174/BH1174*100</f>
        <v>0</v>
      </c>
      <c r="BJ1174" s="141"/>
      <c r="BK1174" s="201"/>
      <c r="BL1174" s="202"/>
      <c r="BM1174" s="202"/>
    </row>
    <row r="1175" spans="1:65" s="17" customFormat="1" ht="18" customHeight="1">
      <c r="A1175" s="114">
        <v>162</v>
      </c>
      <c r="B1175" s="24" t="s">
        <v>1176</v>
      </c>
      <c r="C1175" s="25" t="s">
        <v>1388</v>
      </c>
      <c r="D1175" s="121"/>
      <c r="E1175" s="121"/>
      <c r="F1175" s="121"/>
      <c r="G1175" s="121"/>
      <c r="H1175" s="121"/>
      <c r="I1175" s="121">
        <v>2</v>
      </c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229">
        <f t="shared" si="452"/>
        <v>0</v>
      </c>
      <c r="AC1175" s="228">
        <f t="shared" si="462"/>
        <v>2</v>
      </c>
      <c r="AD1175" s="19">
        <v>37</v>
      </c>
      <c r="AE1175" s="28"/>
      <c r="AF1175" s="28"/>
      <c r="AG1175" s="28"/>
      <c r="AH1175" s="28"/>
      <c r="AI1175" s="28"/>
      <c r="AJ1175" s="28">
        <f>87+58</f>
        <v>145</v>
      </c>
      <c r="AK1175" s="28"/>
      <c r="AL1175" s="28"/>
      <c r="AM1175" s="28"/>
      <c r="AN1175" s="28"/>
      <c r="AO1175" s="28"/>
      <c r="AP1175" s="28">
        <f>77+75+3</f>
        <v>155</v>
      </c>
      <c r="AQ1175" s="28"/>
      <c r="AR1175" s="28"/>
      <c r="AS1175" s="28"/>
      <c r="AT1175" s="28"/>
      <c r="AU1175" s="28"/>
      <c r="AV1175" s="28">
        <f>102+64</f>
        <v>166</v>
      </c>
      <c r="AW1175" s="28"/>
      <c r="AX1175" s="28"/>
      <c r="AY1175" s="28"/>
      <c r="AZ1175" s="28"/>
      <c r="BA1175" s="28"/>
      <c r="BB1175" s="28">
        <f>86+93</f>
        <v>179</v>
      </c>
      <c r="BC1175" s="229">
        <f t="shared" si="453"/>
        <v>0</v>
      </c>
      <c r="BD1175" s="48">
        <f t="shared" si="463"/>
        <v>645</v>
      </c>
      <c r="BE1175" s="19">
        <v>1203</v>
      </c>
      <c r="BF1175" s="229">
        <f t="shared" si="454"/>
        <v>0</v>
      </c>
      <c r="BG1175" s="210">
        <f t="shared" si="464"/>
        <v>647</v>
      </c>
      <c r="BH1175" s="210">
        <f t="shared" si="465"/>
        <v>1240</v>
      </c>
      <c r="BI1175" s="213">
        <f t="shared" si="469"/>
        <v>52.177419354838705</v>
      </c>
      <c r="BJ1175" s="141"/>
      <c r="BK1175" s="201"/>
      <c r="BL1175" s="202"/>
      <c r="BM1175" s="202"/>
    </row>
    <row r="1176" spans="1:65" s="17" customFormat="1" ht="21.95" customHeight="1">
      <c r="A1176" s="114">
        <v>163</v>
      </c>
      <c r="B1176" s="24" t="s">
        <v>790</v>
      </c>
      <c r="C1176" s="27" t="s">
        <v>3048</v>
      </c>
      <c r="D1176" s="121"/>
      <c r="E1176" s="121"/>
      <c r="F1176" s="121"/>
      <c r="G1176" s="121"/>
      <c r="H1176" s="121"/>
      <c r="I1176" s="121">
        <f>14+20</f>
        <v>34</v>
      </c>
      <c r="J1176" s="121"/>
      <c r="K1176" s="121"/>
      <c r="L1176" s="121"/>
      <c r="M1176" s="121"/>
      <c r="N1176" s="121"/>
      <c r="O1176" s="121">
        <f>14+10</f>
        <v>24</v>
      </c>
      <c r="P1176" s="121"/>
      <c r="Q1176" s="121"/>
      <c r="R1176" s="121"/>
      <c r="S1176" s="121"/>
      <c r="T1176" s="121"/>
      <c r="U1176" s="121">
        <f>14+10+1</f>
        <v>25</v>
      </c>
      <c r="V1176" s="121"/>
      <c r="W1176" s="121"/>
      <c r="X1176" s="121"/>
      <c r="Y1176" s="121"/>
      <c r="Z1176" s="121"/>
      <c r="AA1176" s="121">
        <f>8+7</f>
        <v>15</v>
      </c>
      <c r="AB1176" s="229">
        <f t="shared" si="452"/>
        <v>0</v>
      </c>
      <c r="AC1176" s="228">
        <f t="shared" si="462"/>
        <v>98</v>
      </c>
      <c r="AD1176" s="19">
        <f>32+43</f>
        <v>75</v>
      </c>
      <c r="AE1176" s="28"/>
      <c r="AF1176" s="28"/>
      <c r="AG1176" s="28"/>
      <c r="AH1176" s="28"/>
      <c r="AI1176" s="28"/>
      <c r="AJ1176" s="28">
        <f>8+3+6919</f>
        <v>6930</v>
      </c>
      <c r="AK1176" s="28"/>
      <c r="AL1176" s="28"/>
      <c r="AM1176" s="28"/>
      <c r="AN1176" s="28"/>
      <c r="AO1176" s="28"/>
      <c r="AP1176" s="28">
        <f>2299+4802+1+166+7+1+71</f>
        <v>7347</v>
      </c>
      <c r="AQ1176" s="28"/>
      <c r="AR1176" s="28"/>
      <c r="AS1176" s="28"/>
      <c r="AT1176" s="28"/>
      <c r="AU1176" s="28"/>
      <c r="AV1176" s="28">
        <f>2013+3787+135+8+4</f>
        <v>5947</v>
      </c>
      <c r="AW1176" s="28"/>
      <c r="AX1176" s="28"/>
      <c r="AY1176" s="28"/>
      <c r="AZ1176" s="28"/>
      <c r="BA1176" s="28"/>
      <c r="BB1176" s="28">
        <f>2191+4400+1130+9</f>
        <v>7730</v>
      </c>
      <c r="BC1176" s="229">
        <f t="shared" si="453"/>
        <v>0</v>
      </c>
      <c r="BD1176" s="48">
        <f t="shared" si="463"/>
        <v>27954</v>
      </c>
      <c r="BE1176" s="19">
        <f>1+28498</f>
        <v>28499</v>
      </c>
      <c r="BF1176" s="229">
        <f t="shared" si="454"/>
        <v>0</v>
      </c>
      <c r="BG1176" s="210">
        <f t="shared" si="464"/>
        <v>28052</v>
      </c>
      <c r="BH1176" s="210">
        <f t="shared" si="465"/>
        <v>28574</v>
      </c>
      <c r="BI1176" s="213">
        <f t="shared" si="469"/>
        <v>98.173164415202635</v>
      </c>
      <c r="BJ1176" s="141"/>
      <c r="BK1176" s="201"/>
      <c r="BL1176" s="202"/>
      <c r="BM1176" s="202"/>
    </row>
    <row r="1177" spans="1:65" s="17" customFormat="1" ht="25.5" customHeight="1">
      <c r="A1177" s="114">
        <v>164</v>
      </c>
      <c r="B1177" s="295" t="s">
        <v>1553</v>
      </c>
      <c r="C1177" s="296" t="s">
        <v>1555</v>
      </c>
      <c r="D1177" s="188"/>
      <c r="E1177" s="188"/>
      <c r="F1177" s="188"/>
      <c r="G1177" s="188"/>
      <c r="H1177" s="188"/>
      <c r="I1177" s="188"/>
      <c r="J1177" s="188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297">
        <f t="shared" si="452"/>
        <v>0</v>
      </c>
      <c r="AC1177" s="298">
        <f t="shared" si="462"/>
        <v>0</v>
      </c>
      <c r="AD1177" s="299">
        <v>0</v>
      </c>
      <c r="AE1177" s="300"/>
      <c r="AF1177" s="300"/>
      <c r="AG1177" s="300"/>
      <c r="AH1177" s="300"/>
      <c r="AI1177" s="300"/>
      <c r="AJ1177" s="300"/>
      <c r="AK1177" s="300"/>
      <c r="AL1177" s="300"/>
      <c r="AM1177" s="300"/>
      <c r="AN1177" s="300"/>
      <c r="AO1177" s="300"/>
      <c r="AP1177" s="300"/>
      <c r="AQ1177" s="300"/>
      <c r="AR1177" s="300"/>
      <c r="AS1177" s="300"/>
      <c r="AT1177" s="300"/>
      <c r="AU1177" s="300"/>
      <c r="AV1177" s="300"/>
      <c r="AW1177" s="300"/>
      <c r="AX1177" s="300"/>
      <c r="AY1177" s="300"/>
      <c r="AZ1177" s="300"/>
      <c r="BA1177" s="300"/>
      <c r="BB1177" s="300"/>
      <c r="BC1177" s="297">
        <f t="shared" si="453"/>
        <v>0</v>
      </c>
      <c r="BD1177" s="301">
        <f t="shared" si="463"/>
        <v>0</v>
      </c>
      <c r="BE1177" s="299">
        <v>22</v>
      </c>
      <c r="BF1177" s="297">
        <f t="shared" si="454"/>
        <v>0</v>
      </c>
      <c r="BG1177" s="302">
        <f t="shared" si="464"/>
        <v>0</v>
      </c>
      <c r="BH1177" s="302">
        <f t="shared" si="465"/>
        <v>22</v>
      </c>
      <c r="BI1177" s="303">
        <f t="shared" si="469"/>
        <v>0</v>
      </c>
      <c r="BJ1177" s="141"/>
      <c r="BK1177" s="201"/>
      <c r="BL1177" s="202"/>
      <c r="BM1177" s="202"/>
    </row>
    <row r="1178" spans="1:65" s="17" customFormat="1" ht="18" customHeight="1">
      <c r="A1178" s="114">
        <v>165</v>
      </c>
      <c r="B1178" s="24" t="s">
        <v>1654</v>
      </c>
      <c r="C1178" s="25" t="s">
        <v>1861</v>
      </c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229">
        <f t="shared" si="452"/>
        <v>0</v>
      </c>
      <c r="AC1178" s="228">
        <f t="shared" si="462"/>
        <v>0</v>
      </c>
      <c r="AD1178" s="19">
        <v>0</v>
      </c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29">
        <f t="shared" si="453"/>
        <v>0</v>
      </c>
      <c r="BD1178" s="48">
        <f t="shared" si="463"/>
        <v>0</v>
      </c>
      <c r="BE1178" s="19">
        <v>1</v>
      </c>
      <c r="BF1178" s="229">
        <f t="shared" si="454"/>
        <v>0</v>
      </c>
      <c r="BG1178" s="210">
        <f t="shared" si="464"/>
        <v>0</v>
      </c>
      <c r="BH1178" s="210">
        <f t="shared" si="465"/>
        <v>1</v>
      </c>
      <c r="BI1178" s="213">
        <f t="shared" si="469"/>
        <v>0</v>
      </c>
      <c r="BJ1178" s="141"/>
      <c r="BK1178" s="201"/>
      <c r="BL1178" s="202"/>
      <c r="BM1178" s="202"/>
    </row>
    <row r="1179" spans="1:65" s="17" customFormat="1" ht="21.95" customHeight="1">
      <c r="A1179" s="114">
        <v>166</v>
      </c>
      <c r="B1179" s="24" t="s">
        <v>744</v>
      </c>
      <c r="C1179" s="27" t="s">
        <v>745</v>
      </c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229">
        <f t="shared" si="452"/>
        <v>0</v>
      </c>
      <c r="AC1179" s="228">
        <f t="shared" si="462"/>
        <v>0</v>
      </c>
      <c r="AD1179" s="19">
        <v>22</v>
      </c>
      <c r="AE1179" s="28"/>
      <c r="AF1179" s="28"/>
      <c r="AG1179" s="28"/>
      <c r="AH1179" s="28"/>
      <c r="AI1179" s="28"/>
      <c r="AJ1179" s="28">
        <v>1</v>
      </c>
      <c r="AK1179" s="28"/>
      <c r="AL1179" s="28"/>
      <c r="AM1179" s="28"/>
      <c r="AN1179" s="28"/>
      <c r="AO1179" s="28"/>
      <c r="AP1179" s="28">
        <v>1</v>
      </c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29">
        <f t="shared" si="453"/>
        <v>0</v>
      </c>
      <c r="BD1179" s="48">
        <f t="shared" si="463"/>
        <v>2</v>
      </c>
      <c r="BE1179" s="19">
        <f>9+1</f>
        <v>10</v>
      </c>
      <c r="BF1179" s="229">
        <f t="shared" si="454"/>
        <v>0</v>
      </c>
      <c r="BG1179" s="210">
        <f t="shared" si="464"/>
        <v>2</v>
      </c>
      <c r="BH1179" s="210">
        <f t="shared" si="465"/>
        <v>32</v>
      </c>
      <c r="BI1179" s="213">
        <f t="shared" si="469"/>
        <v>6.25</v>
      </c>
      <c r="BJ1179" s="141"/>
      <c r="BK1179" s="201"/>
      <c r="BL1179" s="202"/>
      <c r="BM1179" s="202"/>
    </row>
    <row r="1180" spans="1:65" s="17" customFormat="1" ht="21.95" customHeight="1">
      <c r="A1180" s="114">
        <v>167</v>
      </c>
      <c r="B1180" s="24" t="s">
        <v>824</v>
      </c>
      <c r="C1180" s="27" t="s">
        <v>825</v>
      </c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229">
        <f t="shared" si="452"/>
        <v>0</v>
      </c>
      <c r="AC1180" s="228">
        <f t="shared" si="462"/>
        <v>0</v>
      </c>
      <c r="AD1180" s="19">
        <v>0</v>
      </c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29">
        <f t="shared" si="453"/>
        <v>0</v>
      </c>
      <c r="BD1180" s="48">
        <f t="shared" si="463"/>
        <v>0</v>
      </c>
      <c r="BE1180" s="19">
        <v>1</v>
      </c>
      <c r="BF1180" s="229">
        <f t="shared" si="454"/>
        <v>0</v>
      </c>
      <c r="BG1180" s="210">
        <f t="shared" si="464"/>
        <v>0</v>
      </c>
      <c r="BH1180" s="210">
        <f t="shared" si="465"/>
        <v>1</v>
      </c>
      <c r="BI1180" s="213">
        <f t="shared" si="469"/>
        <v>0</v>
      </c>
      <c r="BJ1180" s="141"/>
      <c r="BK1180" s="201"/>
      <c r="BL1180" s="202"/>
      <c r="BM1180" s="202"/>
    </row>
    <row r="1181" spans="1:65" s="17" customFormat="1" ht="21.95" customHeight="1">
      <c r="A1181" s="114">
        <v>168</v>
      </c>
      <c r="B1181" s="24" t="s">
        <v>667</v>
      </c>
      <c r="C1181" s="27" t="s">
        <v>792</v>
      </c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229">
        <f t="shared" si="452"/>
        <v>0</v>
      </c>
      <c r="AC1181" s="228">
        <f t="shared" si="462"/>
        <v>0</v>
      </c>
      <c r="AD1181" s="19">
        <v>0</v>
      </c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29">
        <f t="shared" si="453"/>
        <v>0</v>
      </c>
      <c r="BD1181" s="48">
        <f t="shared" si="463"/>
        <v>0</v>
      </c>
      <c r="BE1181" s="19">
        <v>7</v>
      </c>
      <c r="BF1181" s="229">
        <f t="shared" si="454"/>
        <v>0</v>
      </c>
      <c r="BG1181" s="210">
        <f t="shared" si="464"/>
        <v>0</v>
      </c>
      <c r="BH1181" s="210">
        <f t="shared" si="465"/>
        <v>7</v>
      </c>
      <c r="BI1181" s="213">
        <f t="shared" si="469"/>
        <v>0</v>
      </c>
      <c r="BJ1181" s="141"/>
      <c r="BK1181" s="201"/>
      <c r="BL1181" s="202"/>
      <c r="BM1181" s="202"/>
    </row>
    <row r="1182" spans="1:65" s="17" customFormat="1" ht="18" customHeight="1">
      <c r="A1182" s="114">
        <v>169</v>
      </c>
      <c r="B1182" s="156" t="s">
        <v>1788</v>
      </c>
      <c r="C1182" s="159" t="s">
        <v>1789</v>
      </c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229">
        <f t="shared" si="452"/>
        <v>0</v>
      </c>
      <c r="AC1182" s="228">
        <f t="shared" si="462"/>
        <v>0</v>
      </c>
      <c r="AD1182" s="19">
        <v>1</v>
      </c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29">
        <f t="shared" si="453"/>
        <v>0</v>
      </c>
      <c r="BD1182" s="48">
        <f t="shared" si="463"/>
        <v>0</v>
      </c>
      <c r="BE1182" s="19">
        <v>0</v>
      </c>
      <c r="BF1182" s="229">
        <f t="shared" si="454"/>
        <v>0</v>
      </c>
      <c r="BG1182" s="210">
        <f t="shared" si="464"/>
        <v>0</v>
      </c>
      <c r="BH1182" s="210">
        <f t="shared" si="465"/>
        <v>1</v>
      </c>
      <c r="BI1182" s="213">
        <f t="shared" si="469"/>
        <v>0</v>
      </c>
      <c r="BJ1182" s="269" t="s">
        <v>2856</v>
      </c>
      <c r="BK1182" s="201"/>
      <c r="BL1182" s="202"/>
      <c r="BM1182" s="202"/>
    </row>
    <row r="1183" spans="1:65" s="17" customFormat="1" ht="21.95" customHeight="1">
      <c r="A1183" s="375" t="s">
        <v>2760</v>
      </c>
      <c r="B1183" s="375"/>
      <c r="C1183" s="375"/>
      <c r="D1183" s="220">
        <f t="shared" ref="D1183:BE1183" si="470">SUM(D1184:D1294)</f>
        <v>0</v>
      </c>
      <c r="E1183" s="220">
        <f t="shared" si="470"/>
        <v>0</v>
      </c>
      <c r="F1183" s="220">
        <f t="shared" si="470"/>
        <v>0</v>
      </c>
      <c r="G1183" s="220">
        <f t="shared" si="470"/>
        <v>0</v>
      </c>
      <c r="H1183" s="220">
        <f t="shared" si="470"/>
        <v>0</v>
      </c>
      <c r="I1183" s="220">
        <f t="shared" si="470"/>
        <v>3384</v>
      </c>
      <c r="J1183" s="220">
        <f t="shared" si="470"/>
        <v>0</v>
      </c>
      <c r="K1183" s="220">
        <f t="shared" si="470"/>
        <v>0</v>
      </c>
      <c r="L1183" s="220">
        <f t="shared" si="470"/>
        <v>0</v>
      </c>
      <c r="M1183" s="220">
        <f t="shared" si="470"/>
        <v>0</v>
      </c>
      <c r="N1183" s="220">
        <f t="shared" si="470"/>
        <v>0</v>
      </c>
      <c r="O1183" s="220">
        <f t="shared" si="470"/>
        <v>2835</v>
      </c>
      <c r="P1183" s="220">
        <f t="shared" si="470"/>
        <v>0</v>
      </c>
      <c r="Q1183" s="220">
        <f t="shared" si="470"/>
        <v>0</v>
      </c>
      <c r="R1183" s="220">
        <f t="shared" si="470"/>
        <v>0</v>
      </c>
      <c r="S1183" s="220">
        <f t="shared" si="470"/>
        <v>0</v>
      </c>
      <c r="T1183" s="220">
        <f t="shared" si="470"/>
        <v>0</v>
      </c>
      <c r="U1183" s="220">
        <f t="shared" si="470"/>
        <v>4654</v>
      </c>
      <c r="V1183" s="220">
        <f t="shared" si="470"/>
        <v>0</v>
      </c>
      <c r="W1183" s="220">
        <f t="shared" si="470"/>
        <v>0</v>
      </c>
      <c r="X1183" s="220">
        <f t="shared" si="470"/>
        <v>0</v>
      </c>
      <c r="Y1183" s="220">
        <f t="shared" si="470"/>
        <v>0</v>
      </c>
      <c r="Z1183" s="220">
        <f t="shared" si="470"/>
        <v>0</v>
      </c>
      <c r="AA1183" s="220">
        <f t="shared" si="470"/>
        <v>1111</v>
      </c>
      <c r="AB1183" s="220">
        <f t="shared" ref="AB1183" si="471">D1183+F1183+H1183+J1183+L1183+N1183+P1183+R1183+T1183+V1183+X1183+Z1183</f>
        <v>0</v>
      </c>
      <c r="AC1183" s="220">
        <f t="shared" ref="AC1183" si="472">E1183+G1183+I1183+K1183+M1183+O1183+Q1183+S1183+U1183+W1183+Y1183+AA1183</f>
        <v>11984</v>
      </c>
      <c r="AD1183" s="274">
        <f t="shared" si="470"/>
        <v>13904</v>
      </c>
      <c r="AE1183" s="210">
        <f t="shared" si="470"/>
        <v>0</v>
      </c>
      <c r="AF1183" s="210">
        <f t="shared" si="470"/>
        <v>0</v>
      </c>
      <c r="AG1183" s="210">
        <f t="shared" si="470"/>
        <v>0</v>
      </c>
      <c r="AH1183" s="210">
        <f t="shared" si="470"/>
        <v>0</v>
      </c>
      <c r="AI1183" s="210">
        <f t="shared" si="470"/>
        <v>0</v>
      </c>
      <c r="AJ1183" s="210">
        <f t="shared" si="470"/>
        <v>22367</v>
      </c>
      <c r="AK1183" s="210">
        <f t="shared" si="470"/>
        <v>0</v>
      </c>
      <c r="AL1183" s="210">
        <f t="shared" si="470"/>
        <v>0</v>
      </c>
      <c r="AM1183" s="210">
        <f t="shared" si="470"/>
        <v>0</v>
      </c>
      <c r="AN1183" s="210">
        <f t="shared" si="470"/>
        <v>0</v>
      </c>
      <c r="AO1183" s="210">
        <f t="shared" si="470"/>
        <v>0</v>
      </c>
      <c r="AP1183" s="210">
        <f t="shared" si="470"/>
        <v>14903</v>
      </c>
      <c r="AQ1183" s="210">
        <f t="shared" si="470"/>
        <v>0</v>
      </c>
      <c r="AR1183" s="210">
        <f t="shared" si="470"/>
        <v>0</v>
      </c>
      <c r="AS1183" s="210">
        <f t="shared" si="470"/>
        <v>0</v>
      </c>
      <c r="AT1183" s="210">
        <f t="shared" si="470"/>
        <v>0</v>
      </c>
      <c r="AU1183" s="210">
        <f t="shared" si="470"/>
        <v>0</v>
      </c>
      <c r="AV1183" s="210">
        <f t="shared" si="470"/>
        <v>12340</v>
      </c>
      <c r="AW1183" s="210">
        <f t="shared" si="470"/>
        <v>0</v>
      </c>
      <c r="AX1183" s="210">
        <f t="shared" si="470"/>
        <v>0</v>
      </c>
      <c r="AY1183" s="210">
        <f t="shared" si="470"/>
        <v>0</v>
      </c>
      <c r="AZ1183" s="210">
        <f t="shared" si="470"/>
        <v>0</v>
      </c>
      <c r="BA1183" s="210">
        <f t="shared" si="470"/>
        <v>0</v>
      </c>
      <c r="BB1183" s="210">
        <f t="shared" si="470"/>
        <v>18330</v>
      </c>
      <c r="BC1183" s="220">
        <f t="shared" ref="BC1183" si="473">AE1183+AG1183+AI1183+AK1183+AM1183+AO1183+AQ1183+AS1183+AU1183+AW1183+AY1183+BA1183</f>
        <v>0</v>
      </c>
      <c r="BD1183" s="210">
        <f t="shared" ref="BD1183" si="474">AF1183+AH1183+AJ1183+AL1183+AN1183+AP1183+AR1183+AT1183+AV1183+AX1183+AZ1183+BB1183</f>
        <v>67940</v>
      </c>
      <c r="BE1183" s="210">
        <f t="shared" si="470"/>
        <v>58912</v>
      </c>
      <c r="BF1183" s="220">
        <f t="shared" ref="BF1183" si="475">AB1183+BC1183</f>
        <v>0</v>
      </c>
      <c r="BG1183" s="210">
        <f t="shared" ref="BG1183" si="476">AC1183+BD1183</f>
        <v>79924</v>
      </c>
      <c r="BH1183" s="210">
        <f t="shared" ref="BH1183" si="477">AD1183+BE1183</f>
        <v>72816</v>
      </c>
      <c r="BI1183" s="213">
        <f t="shared" ref="BI1183" si="478">BG1183/BH1183*100</f>
        <v>109.76159085915182</v>
      </c>
      <c r="BJ1183" s="140">
        <v>72816</v>
      </c>
      <c r="BK1183" s="203">
        <f>BH1183-BJ1183</f>
        <v>0</v>
      </c>
      <c r="BL1183" s="198">
        <v>80348</v>
      </c>
      <c r="BM1183" s="199">
        <f>BG1183-BL1183</f>
        <v>-424</v>
      </c>
    </row>
    <row r="1184" spans="1:65" s="17" customFormat="1" ht="18" customHeight="1">
      <c r="A1184" s="114">
        <v>1</v>
      </c>
      <c r="B1184" s="24" t="s">
        <v>549</v>
      </c>
      <c r="C1184" s="25" t="s">
        <v>2021</v>
      </c>
      <c r="D1184" s="121"/>
      <c r="E1184" s="121"/>
      <c r="F1184" s="121"/>
      <c r="G1184" s="121"/>
      <c r="H1184" s="121"/>
      <c r="I1184" s="121">
        <v>50</v>
      </c>
      <c r="J1184" s="121"/>
      <c r="K1184" s="121"/>
      <c r="L1184" s="121"/>
      <c r="M1184" s="121"/>
      <c r="N1184" s="121"/>
      <c r="O1184" s="121">
        <v>29</v>
      </c>
      <c r="P1184" s="121"/>
      <c r="Q1184" s="121"/>
      <c r="R1184" s="121"/>
      <c r="S1184" s="121"/>
      <c r="T1184" s="121"/>
      <c r="U1184" s="121">
        <f>23+47</f>
        <v>70</v>
      </c>
      <c r="V1184" s="121"/>
      <c r="W1184" s="121"/>
      <c r="X1184" s="121"/>
      <c r="Y1184" s="121"/>
      <c r="Z1184" s="121"/>
      <c r="AA1184" s="121"/>
      <c r="AB1184" s="229">
        <f t="shared" ref="AB1184:AB1201" si="479">D1184+F1184+H1184+J1184+L1184+N1184+P1184+R1184+T1184+V1184+X1184+Z1184</f>
        <v>0</v>
      </c>
      <c r="AC1184" s="228">
        <f t="shared" ref="AC1184:AC1201" si="480">E1184+G1184+I1184+K1184+M1184+O1184+Q1184+S1184+U1184+W1184+Y1184+AA1184</f>
        <v>149</v>
      </c>
      <c r="AD1184" s="19">
        <v>84</v>
      </c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29">
        <f t="shared" ref="BC1184:BC1201" si="481">AE1184+AG1184+AI1184+AK1184+AM1184+AO1184+AQ1184+AS1184+AU1184+AW1184+AY1184+BA1184</f>
        <v>0</v>
      </c>
      <c r="BD1184" s="48">
        <f t="shared" ref="BD1184:BD1201" si="482">AF1184+AH1184+AJ1184+AL1184+AN1184+AP1184+AR1184+AT1184+AV1184+AX1184+AZ1184+BB1184</f>
        <v>0</v>
      </c>
      <c r="BE1184" s="19">
        <v>0</v>
      </c>
      <c r="BF1184" s="229">
        <f t="shared" ref="BF1184:BF1201" si="483">AB1184+BC1184</f>
        <v>0</v>
      </c>
      <c r="BG1184" s="210">
        <f t="shared" ref="BG1184:BG1201" si="484">AC1184+BD1184</f>
        <v>149</v>
      </c>
      <c r="BH1184" s="210">
        <f t="shared" ref="BH1184:BH1201" si="485">AD1184+BE1184</f>
        <v>84</v>
      </c>
      <c r="BI1184" s="213">
        <f t="shared" ref="BI1184:BI1215" si="486">BG1184/BH1184*100</f>
        <v>177.38095238095238</v>
      </c>
      <c r="BJ1184" s="270" t="s">
        <v>2857</v>
      </c>
      <c r="BK1184" s="201"/>
      <c r="BL1184" s="202"/>
      <c r="BM1184" s="202"/>
    </row>
    <row r="1185" spans="1:65" s="17" customFormat="1" ht="21.95" customHeight="1">
      <c r="A1185" s="114">
        <v>2</v>
      </c>
      <c r="B1185" s="24" t="s">
        <v>705</v>
      </c>
      <c r="C1185" s="27" t="s">
        <v>706</v>
      </c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229">
        <f t="shared" si="479"/>
        <v>0</v>
      </c>
      <c r="AC1185" s="228">
        <f t="shared" si="480"/>
        <v>0</v>
      </c>
      <c r="AD1185" s="19">
        <v>6</v>
      </c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29">
        <f t="shared" si="481"/>
        <v>0</v>
      </c>
      <c r="BD1185" s="48">
        <f t="shared" si="482"/>
        <v>0</v>
      </c>
      <c r="BE1185" s="19">
        <v>0</v>
      </c>
      <c r="BF1185" s="229">
        <f t="shared" si="483"/>
        <v>0</v>
      </c>
      <c r="BG1185" s="210">
        <f t="shared" si="484"/>
        <v>0</v>
      </c>
      <c r="BH1185" s="210">
        <f t="shared" si="485"/>
        <v>6</v>
      </c>
      <c r="BI1185" s="213">
        <f t="shared" si="486"/>
        <v>0</v>
      </c>
      <c r="BJ1185" s="270" t="s">
        <v>2857</v>
      </c>
      <c r="BK1185" s="201"/>
      <c r="BL1185" s="202"/>
      <c r="BM1185" s="202"/>
    </row>
    <row r="1186" spans="1:65" s="17" customFormat="1" ht="18" customHeight="1">
      <c r="A1186" s="114">
        <v>3</v>
      </c>
      <c r="B1186" s="24" t="s">
        <v>937</v>
      </c>
      <c r="C1186" s="25" t="s">
        <v>938</v>
      </c>
      <c r="D1186" s="121"/>
      <c r="E1186" s="121"/>
      <c r="F1186" s="121"/>
      <c r="G1186" s="121"/>
      <c r="H1186" s="121"/>
      <c r="I1186" s="121">
        <v>101</v>
      </c>
      <c r="J1186" s="121"/>
      <c r="K1186" s="121"/>
      <c r="L1186" s="121"/>
      <c r="M1186" s="121"/>
      <c r="N1186" s="121"/>
      <c r="O1186" s="121">
        <v>38</v>
      </c>
      <c r="P1186" s="121"/>
      <c r="Q1186" s="121"/>
      <c r="R1186" s="121"/>
      <c r="S1186" s="121"/>
      <c r="T1186" s="121"/>
      <c r="U1186" s="121">
        <f>31+33+33</f>
        <v>97</v>
      </c>
      <c r="V1186" s="121"/>
      <c r="W1186" s="121"/>
      <c r="X1186" s="121"/>
      <c r="Y1186" s="121"/>
      <c r="Z1186" s="121"/>
      <c r="AA1186" s="121"/>
      <c r="AB1186" s="229">
        <f t="shared" si="479"/>
        <v>0</v>
      </c>
      <c r="AC1186" s="228">
        <f t="shared" si="480"/>
        <v>236</v>
      </c>
      <c r="AD1186" s="19">
        <v>365</v>
      </c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29">
        <f t="shared" si="481"/>
        <v>0</v>
      </c>
      <c r="BD1186" s="48">
        <f t="shared" si="482"/>
        <v>0</v>
      </c>
      <c r="BE1186" s="19">
        <v>0</v>
      </c>
      <c r="BF1186" s="229">
        <f t="shared" si="483"/>
        <v>0</v>
      </c>
      <c r="BG1186" s="210">
        <f t="shared" si="484"/>
        <v>236</v>
      </c>
      <c r="BH1186" s="210">
        <f t="shared" si="485"/>
        <v>365</v>
      </c>
      <c r="BI1186" s="213">
        <f t="shared" si="486"/>
        <v>64.657534246575338</v>
      </c>
      <c r="BJ1186" s="270" t="s">
        <v>2857</v>
      </c>
      <c r="BK1186" s="201"/>
      <c r="BL1186" s="202"/>
      <c r="BM1186" s="202"/>
    </row>
    <row r="1187" spans="1:65" s="17" customFormat="1" ht="18" customHeight="1">
      <c r="A1187" s="114">
        <v>4</v>
      </c>
      <c r="B1187" s="24" t="s">
        <v>1468</v>
      </c>
      <c r="C1187" s="25" t="s">
        <v>1471</v>
      </c>
      <c r="D1187" s="121"/>
      <c r="E1187" s="121"/>
      <c r="F1187" s="121"/>
      <c r="G1187" s="121"/>
      <c r="H1187" s="121"/>
      <c r="I1187" s="121">
        <v>2368</v>
      </c>
      <c r="J1187" s="121"/>
      <c r="K1187" s="121"/>
      <c r="L1187" s="121"/>
      <c r="M1187" s="121"/>
      <c r="N1187" s="121"/>
      <c r="O1187" s="121">
        <v>1690</v>
      </c>
      <c r="P1187" s="121"/>
      <c r="Q1187" s="121"/>
      <c r="R1187" s="121"/>
      <c r="S1187" s="121"/>
      <c r="T1187" s="121"/>
      <c r="U1187" s="121">
        <f>1449+2092</f>
        <v>3541</v>
      </c>
      <c r="V1187" s="121"/>
      <c r="W1187" s="121"/>
      <c r="X1187" s="121"/>
      <c r="Y1187" s="121"/>
      <c r="Z1187" s="121"/>
      <c r="AA1187" s="121"/>
      <c r="AB1187" s="229">
        <f t="shared" si="479"/>
        <v>0</v>
      </c>
      <c r="AC1187" s="228">
        <f t="shared" si="480"/>
        <v>7599</v>
      </c>
      <c r="AD1187" s="19">
        <v>7993</v>
      </c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29">
        <f t="shared" si="481"/>
        <v>0</v>
      </c>
      <c r="BD1187" s="48">
        <f t="shared" si="482"/>
        <v>0</v>
      </c>
      <c r="BE1187" s="19">
        <v>0</v>
      </c>
      <c r="BF1187" s="229">
        <f t="shared" si="483"/>
        <v>0</v>
      </c>
      <c r="BG1187" s="210">
        <f t="shared" si="484"/>
        <v>7599</v>
      </c>
      <c r="BH1187" s="210">
        <f t="shared" si="485"/>
        <v>7993</v>
      </c>
      <c r="BI1187" s="213">
        <f t="shared" si="486"/>
        <v>95.070686850994619</v>
      </c>
      <c r="BJ1187" s="270" t="s">
        <v>2857</v>
      </c>
      <c r="BK1187" s="201"/>
      <c r="BL1187" s="202"/>
      <c r="BM1187" s="202"/>
    </row>
    <row r="1188" spans="1:65" s="17" customFormat="1" ht="18" customHeight="1">
      <c r="A1188" s="114">
        <v>5</v>
      </c>
      <c r="B1188" s="24" t="s">
        <v>1482</v>
      </c>
      <c r="C1188" s="25" t="s">
        <v>1483</v>
      </c>
      <c r="D1188" s="121"/>
      <c r="E1188" s="121"/>
      <c r="F1188" s="121"/>
      <c r="G1188" s="121"/>
      <c r="H1188" s="121"/>
      <c r="I1188" s="121">
        <f>668+1</f>
        <v>669</v>
      </c>
      <c r="J1188" s="121"/>
      <c r="K1188" s="121"/>
      <c r="L1188" s="121"/>
      <c r="M1188" s="121"/>
      <c r="N1188" s="121"/>
      <c r="O1188" s="121">
        <f>785+1</f>
        <v>786</v>
      </c>
      <c r="P1188" s="121"/>
      <c r="Q1188" s="121"/>
      <c r="R1188" s="121"/>
      <c r="S1188" s="121"/>
      <c r="T1188" s="121"/>
      <c r="U1188" s="121">
        <v>713</v>
      </c>
      <c r="V1188" s="121"/>
      <c r="W1188" s="121"/>
      <c r="X1188" s="121"/>
      <c r="Y1188" s="121"/>
      <c r="Z1188" s="121"/>
      <c r="AA1188" s="121">
        <v>835</v>
      </c>
      <c r="AB1188" s="229">
        <f t="shared" si="479"/>
        <v>0</v>
      </c>
      <c r="AC1188" s="228">
        <f t="shared" si="480"/>
        <v>3003</v>
      </c>
      <c r="AD1188" s="19">
        <v>4498</v>
      </c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29">
        <f t="shared" si="481"/>
        <v>0</v>
      </c>
      <c r="BD1188" s="48">
        <f t="shared" si="482"/>
        <v>0</v>
      </c>
      <c r="BE1188" s="19">
        <v>0</v>
      </c>
      <c r="BF1188" s="229">
        <f t="shared" si="483"/>
        <v>0</v>
      </c>
      <c r="BG1188" s="210">
        <f t="shared" si="484"/>
        <v>3003</v>
      </c>
      <c r="BH1188" s="210">
        <f t="shared" si="485"/>
        <v>4498</v>
      </c>
      <c r="BI1188" s="213">
        <f t="shared" si="486"/>
        <v>66.763005780346816</v>
      </c>
      <c r="BJ1188" s="270" t="s">
        <v>2857</v>
      </c>
      <c r="BK1188" s="201"/>
      <c r="BL1188" s="202"/>
      <c r="BM1188" s="202"/>
    </row>
    <row r="1189" spans="1:65" s="17" customFormat="1" ht="18" customHeight="1">
      <c r="A1189" s="114">
        <v>6</v>
      </c>
      <c r="B1189" s="24" t="s">
        <v>2946</v>
      </c>
      <c r="C1189" s="25" t="s">
        <v>2947</v>
      </c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>
        <v>1</v>
      </c>
      <c r="P1189" s="121"/>
      <c r="Q1189" s="121"/>
      <c r="R1189" s="121"/>
      <c r="S1189" s="121"/>
      <c r="T1189" s="121"/>
      <c r="U1189" s="121">
        <f>2+1</f>
        <v>3</v>
      </c>
      <c r="V1189" s="121"/>
      <c r="W1189" s="121"/>
      <c r="X1189" s="121"/>
      <c r="Y1189" s="121"/>
      <c r="Z1189" s="121"/>
      <c r="AA1189" s="121">
        <v>1</v>
      </c>
      <c r="AB1189" s="229">
        <f t="shared" si="479"/>
        <v>0</v>
      </c>
      <c r="AC1189" s="228">
        <f t="shared" si="480"/>
        <v>5</v>
      </c>
      <c r="AD1189" s="19">
        <v>0</v>
      </c>
      <c r="AE1189" s="28"/>
      <c r="AF1189" s="28"/>
      <c r="AG1189" s="28"/>
      <c r="AH1189" s="28"/>
      <c r="AI1189" s="28"/>
      <c r="AJ1189" s="28">
        <v>1</v>
      </c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29">
        <f t="shared" si="481"/>
        <v>0</v>
      </c>
      <c r="BD1189" s="48">
        <f t="shared" si="482"/>
        <v>1</v>
      </c>
      <c r="BE1189" s="19">
        <v>0</v>
      </c>
      <c r="BF1189" s="229">
        <f t="shared" si="483"/>
        <v>0</v>
      </c>
      <c r="BG1189" s="210">
        <f t="shared" si="484"/>
        <v>6</v>
      </c>
      <c r="BH1189" s="210">
        <f t="shared" si="485"/>
        <v>0</v>
      </c>
      <c r="BI1189" s="213" t="e">
        <f t="shared" si="486"/>
        <v>#DIV/0!</v>
      </c>
      <c r="BJ1189" s="270"/>
      <c r="BK1189" s="201"/>
      <c r="BL1189" s="202"/>
      <c r="BM1189" s="202"/>
    </row>
    <row r="1190" spans="1:65" s="17" customFormat="1" ht="21.95" customHeight="1">
      <c r="A1190" s="114">
        <v>7</v>
      </c>
      <c r="B1190" s="24" t="s">
        <v>550</v>
      </c>
      <c r="C1190" s="27" t="s">
        <v>1922</v>
      </c>
      <c r="D1190" s="121"/>
      <c r="E1190" s="121"/>
      <c r="F1190" s="121"/>
      <c r="G1190" s="121"/>
      <c r="H1190" s="121"/>
      <c r="I1190" s="121">
        <f>44+102</f>
        <v>146</v>
      </c>
      <c r="J1190" s="121"/>
      <c r="K1190" s="121"/>
      <c r="L1190" s="121"/>
      <c r="M1190" s="121"/>
      <c r="N1190" s="121"/>
      <c r="O1190" s="121">
        <f>61+114</f>
        <v>175</v>
      </c>
      <c r="P1190" s="121"/>
      <c r="Q1190" s="121"/>
      <c r="R1190" s="121"/>
      <c r="S1190" s="121"/>
      <c r="T1190" s="121"/>
      <c r="U1190" s="121">
        <f>63+120</f>
        <v>183</v>
      </c>
      <c r="V1190" s="121"/>
      <c r="W1190" s="121"/>
      <c r="X1190" s="121"/>
      <c r="Y1190" s="121"/>
      <c r="Z1190" s="121"/>
      <c r="AA1190" s="121">
        <f>75+135</f>
        <v>210</v>
      </c>
      <c r="AB1190" s="229">
        <f t="shared" si="479"/>
        <v>0</v>
      </c>
      <c r="AC1190" s="228">
        <f t="shared" si="480"/>
        <v>714</v>
      </c>
      <c r="AD1190" s="19">
        <v>628</v>
      </c>
      <c r="AE1190" s="28"/>
      <c r="AF1190" s="28"/>
      <c r="AG1190" s="28"/>
      <c r="AH1190" s="28"/>
      <c r="AI1190" s="28"/>
      <c r="AJ1190" s="28">
        <f>125+1</f>
        <v>126</v>
      </c>
      <c r="AK1190" s="28"/>
      <c r="AL1190" s="28"/>
      <c r="AM1190" s="28"/>
      <c r="AN1190" s="28"/>
      <c r="AO1190" s="28"/>
      <c r="AP1190" s="28">
        <v>112</v>
      </c>
      <c r="AQ1190" s="28"/>
      <c r="AR1190" s="28"/>
      <c r="AS1190" s="28"/>
      <c r="AT1190" s="28"/>
      <c r="AU1190" s="28"/>
      <c r="AV1190" s="28">
        <f>125+1</f>
        <v>126</v>
      </c>
      <c r="AW1190" s="28"/>
      <c r="AX1190" s="28"/>
      <c r="AY1190" s="28"/>
      <c r="AZ1190" s="28"/>
      <c r="BA1190" s="28"/>
      <c r="BB1190" s="28">
        <v>120</v>
      </c>
      <c r="BC1190" s="229">
        <f t="shared" si="481"/>
        <v>0</v>
      </c>
      <c r="BD1190" s="48">
        <f t="shared" si="482"/>
        <v>484</v>
      </c>
      <c r="BE1190" s="19">
        <v>620</v>
      </c>
      <c r="BF1190" s="229">
        <f t="shared" si="483"/>
        <v>0</v>
      </c>
      <c r="BG1190" s="210">
        <f t="shared" si="484"/>
        <v>1198</v>
      </c>
      <c r="BH1190" s="210">
        <f t="shared" si="485"/>
        <v>1248</v>
      </c>
      <c r="BI1190" s="213">
        <f t="shared" si="486"/>
        <v>95.993589743589752</v>
      </c>
      <c r="BJ1190" s="141"/>
      <c r="BK1190" s="201"/>
      <c r="BL1190" s="202"/>
      <c r="BM1190" s="202"/>
    </row>
    <row r="1191" spans="1:65" s="17" customFormat="1" ht="18" customHeight="1">
      <c r="A1191" s="114">
        <v>8</v>
      </c>
      <c r="B1191" s="24" t="s">
        <v>551</v>
      </c>
      <c r="C1191" s="25" t="s">
        <v>552</v>
      </c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229">
        <f t="shared" si="479"/>
        <v>0</v>
      </c>
      <c r="AC1191" s="228">
        <f t="shared" si="480"/>
        <v>0</v>
      </c>
      <c r="AD1191" s="19">
        <v>0</v>
      </c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29">
        <f t="shared" si="481"/>
        <v>0</v>
      </c>
      <c r="BD1191" s="48">
        <f t="shared" si="482"/>
        <v>0</v>
      </c>
      <c r="BE1191" s="19">
        <v>2</v>
      </c>
      <c r="BF1191" s="229">
        <f t="shared" si="483"/>
        <v>0</v>
      </c>
      <c r="BG1191" s="210">
        <f t="shared" si="484"/>
        <v>0</v>
      </c>
      <c r="BH1191" s="210">
        <f t="shared" si="485"/>
        <v>2</v>
      </c>
      <c r="BI1191" s="213">
        <f t="shared" si="486"/>
        <v>0</v>
      </c>
      <c r="BJ1191" s="141"/>
      <c r="BK1191" s="201"/>
      <c r="BL1191" s="202"/>
      <c r="BM1191" s="202"/>
    </row>
    <row r="1192" spans="1:65" s="17" customFormat="1" ht="18" customHeight="1">
      <c r="A1192" s="114">
        <v>9</v>
      </c>
      <c r="B1192" s="24" t="s">
        <v>555</v>
      </c>
      <c r="C1192" s="25" t="s">
        <v>556</v>
      </c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229">
        <f t="shared" si="479"/>
        <v>0</v>
      </c>
      <c r="AC1192" s="228">
        <f t="shared" si="480"/>
        <v>0</v>
      </c>
      <c r="AD1192" s="19">
        <v>0</v>
      </c>
      <c r="AE1192" s="28"/>
      <c r="AF1192" s="28"/>
      <c r="AG1192" s="28"/>
      <c r="AH1192" s="28"/>
      <c r="AI1192" s="28"/>
      <c r="AJ1192" s="28">
        <v>2</v>
      </c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>
        <v>2</v>
      </c>
      <c r="AW1192" s="28"/>
      <c r="AX1192" s="28"/>
      <c r="AY1192" s="28"/>
      <c r="AZ1192" s="28"/>
      <c r="BA1192" s="28"/>
      <c r="BB1192" s="28">
        <v>2</v>
      </c>
      <c r="BC1192" s="229">
        <f t="shared" si="481"/>
        <v>0</v>
      </c>
      <c r="BD1192" s="48">
        <f t="shared" si="482"/>
        <v>6</v>
      </c>
      <c r="BE1192" s="19">
        <v>1395</v>
      </c>
      <c r="BF1192" s="229">
        <f t="shared" si="483"/>
        <v>0</v>
      </c>
      <c r="BG1192" s="210">
        <f t="shared" si="484"/>
        <v>6</v>
      </c>
      <c r="BH1192" s="210">
        <f t="shared" si="485"/>
        <v>1395</v>
      </c>
      <c r="BI1192" s="213">
        <f t="shared" si="486"/>
        <v>0.43010752688172044</v>
      </c>
      <c r="BJ1192" s="141"/>
      <c r="BK1192" s="201"/>
      <c r="BL1192" s="202"/>
      <c r="BM1192" s="202"/>
    </row>
    <row r="1193" spans="1:65" s="17" customFormat="1" ht="18" customHeight="1">
      <c r="A1193" s="114">
        <v>10</v>
      </c>
      <c r="B1193" s="24" t="s">
        <v>561</v>
      </c>
      <c r="C1193" s="25" t="s">
        <v>562</v>
      </c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229">
        <f t="shared" si="479"/>
        <v>0</v>
      </c>
      <c r="AC1193" s="228">
        <f t="shared" si="480"/>
        <v>0</v>
      </c>
      <c r="AD1193" s="19">
        <v>0</v>
      </c>
      <c r="AE1193" s="28"/>
      <c r="AF1193" s="28"/>
      <c r="AG1193" s="28"/>
      <c r="AH1193" s="28"/>
      <c r="AI1193" s="28"/>
      <c r="AJ1193" s="28">
        <v>66</v>
      </c>
      <c r="AK1193" s="28"/>
      <c r="AL1193" s="28"/>
      <c r="AM1193" s="28"/>
      <c r="AN1193" s="28"/>
      <c r="AO1193" s="28"/>
      <c r="AP1193" s="28">
        <f>2+44</f>
        <v>46</v>
      </c>
      <c r="AQ1193" s="28"/>
      <c r="AR1193" s="28"/>
      <c r="AS1193" s="28"/>
      <c r="AT1193" s="28"/>
      <c r="AU1193" s="28"/>
      <c r="AV1193" s="28">
        <v>33</v>
      </c>
      <c r="AW1193" s="28"/>
      <c r="AX1193" s="28"/>
      <c r="AY1193" s="28"/>
      <c r="AZ1193" s="28"/>
      <c r="BA1193" s="28"/>
      <c r="BB1193" s="28">
        <v>76</v>
      </c>
      <c r="BC1193" s="229">
        <f t="shared" si="481"/>
        <v>0</v>
      </c>
      <c r="BD1193" s="48">
        <f t="shared" si="482"/>
        <v>221</v>
      </c>
      <c r="BE1193" s="19">
        <v>238</v>
      </c>
      <c r="BF1193" s="229">
        <f t="shared" si="483"/>
        <v>0</v>
      </c>
      <c r="BG1193" s="210">
        <f t="shared" si="484"/>
        <v>221</v>
      </c>
      <c r="BH1193" s="210">
        <f t="shared" si="485"/>
        <v>238</v>
      </c>
      <c r="BI1193" s="213">
        <f t="shared" si="486"/>
        <v>92.857142857142861</v>
      </c>
      <c r="BJ1193" s="141"/>
      <c r="BK1193" s="201"/>
      <c r="BL1193" s="202"/>
      <c r="BM1193" s="202"/>
    </row>
    <row r="1194" spans="1:65" s="17" customFormat="1" ht="18" customHeight="1">
      <c r="A1194" s="114">
        <v>11</v>
      </c>
      <c r="B1194" s="24" t="s">
        <v>672</v>
      </c>
      <c r="C1194" s="25" t="s">
        <v>673</v>
      </c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229">
        <f t="shared" si="479"/>
        <v>0</v>
      </c>
      <c r="AC1194" s="228">
        <f t="shared" si="480"/>
        <v>0</v>
      </c>
      <c r="AD1194" s="19">
        <v>0</v>
      </c>
      <c r="AE1194" s="28"/>
      <c r="AF1194" s="28"/>
      <c r="AG1194" s="28"/>
      <c r="AH1194" s="28"/>
      <c r="AI1194" s="28"/>
      <c r="AJ1194" s="28">
        <f>840+293+163</f>
        <v>1296</v>
      </c>
      <c r="AK1194" s="28"/>
      <c r="AL1194" s="28"/>
      <c r="AM1194" s="28"/>
      <c r="AN1194" s="28"/>
      <c r="AO1194" s="28"/>
      <c r="AP1194" s="28">
        <f>564+247+107</f>
        <v>918</v>
      </c>
      <c r="AQ1194" s="28"/>
      <c r="AR1194" s="28"/>
      <c r="AS1194" s="28"/>
      <c r="AT1194" s="28"/>
      <c r="AU1194" s="28"/>
      <c r="AV1194" s="28">
        <f>525+126</f>
        <v>651</v>
      </c>
      <c r="AW1194" s="28"/>
      <c r="AX1194" s="28"/>
      <c r="AY1194" s="28"/>
      <c r="AZ1194" s="28"/>
      <c r="BA1194" s="28"/>
      <c r="BB1194" s="28">
        <f>740+188</f>
        <v>928</v>
      </c>
      <c r="BC1194" s="229">
        <f t="shared" si="481"/>
        <v>0</v>
      </c>
      <c r="BD1194" s="48">
        <f t="shared" si="482"/>
        <v>3793</v>
      </c>
      <c r="BE1194" s="19">
        <v>4588</v>
      </c>
      <c r="BF1194" s="229">
        <f t="shared" si="483"/>
        <v>0</v>
      </c>
      <c r="BG1194" s="210">
        <f t="shared" si="484"/>
        <v>3793</v>
      </c>
      <c r="BH1194" s="210">
        <f t="shared" si="485"/>
        <v>4588</v>
      </c>
      <c r="BI1194" s="213">
        <f t="shared" si="486"/>
        <v>82.672188317349608</v>
      </c>
      <c r="BJ1194" s="141"/>
      <c r="BK1194" s="201"/>
      <c r="BL1194" s="202"/>
      <c r="BM1194" s="202"/>
    </row>
    <row r="1195" spans="1:65" s="17" customFormat="1" ht="18" customHeight="1">
      <c r="A1195" s="114">
        <v>12</v>
      </c>
      <c r="B1195" s="24" t="s">
        <v>674</v>
      </c>
      <c r="C1195" s="25" t="s">
        <v>943</v>
      </c>
      <c r="D1195" s="121"/>
      <c r="E1195" s="121"/>
      <c r="F1195" s="121"/>
      <c r="G1195" s="121"/>
      <c r="H1195" s="121"/>
      <c r="I1195" s="121">
        <f>33+1</f>
        <v>34</v>
      </c>
      <c r="J1195" s="121"/>
      <c r="K1195" s="121"/>
      <c r="L1195" s="121"/>
      <c r="M1195" s="121"/>
      <c r="N1195" s="121"/>
      <c r="O1195" s="121">
        <f>99+2</f>
        <v>101</v>
      </c>
      <c r="P1195" s="121"/>
      <c r="Q1195" s="121"/>
      <c r="R1195" s="121"/>
      <c r="S1195" s="121"/>
      <c r="T1195" s="121"/>
      <c r="U1195" s="121">
        <f>22+4</f>
        <v>26</v>
      </c>
      <c r="V1195" s="121"/>
      <c r="W1195" s="121"/>
      <c r="X1195" s="121"/>
      <c r="Y1195" s="121"/>
      <c r="Z1195" s="121"/>
      <c r="AA1195" s="121">
        <f>44+3</f>
        <v>47</v>
      </c>
      <c r="AB1195" s="229">
        <f t="shared" si="479"/>
        <v>0</v>
      </c>
      <c r="AC1195" s="228">
        <f t="shared" si="480"/>
        <v>208</v>
      </c>
      <c r="AD1195" s="19">
        <v>177</v>
      </c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29">
        <f t="shared" si="481"/>
        <v>0</v>
      </c>
      <c r="BD1195" s="48">
        <f t="shared" si="482"/>
        <v>0</v>
      </c>
      <c r="BE1195" s="19">
        <v>1</v>
      </c>
      <c r="BF1195" s="229">
        <f t="shared" si="483"/>
        <v>0</v>
      </c>
      <c r="BG1195" s="210">
        <f t="shared" si="484"/>
        <v>208</v>
      </c>
      <c r="BH1195" s="210">
        <f t="shared" si="485"/>
        <v>178</v>
      </c>
      <c r="BI1195" s="213">
        <f t="shared" si="486"/>
        <v>116.85393258426966</v>
      </c>
      <c r="BJ1195" s="141"/>
      <c r="BK1195" s="201"/>
      <c r="BL1195" s="202"/>
      <c r="BM1195" s="202"/>
    </row>
    <row r="1196" spans="1:65" s="17" customFormat="1" ht="18" customHeight="1">
      <c r="A1196" s="114">
        <v>13</v>
      </c>
      <c r="B1196" s="192" t="s">
        <v>675</v>
      </c>
      <c r="C1196" s="193" t="s">
        <v>676</v>
      </c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229">
        <f t="shared" si="479"/>
        <v>0</v>
      </c>
      <c r="AC1196" s="228">
        <f t="shared" si="480"/>
        <v>0</v>
      </c>
      <c r="AD1196" s="19">
        <v>0</v>
      </c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29">
        <f t="shared" si="481"/>
        <v>0</v>
      </c>
      <c r="BD1196" s="48">
        <f t="shared" si="482"/>
        <v>0</v>
      </c>
      <c r="BE1196" s="19">
        <v>50</v>
      </c>
      <c r="BF1196" s="229">
        <f t="shared" si="483"/>
        <v>0</v>
      </c>
      <c r="BG1196" s="210">
        <f t="shared" si="484"/>
        <v>0</v>
      </c>
      <c r="BH1196" s="210">
        <f t="shared" si="485"/>
        <v>50</v>
      </c>
      <c r="BI1196" s="213">
        <f t="shared" si="486"/>
        <v>0</v>
      </c>
      <c r="BJ1196" s="141"/>
      <c r="BK1196" s="201"/>
      <c r="BL1196" s="202"/>
      <c r="BM1196" s="202"/>
    </row>
    <row r="1197" spans="1:65" s="17" customFormat="1" ht="18" customHeight="1">
      <c r="A1197" s="114">
        <v>14</v>
      </c>
      <c r="B1197" s="24" t="s">
        <v>563</v>
      </c>
      <c r="C1197" s="25" t="s">
        <v>564</v>
      </c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229">
        <f t="shared" si="479"/>
        <v>0</v>
      </c>
      <c r="AC1197" s="228">
        <f t="shared" si="480"/>
        <v>0</v>
      </c>
      <c r="AD1197" s="19">
        <v>0</v>
      </c>
      <c r="AE1197" s="28"/>
      <c r="AF1197" s="28"/>
      <c r="AG1197" s="28"/>
      <c r="AH1197" s="28"/>
      <c r="AI1197" s="28"/>
      <c r="AJ1197" s="28">
        <f>27+3</f>
        <v>30</v>
      </c>
      <c r="AK1197" s="28"/>
      <c r="AL1197" s="28"/>
      <c r="AM1197" s="28"/>
      <c r="AN1197" s="28"/>
      <c r="AO1197" s="28"/>
      <c r="AP1197" s="28">
        <v>17</v>
      </c>
      <c r="AQ1197" s="28"/>
      <c r="AR1197" s="28"/>
      <c r="AS1197" s="28"/>
      <c r="AT1197" s="28"/>
      <c r="AU1197" s="28"/>
      <c r="AV1197" s="28">
        <v>9</v>
      </c>
      <c r="AW1197" s="28"/>
      <c r="AX1197" s="28"/>
      <c r="AY1197" s="28"/>
      <c r="AZ1197" s="28"/>
      <c r="BA1197" s="28"/>
      <c r="BB1197" s="28">
        <v>18</v>
      </c>
      <c r="BC1197" s="229">
        <f t="shared" si="481"/>
        <v>0</v>
      </c>
      <c r="BD1197" s="48">
        <f t="shared" si="482"/>
        <v>74</v>
      </c>
      <c r="BE1197" s="19">
        <v>88</v>
      </c>
      <c r="BF1197" s="229">
        <f t="shared" si="483"/>
        <v>0</v>
      </c>
      <c r="BG1197" s="210">
        <f t="shared" si="484"/>
        <v>74</v>
      </c>
      <c r="BH1197" s="210">
        <f t="shared" si="485"/>
        <v>88</v>
      </c>
      <c r="BI1197" s="213">
        <f t="shared" si="486"/>
        <v>84.090909090909093</v>
      </c>
      <c r="BJ1197" s="141"/>
      <c r="BK1197" s="201"/>
      <c r="BL1197" s="202"/>
      <c r="BM1197" s="202"/>
    </row>
    <row r="1198" spans="1:65" s="17" customFormat="1" ht="18" customHeight="1">
      <c r="A1198" s="114">
        <v>15</v>
      </c>
      <c r="B1198" s="24" t="s">
        <v>565</v>
      </c>
      <c r="C1198" s="25" t="s">
        <v>566</v>
      </c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229">
        <f t="shared" si="479"/>
        <v>0</v>
      </c>
      <c r="AC1198" s="228">
        <f t="shared" si="480"/>
        <v>0</v>
      </c>
      <c r="AD1198" s="19">
        <v>0</v>
      </c>
      <c r="AE1198" s="28"/>
      <c r="AF1198" s="28"/>
      <c r="AG1198" s="28"/>
      <c r="AH1198" s="28"/>
      <c r="AI1198" s="28"/>
      <c r="AJ1198" s="28">
        <v>26</v>
      </c>
      <c r="AK1198" s="28"/>
      <c r="AL1198" s="28"/>
      <c r="AM1198" s="28"/>
      <c r="AN1198" s="28"/>
      <c r="AO1198" s="28"/>
      <c r="AP1198" s="28">
        <f>3+4</f>
        <v>7</v>
      </c>
      <c r="AQ1198" s="28"/>
      <c r="AR1198" s="28"/>
      <c r="AS1198" s="28"/>
      <c r="AT1198" s="28"/>
      <c r="AU1198" s="28"/>
      <c r="AV1198" s="28">
        <f>6+6</f>
        <v>12</v>
      </c>
      <c r="AW1198" s="28"/>
      <c r="AX1198" s="28"/>
      <c r="AY1198" s="28"/>
      <c r="AZ1198" s="28"/>
      <c r="BA1198" s="28"/>
      <c r="BB1198" s="28">
        <f>14+12</f>
        <v>26</v>
      </c>
      <c r="BC1198" s="229">
        <f t="shared" si="481"/>
        <v>0</v>
      </c>
      <c r="BD1198" s="48">
        <f t="shared" si="482"/>
        <v>71</v>
      </c>
      <c r="BE1198" s="19">
        <v>128</v>
      </c>
      <c r="BF1198" s="229">
        <f t="shared" si="483"/>
        <v>0</v>
      </c>
      <c r="BG1198" s="210">
        <f t="shared" si="484"/>
        <v>71</v>
      </c>
      <c r="BH1198" s="210">
        <f t="shared" si="485"/>
        <v>128</v>
      </c>
      <c r="BI1198" s="213">
        <f t="shared" si="486"/>
        <v>55.46875</v>
      </c>
      <c r="BJ1198" s="141"/>
      <c r="BK1198" s="201"/>
      <c r="BL1198" s="202"/>
      <c r="BM1198" s="202"/>
    </row>
    <row r="1199" spans="1:65" s="17" customFormat="1" ht="18" customHeight="1">
      <c r="A1199" s="114">
        <v>16</v>
      </c>
      <c r="B1199" s="24" t="s">
        <v>707</v>
      </c>
      <c r="C1199" s="25" t="s">
        <v>708</v>
      </c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229">
        <f t="shared" si="479"/>
        <v>0</v>
      </c>
      <c r="AC1199" s="228">
        <f t="shared" si="480"/>
        <v>0</v>
      </c>
      <c r="AD1199" s="19">
        <v>0</v>
      </c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>
        <v>1</v>
      </c>
      <c r="AW1199" s="28"/>
      <c r="AX1199" s="28"/>
      <c r="AY1199" s="28"/>
      <c r="AZ1199" s="28"/>
      <c r="BA1199" s="28"/>
      <c r="BB1199" s="28"/>
      <c r="BC1199" s="229">
        <f t="shared" si="481"/>
        <v>0</v>
      </c>
      <c r="BD1199" s="48">
        <f t="shared" si="482"/>
        <v>1</v>
      </c>
      <c r="BE1199" s="19">
        <v>5</v>
      </c>
      <c r="BF1199" s="229">
        <f t="shared" si="483"/>
        <v>0</v>
      </c>
      <c r="BG1199" s="210">
        <f t="shared" si="484"/>
        <v>1</v>
      </c>
      <c r="BH1199" s="210">
        <f t="shared" si="485"/>
        <v>5</v>
      </c>
      <c r="BI1199" s="213">
        <f t="shared" si="486"/>
        <v>20</v>
      </c>
      <c r="BJ1199" s="141"/>
      <c r="BK1199" s="201"/>
      <c r="BL1199" s="202"/>
      <c r="BM1199" s="202"/>
    </row>
    <row r="1200" spans="1:65" s="17" customFormat="1" ht="18" customHeight="1">
      <c r="A1200" s="114">
        <v>17</v>
      </c>
      <c r="B1200" s="24" t="s">
        <v>709</v>
      </c>
      <c r="C1200" s="25" t="s">
        <v>710</v>
      </c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229">
        <f t="shared" si="479"/>
        <v>0</v>
      </c>
      <c r="AC1200" s="228">
        <f t="shared" si="480"/>
        <v>0</v>
      </c>
      <c r="AD1200" s="19">
        <v>0</v>
      </c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29">
        <f t="shared" si="481"/>
        <v>0</v>
      </c>
      <c r="BD1200" s="48">
        <f t="shared" si="482"/>
        <v>0</v>
      </c>
      <c r="BE1200" s="19">
        <v>2</v>
      </c>
      <c r="BF1200" s="229">
        <f t="shared" si="483"/>
        <v>0</v>
      </c>
      <c r="BG1200" s="210">
        <f t="shared" si="484"/>
        <v>0</v>
      </c>
      <c r="BH1200" s="210">
        <f t="shared" si="485"/>
        <v>2</v>
      </c>
      <c r="BI1200" s="213">
        <f t="shared" si="486"/>
        <v>0</v>
      </c>
      <c r="BJ1200" s="141"/>
      <c r="BK1200" s="201"/>
      <c r="BL1200" s="202"/>
      <c r="BM1200" s="202"/>
    </row>
    <row r="1201" spans="1:65" s="17" customFormat="1" ht="18" customHeight="1">
      <c r="A1201" s="114">
        <v>18</v>
      </c>
      <c r="B1201" s="24" t="s">
        <v>678</v>
      </c>
      <c r="C1201" s="25" t="s">
        <v>679</v>
      </c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229">
        <f t="shared" si="479"/>
        <v>0</v>
      </c>
      <c r="AC1201" s="228">
        <f t="shared" si="480"/>
        <v>0</v>
      </c>
      <c r="AD1201" s="19">
        <v>0</v>
      </c>
      <c r="AE1201" s="28"/>
      <c r="AF1201" s="28"/>
      <c r="AG1201" s="28"/>
      <c r="AH1201" s="28"/>
      <c r="AI1201" s="28"/>
      <c r="AJ1201" s="28">
        <v>2</v>
      </c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>
        <v>1</v>
      </c>
      <c r="AW1201" s="28"/>
      <c r="AX1201" s="28"/>
      <c r="AY1201" s="28"/>
      <c r="AZ1201" s="28"/>
      <c r="BA1201" s="28"/>
      <c r="BB1201" s="28"/>
      <c r="BC1201" s="229">
        <f t="shared" si="481"/>
        <v>0</v>
      </c>
      <c r="BD1201" s="48">
        <f t="shared" si="482"/>
        <v>3</v>
      </c>
      <c r="BE1201" s="19">
        <v>2</v>
      </c>
      <c r="BF1201" s="229">
        <f t="shared" si="483"/>
        <v>0</v>
      </c>
      <c r="BG1201" s="210">
        <f t="shared" si="484"/>
        <v>3</v>
      </c>
      <c r="BH1201" s="210">
        <f t="shared" si="485"/>
        <v>2</v>
      </c>
      <c r="BI1201" s="213">
        <f t="shared" si="486"/>
        <v>150</v>
      </c>
      <c r="BJ1201" s="141"/>
      <c r="BK1201" s="201"/>
      <c r="BL1201" s="202"/>
      <c r="BM1201" s="202"/>
    </row>
    <row r="1202" spans="1:65" s="17" customFormat="1" ht="18" customHeight="1">
      <c r="A1202" s="114">
        <v>19</v>
      </c>
      <c r="B1202" s="24" t="s">
        <v>749</v>
      </c>
      <c r="C1202" s="25" t="s">
        <v>750</v>
      </c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229"/>
      <c r="AC1202" s="228">
        <f t="shared" ref="AC1202:AC1233" si="487">E1202+G1202+I1202+K1202+M1202+O1202+Q1202+S1202+U1202+W1202+Y1202+AA1202</f>
        <v>0</v>
      </c>
      <c r="AD1202" s="19">
        <v>0</v>
      </c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>
        <v>3</v>
      </c>
      <c r="AW1202" s="28"/>
      <c r="AX1202" s="28"/>
      <c r="AY1202" s="28"/>
      <c r="AZ1202" s="28"/>
      <c r="BA1202" s="28"/>
      <c r="BB1202" s="28">
        <v>1</v>
      </c>
      <c r="BC1202" s="229"/>
      <c r="BD1202" s="48">
        <f t="shared" ref="BD1202:BD1233" si="488">AF1202+AH1202+AJ1202+AL1202+AN1202+AP1202+AR1202+AT1202+AV1202+AX1202+AZ1202+BB1202</f>
        <v>4</v>
      </c>
      <c r="BE1202" s="19">
        <v>0</v>
      </c>
      <c r="BF1202" s="229"/>
      <c r="BG1202" s="210">
        <f t="shared" ref="BG1202:BG1233" si="489">AC1202+BD1202</f>
        <v>4</v>
      </c>
      <c r="BH1202" s="210">
        <f t="shared" ref="BH1202:BH1233" si="490">AD1202+BE1202</f>
        <v>0</v>
      </c>
      <c r="BI1202" s="213" t="e">
        <f t="shared" si="486"/>
        <v>#DIV/0!</v>
      </c>
      <c r="BJ1202" s="141"/>
      <c r="BK1202" s="201"/>
      <c r="BL1202" s="202"/>
      <c r="BM1202" s="202"/>
    </row>
    <row r="1203" spans="1:65" s="17" customFormat="1" ht="18" customHeight="1">
      <c r="A1203" s="114">
        <v>20</v>
      </c>
      <c r="B1203" s="24" t="s">
        <v>567</v>
      </c>
      <c r="C1203" s="25" t="s">
        <v>568</v>
      </c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229">
        <f t="shared" ref="AB1203:AB1234" si="491">D1203+F1203+H1203+J1203+L1203+N1203+P1203+R1203+T1203+V1203+X1203+Z1203</f>
        <v>0</v>
      </c>
      <c r="AC1203" s="228">
        <f t="shared" si="487"/>
        <v>0</v>
      </c>
      <c r="AD1203" s="19">
        <v>0</v>
      </c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29">
        <f t="shared" ref="BC1203:BC1234" si="492">AE1203+AG1203+AI1203+AK1203+AM1203+AO1203+AQ1203+AS1203+AU1203+AW1203+AY1203+BA1203</f>
        <v>0</v>
      </c>
      <c r="BD1203" s="48">
        <f t="shared" si="488"/>
        <v>0</v>
      </c>
      <c r="BE1203" s="19">
        <v>6</v>
      </c>
      <c r="BF1203" s="229">
        <f t="shared" ref="BF1203:BF1234" si="493">AB1203+BC1203</f>
        <v>0</v>
      </c>
      <c r="BG1203" s="210">
        <f t="shared" si="489"/>
        <v>0</v>
      </c>
      <c r="BH1203" s="210">
        <f t="shared" si="490"/>
        <v>6</v>
      </c>
      <c r="BI1203" s="213">
        <f t="shared" si="486"/>
        <v>0</v>
      </c>
      <c r="BJ1203" s="141"/>
      <c r="BK1203" s="201"/>
      <c r="BL1203" s="202"/>
      <c r="BM1203" s="202"/>
    </row>
    <row r="1204" spans="1:65" s="17" customFormat="1" ht="18" customHeight="1">
      <c r="A1204" s="114">
        <v>21</v>
      </c>
      <c r="B1204" s="24" t="s">
        <v>569</v>
      </c>
      <c r="C1204" s="25" t="s">
        <v>680</v>
      </c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229">
        <f t="shared" si="491"/>
        <v>0</v>
      </c>
      <c r="AC1204" s="228">
        <f t="shared" si="487"/>
        <v>0</v>
      </c>
      <c r="AD1204" s="19">
        <v>0</v>
      </c>
      <c r="AE1204" s="28"/>
      <c r="AF1204" s="28"/>
      <c r="AG1204" s="28"/>
      <c r="AH1204" s="28"/>
      <c r="AI1204" s="28"/>
      <c r="AJ1204" s="28">
        <v>34</v>
      </c>
      <c r="AK1204" s="28"/>
      <c r="AL1204" s="28"/>
      <c r="AM1204" s="28"/>
      <c r="AN1204" s="28"/>
      <c r="AO1204" s="28"/>
      <c r="AP1204" s="28">
        <v>22</v>
      </c>
      <c r="AQ1204" s="28"/>
      <c r="AR1204" s="28"/>
      <c r="AS1204" s="28"/>
      <c r="AT1204" s="28"/>
      <c r="AU1204" s="28"/>
      <c r="AV1204" s="28">
        <v>14</v>
      </c>
      <c r="AW1204" s="28"/>
      <c r="AX1204" s="28"/>
      <c r="AY1204" s="28"/>
      <c r="AZ1204" s="28"/>
      <c r="BA1204" s="28"/>
      <c r="BB1204" s="28">
        <v>32</v>
      </c>
      <c r="BC1204" s="229">
        <f t="shared" si="492"/>
        <v>0</v>
      </c>
      <c r="BD1204" s="48">
        <f t="shared" si="488"/>
        <v>102</v>
      </c>
      <c r="BE1204" s="19">
        <v>96</v>
      </c>
      <c r="BF1204" s="229">
        <f t="shared" si="493"/>
        <v>0</v>
      </c>
      <c r="BG1204" s="210">
        <f t="shared" si="489"/>
        <v>102</v>
      </c>
      <c r="BH1204" s="210">
        <f t="shared" si="490"/>
        <v>96</v>
      </c>
      <c r="BI1204" s="213">
        <f t="shared" si="486"/>
        <v>106.25</v>
      </c>
      <c r="BJ1204" s="141"/>
      <c r="BK1204" s="201"/>
      <c r="BL1204" s="202"/>
      <c r="BM1204" s="202"/>
    </row>
    <row r="1205" spans="1:65" s="17" customFormat="1" ht="18" customHeight="1">
      <c r="A1205" s="114">
        <v>22</v>
      </c>
      <c r="B1205" s="24" t="s">
        <v>571</v>
      </c>
      <c r="C1205" s="25" t="s">
        <v>681</v>
      </c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229">
        <f t="shared" si="491"/>
        <v>0</v>
      </c>
      <c r="AC1205" s="228">
        <f t="shared" si="487"/>
        <v>0</v>
      </c>
      <c r="AD1205" s="19">
        <v>0</v>
      </c>
      <c r="AE1205" s="28"/>
      <c r="AF1205" s="28"/>
      <c r="AG1205" s="28"/>
      <c r="AH1205" s="28"/>
      <c r="AI1205" s="28"/>
      <c r="AJ1205" s="28">
        <f>1260+352+1+223</f>
        <v>1836</v>
      </c>
      <c r="AK1205" s="28"/>
      <c r="AL1205" s="28"/>
      <c r="AM1205" s="28"/>
      <c r="AN1205" s="28"/>
      <c r="AO1205" s="28"/>
      <c r="AP1205" s="28">
        <f>895+279+129</f>
        <v>1303</v>
      </c>
      <c r="AQ1205" s="28"/>
      <c r="AR1205" s="28"/>
      <c r="AS1205" s="28"/>
      <c r="AT1205" s="28"/>
      <c r="AU1205" s="28"/>
      <c r="AV1205" s="28">
        <f>775+184+1</f>
        <v>960</v>
      </c>
      <c r="AW1205" s="28"/>
      <c r="AX1205" s="28"/>
      <c r="AY1205" s="28"/>
      <c r="AZ1205" s="28"/>
      <c r="BA1205" s="28"/>
      <c r="BB1205" s="28">
        <f>1174+319+1</f>
        <v>1494</v>
      </c>
      <c r="BC1205" s="229">
        <f t="shared" si="492"/>
        <v>0</v>
      </c>
      <c r="BD1205" s="48">
        <f t="shared" si="488"/>
        <v>5593</v>
      </c>
      <c r="BE1205" s="19">
        <v>6245</v>
      </c>
      <c r="BF1205" s="229">
        <f t="shared" si="493"/>
        <v>0</v>
      </c>
      <c r="BG1205" s="210">
        <f t="shared" si="489"/>
        <v>5593</v>
      </c>
      <c r="BH1205" s="210">
        <f t="shared" si="490"/>
        <v>6245</v>
      </c>
      <c r="BI1205" s="213">
        <f t="shared" si="486"/>
        <v>89.559647718174546</v>
      </c>
      <c r="BJ1205" s="141"/>
      <c r="BK1205" s="201"/>
      <c r="BL1205" s="202"/>
      <c r="BM1205" s="202"/>
    </row>
    <row r="1206" spans="1:65" s="17" customFormat="1" ht="18" customHeight="1">
      <c r="A1206" s="114">
        <v>23</v>
      </c>
      <c r="B1206" s="24" t="s">
        <v>573</v>
      </c>
      <c r="C1206" s="25" t="s">
        <v>574</v>
      </c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229">
        <f t="shared" si="491"/>
        <v>0</v>
      </c>
      <c r="AC1206" s="228">
        <f t="shared" si="487"/>
        <v>0</v>
      </c>
      <c r="AD1206" s="19">
        <v>0</v>
      </c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29">
        <f t="shared" si="492"/>
        <v>0</v>
      </c>
      <c r="BD1206" s="48">
        <f t="shared" si="488"/>
        <v>0</v>
      </c>
      <c r="BE1206" s="19">
        <v>1</v>
      </c>
      <c r="BF1206" s="229">
        <f t="shared" si="493"/>
        <v>0</v>
      </c>
      <c r="BG1206" s="210">
        <f t="shared" si="489"/>
        <v>0</v>
      </c>
      <c r="BH1206" s="210">
        <f t="shared" si="490"/>
        <v>1</v>
      </c>
      <c r="BI1206" s="213">
        <f t="shared" si="486"/>
        <v>0</v>
      </c>
      <c r="BJ1206" s="141"/>
      <c r="BK1206" s="201"/>
      <c r="BL1206" s="202"/>
      <c r="BM1206" s="202"/>
    </row>
    <row r="1207" spans="1:65" s="17" customFormat="1" ht="18" customHeight="1">
      <c r="A1207" s="114">
        <v>24</v>
      </c>
      <c r="B1207" s="24" t="s">
        <v>575</v>
      </c>
      <c r="C1207" s="25" t="s">
        <v>711</v>
      </c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229">
        <f t="shared" si="491"/>
        <v>0</v>
      </c>
      <c r="AC1207" s="228">
        <f t="shared" si="487"/>
        <v>0</v>
      </c>
      <c r="AD1207" s="19">
        <v>0</v>
      </c>
      <c r="AE1207" s="28"/>
      <c r="AF1207" s="28"/>
      <c r="AG1207" s="28"/>
      <c r="AH1207" s="28"/>
      <c r="AI1207" s="28"/>
      <c r="AJ1207" s="28">
        <f>5+1</f>
        <v>6</v>
      </c>
      <c r="AK1207" s="28"/>
      <c r="AL1207" s="28"/>
      <c r="AM1207" s="28"/>
      <c r="AN1207" s="28"/>
      <c r="AO1207" s="28"/>
      <c r="AP1207" s="28">
        <v>9</v>
      </c>
      <c r="AQ1207" s="28"/>
      <c r="AR1207" s="28"/>
      <c r="AS1207" s="28"/>
      <c r="AT1207" s="28"/>
      <c r="AU1207" s="28"/>
      <c r="AV1207" s="28">
        <v>6</v>
      </c>
      <c r="AW1207" s="28"/>
      <c r="AX1207" s="28"/>
      <c r="AY1207" s="28"/>
      <c r="AZ1207" s="28"/>
      <c r="BA1207" s="28"/>
      <c r="BB1207" s="28">
        <f>2+4</f>
        <v>6</v>
      </c>
      <c r="BC1207" s="229">
        <f t="shared" si="492"/>
        <v>0</v>
      </c>
      <c r="BD1207" s="48">
        <f t="shared" si="488"/>
        <v>27</v>
      </c>
      <c r="BE1207" s="19">
        <v>37</v>
      </c>
      <c r="BF1207" s="229">
        <f t="shared" si="493"/>
        <v>0</v>
      </c>
      <c r="BG1207" s="210">
        <f t="shared" si="489"/>
        <v>27</v>
      </c>
      <c r="BH1207" s="210">
        <f t="shared" si="490"/>
        <v>37</v>
      </c>
      <c r="BI1207" s="213">
        <f t="shared" si="486"/>
        <v>72.972972972972968</v>
      </c>
      <c r="BJ1207" s="141"/>
      <c r="BK1207" s="201"/>
      <c r="BL1207" s="202"/>
      <c r="BM1207" s="202"/>
    </row>
    <row r="1208" spans="1:65" s="17" customFormat="1" ht="21.95" customHeight="1">
      <c r="A1208" s="114">
        <v>25</v>
      </c>
      <c r="B1208" s="24" t="s">
        <v>577</v>
      </c>
      <c r="C1208" s="27" t="s">
        <v>1630</v>
      </c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229">
        <f t="shared" si="491"/>
        <v>0</v>
      </c>
      <c r="AC1208" s="228">
        <f t="shared" si="487"/>
        <v>0</v>
      </c>
      <c r="AD1208" s="19">
        <v>0</v>
      </c>
      <c r="AE1208" s="28"/>
      <c r="AF1208" s="28"/>
      <c r="AG1208" s="28"/>
      <c r="AH1208" s="28"/>
      <c r="AI1208" s="28"/>
      <c r="AJ1208" s="28">
        <v>12</v>
      </c>
      <c r="AK1208" s="28"/>
      <c r="AL1208" s="28"/>
      <c r="AM1208" s="28"/>
      <c r="AN1208" s="28"/>
      <c r="AO1208" s="28"/>
      <c r="AP1208" s="28">
        <v>4</v>
      </c>
      <c r="AQ1208" s="28"/>
      <c r="AR1208" s="28"/>
      <c r="AS1208" s="28"/>
      <c r="AT1208" s="28"/>
      <c r="AU1208" s="28"/>
      <c r="AV1208" s="28">
        <v>5</v>
      </c>
      <c r="AW1208" s="28"/>
      <c r="AX1208" s="28"/>
      <c r="AY1208" s="28"/>
      <c r="AZ1208" s="28"/>
      <c r="BA1208" s="28"/>
      <c r="BB1208" s="28">
        <v>6</v>
      </c>
      <c r="BC1208" s="229">
        <f t="shared" si="492"/>
        <v>0</v>
      </c>
      <c r="BD1208" s="48">
        <f t="shared" si="488"/>
        <v>27</v>
      </c>
      <c r="BE1208" s="19">
        <v>24</v>
      </c>
      <c r="BF1208" s="229">
        <f t="shared" si="493"/>
        <v>0</v>
      </c>
      <c r="BG1208" s="210">
        <f t="shared" si="489"/>
        <v>27</v>
      </c>
      <c r="BH1208" s="210">
        <f t="shared" si="490"/>
        <v>24</v>
      </c>
      <c r="BI1208" s="213">
        <f t="shared" si="486"/>
        <v>112.5</v>
      </c>
      <c r="BJ1208" s="141"/>
      <c r="BK1208" s="201"/>
      <c r="BL1208" s="202"/>
      <c r="BM1208" s="202"/>
    </row>
    <row r="1209" spans="1:65" s="17" customFormat="1" ht="18" customHeight="1">
      <c r="A1209" s="114">
        <v>26</v>
      </c>
      <c r="B1209" s="24" t="s">
        <v>578</v>
      </c>
      <c r="C1209" s="25" t="s">
        <v>1587</v>
      </c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229">
        <f t="shared" si="491"/>
        <v>0</v>
      </c>
      <c r="AC1209" s="228">
        <f t="shared" si="487"/>
        <v>0</v>
      </c>
      <c r="AD1209" s="19">
        <v>0</v>
      </c>
      <c r="AE1209" s="28"/>
      <c r="AF1209" s="28"/>
      <c r="AG1209" s="28"/>
      <c r="AH1209" s="28"/>
      <c r="AI1209" s="28"/>
      <c r="AJ1209" s="28">
        <f>23+2</f>
        <v>25</v>
      </c>
      <c r="AK1209" s="28"/>
      <c r="AL1209" s="28"/>
      <c r="AM1209" s="28"/>
      <c r="AN1209" s="28"/>
      <c r="AO1209" s="28"/>
      <c r="AP1209" s="28">
        <f>3+16+2</f>
        <v>21</v>
      </c>
      <c r="AQ1209" s="28"/>
      <c r="AR1209" s="28"/>
      <c r="AS1209" s="28"/>
      <c r="AT1209" s="28"/>
      <c r="AU1209" s="28"/>
      <c r="AV1209" s="28">
        <v>9</v>
      </c>
      <c r="AW1209" s="28"/>
      <c r="AX1209" s="28"/>
      <c r="AY1209" s="28"/>
      <c r="AZ1209" s="28"/>
      <c r="BA1209" s="28"/>
      <c r="BB1209" s="28">
        <v>17</v>
      </c>
      <c r="BC1209" s="229">
        <f t="shared" si="492"/>
        <v>0</v>
      </c>
      <c r="BD1209" s="48">
        <f t="shared" si="488"/>
        <v>72</v>
      </c>
      <c r="BE1209" s="19">
        <v>54</v>
      </c>
      <c r="BF1209" s="229">
        <f t="shared" si="493"/>
        <v>0</v>
      </c>
      <c r="BG1209" s="210">
        <f t="shared" si="489"/>
        <v>72</v>
      </c>
      <c r="BH1209" s="210">
        <f t="shared" si="490"/>
        <v>54</v>
      </c>
      <c r="BI1209" s="213">
        <f t="shared" si="486"/>
        <v>133.33333333333331</v>
      </c>
      <c r="BJ1209" s="141"/>
      <c r="BK1209" s="201"/>
      <c r="BL1209" s="202"/>
      <c r="BM1209" s="202"/>
    </row>
    <row r="1210" spans="1:65" s="17" customFormat="1" ht="18" customHeight="1">
      <c r="A1210" s="114">
        <v>27</v>
      </c>
      <c r="B1210" s="24" t="s">
        <v>579</v>
      </c>
      <c r="C1210" s="25" t="s">
        <v>580</v>
      </c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229">
        <f t="shared" si="491"/>
        <v>0</v>
      </c>
      <c r="AC1210" s="228">
        <f t="shared" si="487"/>
        <v>0</v>
      </c>
      <c r="AD1210" s="19">
        <v>0</v>
      </c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29">
        <f t="shared" si="492"/>
        <v>0</v>
      </c>
      <c r="BD1210" s="48">
        <f t="shared" si="488"/>
        <v>0</v>
      </c>
      <c r="BE1210" s="19">
        <v>1</v>
      </c>
      <c r="BF1210" s="229">
        <f t="shared" si="493"/>
        <v>0</v>
      </c>
      <c r="BG1210" s="210">
        <f t="shared" si="489"/>
        <v>0</v>
      </c>
      <c r="BH1210" s="210">
        <f t="shared" si="490"/>
        <v>1</v>
      </c>
      <c r="BI1210" s="213">
        <f t="shared" si="486"/>
        <v>0</v>
      </c>
      <c r="BJ1210" s="141"/>
      <c r="BK1210" s="201"/>
      <c r="BL1210" s="202"/>
      <c r="BM1210" s="202"/>
    </row>
    <row r="1211" spans="1:65" s="17" customFormat="1" ht="18" customHeight="1">
      <c r="A1211" s="114">
        <v>28</v>
      </c>
      <c r="B1211" s="24" t="s">
        <v>582</v>
      </c>
      <c r="C1211" s="25" t="s">
        <v>583</v>
      </c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229">
        <f t="shared" si="491"/>
        <v>0</v>
      </c>
      <c r="AC1211" s="228">
        <f t="shared" si="487"/>
        <v>0</v>
      </c>
      <c r="AD1211" s="19">
        <v>0</v>
      </c>
      <c r="AE1211" s="28"/>
      <c r="AF1211" s="28"/>
      <c r="AG1211" s="28"/>
      <c r="AH1211" s="28"/>
      <c r="AI1211" s="28"/>
      <c r="AJ1211" s="28">
        <f>36+1</f>
        <v>37</v>
      </c>
      <c r="AK1211" s="28"/>
      <c r="AL1211" s="28"/>
      <c r="AM1211" s="28"/>
      <c r="AN1211" s="28"/>
      <c r="AO1211" s="28"/>
      <c r="AP1211" s="28">
        <v>25</v>
      </c>
      <c r="AQ1211" s="28"/>
      <c r="AR1211" s="28"/>
      <c r="AS1211" s="28"/>
      <c r="AT1211" s="28"/>
      <c r="AU1211" s="28"/>
      <c r="AV1211" s="28">
        <v>20</v>
      </c>
      <c r="AW1211" s="28"/>
      <c r="AX1211" s="28"/>
      <c r="AY1211" s="28"/>
      <c r="AZ1211" s="28"/>
      <c r="BA1211" s="28"/>
      <c r="BB1211" s="28">
        <v>28</v>
      </c>
      <c r="BC1211" s="229">
        <f t="shared" si="492"/>
        <v>0</v>
      </c>
      <c r="BD1211" s="48">
        <f t="shared" si="488"/>
        <v>110</v>
      </c>
      <c r="BE1211" s="19">
        <v>92</v>
      </c>
      <c r="BF1211" s="229">
        <f t="shared" si="493"/>
        <v>0</v>
      </c>
      <c r="BG1211" s="210">
        <f t="shared" si="489"/>
        <v>110</v>
      </c>
      <c r="BH1211" s="210">
        <f t="shared" si="490"/>
        <v>92</v>
      </c>
      <c r="BI1211" s="213">
        <f t="shared" si="486"/>
        <v>119.56521739130434</v>
      </c>
      <c r="BJ1211" s="141"/>
      <c r="BK1211" s="201"/>
      <c r="BL1211" s="202"/>
      <c r="BM1211" s="202"/>
    </row>
    <row r="1212" spans="1:65" s="17" customFormat="1" ht="18" customHeight="1">
      <c r="A1212" s="114">
        <v>29</v>
      </c>
      <c r="B1212" s="24" t="s">
        <v>584</v>
      </c>
      <c r="C1212" s="25" t="s">
        <v>2603</v>
      </c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229">
        <f t="shared" si="491"/>
        <v>0</v>
      </c>
      <c r="AC1212" s="228">
        <f t="shared" si="487"/>
        <v>0</v>
      </c>
      <c r="AD1212" s="19">
        <v>0</v>
      </c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29">
        <f t="shared" si="492"/>
        <v>0</v>
      </c>
      <c r="BD1212" s="48">
        <f t="shared" si="488"/>
        <v>0</v>
      </c>
      <c r="BE1212" s="19">
        <v>323</v>
      </c>
      <c r="BF1212" s="229">
        <f t="shared" si="493"/>
        <v>0</v>
      </c>
      <c r="BG1212" s="210">
        <f t="shared" si="489"/>
        <v>0</v>
      </c>
      <c r="BH1212" s="210">
        <f t="shared" si="490"/>
        <v>323</v>
      </c>
      <c r="BI1212" s="213">
        <f t="shared" si="486"/>
        <v>0</v>
      </c>
      <c r="BJ1212" s="141"/>
      <c r="BK1212" s="201"/>
      <c r="BL1212" s="202"/>
      <c r="BM1212" s="202"/>
    </row>
    <row r="1213" spans="1:65" s="17" customFormat="1" ht="18" customHeight="1">
      <c r="A1213" s="114">
        <v>30</v>
      </c>
      <c r="B1213" s="24" t="s">
        <v>2247</v>
      </c>
      <c r="C1213" s="25" t="s">
        <v>2602</v>
      </c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229">
        <f t="shared" si="491"/>
        <v>0</v>
      </c>
      <c r="AC1213" s="228">
        <f t="shared" si="487"/>
        <v>0</v>
      </c>
      <c r="AD1213" s="19">
        <v>0</v>
      </c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29">
        <f t="shared" si="492"/>
        <v>0</v>
      </c>
      <c r="BD1213" s="48">
        <f t="shared" si="488"/>
        <v>0</v>
      </c>
      <c r="BE1213" s="19">
        <v>332</v>
      </c>
      <c r="BF1213" s="229">
        <f t="shared" si="493"/>
        <v>0</v>
      </c>
      <c r="BG1213" s="210">
        <f t="shared" si="489"/>
        <v>0</v>
      </c>
      <c r="BH1213" s="210">
        <f t="shared" si="490"/>
        <v>332</v>
      </c>
      <c r="BI1213" s="213">
        <f t="shared" si="486"/>
        <v>0</v>
      </c>
      <c r="BJ1213" s="141"/>
      <c r="BK1213" s="201"/>
      <c r="BL1213" s="202"/>
      <c r="BM1213" s="202"/>
    </row>
    <row r="1214" spans="1:65" s="17" customFormat="1" ht="18" customHeight="1">
      <c r="A1214" s="114">
        <v>31</v>
      </c>
      <c r="B1214" s="24" t="s">
        <v>585</v>
      </c>
      <c r="C1214" s="25" t="s">
        <v>586</v>
      </c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229">
        <f t="shared" si="491"/>
        <v>0</v>
      </c>
      <c r="AC1214" s="228">
        <f t="shared" si="487"/>
        <v>0</v>
      </c>
      <c r="AD1214" s="19">
        <v>0</v>
      </c>
      <c r="AE1214" s="28"/>
      <c r="AF1214" s="28"/>
      <c r="AG1214" s="28"/>
      <c r="AH1214" s="28"/>
      <c r="AI1214" s="28"/>
      <c r="AJ1214" s="28">
        <f>5+27</f>
        <v>32</v>
      </c>
      <c r="AK1214" s="28"/>
      <c r="AL1214" s="28"/>
      <c r="AM1214" s="28"/>
      <c r="AN1214" s="28"/>
      <c r="AO1214" s="28"/>
      <c r="AP1214" s="28">
        <v>33</v>
      </c>
      <c r="AQ1214" s="28"/>
      <c r="AR1214" s="28"/>
      <c r="AS1214" s="28"/>
      <c r="AT1214" s="28"/>
      <c r="AU1214" s="28"/>
      <c r="AV1214" s="28">
        <f>27+42</f>
        <v>69</v>
      </c>
      <c r="AW1214" s="28"/>
      <c r="AX1214" s="28"/>
      <c r="AY1214" s="28"/>
      <c r="AZ1214" s="28"/>
      <c r="BA1214" s="28"/>
      <c r="BB1214" s="28">
        <f>4+38</f>
        <v>42</v>
      </c>
      <c r="BC1214" s="229">
        <f t="shared" si="492"/>
        <v>0</v>
      </c>
      <c r="BD1214" s="48">
        <f t="shared" si="488"/>
        <v>176</v>
      </c>
      <c r="BE1214" s="19">
        <v>292</v>
      </c>
      <c r="BF1214" s="229">
        <f t="shared" si="493"/>
        <v>0</v>
      </c>
      <c r="BG1214" s="210">
        <f t="shared" si="489"/>
        <v>176</v>
      </c>
      <c r="BH1214" s="210">
        <f t="shared" si="490"/>
        <v>292</v>
      </c>
      <c r="BI1214" s="213">
        <f t="shared" si="486"/>
        <v>60.273972602739725</v>
      </c>
      <c r="BJ1214" s="141"/>
      <c r="BK1214" s="201"/>
      <c r="BL1214" s="202"/>
      <c r="BM1214" s="202"/>
    </row>
    <row r="1215" spans="1:65" s="17" customFormat="1" ht="18" customHeight="1">
      <c r="A1215" s="114">
        <v>32</v>
      </c>
      <c r="B1215" s="24" t="s">
        <v>682</v>
      </c>
      <c r="C1215" s="25" t="s">
        <v>683</v>
      </c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229">
        <f t="shared" si="491"/>
        <v>0</v>
      </c>
      <c r="AC1215" s="228">
        <f t="shared" si="487"/>
        <v>0</v>
      </c>
      <c r="AD1215" s="19">
        <v>0</v>
      </c>
      <c r="AE1215" s="28"/>
      <c r="AF1215" s="28"/>
      <c r="AG1215" s="28"/>
      <c r="AH1215" s="28"/>
      <c r="AI1215" s="28"/>
      <c r="AJ1215" s="28">
        <v>1</v>
      </c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29">
        <f t="shared" si="492"/>
        <v>0</v>
      </c>
      <c r="BD1215" s="48">
        <f t="shared" si="488"/>
        <v>1</v>
      </c>
      <c r="BE1215" s="19">
        <v>1</v>
      </c>
      <c r="BF1215" s="229">
        <f t="shared" si="493"/>
        <v>0</v>
      </c>
      <c r="BG1215" s="210">
        <f t="shared" si="489"/>
        <v>1</v>
      </c>
      <c r="BH1215" s="210">
        <f t="shared" si="490"/>
        <v>1</v>
      </c>
      <c r="BI1215" s="213">
        <f t="shared" si="486"/>
        <v>100</v>
      </c>
      <c r="BJ1215" s="141"/>
      <c r="BK1215" s="201"/>
      <c r="BL1215" s="202"/>
      <c r="BM1215" s="202"/>
    </row>
    <row r="1216" spans="1:65" s="17" customFormat="1" ht="18" customHeight="1">
      <c r="A1216" s="114">
        <v>33</v>
      </c>
      <c r="B1216" s="24" t="s">
        <v>596</v>
      </c>
      <c r="C1216" s="25" t="s">
        <v>597</v>
      </c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229">
        <f t="shared" si="491"/>
        <v>0</v>
      </c>
      <c r="AC1216" s="228">
        <f t="shared" si="487"/>
        <v>0</v>
      </c>
      <c r="AD1216" s="19">
        <v>0</v>
      </c>
      <c r="AE1216" s="28"/>
      <c r="AF1216" s="28"/>
      <c r="AG1216" s="28"/>
      <c r="AH1216" s="28"/>
      <c r="AI1216" s="28"/>
      <c r="AJ1216" s="28">
        <f>98+32</f>
        <v>130</v>
      </c>
      <c r="AK1216" s="28"/>
      <c r="AL1216" s="28"/>
      <c r="AM1216" s="28"/>
      <c r="AN1216" s="28"/>
      <c r="AO1216" s="28"/>
      <c r="AP1216" s="28">
        <f>59+26+10</f>
        <v>95</v>
      </c>
      <c r="AQ1216" s="28"/>
      <c r="AR1216" s="28"/>
      <c r="AS1216" s="28"/>
      <c r="AT1216" s="28"/>
      <c r="AU1216" s="28"/>
      <c r="AV1216" s="28">
        <f>45+24+6</f>
        <v>75</v>
      </c>
      <c r="AW1216" s="28"/>
      <c r="AX1216" s="28"/>
      <c r="AY1216" s="28"/>
      <c r="AZ1216" s="28"/>
      <c r="BA1216" s="28"/>
      <c r="BB1216" s="28">
        <f>81+26</f>
        <v>107</v>
      </c>
      <c r="BC1216" s="229">
        <f t="shared" si="492"/>
        <v>0</v>
      </c>
      <c r="BD1216" s="48">
        <f t="shared" si="488"/>
        <v>407</v>
      </c>
      <c r="BE1216" s="19">
        <v>485</v>
      </c>
      <c r="BF1216" s="229">
        <f t="shared" si="493"/>
        <v>0</v>
      </c>
      <c r="BG1216" s="210">
        <f t="shared" si="489"/>
        <v>407</v>
      </c>
      <c r="BH1216" s="210">
        <f t="shared" si="490"/>
        <v>485</v>
      </c>
      <c r="BI1216" s="213">
        <f t="shared" ref="BI1216:BI1247" si="494">BG1216/BH1216*100</f>
        <v>83.917525773195877</v>
      </c>
      <c r="BJ1216" s="141"/>
      <c r="BK1216" s="201"/>
      <c r="BL1216" s="202"/>
      <c r="BM1216" s="202"/>
    </row>
    <row r="1217" spans="1:65" s="17" customFormat="1" ht="18" customHeight="1">
      <c r="A1217" s="114">
        <v>34</v>
      </c>
      <c r="B1217" s="24" t="s">
        <v>622</v>
      </c>
      <c r="C1217" s="25" t="s">
        <v>623</v>
      </c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>
        <v>1</v>
      </c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>
        <v>1</v>
      </c>
      <c r="AB1217" s="229">
        <f t="shared" si="491"/>
        <v>0</v>
      </c>
      <c r="AC1217" s="228">
        <f t="shared" si="487"/>
        <v>2</v>
      </c>
      <c r="AD1217" s="19">
        <v>0</v>
      </c>
      <c r="AE1217" s="28"/>
      <c r="AF1217" s="28"/>
      <c r="AG1217" s="28"/>
      <c r="AH1217" s="28"/>
      <c r="AI1217" s="28"/>
      <c r="AJ1217" s="28">
        <f>3+28+8</f>
        <v>39</v>
      </c>
      <c r="AK1217" s="28"/>
      <c r="AL1217" s="28"/>
      <c r="AM1217" s="28"/>
      <c r="AN1217" s="28"/>
      <c r="AO1217" s="28"/>
      <c r="AP1217" s="28">
        <v>4</v>
      </c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>
        <v>9</v>
      </c>
      <c r="BC1217" s="229">
        <f t="shared" si="492"/>
        <v>0</v>
      </c>
      <c r="BD1217" s="48">
        <f t="shared" si="488"/>
        <v>52</v>
      </c>
      <c r="BE1217" s="19">
        <v>128</v>
      </c>
      <c r="BF1217" s="229">
        <f t="shared" si="493"/>
        <v>0</v>
      </c>
      <c r="BG1217" s="210">
        <f t="shared" si="489"/>
        <v>54</v>
      </c>
      <c r="BH1217" s="210">
        <f t="shared" si="490"/>
        <v>128</v>
      </c>
      <c r="BI1217" s="213">
        <f t="shared" si="494"/>
        <v>42.1875</v>
      </c>
      <c r="BJ1217" s="141"/>
      <c r="BK1217" s="201"/>
      <c r="BL1217" s="202"/>
      <c r="BM1217" s="202"/>
    </row>
    <row r="1218" spans="1:65" s="17" customFormat="1" ht="18" customHeight="1">
      <c r="A1218" s="114">
        <v>35</v>
      </c>
      <c r="B1218" s="24" t="s">
        <v>624</v>
      </c>
      <c r="C1218" s="25" t="s">
        <v>625</v>
      </c>
      <c r="D1218" s="121"/>
      <c r="E1218" s="121"/>
      <c r="F1218" s="121"/>
      <c r="G1218" s="121"/>
      <c r="H1218" s="121"/>
      <c r="I1218" s="121">
        <v>1</v>
      </c>
      <c r="J1218" s="121"/>
      <c r="K1218" s="121"/>
      <c r="L1218" s="121"/>
      <c r="M1218" s="121"/>
      <c r="N1218" s="121"/>
      <c r="O1218" s="121">
        <v>2</v>
      </c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229">
        <f t="shared" si="491"/>
        <v>0</v>
      </c>
      <c r="AC1218" s="228">
        <f t="shared" si="487"/>
        <v>3</v>
      </c>
      <c r="AD1218" s="19">
        <v>6</v>
      </c>
      <c r="AE1218" s="28"/>
      <c r="AF1218" s="28"/>
      <c r="AG1218" s="28"/>
      <c r="AH1218" s="28"/>
      <c r="AI1218" s="28"/>
      <c r="AJ1218" s="28">
        <f>1+9</f>
        <v>10</v>
      </c>
      <c r="AK1218" s="28"/>
      <c r="AL1218" s="28"/>
      <c r="AM1218" s="28"/>
      <c r="AN1218" s="28"/>
      <c r="AO1218" s="28"/>
      <c r="AP1218" s="28">
        <v>4</v>
      </c>
      <c r="AQ1218" s="28"/>
      <c r="AR1218" s="28"/>
      <c r="AS1218" s="28"/>
      <c r="AT1218" s="28"/>
      <c r="AU1218" s="28"/>
      <c r="AV1218" s="28">
        <v>4</v>
      </c>
      <c r="AW1218" s="28"/>
      <c r="AX1218" s="28"/>
      <c r="AY1218" s="28"/>
      <c r="AZ1218" s="28"/>
      <c r="BA1218" s="28"/>
      <c r="BB1218" s="28">
        <v>11</v>
      </c>
      <c r="BC1218" s="229">
        <f t="shared" si="492"/>
        <v>0</v>
      </c>
      <c r="BD1218" s="48">
        <f t="shared" si="488"/>
        <v>29</v>
      </c>
      <c r="BE1218" s="19">
        <v>79</v>
      </c>
      <c r="BF1218" s="229">
        <f t="shared" si="493"/>
        <v>0</v>
      </c>
      <c r="BG1218" s="210">
        <f t="shared" si="489"/>
        <v>32</v>
      </c>
      <c r="BH1218" s="210">
        <f t="shared" si="490"/>
        <v>85</v>
      </c>
      <c r="BI1218" s="213">
        <f t="shared" si="494"/>
        <v>37.647058823529413</v>
      </c>
      <c r="BJ1218" s="141"/>
      <c r="BK1218" s="201"/>
      <c r="BL1218" s="202"/>
      <c r="BM1218" s="202"/>
    </row>
    <row r="1219" spans="1:65" s="17" customFormat="1" ht="18" customHeight="1">
      <c r="A1219" s="114">
        <v>36</v>
      </c>
      <c r="B1219" s="24" t="s">
        <v>510</v>
      </c>
      <c r="C1219" s="25" t="s">
        <v>2838</v>
      </c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229">
        <f t="shared" si="491"/>
        <v>0</v>
      </c>
      <c r="AC1219" s="228">
        <f t="shared" si="487"/>
        <v>0</v>
      </c>
      <c r="AD1219" s="19">
        <v>0</v>
      </c>
      <c r="AE1219" s="28"/>
      <c r="AF1219" s="28"/>
      <c r="AG1219" s="28"/>
      <c r="AH1219" s="28"/>
      <c r="AI1219" s="28"/>
      <c r="AJ1219" s="28">
        <v>5</v>
      </c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29">
        <f t="shared" si="492"/>
        <v>0</v>
      </c>
      <c r="BD1219" s="48">
        <f t="shared" si="488"/>
        <v>5</v>
      </c>
      <c r="BE1219" s="19">
        <v>0</v>
      </c>
      <c r="BF1219" s="229">
        <f t="shared" si="493"/>
        <v>0</v>
      </c>
      <c r="BG1219" s="210">
        <f t="shared" si="489"/>
        <v>5</v>
      </c>
      <c r="BH1219" s="210">
        <f t="shared" si="490"/>
        <v>0</v>
      </c>
      <c r="BI1219" s="213" t="e">
        <f t="shared" si="494"/>
        <v>#DIV/0!</v>
      </c>
      <c r="BJ1219" s="141"/>
      <c r="BK1219" s="201"/>
      <c r="BL1219" s="202"/>
      <c r="BM1219" s="202"/>
    </row>
    <row r="1220" spans="1:65" s="17" customFormat="1" ht="18" customHeight="1">
      <c r="A1220" s="114">
        <v>37</v>
      </c>
      <c r="B1220" s="24" t="s">
        <v>690</v>
      </c>
      <c r="C1220" s="25" t="s">
        <v>691</v>
      </c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229">
        <f t="shared" si="491"/>
        <v>0</v>
      </c>
      <c r="AC1220" s="228">
        <f t="shared" si="487"/>
        <v>0</v>
      </c>
      <c r="AD1220" s="19">
        <v>0</v>
      </c>
      <c r="AE1220" s="28"/>
      <c r="AF1220" s="28"/>
      <c r="AG1220" s="28"/>
      <c r="AH1220" s="28"/>
      <c r="AI1220" s="28"/>
      <c r="AJ1220" s="28">
        <v>5</v>
      </c>
      <c r="AK1220" s="28"/>
      <c r="AL1220" s="28"/>
      <c r="AM1220" s="28"/>
      <c r="AN1220" s="28"/>
      <c r="AO1220" s="28"/>
      <c r="AP1220" s="28">
        <v>1</v>
      </c>
      <c r="AQ1220" s="28"/>
      <c r="AR1220" s="28"/>
      <c r="AS1220" s="28"/>
      <c r="AT1220" s="28"/>
      <c r="AU1220" s="28"/>
      <c r="AV1220" s="28">
        <v>1</v>
      </c>
      <c r="AW1220" s="28"/>
      <c r="AX1220" s="28"/>
      <c r="AY1220" s="28"/>
      <c r="AZ1220" s="28"/>
      <c r="BA1220" s="28"/>
      <c r="BB1220" s="28">
        <v>3</v>
      </c>
      <c r="BC1220" s="229">
        <f t="shared" si="492"/>
        <v>0</v>
      </c>
      <c r="BD1220" s="48">
        <f t="shared" si="488"/>
        <v>10</v>
      </c>
      <c r="BE1220" s="19">
        <v>31</v>
      </c>
      <c r="BF1220" s="229">
        <f t="shared" si="493"/>
        <v>0</v>
      </c>
      <c r="BG1220" s="210">
        <f t="shared" si="489"/>
        <v>10</v>
      </c>
      <c r="BH1220" s="210">
        <f t="shared" si="490"/>
        <v>31</v>
      </c>
      <c r="BI1220" s="213">
        <f t="shared" si="494"/>
        <v>32.258064516129032</v>
      </c>
      <c r="BJ1220" s="141"/>
      <c r="BK1220" s="201"/>
      <c r="BL1220" s="202"/>
      <c r="BM1220" s="202"/>
    </row>
    <row r="1221" spans="1:65" s="17" customFormat="1" ht="18" customHeight="1">
      <c r="A1221" s="114">
        <v>38</v>
      </c>
      <c r="B1221" s="24" t="s">
        <v>692</v>
      </c>
      <c r="C1221" s="25" t="s">
        <v>693</v>
      </c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229">
        <f t="shared" si="491"/>
        <v>0</v>
      </c>
      <c r="AC1221" s="228">
        <f t="shared" si="487"/>
        <v>0</v>
      </c>
      <c r="AD1221" s="19">
        <v>0</v>
      </c>
      <c r="AE1221" s="28"/>
      <c r="AF1221" s="28"/>
      <c r="AG1221" s="28"/>
      <c r="AH1221" s="28"/>
      <c r="AI1221" s="28"/>
      <c r="AJ1221" s="28">
        <v>5</v>
      </c>
      <c r="AK1221" s="28"/>
      <c r="AL1221" s="28"/>
      <c r="AM1221" s="28"/>
      <c r="AN1221" s="28"/>
      <c r="AO1221" s="28"/>
      <c r="AP1221" s="28">
        <v>1</v>
      </c>
      <c r="AQ1221" s="28"/>
      <c r="AR1221" s="28"/>
      <c r="AS1221" s="28"/>
      <c r="AT1221" s="28"/>
      <c r="AU1221" s="28"/>
      <c r="AV1221" s="28">
        <v>1</v>
      </c>
      <c r="AW1221" s="28"/>
      <c r="AX1221" s="28"/>
      <c r="AY1221" s="28"/>
      <c r="AZ1221" s="28"/>
      <c r="BA1221" s="28"/>
      <c r="BB1221" s="28">
        <v>3</v>
      </c>
      <c r="BC1221" s="229">
        <f t="shared" si="492"/>
        <v>0</v>
      </c>
      <c r="BD1221" s="48">
        <f t="shared" si="488"/>
        <v>10</v>
      </c>
      <c r="BE1221" s="19">
        <v>86</v>
      </c>
      <c r="BF1221" s="229">
        <f t="shared" si="493"/>
        <v>0</v>
      </c>
      <c r="BG1221" s="210">
        <f t="shared" si="489"/>
        <v>10</v>
      </c>
      <c r="BH1221" s="210">
        <f t="shared" si="490"/>
        <v>86</v>
      </c>
      <c r="BI1221" s="213">
        <f t="shared" si="494"/>
        <v>11.627906976744185</v>
      </c>
      <c r="BJ1221" s="141"/>
      <c r="BK1221" s="201"/>
      <c r="BL1221" s="202"/>
      <c r="BM1221" s="202"/>
    </row>
    <row r="1222" spans="1:65" s="17" customFormat="1" ht="17.25" customHeight="1">
      <c r="A1222" s="114">
        <v>39</v>
      </c>
      <c r="B1222" s="24" t="s">
        <v>626</v>
      </c>
      <c r="C1222" s="25" t="s">
        <v>627</v>
      </c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229">
        <f t="shared" si="491"/>
        <v>0</v>
      </c>
      <c r="AC1222" s="228">
        <f t="shared" si="487"/>
        <v>0</v>
      </c>
      <c r="AD1222" s="19">
        <v>0</v>
      </c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29">
        <f t="shared" si="492"/>
        <v>0</v>
      </c>
      <c r="BD1222" s="48">
        <f t="shared" si="488"/>
        <v>0</v>
      </c>
      <c r="BE1222" s="19">
        <v>1</v>
      </c>
      <c r="BF1222" s="229">
        <f t="shared" si="493"/>
        <v>0</v>
      </c>
      <c r="BG1222" s="210">
        <f t="shared" si="489"/>
        <v>0</v>
      </c>
      <c r="BH1222" s="210">
        <f t="shared" si="490"/>
        <v>1</v>
      </c>
      <c r="BI1222" s="213">
        <f t="shared" si="494"/>
        <v>0</v>
      </c>
      <c r="BJ1222" s="141"/>
      <c r="BK1222" s="201"/>
      <c r="BL1222" s="202"/>
      <c r="BM1222" s="202"/>
    </row>
    <row r="1223" spans="1:65" s="17" customFormat="1" ht="18" customHeight="1">
      <c r="A1223" s="114">
        <v>40</v>
      </c>
      <c r="B1223" s="24" t="s">
        <v>695</v>
      </c>
      <c r="C1223" s="25" t="s">
        <v>1856</v>
      </c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229">
        <f t="shared" si="491"/>
        <v>0</v>
      </c>
      <c r="AC1223" s="228">
        <f t="shared" si="487"/>
        <v>0</v>
      </c>
      <c r="AD1223" s="19">
        <v>0</v>
      </c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29">
        <f t="shared" si="492"/>
        <v>0</v>
      </c>
      <c r="BD1223" s="48">
        <f t="shared" si="488"/>
        <v>0</v>
      </c>
      <c r="BE1223" s="19">
        <v>1</v>
      </c>
      <c r="BF1223" s="229">
        <f t="shared" si="493"/>
        <v>0</v>
      </c>
      <c r="BG1223" s="210">
        <f t="shared" si="489"/>
        <v>0</v>
      </c>
      <c r="BH1223" s="210">
        <f t="shared" si="490"/>
        <v>1</v>
      </c>
      <c r="BI1223" s="213">
        <f t="shared" si="494"/>
        <v>0</v>
      </c>
      <c r="BJ1223" s="141"/>
      <c r="BK1223" s="201"/>
      <c r="BL1223" s="202"/>
      <c r="BM1223" s="202"/>
    </row>
    <row r="1224" spans="1:65" s="17" customFormat="1" ht="18" customHeight="1">
      <c r="A1224" s="114">
        <v>41</v>
      </c>
      <c r="B1224" s="24" t="s">
        <v>628</v>
      </c>
      <c r="C1224" s="25" t="s">
        <v>629</v>
      </c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229">
        <f t="shared" si="491"/>
        <v>0</v>
      </c>
      <c r="AC1224" s="228">
        <f t="shared" si="487"/>
        <v>0</v>
      </c>
      <c r="AD1224" s="19">
        <v>7</v>
      </c>
      <c r="AE1224" s="28"/>
      <c r="AF1224" s="28"/>
      <c r="AG1224" s="28"/>
      <c r="AH1224" s="28"/>
      <c r="AI1224" s="28"/>
      <c r="AJ1224" s="28">
        <f>993+1+151</f>
        <v>1145</v>
      </c>
      <c r="AK1224" s="28"/>
      <c r="AL1224" s="28"/>
      <c r="AM1224" s="28"/>
      <c r="AN1224" s="28"/>
      <c r="AO1224" s="28"/>
      <c r="AP1224" s="28">
        <f>739+83</f>
        <v>822</v>
      </c>
      <c r="AQ1224" s="28"/>
      <c r="AR1224" s="28"/>
      <c r="AS1224" s="28"/>
      <c r="AT1224" s="28"/>
      <c r="AU1224" s="28"/>
      <c r="AV1224" s="28">
        <f>720+1</f>
        <v>721</v>
      </c>
      <c r="AW1224" s="28"/>
      <c r="AX1224" s="28"/>
      <c r="AY1224" s="28"/>
      <c r="AZ1224" s="28"/>
      <c r="BA1224" s="28"/>
      <c r="BB1224" s="28">
        <v>972</v>
      </c>
      <c r="BC1224" s="229">
        <f t="shared" si="492"/>
        <v>0</v>
      </c>
      <c r="BD1224" s="48">
        <f t="shared" si="488"/>
        <v>3660</v>
      </c>
      <c r="BE1224" s="19">
        <v>2282</v>
      </c>
      <c r="BF1224" s="229">
        <f t="shared" si="493"/>
        <v>0</v>
      </c>
      <c r="BG1224" s="210">
        <f t="shared" si="489"/>
        <v>3660</v>
      </c>
      <c r="BH1224" s="210">
        <f t="shared" si="490"/>
        <v>2289</v>
      </c>
      <c r="BI1224" s="213">
        <f t="shared" si="494"/>
        <v>159.89515072083879</v>
      </c>
      <c r="BJ1224" s="141"/>
      <c r="BK1224" s="201"/>
      <c r="BL1224" s="202"/>
      <c r="BM1224" s="202"/>
    </row>
    <row r="1225" spans="1:65" s="17" customFormat="1" ht="18" customHeight="1">
      <c r="A1225" s="114">
        <v>42</v>
      </c>
      <c r="B1225" s="24" t="s">
        <v>630</v>
      </c>
      <c r="C1225" s="25" t="s">
        <v>631</v>
      </c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229">
        <f t="shared" si="491"/>
        <v>0</v>
      </c>
      <c r="AC1225" s="228">
        <f t="shared" si="487"/>
        <v>0</v>
      </c>
      <c r="AD1225" s="19">
        <v>0</v>
      </c>
      <c r="AE1225" s="28"/>
      <c r="AF1225" s="28"/>
      <c r="AG1225" s="28"/>
      <c r="AH1225" s="28"/>
      <c r="AI1225" s="28"/>
      <c r="AJ1225" s="28">
        <f>7+32+10</f>
        <v>49</v>
      </c>
      <c r="AK1225" s="28"/>
      <c r="AL1225" s="28"/>
      <c r="AM1225" s="28"/>
      <c r="AN1225" s="28"/>
      <c r="AO1225" s="28"/>
      <c r="AP1225" s="28">
        <f>4+27</f>
        <v>31</v>
      </c>
      <c r="AQ1225" s="28"/>
      <c r="AR1225" s="28"/>
      <c r="AS1225" s="28"/>
      <c r="AT1225" s="28"/>
      <c r="AU1225" s="28"/>
      <c r="AV1225" s="28">
        <f>11+22</f>
        <v>33</v>
      </c>
      <c r="AW1225" s="28"/>
      <c r="AX1225" s="28"/>
      <c r="AY1225" s="28"/>
      <c r="AZ1225" s="28"/>
      <c r="BA1225" s="28"/>
      <c r="BB1225" s="28">
        <f>12+35</f>
        <v>47</v>
      </c>
      <c r="BC1225" s="229">
        <f t="shared" si="492"/>
        <v>0</v>
      </c>
      <c r="BD1225" s="48">
        <f t="shared" si="488"/>
        <v>160</v>
      </c>
      <c r="BE1225" s="19">
        <v>128</v>
      </c>
      <c r="BF1225" s="229">
        <f t="shared" si="493"/>
        <v>0</v>
      </c>
      <c r="BG1225" s="210">
        <f t="shared" si="489"/>
        <v>160</v>
      </c>
      <c r="BH1225" s="210">
        <f t="shared" si="490"/>
        <v>128</v>
      </c>
      <c r="BI1225" s="213">
        <f t="shared" si="494"/>
        <v>125</v>
      </c>
      <c r="BJ1225" s="141"/>
      <c r="BK1225" s="201"/>
      <c r="BL1225" s="202"/>
      <c r="BM1225" s="202"/>
    </row>
    <row r="1226" spans="1:65" s="17" customFormat="1" ht="18" customHeight="1">
      <c r="A1226" s="114">
        <v>43</v>
      </c>
      <c r="B1226" s="24" t="s">
        <v>770</v>
      </c>
      <c r="C1226" s="25" t="s">
        <v>771</v>
      </c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229">
        <f t="shared" si="491"/>
        <v>0</v>
      </c>
      <c r="AC1226" s="228">
        <f t="shared" si="487"/>
        <v>0</v>
      </c>
      <c r="AD1226" s="19">
        <v>0</v>
      </c>
      <c r="AE1226" s="28"/>
      <c r="AF1226" s="28"/>
      <c r="AG1226" s="28"/>
      <c r="AH1226" s="28"/>
      <c r="AI1226" s="28"/>
      <c r="AJ1226" s="28">
        <v>124</v>
      </c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29">
        <f t="shared" si="492"/>
        <v>0</v>
      </c>
      <c r="BD1226" s="48">
        <f t="shared" si="488"/>
        <v>124</v>
      </c>
      <c r="BE1226" s="19">
        <v>1</v>
      </c>
      <c r="BF1226" s="229">
        <f t="shared" si="493"/>
        <v>0</v>
      </c>
      <c r="BG1226" s="210">
        <f t="shared" si="489"/>
        <v>124</v>
      </c>
      <c r="BH1226" s="210">
        <f t="shared" si="490"/>
        <v>1</v>
      </c>
      <c r="BI1226" s="304">
        <f t="shared" si="494"/>
        <v>12400</v>
      </c>
      <c r="BJ1226" s="141"/>
      <c r="BK1226" s="201"/>
      <c r="BL1226" s="202"/>
      <c r="BM1226" s="202"/>
    </row>
    <row r="1227" spans="1:65" s="17" customFormat="1" ht="18" customHeight="1">
      <c r="A1227" s="114">
        <v>44</v>
      </c>
      <c r="B1227" s="24" t="s">
        <v>1181</v>
      </c>
      <c r="C1227" s="25" t="s">
        <v>1417</v>
      </c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229">
        <f t="shared" si="491"/>
        <v>0</v>
      </c>
      <c r="AC1227" s="228">
        <f t="shared" si="487"/>
        <v>0</v>
      </c>
      <c r="AD1227" s="19">
        <v>0</v>
      </c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29">
        <f t="shared" si="492"/>
        <v>0</v>
      </c>
      <c r="BD1227" s="48">
        <f t="shared" si="488"/>
        <v>0</v>
      </c>
      <c r="BE1227" s="19">
        <v>1</v>
      </c>
      <c r="BF1227" s="229">
        <f t="shared" si="493"/>
        <v>0</v>
      </c>
      <c r="BG1227" s="210">
        <f t="shared" si="489"/>
        <v>0</v>
      </c>
      <c r="BH1227" s="210">
        <f t="shared" si="490"/>
        <v>1</v>
      </c>
      <c r="BI1227" s="213">
        <f t="shared" si="494"/>
        <v>0</v>
      </c>
      <c r="BJ1227" s="141"/>
      <c r="BK1227" s="201"/>
      <c r="BL1227" s="202"/>
      <c r="BM1227" s="202"/>
    </row>
    <row r="1228" spans="1:65" s="17" customFormat="1" ht="18" customHeight="1">
      <c r="A1228" s="114">
        <v>45</v>
      </c>
      <c r="B1228" s="24" t="s">
        <v>632</v>
      </c>
      <c r="C1228" s="25" t="s">
        <v>633</v>
      </c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229">
        <f t="shared" si="491"/>
        <v>0</v>
      </c>
      <c r="AC1228" s="228">
        <f t="shared" si="487"/>
        <v>0</v>
      </c>
      <c r="AD1228" s="19">
        <v>0</v>
      </c>
      <c r="AE1228" s="28"/>
      <c r="AF1228" s="28"/>
      <c r="AG1228" s="28"/>
      <c r="AH1228" s="28"/>
      <c r="AI1228" s="28"/>
      <c r="AJ1228" s="28">
        <f>2451+265+228</f>
        <v>2944</v>
      </c>
      <c r="AK1228" s="28"/>
      <c r="AL1228" s="28"/>
      <c r="AM1228" s="28"/>
      <c r="AN1228" s="28"/>
      <c r="AO1228" s="28"/>
      <c r="AP1228" s="28">
        <f>1383+199+63</f>
        <v>1645</v>
      </c>
      <c r="AQ1228" s="28"/>
      <c r="AR1228" s="28"/>
      <c r="AS1228" s="28"/>
      <c r="AT1228" s="28"/>
      <c r="AU1228" s="28"/>
      <c r="AV1228" s="28">
        <f>1345+111</f>
        <v>1456</v>
      </c>
      <c r="AW1228" s="28"/>
      <c r="AX1228" s="28"/>
      <c r="AY1228" s="28"/>
      <c r="AZ1228" s="28"/>
      <c r="BA1228" s="28"/>
      <c r="BB1228" s="28">
        <f>2053+211</f>
        <v>2264</v>
      </c>
      <c r="BC1228" s="229">
        <f t="shared" si="492"/>
        <v>0</v>
      </c>
      <c r="BD1228" s="48">
        <f t="shared" si="488"/>
        <v>8309</v>
      </c>
      <c r="BE1228" s="19">
        <v>4797</v>
      </c>
      <c r="BF1228" s="229">
        <f t="shared" si="493"/>
        <v>0</v>
      </c>
      <c r="BG1228" s="210">
        <f t="shared" si="489"/>
        <v>8309</v>
      </c>
      <c r="BH1228" s="210">
        <f t="shared" si="490"/>
        <v>4797</v>
      </c>
      <c r="BI1228" s="213">
        <f t="shared" si="494"/>
        <v>173.21242443193663</v>
      </c>
      <c r="BJ1228" s="141"/>
      <c r="BK1228" s="201"/>
      <c r="BL1228" s="202"/>
      <c r="BM1228" s="202"/>
    </row>
    <row r="1229" spans="1:65" s="17" customFormat="1" ht="18" customHeight="1">
      <c r="A1229" s="114">
        <v>46</v>
      </c>
      <c r="B1229" s="24" t="s">
        <v>634</v>
      </c>
      <c r="C1229" s="25" t="s">
        <v>696</v>
      </c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229">
        <f t="shared" si="491"/>
        <v>0</v>
      </c>
      <c r="AC1229" s="228">
        <f t="shared" si="487"/>
        <v>0</v>
      </c>
      <c r="AD1229" s="19">
        <v>0</v>
      </c>
      <c r="AE1229" s="28"/>
      <c r="AF1229" s="28"/>
      <c r="AG1229" s="28"/>
      <c r="AH1229" s="28"/>
      <c r="AI1229" s="28"/>
      <c r="AJ1229" s="28">
        <f>166+381+52</f>
        <v>599</v>
      </c>
      <c r="AK1229" s="28"/>
      <c r="AL1229" s="28"/>
      <c r="AM1229" s="28"/>
      <c r="AN1229" s="28"/>
      <c r="AO1229" s="28"/>
      <c r="AP1229" s="28">
        <f>121+279+17</f>
        <v>417</v>
      </c>
      <c r="AQ1229" s="28"/>
      <c r="AR1229" s="28"/>
      <c r="AS1229" s="28"/>
      <c r="AT1229" s="28"/>
      <c r="AU1229" s="28"/>
      <c r="AV1229" s="28">
        <f>88+154</f>
        <v>242</v>
      </c>
      <c r="AW1229" s="28"/>
      <c r="AX1229" s="28"/>
      <c r="AY1229" s="28"/>
      <c r="AZ1229" s="28"/>
      <c r="BA1229" s="28"/>
      <c r="BB1229" s="28">
        <f>143+259</f>
        <v>402</v>
      </c>
      <c r="BC1229" s="229">
        <f t="shared" si="492"/>
        <v>0</v>
      </c>
      <c r="BD1229" s="48">
        <f t="shared" si="488"/>
        <v>1660</v>
      </c>
      <c r="BE1229" s="19">
        <v>1895</v>
      </c>
      <c r="BF1229" s="229">
        <f t="shared" si="493"/>
        <v>0</v>
      </c>
      <c r="BG1229" s="210">
        <f t="shared" si="489"/>
        <v>1660</v>
      </c>
      <c r="BH1229" s="210">
        <f t="shared" si="490"/>
        <v>1895</v>
      </c>
      <c r="BI1229" s="213">
        <f t="shared" si="494"/>
        <v>87.598944591029024</v>
      </c>
      <c r="BJ1229" s="141"/>
      <c r="BK1229" s="201"/>
      <c r="BL1229" s="202"/>
      <c r="BM1229" s="202"/>
    </row>
    <row r="1230" spans="1:65" s="17" customFormat="1" ht="18" customHeight="1">
      <c r="A1230" s="114">
        <v>47</v>
      </c>
      <c r="B1230" s="24" t="s">
        <v>772</v>
      </c>
      <c r="C1230" s="25" t="s">
        <v>2449</v>
      </c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229">
        <f t="shared" si="491"/>
        <v>0</v>
      </c>
      <c r="AC1230" s="228">
        <f t="shared" si="487"/>
        <v>0</v>
      </c>
      <c r="AD1230" s="19">
        <v>0</v>
      </c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29">
        <f t="shared" si="492"/>
        <v>0</v>
      </c>
      <c r="BD1230" s="48">
        <f t="shared" si="488"/>
        <v>0</v>
      </c>
      <c r="BE1230" s="19">
        <v>1</v>
      </c>
      <c r="BF1230" s="229">
        <f t="shared" si="493"/>
        <v>0</v>
      </c>
      <c r="BG1230" s="210">
        <f t="shared" si="489"/>
        <v>0</v>
      </c>
      <c r="BH1230" s="210">
        <f t="shared" si="490"/>
        <v>1</v>
      </c>
      <c r="BI1230" s="213">
        <f t="shared" si="494"/>
        <v>0</v>
      </c>
      <c r="BJ1230" s="141"/>
      <c r="BK1230" s="201"/>
      <c r="BL1230" s="202"/>
      <c r="BM1230" s="202"/>
    </row>
    <row r="1231" spans="1:65" s="17" customFormat="1" ht="18" customHeight="1">
      <c r="A1231" s="114">
        <v>48</v>
      </c>
      <c r="B1231" s="24" t="s">
        <v>636</v>
      </c>
      <c r="C1231" s="25" t="s">
        <v>637</v>
      </c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229">
        <f t="shared" si="491"/>
        <v>0</v>
      </c>
      <c r="AC1231" s="228">
        <f t="shared" si="487"/>
        <v>0</v>
      </c>
      <c r="AD1231" s="19">
        <v>0</v>
      </c>
      <c r="AE1231" s="28"/>
      <c r="AF1231" s="28"/>
      <c r="AG1231" s="28"/>
      <c r="AH1231" s="28"/>
      <c r="AI1231" s="28"/>
      <c r="AJ1231" s="28">
        <f>2+29+4</f>
        <v>35</v>
      </c>
      <c r="AK1231" s="28"/>
      <c r="AL1231" s="28"/>
      <c r="AM1231" s="28"/>
      <c r="AN1231" s="28"/>
      <c r="AO1231" s="28"/>
      <c r="AP1231" s="28">
        <f>1+24</f>
        <v>25</v>
      </c>
      <c r="AQ1231" s="28"/>
      <c r="AR1231" s="28"/>
      <c r="AS1231" s="28"/>
      <c r="AT1231" s="28"/>
      <c r="AU1231" s="28"/>
      <c r="AV1231" s="28">
        <f>2+16</f>
        <v>18</v>
      </c>
      <c r="AW1231" s="28"/>
      <c r="AX1231" s="28"/>
      <c r="AY1231" s="28"/>
      <c r="AZ1231" s="28"/>
      <c r="BA1231" s="28"/>
      <c r="BB1231" s="28">
        <f>1+24</f>
        <v>25</v>
      </c>
      <c r="BC1231" s="229">
        <f t="shared" si="492"/>
        <v>0</v>
      </c>
      <c r="BD1231" s="48">
        <f t="shared" si="488"/>
        <v>103</v>
      </c>
      <c r="BE1231" s="19">
        <v>95</v>
      </c>
      <c r="BF1231" s="229">
        <f t="shared" si="493"/>
        <v>0</v>
      </c>
      <c r="BG1231" s="210">
        <f t="shared" si="489"/>
        <v>103</v>
      </c>
      <c r="BH1231" s="210">
        <f t="shared" si="490"/>
        <v>95</v>
      </c>
      <c r="BI1231" s="213">
        <f t="shared" si="494"/>
        <v>108.42105263157895</v>
      </c>
      <c r="BJ1231" s="141"/>
      <c r="BK1231" s="201"/>
      <c r="BL1231" s="202"/>
      <c r="BM1231" s="202"/>
    </row>
    <row r="1232" spans="1:65" s="17" customFormat="1" ht="18" customHeight="1">
      <c r="A1232" s="114">
        <v>49</v>
      </c>
      <c r="B1232" s="24" t="s">
        <v>638</v>
      </c>
      <c r="C1232" s="25" t="s">
        <v>639</v>
      </c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229">
        <f t="shared" si="491"/>
        <v>0</v>
      </c>
      <c r="AC1232" s="228">
        <f t="shared" si="487"/>
        <v>0</v>
      </c>
      <c r="AD1232" s="19">
        <v>0</v>
      </c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29">
        <f t="shared" si="492"/>
        <v>0</v>
      </c>
      <c r="BD1232" s="48">
        <f t="shared" si="488"/>
        <v>0</v>
      </c>
      <c r="BE1232" s="19">
        <v>2</v>
      </c>
      <c r="BF1232" s="229">
        <f t="shared" si="493"/>
        <v>0</v>
      </c>
      <c r="BG1232" s="210">
        <f t="shared" si="489"/>
        <v>0</v>
      </c>
      <c r="BH1232" s="210">
        <f t="shared" si="490"/>
        <v>2</v>
      </c>
      <c r="BI1232" s="213">
        <f t="shared" si="494"/>
        <v>0</v>
      </c>
      <c r="BJ1232" s="141"/>
      <c r="BK1232" s="201"/>
      <c r="BL1232" s="202"/>
      <c r="BM1232" s="202"/>
    </row>
    <row r="1233" spans="1:65" s="17" customFormat="1" ht="18" customHeight="1">
      <c r="A1233" s="114">
        <v>50</v>
      </c>
      <c r="B1233" s="24" t="s">
        <v>643</v>
      </c>
      <c r="C1233" s="25" t="s">
        <v>722</v>
      </c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229">
        <f t="shared" si="491"/>
        <v>0</v>
      </c>
      <c r="AC1233" s="228">
        <f t="shared" si="487"/>
        <v>0</v>
      </c>
      <c r="AD1233" s="19">
        <v>0</v>
      </c>
      <c r="AE1233" s="28"/>
      <c r="AF1233" s="28"/>
      <c r="AG1233" s="28"/>
      <c r="AH1233" s="28"/>
      <c r="AI1233" s="28"/>
      <c r="AJ1233" s="28">
        <f>3+176+6</f>
        <v>185</v>
      </c>
      <c r="AK1233" s="28"/>
      <c r="AL1233" s="28"/>
      <c r="AM1233" s="28"/>
      <c r="AN1233" s="28"/>
      <c r="AO1233" s="28"/>
      <c r="AP1233" s="28">
        <f>92+23</f>
        <v>115</v>
      </c>
      <c r="AQ1233" s="28"/>
      <c r="AR1233" s="28"/>
      <c r="AS1233" s="28"/>
      <c r="AT1233" s="28"/>
      <c r="AU1233" s="28"/>
      <c r="AV1233" s="28">
        <v>55</v>
      </c>
      <c r="AW1233" s="28"/>
      <c r="AX1233" s="28"/>
      <c r="AY1233" s="28"/>
      <c r="AZ1233" s="28"/>
      <c r="BA1233" s="28"/>
      <c r="BB1233" s="28">
        <v>160</v>
      </c>
      <c r="BC1233" s="229">
        <f t="shared" si="492"/>
        <v>0</v>
      </c>
      <c r="BD1233" s="48">
        <f t="shared" si="488"/>
        <v>515</v>
      </c>
      <c r="BE1233" s="19">
        <v>588</v>
      </c>
      <c r="BF1233" s="229">
        <f t="shared" si="493"/>
        <v>0</v>
      </c>
      <c r="BG1233" s="210">
        <f t="shared" si="489"/>
        <v>515</v>
      </c>
      <c r="BH1233" s="210">
        <f t="shared" si="490"/>
        <v>588</v>
      </c>
      <c r="BI1233" s="213">
        <f t="shared" si="494"/>
        <v>87.585034013605451</v>
      </c>
      <c r="BJ1233" s="141"/>
      <c r="BK1233" s="201"/>
      <c r="BL1233" s="202"/>
      <c r="BM1233" s="202"/>
    </row>
    <row r="1234" spans="1:65" s="17" customFormat="1" ht="18" customHeight="1">
      <c r="A1234" s="114">
        <v>51</v>
      </c>
      <c r="B1234" s="24" t="s">
        <v>773</v>
      </c>
      <c r="C1234" s="25" t="s">
        <v>1159</v>
      </c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229">
        <f t="shared" si="491"/>
        <v>0</v>
      </c>
      <c r="AC1234" s="228">
        <f t="shared" ref="AC1234:AC1265" si="495">E1234+G1234+I1234+K1234+M1234+O1234+Q1234+S1234+U1234+W1234+Y1234+AA1234</f>
        <v>0</v>
      </c>
      <c r="AD1234" s="19">
        <v>0</v>
      </c>
      <c r="AE1234" s="28"/>
      <c r="AF1234" s="28"/>
      <c r="AG1234" s="28"/>
      <c r="AH1234" s="28"/>
      <c r="AI1234" s="28"/>
      <c r="AJ1234" s="28">
        <v>1</v>
      </c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>
        <v>1</v>
      </c>
      <c r="AW1234" s="28"/>
      <c r="AX1234" s="28"/>
      <c r="AY1234" s="28"/>
      <c r="AZ1234" s="28"/>
      <c r="BA1234" s="28"/>
      <c r="BB1234" s="28">
        <v>1</v>
      </c>
      <c r="BC1234" s="229">
        <f t="shared" si="492"/>
        <v>0</v>
      </c>
      <c r="BD1234" s="48">
        <f t="shared" ref="BD1234:BD1265" si="496">AF1234+AH1234+AJ1234+AL1234+AN1234+AP1234+AR1234+AT1234+AV1234+AX1234+AZ1234+BB1234</f>
        <v>3</v>
      </c>
      <c r="BE1234" s="19">
        <v>7</v>
      </c>
      <c r="BF1234" s="229">
        <f t="shared" si="493"/>
        <v>0</v>
      </c>
      <c r="BG1234" s="210">
        <f t="shared" ref="BG1234:BG1265" si="497">AC1234+BD1234</f>
        <v>3</v>
      </c>
      <c r="BH1234" s="210">
        <f t="shared" ref="BH1234:BH1265" si="498">AD1234+BE1234</f>
        <v>7</v>
      </c>
      <c r="BI1234" s="213">
        <f t="shared" si="494"/>
        <v>42.857142857142854</v>
      </c>
      <c r="BJ1234" s="141"/>
      <c r="BK1234" s="201"/>
      <c r="BL1234" s="202"/>
      <c r="BM1234" s="202"/>
    </row>
    <row r="1235" spans="1:65" s="17" customFormat="1" ht="18" customHeight="1">
      <c r="A1235" s="114">
        <v>52</v>
      </c>
      <c r="B1235" s="24" t="s">
        <v>644</v>
      </c>
      <c r="C1235" s="25" t="s">
        <v>645</v>
      </c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229">
        <f t="shared" ref="AB1235:AB1266" si="499">D1235+F1235+H1235+J1235+L1235+N1235+P1235+R1235+T1235+V1235+X1235+Z1235</f>
        <v>0</v>
      </c>
      <c r="AC1235" s="228">
        <f t="shared" si="495"/>
        <v>0</v>
      </c>
      <c r="AD1235" s="19">
        <v>0</v>
      </c>
      <c r="AE1235" s="28"/>
      <c r="AF1235" s="28"/>
      <c r="AG1235" s="28"/>
      <c r="AH1235" s="28"/>
      <c r="AI1235" s="28"/>
      <c r="AJ1235" s="28">
        <f>127+23+15</f>
        <v>165</v>
      </c>
      <c r="AK1235" s="28"/>
      <c r="AL1235" s="28"/>
      <c r="AM1235" s="28"/>
      <c r="AN1235" s="28"/>
      <c r="AO1235" s="28"/>
      <c r="AP1235" s="28">
        <f>75+10+6</f>
        <v>91</v>
      </c>
      <c r="AQ1235" s="28"/>
      <c r="AR1235" s="28"/>
      <c r="AS1235" s="28"/>
      <c r="AT1235" s="28"/>
      <c r="AU1235" s="28"/>
      <c r="AV1235" s="28">
        <f>79+11</f>
        <v>90</v>
      </c>
      <c r="AW1235" s="28"/>
      <c r="AX1235" s="28"/>
      <c r="AY1235" s="28"/>
      <c r="AZ1235" s="28"/>
      <c r="BA1235" s="28"/>
      <c r="BB1235" s="28">
        <f>43+13</f>
        <v>56</v>
      </c>
      <c r="BC1235" s="229">
        <f t="shared" ref="BC1235:BC1266" si="500">AE1235+AG1235+AI1235+AK1235+AM1235+AO1235+AQ1235+AS1235+AU1235+AW1235+AY1235+BA1235</f>
        <v>0</v>
      </c>
      <c r="BD1235" s="48">
        <f t="shared" si="496"/>
        <v>402</v>
      </c>
      <c r="BE1235" s="19">
        <v>332</v>
      </c>
      <c r="BF1235" s="229">
        <f t="shared" ref="BF1235:BF1266" si="501">AB1235+BC1235</f>
        <v>0</v>
      </c>
      <c r="BG1235" s="210">
        <f t="shared" si="497"/>
        <v>402</v>
      </c>
      <c r="BH1235" s="210">
        <f t="shared" si="498"/>
        <v>332</v>
      </c>
      <c r="BI1235" s="213">
        <f t="shared" si="494"/>
        <v>121.08433734939759</v>
      </c>
      <c r="BJ1235" s="141"/>
      <c r="BK1235" s="201"/>
      <c r="BL1235" s="202"/>
      <c r="BM1235" s="202"/>
    </row>
    <row r="1236" spans="1:65" s="17" customFormat="1" ht="18" customHeight="1">
      <c r="A1236" s="114">
        <v>53</v>
      </c>
      <c r="B1236" s="24" t="s">
        <v>698</v>
      </c>
      <c r="C1236" s="25" t="s">
        <v>699</v>
      </c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229">
        <f t="shared" si="499"/>
        <v>0</v>
      </c>
      <c r="AC1236" s="228">
        <f t="shared" si="495"/>
        <v>0</v>
      </c>
      <c r="AD1236" s="19">
        <v>0</v>
      </c>
      <c r="AE1236" s="28"/>
      <c r="AF1236" s="28"/>
      <c r="AG1236" s="28"/>
      <c r="AH1236" s="28"/>
      <c r="AI1236" s="28"/>
      <c r="AJ1236" s="28">
        <f>1+4</f>
        <v>5</v>
      </c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>
        <v>1</v>
      </c>
      <c r="AW1236" s="28"/>
      <c r="AX1236" s="28"/>
      <c r="AY1236" s="28"/>
      <c r="AZ1236" s="28"/>
      <c r="BA1236" s="28"/>
      <c r="BB1236" s="28">
        <v>1</v>
      </c>
      <c r="BC1236" s="229">
        <f t="shared" si="500"/>
        <v>0</v>
      </c>
      <c r="BD1236" s="48">
        <f t="shared" si="496"/>
        <v>7</v>
      </c>
      <c r="BE1236" s="19">
        <v>6</v>
      </c>
      <c r="BF1236" s="229">
        <f t="shared" si="501"/>
        <v>0</v>
      </c>
      <c r="BG1236" s="210">
        <f t="shared" si="497"/>
        <v>7</v>
      </c>
      <c r="BH1236" s="210">
        <f t="shared" si="498"/>
        <v>6</v>
      </c>
      <c r="BI1236" s="213">
        <f t="shared" si="494"/>
        <v>116.66666666666667</v>
      </c>
      <c r="BJ1236" s="141"/>
      <c r="BK1236" s="201"/>
      <c r="BL1236" s="202"/>
      <c r="BM1236" s="202"/>
    </row>
    <row r="1237" spans="1:65" s="17" customFormat="1" ht="18" customHeight="1">
      <c r="A1237" s="114">
        <v>54</v>
      </c>
      <c r="B1237" s="24" t="s">
        <v>648</v>
      </c>
      <c r="C1237" s="25" t="s">
        <v>649</v>
      </c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229">
        <f t="shared" si="499"/>
        <v>0</v>
      </c>
      <c r="AC1237" s="228">
        <f t="shared" si="495"/>
        <v>0</v>
      </c>
      <c r="AD1237" s="19">
        <v>0</v>
      </c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29">
        <f t="shared" si="500"/>
        <v>0</v>
      </c>
      <c r="BD1237" s="48">
        <f t="shared" si="496"/>
        <v>0</v>
      </c>
      <c r="BE1237" s="19">
        <v>1</v>
      </c>
      <c r="BF1237" s="229">
        <f t="shared" si="501"/>
        <v>0</v>
      </c>
      <c r="BG1237" s="210">
        <f t="shared" si="497"/>
        <v>0</v>
      </c>
      <c r="BH1237" s="210">
        <f t="shared" si="498"/>
        <v>1</v>
      </c>
      <c r="BI1237" s="213">
        <f t="shared" si="494"/>
        <v>0</v>
      </c>
      <c r="BJ1237" s="141"/>
      <c r="BK1237" s="201"/>
      <c r="BL1237" s="202"/>
      <c r="BM1237" s="202"/>
    </row>
    <row r="1238" spans="1:65" s="17" customFormat="1" ht="18" customHeight="1">
      <c r="A1238" s="114">
        <v>55</v>
      </c>
      <c r="B1238" s="24" t="s">
        <v>700</v>
      </c>
      <c r="C1238" s="25" t="s">
        <v>845</v>
      </c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229">
        <f t="shared" si="499"/>
        <v>0</v>
      </c>
      <c r="AC1238" s="228">
        <f t="shared" si="495"/>
        <v>0</v>
      </c>
      <c r="AD1238" s="19">
        <v>0</v>
      </c>
      <c r="AE1238" s="28"/>
      <c r="AF1238" s="28"/>
      <c r="AG1238" s="28"/>
      <c r="AH1238" s="28"/>
      <c r="AI1238" s="28"/>
      <c r="AJ1238" s="28">
        <f>5+3</f>
        <v>8</v>
      </c>
      <c r="AK1238" s="28"/>
      <c r="AL1238" s="28"/>
      <c r="AM1238" s="28"/>
      <c r="AN1238" s="28"/>
      <c r="AO1238" s="28"/>
      <c r="AP1238" s="28">
        <v>2</v>
      </c>
      <c r="AQ1238" s="28"/>
      <c r="AR1238" s="28"/>
      <c r="AS1238" s="28"/>
      <c r="AT1238" s="28"/>
      <c r="AU1238" s="28"/>
      <c r="AV1238" s="28">
        <v>2</v>
      </c>
      <c r="AW1238" s="28"/>
      <c r="AX1238" s="28"/>
      <c r="AY1238" s="28"/>
      <c r="AZ1238" s="28"/>
      <c r="BA1238" s="28"/>
      <c r="BB1238" s="28"/>
      <c r="BC1238" s="229">
        <f t="shared" si="500"/>
        <v>0</v>
      </c>
      <c r="BD1238" s="48">
        <f t="shared" si="496"/>
        <v>12</v>
      </c>
      <c r="BE1238" s="19">
        <v>40</v>
      </c>
      <c r="BF1238" s="229">
        <f t="shared" si="501"/>
        <v>0</v>
      </c>
      <c r="BG1238" s="210">
        <f t="shared" si="497"/>
        <v>12</v>
      </c>
      <c r="BH1238" s="210">
        <f t="shared" si="498"/>
        <v>40</v>
      </c>
      <c r="BI1238" s="213">
        <f t="shared" si="494"/>
        <v>30</v>
      </c>
      <c r="BJ1238" s="141"/>
      <c r="BK1238" s="201"/>
      <c r="BL1238" s="202"/>
      <c r="BM1238" s="202"/>
    </row>
    <row r="1239" spans="1:65" s="17" customFormat="1" ht="18" customHeight="1">
      <c r="A1239" s="114">
        <v>56</v>
      </c>
      <c r="B1239" s="24" t="s">
        <v>884</v>
      </c>
      <c r="C1239" s="25" t="s">
        <v>885</v>
      </c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229">
        <f t="shared" si="499"/>
        <v>0</v>
      </c>
      <c r="AC1239" s="228">
        <f t="shared" si="495"/>
        <v>0</v>
      </c>
      <c r="AD1239" s="19">
        <v>0</v>
      </c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29">
        <f t="shared" si="500"/>
        <v>0</v>
      </c>
      <c r="BD1239" s="48">
        <f t="shared" si="496"/>
        <v>0</v>
      </c>
      <c r="BE1239" s="19">
        <v>6</v>
      </c>
      <c r="BF1239" s="229">
        <f t="shared" si="501"/>
        <v>0</v>
      </c>
      <c r="BG1239" s="210">
        <f t="shared" si="497"/>
        <v>0</v>
      </c>
      <c r="BH1239" s="210">
        <f t="shared" si="498"/>
        <v>6</v>
      </c>
      <c r="BI1239" s="213">
        <f t="shared" si="494"/>
        <v>0</v>
      </c>
      <c r="BJ1239" s="141"/>
      <c r="BK1239" s="201"/>
      <c r="BL1239" s="202"/>
      <c r="BM1239" s="202"/>
    </row>
    <row r="1240" spans="1:65" s="17" customFormat="1" ht="18" customHeight="1">
      <c r="A1240" s="114">
        <v>57</v>
      </c>
      <c r="B1240" s="24" t="s">
        <v>835</v>
      </c>
      <c r="C1240" s="25" t="s">
        <v>1962</v>
      </c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229">
        <f t="shared" si="499"/>
        <v>0</v>
      </c>
      <c r="AC1240" s="228">
        <f t="shared" si="495"/>
        <v>0</v>
      </c>
      <c r="AD1240" s="19">
        <v>0</v>
      </c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29">
        <f t="shared" si="500"/>
        <v>0</v>
      </c>
      <c r="BD1240" s="48">
        <f t="shared" si="496"/>
        <v>0</v>
      </c>
      <c r="BE1240" s="19">
        <v>2</v>
      </c>
      <c r="BF1240" s="229">
        <f t="shared" si="501"/>
        <v>0</v>
      </c>
      <c r="BG1240" s="210">
        <f t="shared" si="497"/>
        <v>0</v>
      </c>
      <c r="BH1240" s="210">
        <f t="shared" si="498"/>
        <v>2</v>
      </c>
      <c r="BI1240" s="213">
        <f t="shared" si="494"/>
        <v>0</v>
      </c>
      <c r="BJ1240" s="141"/>
      <c r="BK1240" s="201"/>
      <c r="BL1240" s="202"/>
      <c r="BM1240" s="202"/>
    </row>
    <row r="1241" spans="1:65" s="17" customFormat="1" ht="18" customHeight="1">
      <c r="A1241" s="114">
        <v>58</v>
      </c>
      <c r="B1241" s="24" t="s">
        <v>1048</v>
      </c>
      <c r="C1241" s="25" t="s">
        <v>1512</v>
      </c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229">
        <f t="shared" si="499"/>
        <v>0</v>
      </c>
      <c r="AC1241" s="228">
        <f t="shared" si="495"/>
        <v>0</v>
      </c>
      <c r="AD1241" s="19">
        <v>0</v>
      </c>
      <c r="AE1241" s="28"/>
      <c r="AF1241" s="28"/>
      <c r="AG1241" s="28"/>
      <c r="AH1241" s="28"/>
      <c r="AI1241" s="28"/>
      <c r="AJ1241" s="28">
        <f>4+1</f>
        <v>5</v>
      </c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>
        <v>1</v>
      </c>
      <c r="AW1241" s="28"/>
      <c r="AX1241" s="28"/>
      <c r="AY1241" s="28"/>
      <c r="AZ1241" s="28"/>
      <c r="BA1241" s="28"/>
      <c r="BB1241" s="28">
        <v>5</v>
      </c>
      <c r="BC1241" s="229">
        <f t="shared" si="500"/>
        <v>0</v>
      </c>
      <c r="BD1241" s="48">
        <f t="shared" si="496"/>
        <v>11</v>
      </c>
      <c r="BE1241" s="19">
        <v>68</v>
      </c>
      <c r="BF1241" s="229">
        <f t="shared" si="501"/>
        <v>0</v>
      </c>
      <c r="BG1241" s="210">
        <f t="shared" si="497"/>
        <v>11</v>
      </c>
      <c r="BH1241" s="210">
        <f t="shared" si="498"/>
        <v>68</v>
      </c>
      <c r="BI1241" s="213">
        <f t="shared" si="494"/>
        <v>16.176470588235293</v>
      </c>
      <c r="BJ1241" s="141"/>
      <c r="BK1241" s="201"/>
      <c r="BL1241" s="202"/>
      <c r="BM1241" s="202"/>
    </row>
    <row r="1242" spans="1:65" s="17" customFormat="1" ht="18" customHeight="1">
      <c r="A1242" s="114">
        <v>59</v>
      </c>
      <c r="B1242" s="24" t="s">
        <v>892</v>
      </c>
      <c r="C1242" s="25" t="s">
        <v>893</v>
      </c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229">
        <f t="shared" si="499"/>
        <v>0</v>
      </c>
      <c r="AC1242" s="228">
        <f t="shared" si="495"/>
        <v>0</v>
      </c>
      <c r="AD1242" s="19">
        <v>0</v>
      </c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29">
        <f t="shared" si="500"/>
        <v>0</v>
      </c>
      <c r="BD1242" s="48">
        <f t="shared" si="496"/>
        <v>0</v>
      </c>
      <c r="BE1242" s="19">
        <v>5</v>
      </c>
      <c r="BF1242" s="229">
        <f t="shared" si="501"/>
        <v>0</v>
      </c>
      <c r="BG1242" s="210">
        <f t="shared" si="497"/>
        <v>0</v>
      </c>
      <c r="BH1242" s="210">
        <f t="shared" si="498"/>
        <v>5</v>
      </c>
      <c r="BI1242" s="213">
        <f t="shared" si="494"/>
        <v>0</v>
      </c>
      <c r="BJ1242" s="141"/>
      <c r="BK1242" s="201"/>
      <c r="BL1242" s="202"/>
      <c r="BM1242" s="202"/>
    </row>
    <row r="1243" spans="1:65" s="17" customFormat="1" ht="18" customHeight="1">
      <c r="A1243" s="114">
        <v>60</v>
      </c>
      <c r="B1243" s="24" t="s">
        <v>650</v>
      </c>
      <c r="C1243" s="25" t="s">
        <v>2445</v>
      </c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229">
        <f t="shared" si="499"/>
        <v>0</v>
      </c>
      <c r="AC1243" s="228">
        <f t="shared" si="495"/>
        <v>0</v>
      </c>
      <c r="AD1243" s="19">
        <v>0</v>
      </c>
      <c r="AE1243" s="28"/>
      <c r="AF1243" s="28"/>
      <c r="AG1243" s="28"/>
      <c r="AH1243" s="28"/>
      <c r="AI1243" s="28"/>
      <c r="AJ1243" s="28">
        <v>7</v>
      </c>
      <c r="AK1243" s="28"/>
      <c r="AL1243" s="28"/>
      <c r="AM1243" s="28"/>
      <c r="AN1243" s="28"/>
      <c r="AO1243" s="28"/>
      <c r="AP1243" s="28">
        <f>1+5+1</f>
        <v>7</v>
      </c>
      <c r="AQ1243" s="28"/>
      <c r="AR1243" s="28"/>
      <c r="AS1243" s="28"/>
      <c r="AT1243" s="28"/>
      <c r="AU1243" s="28"/>
      <c r="AV1243" s="28">
        <v>2</v>
      </c>
      <c r="AW1243" s="28"/>
      <c r="AX1243" s="28"/>
      <c r="AY1243" s="28"/>
      <c r="AZ1243" s="28"/>
      <c r="BA1243" s="28"/>
      <c r="BB1243" s="28">
        <v>1</v>
      </c>
      <c r="BC1243" s="229">
        <f t="shared" si="500"/>
        <v>0</v>
      </c>
      <c r="BD1243" s="48">
        <f t="shared" si="496"/>
        <v>17</v>
      </c>
      <c r="BE1243" s="19">
        <v>35</v>
      </c>
      <c r="BF1243" s="229">
        <f t="shared" si="501"/>
        <v>0</v>
      </c>
      <c r="BG1243" s="210">
        <f t="shared" si="497"/>
        <v>17</v>
      </c>
      <c r="BH1243" s="210">
        <f t="shared" si="498"/>
        <v>35</v>
      </c>
      <c r="BI1243" s="213">
        <f t="shared" si="494"/>
        <v>48.571428571428569</v>
      </c>
      <c r="BJ1243" s="141"/>
      <c r="BK1243" s="201"/>
      <c r="BL1243" s="202"/>
      <c r="BM1243" s="202"/>
    </row>
    <row r="1244" spans="1:65" s="17" customFormat="1" ht="26.25" customHeight="1">
      <c r="A1244" s="114">
        <v>61</v>
      </c>
      <c r="B1244" s="24" t="s">
        <v>701</v>
      </c>
      <c r="C1244" s="27" t="s">
        <v>2444</v>
      </c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229">
        <f t="shared" si="499"/>
        <v>0</v>
      </c>
      <c r="AC1244" s="228">
        <f t="shared" si="495"/>
        <v>0</v>
      </c>
      <c r="AD1244" s="19">
        <v>0</v>
      </c>
      <c r="AE1244" s="28"/>
      <c r="AF1244" s="28"/>
      <c r="AG1244" s="28"/>
      <c r="AH1244" s="28"/>
      <c r="AI1244" s="28"/>
      <c r="AJ1244" s="28">
        <f>9+1</f>
        <v>10</v>
      </c>
      <c r="AK1244" s="28"/>
      <c r="AL1244" s="28"/>
      <c r="AM1244" s="28"/>
      <c r="AN1244" s="28"/>
      <c r="AO1244" s="28"/>
      <c r="AP1244" s="28">
        <f>1+7</f>
        <v>8</v>
      </c>
      <c r="AQ1244" s="28"/>
      <c r="AR1244" s="28"/>
      <c r="AS1244" s="28"/>
      <c r="AT1244" s="28"/>
      <c r="AU1244" s="28"/>
      <c r="AV1244" s="28">
        <v>4</v>
      </c>
      <c r="AW1244" s="28"/>
      <c r="AX1244" s="28"/>
      <c r="AY1244" s="28"/>
      <c r="AZ1244" s="28"/>
      <c r="BA1244" s="28"/>
      <c r="BB1244" s="28">
        <f>1+11</f>
        <v>12</v>
      </c>
      <c r="BC1244" s="229">
        <f t="shared" si="500"/>
        <v>0</v>
      </c>
      <c r="BD1244" s="48">
        <f t="shared" si="496"/>
        <v>34</v>
      </c>
      <c r="BE1244" s="19">
        <v>26</v>
      </c>
      <c r="BF1244" s="229">
        <f t="shared" si="501"/>
        <v>0</v>
      </c>
      <c r="BG1244" s="210">
        <f t="shared" si="497"/>
        <v>34</v>
      </c>
      <c r="BH1244" s="210">
        <f t="shared" si="498"/>
        <v>26</v>
      </c>
      <c r="BI1244" s="213">
        <f t="shared" si="494"/>
        <v>130.76923076923077</v>
      </c>
      <c r="BJ1244" s="141"/>
      <c r="BK1244" s="201"/>
      <c r="BL1244" s="202"/>
      <c r="BM1244" s="202"/>
    </row>
    <row r="1245" spans="1:65" s="317" customFormat="1" ht="18" customHeight="1">
      <c r="A1245" s="114">
        <v>62</v>
      </c>
      <c r="B1245" s="24" t="s">
        <v>702</v>
      </c>
      <c r="C1245" s="25" t="s">
        <v>2443</v>
      </c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229">
        <f t="shared" si="499"/>
        <v>0</v>
      </c>
      <c r="AC1245" s="228">
        <f t="shared" si="495"/>
        <v>0</v>
      </c>
      <c r="AD1245" s="19">
        <v>0</v>
      </c>
      <c r="AE1245" s="28"/>
      <c r="AF1245" s="28"/>
      <c r="AG1245" s="28"/>
      <c r="AH1245" s="28"/>
      <c r="AI1245" s="28"/>
      <c r="AJ1245" s="28">
        <f>4+6</f>
        <v>10</v>
      </c>
      <c r="AK1245" s="28"/>
      <c r="AL1245" s="28"/>
      <c r="AM1245" s="28"/>
      <c r="AN1245" s="28"/>
      <c r="AO1245" s="28"/>
      <c r="AP1245" s="28">
        <f>5+7</f>
        <v>12</v>
      </c>
      <c r="AQ1245" s="28"/>
      <c r="AR1245" s="28"/>
      <c r="AS1245" s="28"/>
      <c r="AT1245" s="28"/>
      <c r="AU1245" s="28"/>
      <c r="AV1245" s="28">
        <v>6</v>
      </c>
      <c r="AW1245" s="28"/>
      <c r="AX1245" s="28"/>
      <c r="AY1245" s="28"/>
      <c r="AZ1245" s="28"/>
      <c r="BA1245" s="28"/>
      <c r="BB1245" s="28">
        <f>1+4</f>
        <v>5</v>
      </c>
      <c r="BC1245" s="229">
        <f t="shared" si="500"/>
        <v>0</v>
      </c>
      <c r="BD1245" s="48">
        <f t="shared" si="496"/>
        <v>33</v>
      </c>
      <c r="BE1245" s="19">
        <v>48</v>
      </c>
      <c r="BF1245" s="229">
        <f t="shared" si="501"/>
        <v>0</v>
      </c>
      <c r="BG1245" s="210">
        <f t="shared" si="497"/>
        <v>33</v>
      </c>
      <c r="BH1245" s="210">
        <f t="shared" si="498"/>
        <v>48</v>
      </c>
      <c r="BI1245" s="213">
        <f t="shared" si="494"/>
        <v>68.75</v>
      </c>
      <c r="BJ1245" s="141"/>
      <c r="BK1245" s="201"/>
      <c r="BL1245" s="202"/>
      <c r="BM1245" s="202"/>
    </row>
    <row r="1246" spans="1:65" s="317" customFormat="1" ht="18" customHeight="1">
      <c r="A1246" s="114">
        <v>63</v>
      </c>
      <c r="B1246" s="24" t="s">
        <v>814</v>
      </c>
      <c r="C1246" s="25" t="s">
        <v>815</v>
      </c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229">
        <f t="shared" si="499"/>
        <v>0</v>
      </c>
      <c r="AC1246" s="228">
        <f t="shared" si="495"/>
        <v>0</v>
      </c>
      <c r="AD1246" s="19">
        <v>0</v>
      </c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29">
        <f t="shared" si="500"/>
        <v>0</v>
      </c>
      <c r="BD1246" s="48">
        <f t="shared" si="496"/>
        <v>0</v>
      </c>
      <c r="BE1246" s="19">
        <v>2</v>
      </c>
      <c r="BF1246" s="229">
        <f t="shared" si="501"/>
        <v>0</v>
      </c>
      <c r="BG1246" s="210">
        <f t="shared" si="497"/>
        <v>0</v>
      </c>
      <c r="BH1246" s="210">
        <f t="shared" si="498"/>
        <v>2</v>
      </c>
      <c r="BI1246" s="213">
        <f t="shared" si="494"/>
        <v>0</v>
      </c>
      <c r="BJ1246" s="141"/>
      <c r="BK1246" s="201"/>
      <c r="BL1246" s="202"/>
      <c r="BM1246" s="202"/>
    </row>
    <row r="1247" spans="1:65" s="317" customFormat="1" ht="18" customHeight="1">
      <c r="A1247" s="114">
        <v>64</v>
      </c>
      <c r="B1247" s="24" t="s">
        <v>703</v>
      </c>
      <c r="C1247" s="25" t="s">
        <v>774</v>
      </c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229">
        <f t="shared" si="499"/>
        <v>0</v>
      </c>
      <c r="AC1247" s="228">
        <f t="shared" si="495"/>
        <v>0</v>
      </c>
      <c r="AD1247" s="19">
        <v>0</v>
      </c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29">
        <f t="shared" si="500"/>
        <v>0</v>
      </c>
      <c r="BD1247" s="48">
        <f t="shared" si="496"/>
        <v>0</v>
      </c>
      <c r="BE1247" s="19">
        <v>1</v>
      </c>
      <c r="BF1247" s="229">
        <f t="shared" si="501"/>
        <v>0</v>
      </c>
      <c r="BG1247" s="210">
        <f t="shared" si="497"/>
        <v>0</v>
      </c>
      <c r="BH1247" s="210">
        <f t="shared" si="498"/>
        <v>1</v>
      </c>
      <c r="BI1247" s="213">
        <f t="shared" si="494"/>
        <v>0</v>
      </c>
      <c r="BJ1247" s="141"/>
      <c r="BK1247" s="201"/>
      <c r="BL1247" s="202"/>
      <c r="BM1247" s="202"/>
    </row>
    <row r="1248" spans="1:65" s="317" customFormat="1" ht="18" customHeight="1">
      <c r="A1248" s="114">
        <v>65</v>
      </c>
      <c r="B1248" s="24" t="s">
        <v>819</v>
      </c>
      <c r="C1248" s="25" t="s">
        <v>993</v>
      </c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229">
        <f t="shared" si="499"/>
        <v>0</v>
      </c>
      <c r="AC1248" s="228">
        <f t="shared" si="495"/>
        <v>0</v>
      </c>
      <c r="AD1248" s="19">
        <v>0</v>
      </c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29">
        <f t="shared" si="500"/>
        <v>0</v>
      </c>
      <c r="BD1248" s="48">
        <f t="shared" si="496"/>
        <v>0</v>
      </c>
      <c r="BE1248" s="19">
        <v>1</v>
      </c>
      <c r="BF1248" s="229">
        <f t="shared" si="501"/>
        <v>0</v>
      </c>
      <c r="BG1248" s="210">
        <f t="shared" si="497"/>
        <v>0</v>
      </c>
      <c r="BH1248" s="210">
        <f t="shared" si="498"/>
        <v>1</v>
      </c>
      <c r="BI1248" s="213">
        <f t="shared" ref="BI1248:BI1280" si="502">BG1248/BH1248*100</f>
        <v>0</v>
      </c>
      <c r="BJ1248" s="141"/>
      <c r="BK1248" s="201"/>
      <c r="BL1248" s="202"/>
      <c r="BM1248" s="202"/>
    </row>
    <row r="1249" spans="1:65" s="317" customFormat="1" ht="18" customHeight="1">
      <c r="A1249" s="114">
        <v>66</v>
      </c>
      <c r="B1249" s="24" t="s">
        <v>730</v>
      </c>
      <c r="C1249" s="25" t="s">
        <v>731</v>
      </c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229">
        <f t="shared" si="499"/>
        <v>0</v>
      </c>
      <c r="AC1249" s="228">
        <f t="shared" si="495"/>
        <v>0</v>
      </c>
      <c r="AD1249" s="19">
        <v>0</v>
      </c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29">
        <f t="shared" si="500"/>
        <v>0</v>
      </c>
      <c r="BD1249" s="48">
        <f t="shared" si="496"/>
        <v>0</v>
      </c>
      <c r="BE1249" s="19">
        <v>103</v>
      </c>
      <c r="BF1249" s="229">
        <f t="shared" si="501"/>
        <v>0</v>
      </c>
      <c r="BG1249" s="210">
        <f t="shared" si="497"/>
        <v>0</v>
      </c>
      <c r="BH1249" s="210">
        <f t="shared" si="498"/>
        <v>103</v>
      </c>
      <c r="BI1249" s="213">
        <f t="shared" si="502"/>
        <v>0</v>
      </c>
      <c r="BJ1249" s="141"/>
      <c r="BK1249" s="201"/>
      <c r="BL1249" s="202"/>
      <c r="BM1249" s="202"/>
    </row>
    <row r="1250" spans="1:65" s="317" customFormat="1" ht="18" customHeight="1">
      <c r="A1250" s="114">
        <v>67</v>
      </c>
      <c r="B1250" s="24" t="s">
        <v>736</v>
      </c>
      <c r="C1250" s="25" t="s">
        <v>737</v>
      </c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229">
        <f t="shared" si="499"/>
        <v>0</v>
      </c>
      <c r="AC1250" s="228">
        <f t="shared" si="495"/>
        <v>0</v>
      </c>
      <c r="AD1250" s="19">
        <v>0</v>
      </c>
      <c r="AE1250" s="28"/>
      <c r="AF1250" s="28"/>
      <c r="AG1250" s="28"/>
      <c r="AH1250" s="28"/>
      <c r="AI1250" s="28"/>
      <c r="AJ1250" s="28">
        <f>149+17</f>
        <v>166</v>
      </c>
      <c r="AK1250" s="28"/>
      <c r="AL1250" s="28"/>
      <c r="AM1250" s="28"/>
      <c r="AN1250" s="28"/>
      <c r="AO1250" s="28"/>
      <c r="AP1250" s="28">
        <v>101</v>
      </c>
      <c r="AQ1250" s="28"/>
      <c r="AR1250" s="28"/>
      <c r="AS1250" s="28"/>
      <c r="AT1250" s="28"/>
      <c r="AU1250" s="28"/>
      <c r="AV1250" s="28">
        <v>54</v>
      </c>
      <c r="AW1250" s="28"/>
      <c r="AX1250" s="28"/>
      <c r="AY1250" s="28"/>
      <c r="AZ1250" s="28"/>
      <c r="BA1250" s="28"/>
      <c r="BB1250" s="28">
        <v>126</v>
      </c>
      <c r="BC1250" s="229">
        <f t="shared" si="500"/>
        <v>0</v>
      </c>
      <c r="BD1250" s="48">
        <f t="shared" si="496"/>
        <v>447</v>
      </c>
      <c r="BE1250" s="19">
        <v>268</v>
      </c>
      <c r="BF1250" s="229">
        <f t="shared" si="501"/>
        <v>0</v>
      </c>
      <c r="BG1250" s="210">
        <f t="shared" si="497"/>
        <v>447</v>
      </c>
      <c r="BH1250" s="210">
        <f t="shared" si="498"/>
        <v>268</v>
      </c>
      <c r="BI1250" s="213">
        <f t="shared" si="502"/>
        <v>166.79104477611941</v>
      </c>
      <c r="BJ1250" s="141"/>
      <c r="BK1250" s="201"/>
      <c r="BL1250" s="202"/>
      <c r="BM1250" s="202"/>
    </row>
    <row r="1251" spans="1:65" s="317" customFormat="1" ht="18" customHeight="1">
      <c r="A1251" s="114">
        <v>68</v>
      </c>
      <c r="B1251" s="24" t="s">
        <v>2249</v>
      </c>
      <c r="C1251" s="25" t="s">
        <v>2248</v>
      </c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229">
        <f t="shared" si="499"/>
        <v>0</v>
      </c>
      <c r="AC1251" s="228">
        <f t="shared" si="495"/>
        <v>0</v>
      </c>
      <c r="AD1251" s="19">
        <v>0</v>
      </c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29">
        <f t="shared" si="500"/>
        <v>0</v>
      </c>
      <c r="BD1251" s="48">
        <f t="shared" si="496"/>
        <v>0</v>
      </c>
      <c r="BE1251" s="19">
        <v>4</v>
      </c>
      <c r="BF1251" s="229">
        <f t="shared" si="501"/>
        <v>0</v>
      </c>
      <c r="BG1251" s="210">
        <f t="shared" si="497"/>
        <v>0</v>
      </c>
      <c r="BH1251" s="210">
        <f t="shared" si="498"/>
        <v>4</v>
      </c>
      <c r="BI1251" s="213">
        <f t="shared" si="502"/>
        <v>0</v>
      </c>
      <c r="BJ1251" s="141"/>
      <c r="BK1251" s="201"/>
      <c r="BL1251" s="202"/>
      <c r="BM1251" s="202"/>
    </row>
    <row r="1252" spans="1:65" s="317" customFormat="1" ht="18" customHeight="1">
      <c r="A1252" s="114">
        <v>69</v>
      </c>
      <c r="B1252" s="24" t="s">
        <v>797</v>
      </c>
      <c r="C1252" s="25" t="s">
        <v>798</v>
      </c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229">
        <f t="shared" si="499"/>
        <v>0</v>
      </c>
      <c r="AC1252" s="228">
        <f t="shared" si="495"/>
        <v>0</v>
      </c>
      <c r="AD1252" s="19">
        <v>0</v>
      </c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29">
        <f t="shared" si="500"/>
        <v>0</v>
      </c>
      <c r="BD1252" s="48">
        <f t="shared" si="496"/>
        <v>0</v>
      </c>
      <c r="BE1252" s="19">
        <v>88</v>
      </c>
      <c r="BF1252" s="229">
        <f t="shared" si="501"/>
        <v>0</v>
      </c>
      <c r="BG1252" s="210">
        <f t="shared" si="497"/>
        <v>0</v>
      </c>
      <c r="BH1252" s="210">
        <f t="shared" si="498"/>
        <v>88</v>
      </c>
      <c r="BI1252" s="213">
        <f t="shared" si="502"/>
        <v>0</v>
      </c>
      <c r="BJ1252" s="141"/>
      <c r="BK1252" s="201"/>
      <c r="BL1252" s="202"/>
      <c r="BM1252" s="202"/>
    </row>
    <row r="1253" spans="1:65" s="317" customFormat="1" ht="18" customHeight="1">
      <c r="A1253" s="114">
        <v>70</v>
      </c>
      <c r="B1253" s="24" t="s">
        <v>653</v>
      </c>
      <c r="C1253" s="25" t="s">
        <v>654</v>
      </c>
      <c r="D1253" s="121"/>
      <c r="E1253" s="121"/>
      <c r="F1253" s="121"/>
      <c r="G1253" s="121"/>
      <c r="H1253" s="121"/>
      <c r="I1253" s="121">
        <v>1</v>
      </c>
      <c r="J1253" s="121"/>
      <c r="K1253" s="121"/>
      <c r="L1253" s="121"/>
      <c r="M1253" s="121"/>
      <c r="N1253" s="121"/>
      <c r="O1253" s="121">
        <v>2</v>
      </c>
      <c r="P1253" s="121"/>
      <c r="Q1253" s="121"/>
      <c r="R1253" s="121"/>
      <c r="S1253" s="121"/>
      <c r="T1253" s="121"/>
      <c r="U1253" s="121">
        <v>2</v>
      </c>
      <c r="V1253" s="121"/>
      <c r="W1253" s="121"/>
      <c r="X1253" s="121"/>
      <c r="Y1253" s="121"/>
      <c r="Z1253" s="121"/>
      <c r="AA1253" s="121">
        <v>7</v>
      </c>
      <c r="AB1253" s="229">
        <f t="shared" si="499"/>
        <v>0</v>
      </c>
      <c r="AC1253" s="228">
        <f t="shared" si="495"/>
        <v>12</v>
      </c>
      <c r="AD1253" s="19">
        <v>8</v>
      </c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>
        <v>128</v>
      </c>
      <c r="AQ1253" s="28"/>
      <c r="AR1253" s="28"/>
      <c r="AS1253" s="28"/>
      <c r="AT1253" s="28"/>
      <c r="AU1253" s="28"/>
      <c r="AV1253" s="28">
        <v>91</v>
      </c>
      <c r="AW1253" s="28"/>
      <c r="AX1253" s="28"/>
      <c r="AY1253" s="28"/>
      <c r="AZ1253" s="28"/>
      <c r="BA1253" s="28"/>
      <c r="BB1253" s="28">
        <v>152</v>
      </c>
      <c r="BC1253" s="229">
        <f t="shared" si="500"/>
        <v>0</v>
      </c>
      <c r="BD1253" s="48">
        <f t="shared" si="496"/>
        <v>371</v>
      </c>
      <c r="BE1253" s="19">
        <v>162</v>
      </c>
      <c r="BF1253" s="229">
        <f t="shared" si="501"/>
        <v>0</v>
      </c>
      <c r="BG1253" s="210">
        <f t="shared" si="497"/>
        <v>383</v>
      </c>
      <c r="BH1253" s="210">
        <f t="shared" si="498"/>
        <v>170</v>
      </c>
      <c r="BI1253" s="213">
        <f t="shared" si="502"/>
        <v>225.29411764705881</v>
      </c>
      <c r="BJ1253" s="141"/>
      <c r="BK1253" s="201"/>
      <c r="BL1253" s="202"/>
      <c r="BM1253" s="202"/>
    </row>
    <row r="1254" spans="1:65" s="317" customFormat="1" ht="18" customHeight="1">
      <c r="A1254" s="114">
        <v>71</v>
      </c>
      <c r="B1254" s="24" t="s">
        <v>655</v>
      </c>
      <c r="C1254" s="25" t="s">
        <v>997</v>
      </c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229">
        <f t="shared" si="499"/>
        <v>0</v>
      </c>
      <c r="AC1254" s="228">
        <f t="shared" si="495"/>
        <v>0</v>
      </c>
      <c r="AD1254" s="19">
        <v>0</v>
      </c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29">
        <f t="shared" si="500"/>
        <v>0</v>
      </c>
      <c r="BD1254" s="48">
        <f t="shared" si="496"/>
        <v>0</v>
      </c>
      <c r="BE1254" s="19">
        <v>1</v>
      </c>
      <c r="BF1254" s="229">
        <f t="shared" si="501"/>
        <v>0</v>
      </c>
      <c r="BG1254" s="210">
        <f t="shared" si="497"/>
        <v>0</v>
      </c>
      <c r="BH1254" s="210">
        <f t="shared" si="498"/>
        <v>1</v>
      </c>
      <c r="BI1254" s="213">
        <f t="shared" si="502"/>
        <v>0</v>
      </c>
      <c r="BJ1254" s="141"/>
      <c r="BK1254" s="201"/>
      <c r="BL1254" s="202"/>
      <c r="BM1254" s="202"/>
    </row>
    <row r="1255" spans="1:65" s="317" customFormat="1" ht="18" customHeight="1">
      <c r="A1255" s="114">
        <v>72</v>
      </c>
      <c r="B1255" s="24" t="s">
        <v>1746</v>
      </c>
      <c r="C1255" s="25" t="s">
        <v>1747</v>
      </c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229">
        <f t="shared" si="499"/>
        <v>0</v>
      </c>
      <c r="AC1255" s="228">
        <f t="shared" si="495"/>
        <v>0</v>
      </c>
      <c r="AD1255" s="19">
        <v>0</v>
      </c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29">
        <f t="shared" si="500"/>
        <v>0</v>
      </c>
      <c r="BD1255" s="48">
        <f t="shared" si="496"/>
        <v>0</v>
      </c>
      <c r="BE1255" s="19">
        <v>1</v>
      </c>
      <c r="BF1255" s="229">
        <f t="shared" si="501"/>
        <v>0</v>
      </c>
      <c r="BG1255" s="210">
        <f t="shared" si="497"/>
        <v>0</v>
      </c>
      <c r="BH1255" s="210">
        <f t="shared" si="498"/>
        <v>1</v>
      </c>
      <c r="BI1255" s="213">
        <f t="shared" si="502"/>
        <v>0</v>
      </c>
      <c r="BJ1255" s="141"/>
      <c r="BK1255" s="201"/>
      <c r="BL1255" s="202"/>
      <c r="BM1255" s="202"/>
    </row>
    <row r="1256" spans="1:65" s="317" customFormat="1" ht="18" customHeight="1">
      <c r="A1256" s="114">
        <v>73</v>
      </c>
      <c r="B1256" s="24" t="s">
        <v>1556</v>
      </c>
      <c r="C1256" s="25" t="s">
        <v>1557</v>
      </c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229">
        <f t="shared" si="499"/>
        <v>0</v>
      </c>
      <c r="AC1256" s="228">
        <f t="shared" si="495"/>
        <v>0</v>
      </c>
      <c r="AD1256" s="19">
        <v>0</v>
      </c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29">
        <f t="shared" si="500"/>
        <v>0</v>
      </c>
      <c r="BD1256" s="48">
        <f t="shared" si="496"/>
        <v>0</v>
      </c>
      <c r="BE1256" s="19">
        <v>1</v>
      </c>
      <c r="BF1256" s="229">
        <f t="shared" si="501"/>
        <v>0</v>
      </c>
      <c r="BG1256" s="210">
        <f t="shared" si="497"/>
        <v>0</v>
      </c>
      <c r="BH1256" s="210">
        <f t="shared" si="498"/>
        <v>1</v>
      </c>
      <c r="BI1256" s="213">
        <f t="shared" si="502"/>
        <v>0</v>
      </c>
      <c r="BJ1256" s="141"/>
      <c r="BK1256" s="201"/>
      <c r="BL1256" s="202"/>
      <c r="BM1256" s="202"/>
    </row>
    <row r="1257" spans="1:65" s="317" customFormat="1" ht="18" customHeight="1">
      <c r="A1257" s="114">
        <v>74</v>
      </c>
      <c r="B1257" s="24" t="s">
        <v>656</v>
      </c>
      <c r="C1257" s="25" t="s">
        <v>2433</v>
      </c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229">
        <f t="shared" si="499"/>
        <v>0</v>
      </c>
      <c r="AC1257" s="228">
        <f t="shared" si="495"/>
        <v>0</v>
      </c>
      <c r="AD1257" s="19">
        <v>0</v>
      </c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29">
        <f t="shared" si="500"/>
        <v>0</v>
      </c>
      <c r="BD1257" s="48">
        <f t="shared" si="496"/>
        <v>0</v>
      </c>
      <c r="BE1257" s="19">
        <v>1</v>
      </c>
      <c r="BF1257" s="229">
        <f t="shared" si="501"/>
        <v>0</v>
      </c>
      <c r="BG1257" s="210">
        <f t="shared" si="497"/>
        <v>0</v>
      </c>
      <c r="BH1257" s="210">
        <f t="shared" si="498"/>
        <v>1</v>
      </c>
      <c r="BI1257" s="213">
        <f t="shared" si="502"/>
        <v>0</v>
      </c>
      <c r="BJ1257" s="141"/>
      <c r="BK1257" s="201"/>
      <c r="BL1257" s="202"/>
      <c r="BM1257" s="202"/>
    </row>
    <row r="1258" spans="1:65" s="317" customFormat="1" ht="18" customHeight="1">
      <c r="A1258" s="114">
        <v>75</v>
      </c>
      <c r="B1258" s="24" t="s">
        <v>822</v>
      </c>
      <c r="C1258" s="25" t="s">
        <v>1405</v>
      </c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229">
        <f t="shared" si="499"/>
        <v>0</v>
      </c>
      <c r="AC1258" s="228">
        <f t="shared" si="495"/>
        <v>0</v>
      </c>
      <c r="AD1258" s="19">
        <v>0</v>
      </c>
      <c r="AE1258" s="28"/>
      <c r="AF1258" s="28"/>
      <c r="AG1258" s="28"/>
      <c r="AH1258" s="28"/>
      <c r="AI1258" s="28"/>
      <c r="AJ1258" s="28">
        <f>22+9</f>
        <v>31</v>
      </c>
      <c r="AK1258" s="28"/>
      <c r="AL1258" s="28"/>
      <c r="AM1258" s="28"/>
      <c r="AN1258" s="28"/>
      <c r="AO1258" s="28"/>
      <c r="AP1258" s="28">
        <f>20+1</f>
        <v>21</v>
      </c>
      <c r="AQ1258" s="28"/>
      <c r="AR1258" s="28"/>
      <c r="AS1258" s="28"/>
      <c r="AT1258" s="28"/>
      <c r="AU1258" s="28"/>
      <c r="AV1258" s="28">
        <v>15</v>
      </c>
      <c r="AW1258" s="28"/>
      <c r="AX1258" s="28"/>
      <c r="AY1258" s="28"/>
      <c r="AZ1258" s="28"/>
      <c r="BA1258" s="28"/>
      <c r="BB1258" s="28">
        <v>43</v>
      </c>
      <c r="BC1258" s="229">
        <f t="shared" si="500"/>
        <v>0</v>
      </c>
      <c r="BD1258" s="48">
        <f t="shared" si="496"/>
        <v>110</v>
      </c>
      <c r="BE1258" s="19">
        <v>110</v>
      </c>
      <c r="BF1258" s="229">
        <f t="shared" si="501"/>
        <v>0</v>
      </c>
      <c r="BG1258" s="210">
        <f t="shared" si="497"/>
        <v>110</v>
      </c>
      <c r="BH1258" s="210">
        <f t="shared" si="498"/>
        <v>110</v>
      </c>
      <c r="BI1258" s="213">
        <f t="shared" si="502"/>
        <v>100</v>
      </c>
      <c r="BJ1258" s="141"/>
      <c r="BK1258" s="201"/>
      <c r="BL1258" s="202"/>
      <c r="BM1258" s="202"/>
    </row>
    <row r="1259" spans="1:65" s="317" customFormat="1" ht="18" customHeight="1">
      <c r="A1259" s="114">
        <v>76</v>
      </c>
      <c r="B1259" s="24" t="s">
        <v>1250</v>
      </c>
      <c r="C1259" s="25" t="s">
        <v>1963</v>
      </c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229">
        <f t="shared" si="499"/>
        <v>0</v>
      </c>
      <c r="AC1259" s="228">
        <f t="shared" si="495"/>
        <v>0</v>
      </c>
      <c r="AD1259" s="19">
        <v>0</v>
      </c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29">
        <f t="shared" si="500"/>
        <v>0</v>
      </c>
      <c r="BD1259" s="48">
        <f t="shared" si="496"/>
        <v>0</v>
      </c>
      <c r="BE1259" s="19">
        <v>1</v>
      </c>
      <c r="BF1259" s="229">
        <f t="shared" si="501"/>
        <v>0</v>
      </c>
      <c r="BG1259" s="210">
        <f t="shared" si="497"/>
        <v>0</v>
      </c>
      <c r="BH1259" s="210">
        <f t="shared" si="498"/>
        <v>1</v>
      </c>
      <c r="BI1259" s="213">
        <f t="shared" si="502"/>
        <v>0</v>
      </c>
      <c r="BJ1259" s="141"/>
      <c r="BK1259" s="201"/>
      <c r="BL1259" s="202"/>
      <c r="BM1259" s="202"/>
    </row>
    <row r="1260" spans="1:65" s="317" customFormat="1" ht="18" customHeight="1">
      <c r="A1260" s="114">
        <v>77</v>
      </c>
      <c r="B1260" s="24" t="s">
        <v>776</v>
      </c>
      <c r="C1260" s="25" t="s">
        <v>777</v>
      </c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229">
        <f t="shared" si="499"/>
        <v>0</v>
      </c>
      <c r="AC1260" s="228">
        <f t="shared" si="495"/>
        <v>0</v>
      </c>
      <c r="AD1260" s="19">
        <v>0</v>
      </c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29">
        <f t="shared" si="500"/>
        <v>0</v>
      </c>
      <c r="BD1260" s="48">
        <f t="shared" si="496"/>
        <v>0</v>
      </c>
      <c r="BE1260" s="19">
        <v>1</v>
      </c>
      <c r="BF1260" s="229">
        <f t="shared" si="501"/>
        <v>0</v>
      </c>
      <c r="BG1260" s="210">
        <f t="shared" si="497"/>
        <v>0</v>
      </c>
      <c r="BH1260" s="210">
        <f t="shared" si="498"/>
        <v>1</v>
      </c>
      <c r="BI1260" s="213">
        <f t="shared" si="502"/>
        <v>0</v>
      </c>
      <c r="BJ1260" s="141"/>
      <c r="BK1260" s="201"/>
      <c r="BL1260" s="202"/>
      <c r="BM1260" s="202"/>
    </row>
    <row r="1261" spans="1:65" s="17" customFormat="1" ht="21.95" customHeight="1">
      <c r="A1261" s="114">
        <v>78</v>
      </c>
      <c r="B1261" s="24" t="s">
        <v>741</v>
      </c>
      <c r="C1261" s="27" t="s">
        <v>947</v>
      </c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229">
        <f t="shared" si="499"/>
        <v>0</v>
      </c>
      <c r="AC1261" s="228">
        <f t="shared" si="495"/>
        <v>0</v>
      </c>
      <c r="AD1261" s="19">
        <v>0</v>
      </c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29">
        <f t="shared" si="500"/>
        <v>0</v>
      </c>
      <c r="BD1261" s="48">
        <f t="shared" si="496"/>
        <v>0</v>
      </c>
      <c r="BE1261" s="19">
        <v>1</v>
      </c>
      <c r="BF1261" s="229">
        <f t="shared" si="501"/>
        <v>0</v>
      </c>
      <c r="BG1261" s="210">
        <f t="shared" si="497"/>
        <v>0</v>
      </c>
      <c r="BH1261" s="210">
        <f t="shared" si="498"/>
        <v>1</v>
      </c>
      <c r="BI1261" s="213">
        <f t="shared" si="502"/>
        <v>0</v>
      </c>
      <c r="BJ1261" s="141"/>
      <c r="BK1261" s="201"/>
      <c r="BL1261" s="202"/>
      <c r="BM1261" s="202"/>
    </row>
    <row r="1262" spans="1:65" s="17" customFormat="1" ht="21.95" customHeight="1">
      <c r="A1262" s="114">
        <v>79</v>
      </c>
      <c r="B1262" s="24" t="s">
        <v>657</v>
      </c>
      <c r="C1262" s="27" t="s">
        <v>1401</v>
      </c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>
        <v>4</v>
      </c>
      <c r="V1262" s="121"/>
      <c r="W1262" s="121"/>
      <c r="X1262" s="121"/>
      <c r="Y1262" s="121"/>
      <c r="Z1262" s="121"/>
      <c r="AA1262" s="121">
        <v>1</v>
      </c>
      <c r="AB1262" s="229">
        <f t="shared" si="499"/>
        <v>0</v>
      </c>
      <c r="AC1262" s="228">
        <f t="shared" si="495"/>
        <v>5</v>
      </c>
      <c r="AD1262" s="19">
        <v>8</v>
      </c>
      <c r="AE1262" s="28"/>
      <c r="AF1262" s="28"/>
      <c r="AG1262" s="28"/>
      <c r="AH1262" s="28"/>
      <c r="AI1262" s="28"/>
      <c r="AJ1262" s="28">
        <f>1+5</f>
        <v>6</v>
      </c>
      <c r="AK1262" s="28"/>
      <c r="AL1262" s="28"/>
      <c r="AM1262" s="28"/>
      <c r="AN1262" s="28"/>
      <c r="AO1262" s="28"/>
      <c r="AP1262" s="28">
        <f>9+3</f>
        <v>12</v>
      </c>
      <c r="AQ1262" s="28"/>
      <c r="AR1262" s="28"/>
      <c r="AS1262" s="28"/>
      <c r="AT1262" s="28"/>
      <c r="AU1262" s="28"/>
      <c r="AV1262" s="28">
        <v>2</v>
      </c>
      <c r="AW1262" s="28"/>
      <c r="AX1262" s="28"/>
      <c r="AY1262" s="28"/>
      <c r="AZ1262" s="28"/>
      <c r="BA1262" s="28"/>
      <c r="BB1262" s="28">
        <f>4+3</f>
        <v>7</v>
      </c>
      <c r="BC1262" s="229">
        <f t="shared" si="500"/>
        <v>0</v>
      </c>
      <c r="BD1262" s="48">
        <f t="shared" si="496"/>
        <v>27</v>
      </c>
      <c r="BE1262" s="19">
        <v>81</v>
      </c>
      <c r="BF1262" s="229">
        <f t="shared" si="501"/>
        <v>0</v>
      </c>
      <c r="BG1262" s="210">
        <f t="shared" si="497"/>
        <v>32</v>
      </c>
      <c r="BH1262" s="210">
        <f t="shared" si="498"/>
        <v>89</v>
      </c>
      <c r="BI1262" s="213">
        <f t="shared" si="502"/>
        <v>35.955056179775283</v>
      </c>
      <c r="BJ1262" s="141"/>
      <c r="BK1262" s="201"/>
      <c r="BL1262" s="202"/>
      <c r="BM1262" s="202"/>
    </row>
    <row r="1263" spans="1:65" s="17" customFormat="1" ht="21.95" customHeight="1">
      <c r="A1263" s="114">
        <v>80</v>
      </c>
      <c r="B1263" s="24" t="s">
        <v>742</v>
      </c>
      <c r="C1263" s="27" t="s">
        <v>778</v>
      </c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229">
        <f t="shared" si="499"/>
        <v>0</v>
      </c>
      <c r="AC1263" s="228">
        <f t="shared" si="495"/>
        <v>0</v>
      </c>
      <c r="AD1263" s="19">
        <v>5</v>
      </c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29">
        <f t="shared" si="500"/>
        <v>0</v>
      </c>
      <c r="BD1263" s="48">
        <f t="shared" si="496"/>
        <v>0</v>
      </c>
      <c r="BE1263" s="19">
        <v>3</v>
      </c>
      <c r="BF1263" s="229">
        <f t="shared" si="501"/>
        <v>0</v>
      </c>
      <c r="BG1263" s="210">
        <f t="shared" si="497"/>
        <v>0</v>
      </c>
      <c r="BH1263" s="210">
        <f t="shared" si="498"/>
        <v>8</v>
      </c>
      <c r="BI1263" s="213">
        <f t="shared" si="502"/>
        <v>0</v>
      </c>
      <c r="BJ1263" s="141"/>
      <c r="BK1263" s="201"/>
      <c r="BL1263" s="202"/>
      <c r="BM1263" s="202"/>
    </row>
    <row r="1264" spans="1:65" s="17" customFormat="1" ht="18" customHeight="1">
      <c r="A1264" s="114">
        <v>81</v>
      </c>
      <c r="B1264" s="24" t="s">
        <v>802</v>
      </c>
      <c r="C1264" s="25" t="s">
        <v>803</v>
      </c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229">
        <f t="shared" si="499"/>
        <v>0</v>
      </c>
      <c r="AC1264" s="228">
        <f t="shared" si="495"/>
        <v>0</v>
      </c>
      <c r="AD1264" s="19">
        <v>0</v>
      </c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29">
        <f t="shared" si="500"/>
        <v>0</v>
      </c>
      <c r="BD1264" s="48">
        <f t="shared" si="496"/>
        <v>0</v>
      </c>
      <c r="BE1264" s="19">
        <v>3</v>
      </c>
      <c r="BF1264" s="229">
        <f t="shared" si="501"/>
        <v>0</v>
      </c>
      <c r="BG1264" s="210">
        <f t="shared" si="497"/>
        <v>0</v>
      </c>
      <c r="BH1264" s="210">
        <f t="shared" si="498"/>
        <v>3</v>
      </c>
      <c r="BI1264" s="213">
        <f t="shared" si="502"/>
        <v>0</v>
      </c>
      <c r="BJ1264" s="141"/>
      <c r="BK1264" s="201"/>
      <c r="BL1264" s="202"/>
      <c r="BM1264" s="202"/>
    </row>
    <row r="1265" spans="1:65" s="17" customFormat="1" ht="18" customHeight="1">
      <c r="A1265" s="114">
        <v>82</v>
      </c>
      <c r="B1265" s="24" t="s">
        <v>658</v>
      </c>
      <c r="C1265" s="25" t="s">
        <v>779</v>
      </c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229">
        <f t="shared" si="499"/>
        <v>0</v>
      </c>
      <c r="AC1265" s="228">
        <f t="shared" si="495"/>
        <v>0</v>
      </c>
      <c r="AD1265" s="19">
        <v>0</v>
      </c>
      <c r="AE1265" s="28"/>
      <c r="AF1265" s="28"/>
      <c r="AG1265" s="28"/>
      <c r="AH1265" s="28"/>
      <c r="AI1265" s="28"/>
      <c r="AJ1265" s="28">
        <f>1465+173</f>
        <v>1638</v>
      </c>
      <c r="AK1265" s="28"/>
      <c r="AL1265" s="28"/>
      <c r="AM1265" s="28"/>
      <c r="AN1265" s="28"/>
      <c r="AO1265" s="28"/>
      <c r="AP1265" s="28">
        <f>1318+151</f>
        <v>1469</v>
      </c>
      <c r="AQ1265" s="28"/>
      <c r="AR1265" s="28"/>
      <c r="AS1265" s="28"/>
      <c r="AT1265" s="28"/>
      <c r="AU1265" s="28"/>
      <c r="AV1265" s="28">
        <v>1214</v>
      </c>
      <c r="AW1265" s="28"/>
      <c r="AX1265" s="28"/>
      <c r="AY1265" s="28"/>
      <c r="AZ1265" s="28"/>
      <c r="BA1265" s="28"/>
      <c r="BB1265" s="28">
        <v>1741</v>
      </c>
      <c r="BC1265" s="229">
        <f t="shared" si="500"/>
        <v>0</v>
      </c>
      <c r="BD1265" s="48">
        <f t="shared" si="496"/>
        <v>6062</v>
      </c>
      <c r="BE1265" s="19">
        <v>3695</v>
      </c>
      <c r="BF1265" s="229">
        <f t="shared" si="501"/>
        <v>0</v>
      </c>
      <c r="BG1265" s="210">
        <f t="shared" si="497"/>
        <v>6062</v>
      </c>
      <c r="BH1265" s="210">
        <f t="shared" si="498"/>
        <v>3695</v>
      </c>
      <c r="BI1265" s="213">
        <f t="shared" si="502"/>
        <v>164.05953991880921</v>
      </c>
      <c r="BJ1265" s="141"/>
      <c r="BK1265" s="201"/>
      <c r="BL1265" s="202"/>
      <c r="BM1265" s="202"/>
    </row>
    <row r="1266" spans="1:65" s="17" customFormat="1" ht="18" customHeight="1">
      <c r="A1266" s="114">
        <v>83</v>
      </c>
      <c r="B1266" s="24" t="s">
        <v>780</v>
      </c>
      <c r="C1266" s="25" t="s">
        <v>781</v>
      </c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229">
        <f t="shared" si="499"/>
        <v>0</v>
      </c>
      <c r="AC1266" s="228">
        <f t="shared" ref="AC1266:AC1294" si="503">E1266+G1266+I1266+K1266+M1266+O1266+Q1266+S1266+U1266+W1266+Y1266+AA1266</f>
        <v>0</v>
      </c>
      <c r="AD1266" s="19">
        <v>0</v>
      </c>
      <c r="AE1266" s="28"/>
      <c r="AF1266" s="28"/>
      <c r="AG1266" s="28"/>
      <c r="AH1266" s="28"/>
      <c r="AI1266" s="28"/>
      <c r="AJ1266" s="28">
        <f>638+84</f>
        <v>722</v>
      </c>
      <c r="AK1266" s="28"/>
      <c r="AL1266" s="28"/>
      <c r="AM1266" s="28"/>
      <c r="AN1266" s="28"/>
      <c r="AO1266" s="28"/>
      <c r="AP1266" s="28">
        <f>322+40</f>
        <v>362</v>
      </c>
      <c r="AQ1266" s="28"/>
      <c r="AR1266" s="28"/>
      <c r="AS1266" s="28"/>
      <c r="AT1266" s="28"/>
      <c r="AU1266" s="28"/>
      <c r="AV1266" s="28">
        <v>426</v>
      </c>
      <c r="AW1266" s="28"/>
      <c r="AX1266" s="28"/>
      <c r="AY1266" s="28"/>
      <c r="AZ1266" s="28"/>
      <c r="BA1266" s="28"/>
      <c r="BB1266" s="28">
        <v>428</v>
      </c>
      <c r="BC1266" s="229">
        <f t="shared" si="500"/>
        <v>0</v>
      </c>
      <c r="BD1266" s="48">
        <f t="shared" ref="BD1266:BD1294" si="504">AF1266+AH1266+AJ1266+AL1266+AN1266+AP1266+AR1266+AT1266+AV1266+AX1266+AZ1266+BB1266</f>
        <v>1938</v>
      </c>
      <c r="BE1266" s="19">
        <v>1495</v>
      </c>
      <c r="BF1266" s="229">
        <f t="shared" si="501"/>
        <v>0</v>
      </c>
      <c r="BG1266" s="210">
        <f t="shared" ref="BG1266:BG1294" si="505">AC1266+BD1266</f>
        <v>1938</v>
      </c>
      <c r="BH1266" s="210">
        <f t="shared" ref="BH1266:BH1294" si="506">AD1266+BE1266</f>
        <v>1495</v>
      </c>
      <c r="BI1266" s="213">
        <f t="shared" si="502"/>
        <v>129.63210702341138</v>
      </c>
      <c r="BJ1266" s="141"/>
      <c r="BK1266" s="201"/>
      <c r="BL1266" s="202"/>
      <c r="BM1266" s="202"/>
    </row>
    <row r="1267" spans="1:65" s="17" customFormat="1" ht="18" customHeight="1">
      <c r="A1267" s="114">
        <v>84</v>
      </c>
      <c r="B1267" s="24" t="s">
        <v>804</v>
      </c>
      <c r="C1267" s="25" t="s">
        <v>1386</v>
      </c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229">
        <f t="shared" ref="AB1267:AB1294" si="507">D1267+F1267+H1267+J1267+L1267+N1267+P1267+R1267+T1267+V1267+X1267+Z1267</f>
        <v>0</v>
      </c>
      <c r="AC1267" s="228">
        <f t="shared" si="503"/>
        <v>0</v>
      </c>
      <c r="AD1267" s="19">
        <v>0</v>
      </c>
      <c r="AE1267" s="28"/>
      <c r="AF1267" s="28"/>
      <c r="AG1267" s="28"/>
      <c r="AH1267" s="28"/>
      <c r="AI1267" s="28"/>
      <c r="AJ1267" s="28">
        <v>12</v>
      </c>
      <c r="AK1267" s="28"/>
      <c r="AL1267" s="28"/>
      <c r="AM1267" s="28"/>
      <c r="AN1267" s="28"/>
      <c r="AO1267" s="28"/>
      <c r="AP1267" s="28">
        <v>27</v>
      </c>
      <c r="AQ1267" s="28"/>
      <c r="AR1267" s="28"/>
      <c r="AS1267" s="28"/>
      <c r="AT1267" s="28"/>
      <c r="AU1267" s="28"/>
      <c r="AV1267" s="28">
        <v>47</v>
      </c>
      <c r="AW1267" s="28"/>
      <c r="AX1267" s="28"/>
      <c r="AY1267" s="28"/>
      <c r="AZ1267" s="28"/>
      <c r="BA1267" s="28"/>
      <c r="BB1267" s="28">
        <v>7</v>
      </c>
      <c r="BC1267" s="229">
        <f t="shared" ref="BC1267:BC1294" si="508">AE1267+AG1267+AI1267+AK1267+AM1267+AO1267+AQ1267+AS1267+AU1267+AW1267+AY1267+BA1267</f>
        <v>0</v>
      </c>
      <c r="BD1267" s="48">
        <f t="shared" si="504"/>
        <v>93</v>
      </c>
      <c r="BE1267" s="19">
        <v>98</v>
      </c>
      <c r="BF1267" s="229">
        <f t="shared" ref="BF1267:BF1294" si="509">AB1267+BC1267</f>
        <v>0</v>
      </c>
      <c r="BG1267" s="210">
        <f t="shared" si="505"/>
        <v>93</v>
      </c>
      <c r="BH1267" s="210">
        <f t="shared" si="506"/>
        <v>98</v>
      </c>
      <c r="BI1267" s="213">
        <f t="shared" si="502"/>
        <v>94.897959183673478</v>
      </c>
      <c r="BJ1267" s="141"/>
      <c r="BK1267" s="201"/>
      <c r="BL1267" s="202"/>
      <c r="BM1267" s="202"/>
    </row>
    <row r="1268" spans="1:65" s="17" customFormat="1" ht="18" customHeight="1">
      <c r="A1268" s="114">
        <v>85</v>
      </c>
      <c r="B1268" s="24" t="s">
        <v>903</v>
      </c>
      <c r="C1268" s="25" t="s">
        <v>1165</v>
      </c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229">
        <f t="shared" si="507"/>
        <v>0</v>
      </c>
      <c r="AC1268" s="228">
        <f t="shared" si="503"/>
        <v>0</v>
      </c>
      <c r="AD1268" s="19">
        <v>0</v>
      </c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29">
        <f t="shared" si="508"/>
        <v>0</v>
      </c>
      <c r="BD1268" s="48">
        <f t="shared" si="504"/>
        <v>0</v>
      </c>
      <c r="BE1268" s="19">
        <v>5</v>
      </c>
      <c r="BF1268" s="229">
        <f t="shared" si="509"/>
        <v>0</v>
      </c>
      <c r="BG1268" s="210">
        <f t="shared" si="505"/>
        <v>0</v>
      </c>
      <c r="BH1268" s="210">
        <f t="shared" si="506"/>
        <v>5</v>
      </c>
      <c r="BI1268" s="213">
        <f t="shared" si="502"/>
        <v>0</v>
      </c>
      <c r="BJ1268" s="141"/>
      <c r="BK1268" s="201"/>
      <c r="BL1268" s="202"/>
      <c r="BM1268" s="202"/>
    </row>
    <row r="1269" spans="1:65" s="17" customFormat="1" ht="18" customHeight="1">
      <c r="A1269" s="114">
        <v>86</v>
      </c>
      <c r="B1269" s="24" t="s">
        <v>659</v>
      </c>
      <c r="C1269" s="25" t="s">
        <v>660</v>
      </c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>
        <v>1</v>
      </c>
      <c r="V1269" s="121"/>
      <c r="W1269" s="121"/>
      <c r="X1269" s="121"/>
      <c r="Y1269" s="121"/>
      <c r="Z1269" s="121"/>
      <c r="AA1269" s="121"/>
      <c r="AB1269" s="229">
        <f t="shared" si="507"/>
        <v>0</v>
      </c>
      <c r="AC1269" s="228">
        <f t="shared" si="503"/>
        <v>1</v>
      </c>
      <c r="AD1269" s="19">
        <v>0</v>
      </c>
      <c r="AE1269" s="28"/>
      <c r="AF1269" s="28"/>
      <c r="AG1269" s="28"/>
      <c r="AH1269" s="28"/>
      <c r="AI1269" s="28"/>
      <c r="AJ1269" s="28">
        <f>3+202+16</f>
        <v>221</v>
      </c>
      <c r="AK1269" s="28"/>
      <c r="AL1269" s="28"/>
      <c r="AM1269" s="28"/>
      <c r="AN1269" s="28"/>
      <c r="AO1269" s="28"/>
      <c r="AP1269" s="28">
        <f>2+136+23</f>
        <v>161</v>
      </c>
      <c r="AQ1269" s="28"/>
      <c r="AR1269" s="28"/>
      <c r="AS1269" s="28"/>
      <c r="AT1269" s="28"/>
      <c r="AU1269" s="28"/>
      <c r="AV1269" s="28">
        <f>3+93</f>
        <v>96</v>
      </c>
      <c r="AW1269" s="28"/>
      <c r="AX1269" s="28"/>
      <c r="AY1269" s="28"/>
      <c r="AZ1269" s="28"/>
      <c r="BA1269" s="28"/>
      <c r="BB1269" s="28">
        <v>173</v>
      </c>
      <c r="BC1269" s="229">
        <f t="shared" si="508"/>
        <v>0</v>
      </c>
      <c r="BD1269" s="48">
        <f t="shared" si="504"/>
        <v>651</v>
      </c>
      <c r="BE1269" s="19">
        <v>685</v>
      </c>
      <c r="BF1269" s="229">
        <f t="shared" si="509"/>
        <v>0</v>
      </c>
      <c r="BG1269" s="210">
        <f t="shared" si="505"/>
        <v>652</v>
      </c>
      <c r="BH1269" s="210">
        <f t="shared" si="506"/>
        <v>685</v>
      </c>
      <c r="BI1269" s="213">
        <f t="shared" si="502"/>
        <v>95.182481751824824</v>
      </c>
      <c r="BJ1269" s="141"/>
      <c r="BK1269" s="201"/>
      <c r="BL1269" s="202"/>
      <c r="BM1269" s="202"/>
    </row>
    <row r="1270" spans="1:65" s="17" customFormat="1" ht="21.95" customHeight="1">
      <c r="A1270" s="114">
        <v>87</v>
      </c>
      <c r="B1270" s="24" t="s">
        <v>661</v>
      </c>
      <c r="C1270" s="27" t="s">
        <v>743</v>
      </c>
      <c r="D1270" s="121"/>
      <c r="E1270" s="121"/>
      <c r="F1270" s="121"/>
      <c r="G1270" s="121"/>
      <c r="H1270" s="121"/>
      <c r="I1270" s="121">
        <v>1</v>
      </c>
      <c r="J1270" s="121"/>
      <c r="K1270" s="121"/>
      <c r="L1270" s="121"/>
      <c r="M1270" s="121"/>
      <c r="N1270" s="121"/>
      <c r="O1270" s="121">
        <v>1</v>
      </c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229">
        <f t="shared" si="507"/>
        <v>0</v>
      </c>
      <c r="AC1270" s="228">
        <f t="shared" si="503"/>
        <v>2</v>
      </c>
      <c r="AD1270" s="19">
        <v>6</v>
      </c>
      <c r="AE1270" s="28"/>
      <c r="AF1270" s="28"/>
      <c r="AG1270" s="28"/>
      <c r="AH1270" s="28"/>
      <c r="AI1270" s="28"/>
      <c r="AJ1270" s="28">
        <f>4981+829+2+740</f>
        <v>6552</v>
      </c>
      <c r="AK1270" s="28"/>
      <c r="AL1270" s="28"/>
      <c r="AM1270" s="28"/>
      <c r="AN1270" s="28"/>
      <c r="AO1270" s="28"/>
      <c r="AP1270" s="28">
        <f>2869+714+417</f>
        <v>4000</v>
      </c>
      <c r="AQ1270" s="28"/>
      <c r="AR1270" s="28"/>
      <c r="AS1270" s="28"/>
      <c r="AT1270" s="28"/>
      <c r="AU1270" s="28"/>
      <c r="AV1270" s="28">
        <f>2953+458</f>
        <v>3411</v>
      </c>
      <c r="AW1270" s="28"/>
      <c r="AX1270" s="28"/>
      <c r="AY1270" s="28"/>
      <c r="AZ1270" s="28"/>
      <c r="BA1270" s="28"/>
      <c r="BB1270" s="28">
        <f>4629+754</f>
        <v>5383</v>
      </c>
      <c r="BC1270" s="229">
        <f t="shared" si="508"/>
        <v>0</v>
      </c>
      <c r="BD1270" s="48">
        <f t="shared" si="504"/>
        <v>19346</v>
      </c>
      <c r="BE1270" s="19">
        <v>15794</v>
      </c>
      <c r="BF1270" s="229">
        <f t="shared" si="509"/>
        <v>0</v>
      </c>
      <c r="BG1270" s="210">
        <f t="shared" si="505"/>
        <v>19348</v>
      </c>
      <c r="BH1270" s="210">
        <f t="shared" si="506"/>
        <v>15800</v>
      </c>
      <c r="BI1270" s="213">
        <f t="shared" si="502"/>
        <v>122.45569620253166</v>
      </c>
      <c r="BJ1270" s="141"/>
      <c r="BK1270" s="201"/>
      <c r="BL1270" s="202"/>
      <c r="BM1270" s="202"/>
    </row>
    <row r="1271" spans="1:65" s="17" customFormat="1" ht="21.95" customHeight="1">
      <c r="A1271" s="330"/>
      <c r="B1271" s="24" t="s">
        <v>784</v>
      </c>
      <c r="C1271" s="336" t="s">
        <v>1369</v>
      </c>
      <c r="D1271" s="333"/>
      <c r="E1271" s="333"/>
      <c r="F1271" s="333"/>
      <c r="G1271" s="333"/>
      <c r="H1271" s="333"/>
      <c r="I1271" s="333"/>
      <c r="J1271" s="333"/>
      <c r="K1271" s="333"/>
      <c r="L1271" s="333"/>
      <c r="M1271" s="333"/>
      <c r="N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23"/>
      <c r="AC1271" s="228">
        <f t="shared" si="503"/>
        <v>0</v>
      </c>
      <c r="AD1271" s="326">
        <v>0</v>
      </c>
      <c r="AE1271" s="334"/>
      <c r="AF1271" s="334"/>
      <c r="AG1271" s="334"/>
      <c r="AH1271" s="334"/>
      <c r="AI1271" s="334"/>
      <c r="AJ1271" s="334"/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4"/>
      <c r="AX1271" s="334"/>
      <c r="AY1271" s="334"/>
      <c r="AZ1271" s="334"/>
      <c r="BA1271" s="334"/>
      <c r="BB1271" s="334">
        <v>3</v>
      </c>
      <c r="BC1271" s="323"/>
      <c r="BD1271" s="48">
        <f t="shared" si="504"/>
        <v>3</v>
      </c>
      <c r="BE1271" s="326">
        <v>0</v>
      </c>
      <c r="BF1271" s="323"/>
      <c r="BG1271" s="210">
        <f t="shared" ref="BG1271" si="510">AC1271+BD1271</f>
        <v>3</v>
      </c>
      <c r="BH1271" s="210">
        <f t="shared" ref="BH1271" si="511">AD1271+BE1271</f>
        <v>0</v>
      </c>
      <c r="BI1271" s="213" t="e">
        <f t="shared" ref="BI1271" si="512">BG1271/BH1271*100</f>
        <v>#DIV/0!</v>
      </c>
      <c r="BJ1271" s="141"/>
      <c r="BK1271" s="201"/>
      <c r="BL1271" s="202"/>
      <c r="BM1271" s="202"/>
    </row>
    <row r="1272" spans="1:65" s="317" customFormat="1" ht="18" customHeight="1">
      <c r="A1272" s="114">
        <v>88</v>
      </c>
      <c r="B1272" s="24" t="s">
        <v>662</v>
      </c>
      <c r="C1272" s="25" t="s">
        <v>1096</v>
      </c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229">
        <f t="shared" si="507"/>
        <v>0</v>
      </c>
      <c r="AC1272" s="228">
        <f t="shared" si="503"/>
        <v>0</v>
      </c>
      <c r="AD1272" s="19">
        <v>0</v>
      </c>
      <c r="AE1272" s="28"/>
      <c r="AF1272" s="28"/>
      <c r="AG1272" s="28"/>
      <c r="AH1272" s="28"/>
      <c r="AI1272" s="28"/>
      <c r="AJ1272" s="28">
        <f>1275+180</f>
        <v>1455</v>
      </c>
      <c r="AK1272" s="28"/>
      <c r="AL1272" s="28"/>
      <c r="AM1272" s="28"/>
      <c r="AN1272" s="28"/>
      <c r="AO1272" s="28"/>
      <c r="AP1272" s="28">
        <f>876+125</f>
        <v>1001</v>
      </c>
      <c r="AQ1272" s="28"/>
      <c r="AR1272" s="28"/>
      <c r="AS1272" s="28"/>
      <c r="AT1272" s="28"/>
      <c r="AU1272" s="28"/>
      <c r="AV1272" s="28">
        <v>893</v>
      </c>
      <c r="AW1272" s="28"/>
      <c r="AX1272" s="28"/>
      <c r="AY1272" s="28"/>
      <c r="AZ1272" s="28"/>
      <c r="BA1272" s="28"/>
      <c r="BB1272" s="28">
        <v>1192</v>
      </c>
      <c r="BC1272" s="229">
        <f t="shared" si="508"/>
        <v>0</v>
      </c>
      <c r="BD1272" s="48">
        <f t="shared" si="504"/>
        <v>4541</v>
      </c>
      <c r="BE1272" s="19">
        <v>3542</v>
      </c>
      <c r="BF1272" s="229">
        <f t="shared" si="509"/>
        <v>0</v>
      </c>
      <c r="BG1272" s="210">
        <f t="shared" si="505"/>
        <v>4541</v>
      </c>
      <c r="BH1272" s="210">
        <f t="shared" si="506"/>
        <v>3542</v>
      </c>
      <c r="BI1272" s="213">
        <f t="shared" si="502"/>
        <v>128.20440429136082</v>
      </c>
      <c r="BJ1272" s="141"/>
      <c r="BK1272" s="201"/>
      <c r="BL1272" s="202"/>
      <c r="BM1272" s="202"/>
    </row>
    <row r="1273" spans="1:65" s="17" customFormat="1" ht="21.95" customHeight="1">
      <c r="A1273" s="114">
        <v>89</v>
      </c>
      <c r="B1273" s="24" t="s">
        <v>929</v>
      </c>
      <c r="C1273" s="25" t="s">
        <v>2432</v>
      </c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229">
        <f t="shared" si="507"/>
        <v>0</v>
      </c>
      <c r="AC1273" s="228">
        <f t="shared" si="503"/>
        <v>0</v>
      </c>
      <c r="AD1273" s="19">
        <v>0</v>
      </c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29">
        <f t="shared" si="508"/>
        <v>0</v>
      </c>
      <c r="BD1273" s="48">
        <f t="shared" si="504"/>
        <v>0</v>
      </c>
      <c r="BE1273" s="19">
        <v>1</v>
      </c>
      <c r="BF1273" s="229">
        <f t="shared" si="509"/>
        <v>0</v>
      </c>
      <c r="BG1273" s="210">
        <f t="shared" si="505"/>
        <v>0</v>
      </c>
      <c r="BH1273" s="210">
        <f t="shared" si="506"/>
        <v>1</v>
      </c>
      <c r="BI1273" s="213">
        <f t="shared" si="502"/>
        <v>0</v>
      </c>
      <c r="BJ1273" s="141"/>
      <c r="BK1273" s="201"/>
      <c r="BL1273" s="202"/>
      <c r="BM1273" s="202"/>
    </row>
    <row r="1274" spans="1:65" s="17" customFormat="1" ht="18" customHeight="1">
      <c r="A1274" s="114">
        <v>90</v>
      </c>
      <c r="B1274" s="24" t="s">
        <v>1373</v>
      </c>
      <c r="C1274" s="25" t="s">
        <v>1389</v>
      </c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229">
        <f t="shared" si="507"/>
        <v>0</v>
      </c>
      <c r="AC1274" s="228">
        <f t="shared" si="503"/>
        <v>0</v>
      </c>
      <c r="AD1274" s="19">
        <v>0</v>
      </c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29">
        <f t="shared" si="508"/>
        <v>0</v>
      </c>
      <c r="BD1274" s="48">
        <f t="shared" si="504"/>
        <v>0</v>
      </c>
      <c r="BE1274" s="19">
        <v>1</v>
      </c>
      <c r="BF1274" s="229">
        <f t="shared" si="509"/>
        <v>0</v>
      </c>
      <c r="BG1274" s="210">
        <f t="shared" si="505"/>
        <v>0</v>
      </c>
      <c r="BH1274" s="210">
        <f t="shared" si="506"/>
        <v>1</v>
      </c>
      <c r="BI1274" s="213">
        <f t="shared" si="502"/>
        <v>0</v>
      </c>
      <c r="BJ1274" s="141"/>
      <c r="BK1274" s="201"/>
      <c r="BL1274" s="202"/>
      <c r="BM1274" s="202"/>
    </row>
    <row r="1275" spans="1:65" s="17" customFormat="1" ht="18" customHeight="1">
      <c r="A1275" s="114">
        <v>91</v>
      </c>
      <c r="B1275" s="24" t="s">
        <v>663</v>
      </c>
      <c r="C1275" s="25" t="s">
        <v>1097</v>
      </c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229">
        <f t="shared" si="507"/>
        <v>0</v>
      </c>
      <c r="AC1275" s="228">
        <f t="shared" si="503"/>
        <v>0</v>
      </c>
      <c r="AD1275" s="19">
        <v>0</v>
      </c>
      <c r="AE1275" s="28"/>
      <c r="AF1275" s="28"/>
      <c r="AG1275" s="28"/>
      <c r="AH1275" s="28"/>
      <c r="AI1275" s="28"/>
      <c r="AJ1275" s="28">
        <f>278+86</f>
        <v>364</v>
      </c>
      <c r="AK1275" s="28"/>
      <c r="AL1275" s="28"/>
      <c r="AM1275" s="28"/>
      <c r="AN1275" s="28"/>
      <c r="AO1275" s="28"/>
      <c r="AP1275" s="28">
        <f>195+37</f>
        <v>232</v>
      </c>
      <c r="AQ1275" s="28"/>
      <c r="AR1275" s="28"/>
      <c r="AS1275" s="28"/>
      <c r="AT1275" s="28"/>
      <c r="AU1275" s="28"/>
      <c r="AV1275" s="28">
        <v>180</v>
      </c>
      <c r="AW1275" s="28"/>
      <c r="AX1275" s="28"/>
      <c r="AY1275" s="28"/>
      <c r="AZ1275" s="28"/>
      <c r="BA1275" s="28"/>
      <c r="BB1275" s="28">
        <v>256</v>
      </c>
      <c r="BC1275" s="229">
        <f t="shared" si="508"/>
        <v>0</v>
      </c>
      <c r="BD1275" s="48">
        <f t="shared" si="504"/>
        <v>1032</v>
      </c>
      <c r="BE1275" s="19">
        <v>584</v>
      </c>
      <c r="BF1275" s="229">
        <f t="shared" si="509"/>
        <v>0</v>
      </c>
      <c r="BG1275" s="210">
        <f t="shared" si="505"/>
        <v>1032</v>
      </c>
      <c r="BH1275" s="210">
        <f t="shared" si="506"/>
        <v>584</v>
      </c>
      <c r="BI1275" s="213">
        <f t="shared" si="502"/>
        <v>176.7123287671233</v>
      </c>
      <c r="BJ1275" s="141"/>
      <c r="BK1275" s="201"/>
      <c r="BL1275" s="202"/>
      <c r="BM1275" s="202"/>
    </row>
    <row r="1276" spans="1:65" s="17" customFormat="1" ht="24" customHeight="1">
      <c r="A1276" s="114">
        <v>92</v>
      </c>
      <c r="B1276" s="24" t="s">
        <v>664</v>
      </c>
      <c r="C1276" s="27" t="s">
        <v>1167</v>
      </c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229">
        <f t="shared" si="507"/>
        <v>0</v>
      </c>
      <c r="AC1276" s="228">
        <f t="shared" si="503"/>
        <v>0</v>
      </c>
      <c r="AD1276" s="19">
        <v>0</v>
      </c>
      <c r="AE1276" s="28"/>
      <c r="AF1276" s="28"/>
      <c r="AG1276" s="28"/>
      <c r="AH1276" s="28"/>
      <c r="AI1276" s="28"/>
      <c r="AJ1276" s="28">
        <f>26+348+30</f>
        <v>404</v>
      </c>
      <c r="AK1276" s="28"/>
      <c r="AL1276" s="28"/>
      <c r="AM1276" s="28"/>
      <c r="AN1276" s="28"/>
      <c r="AO1276" s="28"/>
      <c r="AP1276" s="28">
        <f>17+290+19</f>
        <v>326</v>
      </c>
      <c r="AQ1276" s="28"/>
      <c r="AR1276" s="28"/>
      <c r="AS1276" s="28"/>
      <c r="AT1276" s="28"/>
      <c r="AU1276" s="28"/>
      <c r="AV1276" s="28">
        <f>10+194</f>
        <v>204</v>
      </c>
      <c r="AW1276" s="28"/>
      <c r="AX1276" s="28"/>
      <c r="AY1276" s="28"/>
      <c r="AZ1276" s="28"/>
      <c r="BA1276" s="28"/>
      <c r="BB1276" s="28">
        <f>17+319</f>
        <v>336</v>
      </c>
      <c r="BC1276" s="229">
        <f t="shared" si="508"/>
        <v>0</v>
      </c>
      <c r="BD1276" s="48">
        <f t="shared" si="504"/>
        <v>1270</v>
      </c>
      <c r="BE1276" s="19">
        <v>1297</v>
      </c>
      <c r="BF1276" s="229">
        <f t="shared" si="509"/>
        <v>0</v>
      </c>
      <c r="BG1276" s="210">
        <f t="shared" si="505"/>
        <v>1270</v>
      </c>
      <c r="BH1276" s="210">
        <f t="shared" si="506"/>
        <v>1297</v>
      </c>
      <c r="BI1276" s="213">
        <f t="shared" si="502"/>
        <v>97.918272937548196</v>
      </c>
      <c r="BJ1276" s="141"/>
      <c r="BK1276" s="201"/>
      <c r="BL1276" s="202"/>
      <c r="BM1276" s="202"/>
    </row>
    <row r="1277" spans="1:65" s="17" customFormat="1" ht="21.95" customHeight="1">
      <c r="A1277" s="114">
        <v>93</v>
      </c>
      <c r="B1277" s="24" t="s">
        <v>1168</v>
      </c>
      <c r="C1277" s="27" t="s">
        <v>1169</v>
      </c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229">
        <f t="shared" si="507"/>
        <v>0</v>
      </c>
      <c r="AC1277" s="228">
        <f t="shared" si="503"/>
        <v>0</v>
      </c>
      <c r="AD1277" s="19">
        <v>0</v>
      </c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29">
        <f t="shared" si="508"/>
        <v>0</v>
      </c>
      <c r="BD1277" s="48">
        <f t="shared" si="504"/>
        <v>0</v>
      </c>
      <c r="BE1277" s="19">
        <v>1</v>
      </c>
      <c r="BF1277" s="229">
        <f t="shared" si="509"/>
        <v>0</v>
      </c>
      <c r="BG1277" s="210">
        <f t="shared" si="505"/>
        <v>0</v>
      </c>
      <c r="BH1277" s="210">
        <f t="shared" si="506"/>
        <v>1</v>
      </c>
      <c r="BI1277" s="213">
        <f t="shared" si="502"/>
        <v>0</v>
      </c>
      <c r="BJ1277" s="141"/>
      <c r="BK1277" s="201"/>
      <c r="BL1277" s="202"/>
      <c r="BM1277" s="202"/>
    </row>
    <row r="1278" spans="1:65" s="17" customFormat="1" ht="21.95" customHeight="1">
      <c r="A1278" s="114">
        <v>94</v>
      </c>
      <c r="B1278" s="24" t="s">
        <v>1634</v>
      </c>
      <c r="C1278" s="27" t="s">
        <v>1705</v>
      </c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229">
        <f t="shared" si="507"/>
        <v>0</v>
      </c>
      <c r="AC1278" s="228">
        <f t="shared" si="503"/>
        <v>0</v>
      </c>
      <c r="AD1278" s="19">
        <v>0</v>
      </c>
      <c r="AE1278" s="28"/>
      <c r="AF1278" s="28"/>
      <c r="AG1278" s="28"/>
      <c r="AH1278" s="28"/>
      <c r="AI1278" s="28"/>
      <c r="AJ1278" s="28">
        <v>1</v>
      </c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29">
        <f t="shared" si="508"/>
        <v>0</v>
      </c>
      <c r="BD1278" s="48">
        <f t="shared" si="504"/>
        <v>1</v>
      </c>
      <c r="BE1278" s="19">
        <v>6</v>
      </c>
      <c r="BF1278" s="229">
        <f t="shared" si="509"/>
        <v>0</v>
      </c>
      <c r="BG1278" s="210">
        <f t="shared" si="505"/>
        <v>1</v>
      </c>
      <c r="BH1278" s="210">
        <f t="shared" si="506"/>
        <v>6</v>
      </c>
      <c r="BI1278" s="213">
        <f t="shared" si="502"/>
        <v>16.666666666666664</v>
      </c>
      <c r="BJ1278" s="141"/>
      <c r="BK1278" s="201"/>
      <c r="BL1278" s="202"/>
      <c r="BM1278" s="202"/>
    </row>
    <row r="1279" spans="1:65" s="17" customFormat="1" ht="21.95" customHeight="1">
      <c r="A1279" s="114">
        <v>95</v>
      </c>
      <c r="B1279" s="24" t="s">
        <v>786</v>
      </c>
      <c r="C1279" s="27" t="s">
        <v>2250</v>
      </c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229">
        <f t="shared" si="507"/>
        <v>0</v>
      </c>
      <c r="AC1279" s="228">
        <f t="shared" si="503"/>
        <v>0</v>
      </c>
      <c r="AD1279" s="19">
        <v>0</v>
      </c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29">
        <f t="shared" si="508"/>
        <v>0</v>
      </c>
      <c r="BD1279" s="48">
        <f t="shared" si="504"/>
        <v>0</v>
      </c>
      <c r="BE1279" s="19">
        <v>5</v>
      </c>
      <c r="BF1279" s="229">
        <f t="shared" si="509"/>
        <v>0</v>
      </c>
      <c r="BG1279" s="210">
        <f t="shared" si="505"/>
        <v>0</v>
      </c>
      <c r="BH1279" s="210">
        <f t="shared" si="506"/>
        <v>5</v>
      </c>
      <c r="BI1279" s="213">
        <f t="shared" si="502"/>
        <v>0</v>
      </c>
      <c r="BJ1279" s="141"/>
      <c r="BK1279" s="201"/>
      <c r="BL1279" s="202"/>
      <c r="BM1279" s="202"/>
    </row>
    <row r="1280" spans="1:65" s="17" customFormat="1" ht="18" customHeight="1">
      <c r="A1280" s="114">
        <v>96</v>
      </c>
      <c r="B1280" s="24" t="s">
        <v>704</v>
      </c>
      <c r="C1280" s="25" t="s">
        <v>1383</v>
      </c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229">
        <f t="shared" si="507"/>
        <v>0</v>
      </c>
      <c r="AC1280" s="228">
        <f t="shared" si="503"/>
        <v>0</v>
      </c>
      <c r="AD1280" s="19">
        <v>0</v>
      </c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>
        <v>4</v>
      </c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29">
        <f t="shared" si="508"/>
        <v>0</v>
      </c>
      <c r="BD1280" s="48">
        <f t="shared" si="504"/>
        <v>4</v>
      </c>
      <c r="BE1280" s="19">
        <v>14</v>
      </c>
      <c r="BF1280" s="229">
        <f t="shared" si="509"/>
        <v>0</v>
      </c>
      <c r="BG1280" s="210">
        <f t="shared" si="505"/>
        <v>4</v>
      </c>
      <c r="BH1280" s="210">
        <f t="shared" si="506"/>
        <v>14</v>
      </c>
      <c r="BI1280" s="213">
        <f t="shared" si="502"/>
        <v>28.571428571428569</v>
      </c>
      <c r="BJ1280" s="141"/>
      <c r="BK1280" s="201"/>
      <c r="BL1280" s="202"/>
      <c r="BM1280" s="202"/>
    </row>
    <row r="1281" spans="1:65" s="17" customFormat="1" ht="18" customHeight="1">
      <c r="A1281" s="114">
        <v>97</v>
      </c>
      <c r="B1281" s="24" t="s">
        <v>787</v>
      </c>
      <c r="C1281" s="25" t="s">
        <v>1171</v>
      </c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229">
        <f t="shared" si="507"/>
        <v>0</v>
      </c>
      <c r="AC1281" s="228">
        <f t="shared" si="503"/>
        <v>0</v>
      </c>
      <c r="AD1281" s="19">
        <v>0</v>
      </c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29">
        <f t="shared" si="508"/>
        <v>0</v>
      </c>
      <c r="BD1281" s="48">
        <f t="shared" si="504"/>
        <v>0</v>
      </c>
      <c r="BE1281" s="19">
        <v>2</v>
      </c>
      <c r="BF1281" s="229">
        <f t="shared" si="509"/>
        <v>0</v>
      </c>
      <c r="BG1281" s="210">
        <f t="shared" si="505"/>
        <v>0</v>
      </c>
      <c r="BH1281" s="210">
        <f t="shared" si="506"/>
        <v>2</v>
      </c>
      <c r="BI1281" s="213">
        <f t="shared" ref="BI1281:BI1294" si="513">BG1281/BH1281*100</f>
        <v>0</v>
      </c>
      <c r="BJ1281" s="141"/>
      <c r="BK1281" s="201"/>
      <c r="BL1281" s="202"/>
      <c r="BM1281" s="202"/>
    </row>
    <row r="1282" spans="1:65" s="17" customFormat="1" ht="18" customHeight="1">
      <c r="A1282" s="114">
        <v>98</v>
      </c>
      <c r="B1282" s="24" t="s">
        <v>788</v>
      </c>
      <c r="C1282" s="25" t="s">
        <v>1172</v>
      </c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229">
        <f t="shared" si="507"/>
        <v>0</v>
      </c>
      <c r="AC1282" s="228">
        <f t="shared" si="503"/>
        <v>0</v>
      </c>
      <c r="AD1282" s="19">
        <v>0</v>
      </c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>
        <v>1</v>
      </c>
      <c r="AW1282" s="28"/>
      <c r="AX1282" s="28"/>
      <c r="AY1282" s="28"/>
      <c r="AZ1282" s="28"/>
      <c r="BA1282" s="28"/>
      <c r="BB1282" s="28">
        <v>1</v>
      </c>
      <c r="BC1282" s="229">
        <f t="shared" si="508"/>
        <v>0</v>
      </c>
      <c r="BD1282" s="48">
        <f t="shared" si="504"/>
        <v>2</v>
      </c>
      <c r="BE1282" s="19">
        <v>4</v>
      </c>
      <c r="BF1282" s="229">
        <f t="shared" si="509"/>
        <v>0</v>
      </c>
      <c r="BG1282" s="210">
        <f t="shared" si="505"/>
        <v>2</v>
      </c>
      <c r="BH1282" s="210">
        <f t="shared" si="506"/>
        <v>4</v>
      </c>
      <c r="BI1282" s="213">
        <f t="shared" si="513"/>
        <v>50</v>
      </c>
      <c r="BJ1282" s="141"/>
      <c r="BK1282" s="201"/>
      <c r="BL1282" s="202"/>
      <c r="BM1282" s="202"/>
    </row>
    <row r="1283" spans="1:65" s="17" customFormat="1" ht="18" customHeight="1">
      <c r="A1283" s="114">
        <v>99</v>
      </c>
      <c r="B1283" s="24" t="s">
        <v>789</v>
      </c>
      <c r="C1283" s="25" t="s">
        <v>2127</v>
      </c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229">
        <f t="shared" si="507"/>
        <v>0</v>
      </c>
      <c r="AC1283" s="228">
        <f t="shared" si="503"/>
        <v>0</v>
      </c>
      <c r="AD1283" s="19">
        <v>0</v>
      </c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29">
        <f t="shared" si="508"/>
        <v>0</v>
      </c>
      <c r="BD1283" s="48">
        <f t="shared" si="504"/>
        <v>0</v>
      </c>
      <c r="BE1283" s="19">
        <v>1</v>
      </c>
      <c r="BF1283" s="229">
        <f t="shared" si="509"/>
        <v>0</v>
      </c>
      <c r="BG1283" s="210">
        <f t="shared" si="505"/>
        <v>0</v>
      </c>
      <c r="BH1283" s="210">
        <f t="shared" si="506"/>
        <v>1</v>
      </c>
      <c r="BI1283" s="213">
        <f t="shared" si="513"/>
        <v>0</v>
      </c>
      <c r="BJ1283" s="141"/>
      <c r="BK1283" s="201"/>
      <c r="BL1283" s="202"/>
      <c r="BM1283" s="202"/>
    </row>
    <row r="1284" spans="1:65" s="17" customFormat="1" ht="18" customHeight="1">
      <c r="A1284" s="114">
        <v>100</v>
      </c>
      <c r="B1284" s="24" t="s">
        <v>1173</v>
      </c>
      <c r="C1284" s="25" t="s">
        <v>1371</v>
      </c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229">
        <f t="shared" si="507"/>
        <v>0</v>
      </c>
      <c r="AC1284" s="228">
        <f t="shared" si="503"/>
        <v>0</v>
      </c>
      <c r="AD1284" s="19">
        <v>0</v>
      </c>
      <c r="AE1284" s="28"/>
      <c r="AF1284" s="28"/>
      <c r="AG1284" s="28"/>
      <c r="AH1284" s="28"/>
      <c r="AI1284" s="28"/>
      <c r="AJ1284" s="28">
        <v>7</v>
      </c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29">
        <f t="shared" si="508"/>
        <v>0</v>
      </c>
      <c r="BD1284" s="48">
        <f t="shared" si="504"/>
        <v>7</v>
      </c>
      <c r="BE1284" s="19">
        <v>1</v>
      </c>
      <c r="BF1284" s="229">
        <f t="shared" si="509"/>
        <v>0</v>
      </c>
      <c r="BG1284" s="210">
        <f t="shared" si="505"/>
        <v>7</v>
      </c>
      <c r="BH1284" s="210">
        <f t="shared" si="506"/>
        <v>1</v>
      </c>
      <c r="BI1284" s="213">
        <f t="shared" si="513"/>
        <v>700</v>
      </c>
      <c r="BJ1284" s="141"/>
      <c r="BK1284" s="201"/>
      <c r="BL1284" s="202"/>
      <c r="BM1284" s="202"/>
    </row>
    <row r="1285" spans="1:65" s="17" customFormat="1" ht="18" customHeight="1">
      <c r="A1285" s="114">
        <v>101</v>
      </c>
      <c r="B1285" s="24" t="s">
        <v>1174</v>
      </c>
      <c r="C1285" s="25" t="s">
        <v>1175</v>
      </c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229">
        <f t="shared" si="507"/>
        <v>0</v>
      </c>
      <c r="AC1285" s="228">
        <f t="shared" si="503"/>
        <v>0</v>
      </c>
      <c r="AD1285" s="19">
        <v>0</v>
      </c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29">
        <f t="shared" si="508"/>
        <v>0</v>
      </c>
      <c r="BD1285" s="48">
        <f t="shared" si="504"/>
        <v>0</v>
      </c>
      <c r="BE1285" s="19">
        <v>1</v>
      </c>
      <c r="BF1285" s="229">
        <f t="shared" si="509"/>
        <v>0</v>
      </c>
      <c r="BG1285" s="210">
        <f t="shared" si="505"/>
        <v>0</v>
      </c>
      <c r="BH1285" s="210">
        <f t="shared" si="506"/>
        <v>1</v>
      </c>
      <c r="BI1285" s="213">
        <f t="shared" si="513"/>
        <v>0</v>
      </c>
      <c r="BJ1285" s="141"/>
      <c r="BK1285" s="201"/>
      <c r="BL1285" s="202"/>
      <c r="BM1285" s="202"/>
    </row>
    <row r="1286" spans="1:65" s="17" customFormat="1" ht="18" customHeight="1">
      <c r="A1286" s="114">
        <v>102</v>
      </c>
      <c r="B1286" s="24" t="s">
        <v>1176</v>
      </c>
      <c r="C1286" s="25" t="s">
        <v>1388</v>
      </c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229">
        <f t="shared" si="507"/>
        <v>0</v>
      </c>
      <c r="AC1286" s="228">
        <f t="shared" si="503"/>
        <v>0</v>
      </c>
      <c r="AD1286" s="19">
        <v>0</v>
      </c>
      <c r="AE1286" s="28"/>
      <c r="AF1286" s="28"/>
      <c r="AG1286" s="28"/>
      <c r="AH1286" s="28"/>
      <c r="AI1286" s="28"/>
      <c r="AJ1286" s="28">
        <v>7</v>
      </c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29">
        <f t="shared" si="508"/>
        <v>0</v>
      </c>
      <c r="BD1286" s="48">
        <f t="shared" si="504"/>
        <v>7</v>
      </c>
      <c r="BE1286" s="19">
        <v>4</v>
      </c>
      <c r="BF1286" s="229">
        <f t="shared" si="509"/>
        <v>0</v>
      </c>
      <c r="BG1286" s="210">
        <f t="shared" si="505"/>
        <v>7</v>
      </c>
      <c r="BH1286" s="210">
        <f t="shared" si="506"/>
        <v>4</v>
      </c>
      <c r="BI1286" s="213">
        <f t="shared" si="513"/>
        <v>175</v>
      </c>
      <c r="BJ1286" s="141"/>
      <c r="BK1286" s="201"/>
      <c r="BL1286" s="202"/>
      <c r="BM1286" s="202"/>
    </row>
    <row r="1287" spans="1:65" s="17" customFormat="1" ht="24.75" customHeight="1">
      <c r="A1287" s="114">
        <v>103</v>
      </c>
      <c r="B1287" s="24" t="s">
        <v>790</v>
      </c>
      <c r="C1287" s="27" t="s">
        <v>2431</v>
      </c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229">
        <f t="shared" si="507"/>
        <v>0</v>
      </c>
      <c r="AC1287" s="228">
        <f t="shared" si="503"/>
        <v>0</v>
      </c>
      <c r="AD1287" s="19">
        <v>0</v>
      </c>
      <c r="AE1287" s="28"/>
      <c r="AF1287" s="28"/>
      <c r="AG1287" s="28"/>
      <c r="AH1287" s="28"/>
      <c r="AI1287" s="28"/>
      <c r="AJ1287" s="28">
        <f>1162+341+229</f>
        <v>1732</v>
      </c>
      <c r="AK1287" s="28"/>
      <c r="AL1287" s="28"/>
      <c r="AM1287" s="28"/>
      <c r="AN1287" s="28"/>
      <c r="AO1287" s="28"/>
      <c r="AP1287" s="28">
        <f>793+296+147</f>
        <v>1236</v>
      </c>
      <c r="AQ1287" s="28"/>
      <c r="AR1287" s="28"/>
      <c r="AS1287" s="28"/>
      <c r="AT1287" s="28"/>
      <c r="AU1287" s="28"/>
      <c r="AV1287" s="28">
        <f>872+181</f>
        <v>1053</v>
      </c>
      <c r="AW1287" s="28"/>
      <c r="AX1287" s="28"/>
      <c r="AY1287" s="28"/>
      <c r="AZ1287" s="28"/>
      <c r="BA1287" s="28"/>
      <c r="BB1287" s="28">
        <f>1263+314</f>
        <v>1577</v>
      </c>
      <c r="BC1287" s="229">
        <f t="shared" si="508"/>
        <v>0</v>
      </c>
      <c r="BD1287" s="48">
        <f t="shared" si="504"/>
        <v>5598</v>
      </c>
      <c r="BE1287" s="19">
        <v>4997</v>
      </c>
      <c r="BF1287" s="229">
        <f t="shared" si="509"/>
        <v>0</v>
      </c>
      <c r="BG1287" s="210">
        <f t="shared" si="505"/>
        <v>5598</v>
      </c>
      <c r="BH1287" s="210">
        <f t="shared" si="506"/>
        <v>4997</v>
      </c>
      <c r="BI1287" s="213">
        <f t="shared" si="513"/>
        <v>112.02721632979788</v>
      </c>
      <c r="BJ1287" s="141"/>
      <c r="BK1287" s="201"/>
      <c r="BL1287" s="202"/>
      <c r="BM1287" s="202"/>
    </row>
    <row r="1288" spans="1:65" s="17" customFormat="1" ht="24.75" customHeight="1">
      <c r="A1288" s="114">
        <v>104</v>
      </c>
      <c r="B1288" s="24" t="s">
        <v>791</v>
      </c>
      <c r="C1288" s="27" t="s">
        <v>2318</v>
      </c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229">
        <f t="shared" si="507"/>
        <v>0</v>
      </c>
      <c r="AC1288" s="228">
        <f t="shared" si="503"/>
        <v>0</v>
      </c>
      <c r="AD1288" s="19">
        <v>0</v>
      </c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>
        <v>9</v>
      </c>
      <c r="BC1288" s="229">
        <f t="shared" si="508"/>
        <v>0</v>
      </c>
      <c r="BD1288" s="48">
        <f t="shared" si="504"/>
        <v>9</v>
      </c>
      <c r="BE1288" s="19">
        <v>6</v>
      </c>
      <c r="BF1288" s="229">
        <f t="shared" si="509"/>
        <v>0</v>
      </c>
      <c r="BG1288" s="210">
        <f t="shared" si="505"/>
        <v>9</v>
      </c>
      <c r="BH1288" s="210">
        <f t="shared" si="506"/>
        <v>6</v>
      </c>
      <c r="BI1288" s="213">
        <f t="shared" si="513"/>
        <v>150</v>
      </c>
      <c r="BJ1288" s="141"/>
      <c r="BK1288" s="201"/>
      <c r="BL1288" s="202"/>
      <c r="BM1288" s="202"/>
    </row>
    <row r="1289" spans="1:65" s="17" customFormat="1" ht="24.75" customHeight="1">
      <c r="A1289" s="114">
        <v>105</v>
      </c>
      <c r="B1289" s="24" t="s">
        <v>744</v>
      </c>
      <c r="C1289" s="27" t="s">
        <v>745</v>
      </c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229">
        <f t="shared" si="507"/>
        <v>0</v>
      </c>
      <c r="AC1289" s="228">
        <f t="shared" si="503"/>
        <v>0</v>
      </c>
      <c r="AD1289" s="19">
        <v>0</v>
      </c>
      <c r="AE1289" s="28"/>
      <c r="AF1289" s="28"/>
      <c r="AG1289" s="28"/>
      <c r="AH1289" s="28"/>
      <c r="AI1289" s="28"/>
      <c r="AJ1289" s="28">
        <v>30</v>
      </c>
      <c r="AK1289" s="28"/>
      <c r="AL1289" s="28"/>
      <c r="AM1289" s="28"/>
      <c r="AN1289" s="28"/>
      <c r="AO1289" s="28"/>
      <c r="AP1289" s="28">
        <v>26</v>
      </c>
      <c r="AQ1289" s="28"/>
      <c r="AR1289" s="28"/>
      <c r="AS1289" s="28"/>
      <c r="AT1289" s="28"/>
      <c r="AU1289" s="28"/>
      <c r="AV1289" s="28">
        <v>19</v>
      </c>
      <c r="AW1289" s="28"/>
      <c r="AX1289" s="28"/>
      <c r="AY1289" s="28"/>
      <c r="AZ1289" s="28"/>
      <c r="BA1289" s="28"/>
      <c r="BB1289" s="28">
        <v>16</v>
      </c>
      <c r="BC1289" s="229">
        <f t="shared" si="508"/>
        <v>0</v>
      </c>
      <c r="BD1289" s="48">
        <f t="shared" si="504"/>
        <v>91</v>
      </c>
      <c r="BE1289" s="19">
        <v>32</v>
      </c>
      <c r="BF1289" s="229">
        <f t="shared" si="509"/>
        <v>0</v>
      </c>
      <c r="BG1289" s="210">
        <f t="shared" si="505"/>
        <v>91</v>
      </c>
      <c r="BH1289" s="210">
        <f t="shared" si="506"/>
        <v>32</v>
      </c>
      <c r="BI1289" s="213">
        <f t="shared" si="513"/>
        <v>284.375</v>
      </c>
      <c r="BJ1289" s="141"/>
      <c r="BK1289" s="201"/>
      <c r="BL1289" s="202"/>
      <c r="BM1289" s="202"/>
    </row>
    <row r="1290" spans="1:65" s="17" customFormat="1" ht="24.75" customHeight="1">
      <c r="A1290" s="114">
        <v>106</v>
      </c>
      <c r="B1290" s="24" t="s">
        <v>824</v>
      </c>
      <c r="C1290" s="27" t="s">
        <v>825</v>
      </c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229">
        <f t="shared" si="507"/>
        <v>0</v>
      </c>
      <c r="AC1290" s="228">
        <f t="shared" si="503"/>
        <v>0</v>
      </c>
      <c r="AD1290" s="19">
        <v>0</v>
      </c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29">
        <f t="shared" si="508"/>
        <v>0</v>
      </c>
      <c r="BD1290" s="48">
        <f t="shared" si="504"/>
        <v>0</v>
      </c>
      <c r="BE1290" s="19">
        <v>4</v>
      </c>
      <c r="BF1290" s="229">
        <f t="shared" si="509"/>
        <v>0</v>
      </c>
      <c r="BG1290" s="210">
        <f t="shared" si="505"/>
        <v>0</v>
      </c>
      <c r="BH1290" s="210">
        <f t="shared" si="506"/>
        <v>4</v>
      </c>
      <c r="BI1290" s="213">
        <f t="shared" si="513"/>
        <v>0</v>
      </c>
      <c r="BJ1290" s="141"/>
      <c r="BK1290" s="201"/>
      <c r="BL1290" s="202"/>
      <c r="BM1290" s="202"/>
    </row>
    <row r="1291" spans="1:65" s="17" customFormat="1" ht="21.95" customHeight="1">
      <c r="A1291" s="114">
        <v>107</v>
      </c>
      <c r="B1291" s="24" t="s">
        <v>667</v>
      </c>
      <c r="C1291" s="27" t="s">
        <v>792</v>
      </c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229">
        <f t="shared" si="507"/>
        <v>0</v>
      </c>
      <c r="AC1291" s="228">
        <f t="shared" si="503"/>
        <v>0</v>
      </c>
      <c r="AD1291" s="19">
        <v>0</v>
      </c>
      <c r="AE1291" s="28"/>
      <c r="AF1291" s="28"/>
      <c r="AG1291" s="28"/>
      <c r="AH1291" s="28"/>
      <c r="AI1291" s="28"/>
      <c r="AJ1291" s="28">
        <v>1</v>
      </c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29">
        <f t="shared" si="508"/>
        <v>0</v>
      </c>
      <c r="BD1291" s="48">
        <f t="shared" si="504"/>
        <v>1</v>
      </c>
      <c r="BE1291" s="19">
        <v>4</v>
      </c>
      <c r="BF1291" s="229">
        <f t="shared" si="509"/>
        <v>0</v>
      </c>
      <c r="BG1291" s="210">
        <f t="shared" si="505"/>
        <v>1</v>
      </c>
      <c r="BH1291" s="210">
        <f t="shared" si="506"/>
        <v>4</v>
      </c>
      <c r="BI1291" s="213">
        <f t="shared" si="513"/>
        <v>25</v>
      </c>
      <c r="BJ1291" s="141"/>
      <c r="BK1291" s="201"/>
      <c r="BL1291" s="202"/>
      <c r="BM1291" s="202"/>
    </row>
    <row r="1292" spans="1:65" s="17" customFormat="1" ht="18" customHeight="1">
      <c r="A1292" s="114">
        <v>108</v>
      </c>
      <c r="B1292" s="157" t="s">
        <v>1790</v>
      </c>
      <c r="C1292" s="158" t="s">
        <v>1791</v>
      </c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229">
        <f t="shared" si="507"/>
        <v>0</v>
      </c>
      <c r="AC1292" s="228">
        <f t="shared" si="503"/>
        <v>0</v>
      </c>
      <c r="AD1292" s="19">
        <v>1</v>
      </c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29">
        <f t="shared" si="508"/>
        <v>0</v>
      </c>
      <c r="BD1292" s="48">
        <f t="shared" si="504"/>
        <v>0</v>
      </c>
      <c r="BE1292" s="19">
        <v>0</v>
      </c>
      <c r="BF1292" s="229">
        <f t="shared" si="509"/>
        <v>0</v>
      </c>
      <c r="BG1292" s="210">
        <f t="shared" si="505"/>
        <v>0</v>
      </c>
      <c r="BH1292" s="210">
        <f t="shared" si="506"/>
        <v>1</v>
      </c>
      <c r="BI1292" s="213">
        <f t="shared" si="513"/>
        <v>0</v>
      </c>
      <c r="BJ1292" s="269" t="s">
        <v>2856</v>
      </c>
      <c r="BK1292" s="201"/>
      <c r="BL1292" s="202"/>
      <c r="BM1292" s="202"/>
    </row>
    <row r="1293" spans="1:65" s="17" customFormat="1" ht="18" customHeight="1">
      <c r="A1293" s="114">
        <v>109</v>
      </c>
      <c r="B1293" s="157" t="s">
        <v>1792</v>
      </c>
      <c r="C1293" s="162" t="s">
        <v>1793</v>
      </c>
      <c r="D1293" s="121"/>
      <c r="E1293" s="121"/>
      <c r="F1293" s="121"/>
      <c r="G1293" s="121"/>
      <c r="H1293" s="121"/>
      <c r="I1293" s="121">
        <v>13</v>
      </c>
      <c r="J1293" s="121"/>
      <c r="K1293" s="121"/>
      <c r="L1293" s="121"/>
      <c r="M1293" s="121"/>
      <c r="N1293" s="121"/>
      <c r="O1293" s="121">
        <v>9</v>
      </c>
      <c r="P1293" s="121"/>
      <c r="Q1293" s="121"/>
      <c r="R1293" s="121"/>
      <c r="S1293" s="121"/>
      <c r="T1293" s="121"/>
      <c r="U1293" s="121">
        <v>14</v>
      </c>
      <c r="V1293" s="121"/>
      <c r="W1293" s="121"/>
      <c r="X1293" s="121"/>
      <c r="Y1293" s="121"/>
      <c r="Z1293" s="121"/>
      <c r="AA1293" s="121">
        <v>9</v>
      </c>
      <c r="AB1293" s="229">
        <f t="shared" si="507"/>
        <v>0</v>
      </c>
      <c r="AC1293" s="228">
        <f t="shared" si="503"/>
        <v>45</v>
      </c>
      <c r="AD1293" s="19">
        <v>110</v>
      </c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29">
        <f t="shared" si="508"/>
        <v>0</v>
      </c>
      <c r="BD1293" s="48">
        <f t="shared" si="504"/>
        <v>0</v>
      </c>
      <c r="BE1293" s="19">
        <v>0</v>
      </c>
      <c r="BF1293" s="229">
        <f t="shared" si="509"/>
        <v>0</v>
      </c>
      <c r="BG1293" s="210">
        <f t="shared" si="505"/>
        <v>45</v>
      </c>
      <c r="BH1293" s="210">
        <f t="shared" si="506"/>
        <v>110</v>
      </c>
      <c r="BI1293" s="213">
        <f t="shared" si="513"/>
        <v>40.909090909090914</v>
      </c>
      <c r="BJ1293" s="269" t="s">
        <v>2856</v>
      </c>
      <c r="BK1293" s="201"/>
      <c r="BL1293" s="202"/>
      <c r="BM1293" s="202"/>
    </row>
    <row r="1294" spans="1:65" s="17" customFormat="1" ht="18" customHeight="1">
      <c r="A1294" s="114">
        <v>110</v>
      </c>
      <c r="B1294" s="157" t="s">
        <v>1788</v>
      </c>
      <c r="C1294" s="162" t="s">
        <v>1789</v>
      </c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229">
        <f t="shared" si="507"/>
        <v>0</v>
      </c>
      <c r="AC1294" s="228">
        <f t="shared" si="503"/>
        <v>0</v>
      </c>
      <c r="AD1294" s="19">
        <v>2</v>
      </c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29">
        <f t="shared" si="508"/>
        <v>0</v>
      </c>
      <c r="BD1294" s="48">
        <f t="shared" si="504"/>
        <v>0</v>
      </c>
      <c r="BE1294" s="19">
        <v>0</v>
      </c>
      <c r="BF1294" s="229">
        <f t="shared" si="509"/>
        <v>0</v>
      </c>
      <c r="BG1294" s="210">
        <f t="shared" si="505"/>
        <v>0</v>
      </c>
      <c r="BH1294" s="210">
        <f t="shared" si="506"/>
        <v>2</v>
      </c>
      <c r="BI1294" s="213">
        <f t="shared" si="513"/>
        <v>0</v>
      </c>
      <c r="BJ1294" s="269" t="s">
        <v>2856</v>
      </c>
      <c r="BK1294" s="201"/>
      <c r="BL1294" s="202"/>
      <c r="BM1294" s="202"/>
    </row>
    <row r="1295" spans="1:65" s="17" customFormat="1" ht="21.95" customHeight="1">
      <c r="A1295" s="373" t="s">
        <v>2761</v>
      </c>
      <c r="B1295" s="373"/>
      <c r="C1295" s="373"/>
      <c r="D1295" s="220">
        <f t="shared" ref="D1295:BE1295" si="514">SUM(D1296:D1388)</f>
        <v>0</v>
      </c>
      <c r="E1295" s="220">
        <f t="shared" si="514"/>
        <v>0</v>
      </c>
      <c r="F1295" s="220">
        <f t="shared" si="514"/>
        <v>0</v>
      </c>
      <c r="G1295" s="220">
        <f t="shared" si="514"/>
        <v>0</v>
      </c>
      <c r="H1295" s="220">
        <f t="shared" si="514"/>
        <v>0</v>
      </c>
      <c r="I1295" s="220">
        <f t="shared" si="514"/>
        <v>1597</v>
      </c>
      <c r="J1295" s="220">
        <f t="shared" si="514"/>
        <v>0</v>
      </c>
      <c r="K1295" s="220">
        <f t="shared" si="514"/>
        <v>0</v>
      </c>
      <c r="L1295" s="220">
        <f t="shared" si="514"/>
        <v>0</v>
      </c>
      <c r="M1295" s="220">
        <f t="shared" si="514"/>
        <v>0</v>
      </c>
      <c r="N1295" s="220">
        <f t="shared" si="514"/>
        <v>0</v>
      </c>
      <c r="O1295" s="220">
        <f t="shared" si="514"/>
        <v>2214</v>
      </c>
      <c r="P1295" s="220">
        <f t="shared" si="514"/>
        <v>0</v>
      </c>
      <c r="Q1295" s="220">
        <f t="shared" si="514"/>
        <v>0</v>
      </c>
      <c r="R1295" s="220">
        <f t="shared" si="514"/>
        <v>0</v>
      </c>
      <c r="S1295" s="220">
        <f t="shared" si="514"/>
        <v>0</v>
      </c>
      <c r="T1295" s="220">
        <f t="shared" si="514"/>
        <v>0</v>
      </c>
      <c r="U1295" s="220">
        <f t="shared" si="514"/>
        <v>3224</v>
      </c>
      <c r="V1295" s="220">
        <f t="shared" si="514"/>
        <v>0</v>
      </c>
      <c r="W1295" s="220">
        <f t="shared" si="514"/>
        <v>0</v>
      </c>
      <c r="X1295" s="220">
        <f t="shared" si="514"/>
        <v>0</v>
      </c>
      <c r="Y1295" s="220">
        <f t="shared" si="514"/>
        <v>0</v>
      </c>
      <c r="Z1295" s="220">
        <f t="shared" si="514"/>
        <v>0</v>
      </c>
      <c r="AA1295" s="220">
        <f t="shared" si="514"/>
        <v>1795</v>
      </c>
      <c r="AB1295" s="220">
        <f t="shared" ref="AB1295" si="515">D1295+F1295+H1295+J1295+L1295+N1295+P1295+R1295+T1295+V1295+X1295+Z1295</f>
        <v>0</v>
      </c>
      <c r="AC1295" s="220">
        <f t="shared" ref="AC1295" si="516">E1295+G1295+I1295+K1295+M1295+O1295+Q1295+S1295+U1295+W1295+Y1295+AA1295</f>
        <v>8830</v>
      </c>
      <c r="AD1295" s="274">
        <f t="shared" si="514"/>
        <v>6891</v>
      </c>
      <c r="AE1295" s="210">
        <f t="shared" si="514"/>
        <v>0</v>
      </c>
      <c r="AF1295" s="210">
        <f t="shared" si="514"/>
        <v>0</v>
      </c>
      <c r="AG1295" s="210">
        <f t="shared" si="514"/>
        <v>0</v>
      </c>
      <c r="AH1295" s="210">
        <f t="shared" si="514"/>
        <v>0</v>
      </c>
      <c r="AI1295" s="210">
        <f t="shared" si="514"/>
        <v>0</v>
      </c>
      <c r="AJ1295" s="210">
        <f t="shared" si="514"/>
        <v>9427</v>
      </c>
      <c r="AK1295" s="210">
        <f t="shared" si="514"/>
        <v>0</v>
      </c>
      <c r="AL1295" s="210">
        <f t="shared" si="514"/>
        <v>0</v>
      </c>
      <c r="AM1295" s="210">
        <f t="shared" si="514"/>
        <v>0</v>
      </c>
      <c r="AN1295" s="210">
        <f t="shared" si="514"/>
        <v>0</v>
      </c>
      <c r="AO1295" s="210">
        <f t="shared" si="514"/>
        <v>0</v>
      </c>
      <c r="AP1295" s="210">
        <f t="shared" si="514"/>
        <v>15011</v>
      </c>
      <c r="AQ1295" s="210">
        <f t="shared" si="514"/>
        <v>0</v>
      </c>
      <c r="AR1295" s="210">
        <f t="shared" si="514"/>
        <v>0</v>
      </c>
      <c r="AS1295" s="210">
        <f t="shared" si="514"/>
        <v>0</v>
      </c>
      <c r="AT1295" s="210">
        <f t="shared" si="514"/>
        <v>0</v>
      </c>
      <c r="AU1295" s="210">
        <f t="shared" si="514"/>
        <v>0</v>
      </c>
      <c r="AV1295" s="210">
        <f t="shared" si="514"/>
        <v>15400</v>
      </c>
      <c r="AW1295" s="210">
        <f t="shared" si="514"/>
        <v>0</v>
      </c>
      <c r="AX1295" s="210">
        <f t="shared" si="514"/>
        <v>0</v>
      </c>
      <c r="AY1295" s="210">
        <f t="shared" si="514"/>
        <v>0</v>
      </c>
      <c r="AZ1295" s="210">
        <f t="shared" si="514"/>
        <v>0</v>
      </c>
      <c r="BA1295" s="210">
        <f t="shared" si="514"/>
        <v>0</v>
      </c>
      <c r="BB1295" s="210">
        <f t="shared" si="514"/>
        <v>16669</v>
      </c>
      <c r="BC1295" s="220">
        <f t="shared" ref="BC1295" si="517">AE1295+AG1295+AI1295+AK1295+AM1295+AO1295+AQ1295+AS1295+AU1295+AW1295+AY1295+BA1295</f>
        <v>0</v>
      </c>
      <c r="BD1295" s="210">
        <f t="shared" ref="BD1295" si="518">AF1295+AH1295+AJ1295+AL1295+AN1295+AP1295+AR1295+AT1295+AV1295+AX1295+AZ1295+BB1295</f>
        <v>56507</v>
      </c>
      <c r="BE1295" s="210">
        <f t="shared" si="514"/>
        <v>76875</v>
      </c>
      <c r="BF1295" s="220">
        <f t="shared" ref="BF1295" si="519">AB1295+BC1295</f>
        <v>0</v>
      </c>
      <c r="BG1295" s="210">
        <f t="shared" ref="BG1295" si="520">AC1295+BD1295</f>
        <v>65337</v>
      </c>
      <c r="BH1295" s="210">
        <f t="shared" ref="BH1295" si="521">AD1295+BE1295</f>
        <v>83766</v>
      </c>
      <c r="BI1295" s="213">
        <f t="shared" ref="BI1295" si="522">BG1295/BH1295*100</f>
        <v>77.999426975145042</v>
      </c>
      <c r="BJ1295" s="140">
        <v>83766</v>
      </c>
      <c r="BK1295" s="203">
        <f>BH1295-BJ1295</f>
        <v>0</v>
      </c>
      <c r="BL1295" s="198">
        <v>61149</v>
      </c>
      <c r="BM1295" s="199">
        <f>BG1295-BL1295</f>
        <v>4188</v>
      </c>
    </row>
    <row r="1296" spans="1:65" s="317" customFormat="1" ht="18" customHeight="1">
      <c r="A1296" s="114">
        <v>1</v>
      </c>
      <c r="B1296" s="24" t="s">
        <v>937</v>
      </c>
      <c r="C1296" s="25" t="s">
        <v>1465</v>
      </c>
      <c r="D1296" s="121"/>
      <c r="E1296" s="121"/>
      <c r="F1296" s="121"/>
      <c r="G1296" s="121"/>
      <c r="H1296" s="121"/>
      <c r="I1296" s="121">
        <v>164</v>
      </c>
      <c r="J1296" s="121"/>
      <c r="K1296" s="121"/>
      <c r="L1296" s="121"/>
      <c r="M1296" s="121"/>
      <c r="N1296" s="121"/>
      <c r="O1296" s="121">
        <v>116</v>
      </c>
      <c r="P1296" s="121"/>
      <c r="Q1296" s="121"/>
      <c r="R1296" s="121"/>
      <c r="S1296" s="121"/>
      <c r="T1296" s="121"/>
      <c r="U1296" s="121">
        <f>180+209+209</f>
        <v>598</v>
      </c>
      <c r="V1296" s="121"/>
      <c r="W1296" s="121"/>
      <c r="X1296" s="121"/>
      <c r="Y1296" s="121"/>
      <c r="Z1296" s="121"/>
      <c r="AA1296" s="121"/>
      <c r="AB1296" s="229">
        <f t="shared" ref="AB1296:AB1329" si="523">D1296+F1296+H1296+J1296+L1296+N1296+P1296+R1296+T1296+V1296+X1296+Z1296</f>
        <v>0</v>
      </c>
      <c r="AC1296" s="228">
        <f t="shared" ref="AC1296:AC1329" si="524">E1296+G1296+I1296+K1296+M1296+O1296+Q1296+S1296+U1296+W1296+Y1296+AA1296</f>
        <v>878</v>
      </c>
      <c r="AD1296" s="19">
        <v>698</v>
      </c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29">
        <f t="shared" ref="BC1296:BC1329" si="525">AE1296+AG1296+AI1296+AK1296+AM1296+AO1296+AQ1296+AS1296+AU1296+AW1296+AY1296+BA1296</f>
        <v>0</v>
      </c>
      <c r="BD1296" s="48">
        <f t="shared" ref="BD1296:BD1329" si="526">AF1296+AH1296+AJ1296+AL1296+AN1296+AP1296+AR1296+AT1296+AV1296+AX1296+AZ1296+BB1296</f>
        <v>0</v>
      </c>
      <c r="BE1296" s="19">
        <v>0</v>
      </c>
      <c r="BF1296" s="229">
        <f t="shared" ref="BF1296:BF1329" si="527">AB1296+BC1296</f>
        <v>0</v>
      </c>
      <c r="BG1296" s="210">
        <f t="shared" ref="BG1296:BG1329" si="528">AC1296+BD1296</f>
        <v>878</v>
      </c>
      <c r="BH1296" s="210">
        <f t="shared" ref="BH1296:BH1329" si="529">AD1296+BE1296</f>
        <v>698</v>
      </c>
      <c r="BI1296" s="213">
        <f t="shared" ref="BI1296:BI1328" si="530">BG1296/BH1296*100</f>
        <v>125.78796561604584</v>
      </c>
      <c r="BJ1296" s="270" t="s">
        <v>2857</v>
      </c>
      <c r="BK1296" s="201"/>
      <c r="BL1296" s="202"/>
      <c r="BM1296" s="202"/>
    </row>
    <row r="1297" spans="1:65" s="317" customFormat="1" ht="18" customHeight="1">
      <c r="A1297" s="114">
        <v>2</v>
      </c>
      <c r="B1297" s="24" t="s">
        <v>1468</v>
      </c>
      <c r="C1297" s="25" t="s">
        <v>1471</v>
      </c>
      <c r="D1297" s="121"/>
      <c r="E1297" s="121"/>
      <c r="F1297" s="121"/>
      <c r="G1297" s="121"/>
      <c r="H1297" s="121"/>
      <c r="I1297" s="121">
        <v>37</v>
      </c>
      <c r="J1297" s="121"/>
      <c r="K1297" s="121"/>
      <c r="L1297" s="121"/>
      <c r="M1297" s="121"/>
      <c r="N1297" s="121"/>
      <c r="O1297" s="121">
        <v>48</v>
      </c>
      <c r="P1297" s="121"/>
      <c r="Q1297" s="121"/>
      <c r="R1297" s="121"/>
      <c r="S1297" s="121"/>
      <c r="T1297" s="121"/>
      <c r="U1297" s="121">
        <f>97+214+214</f>
        <v>525</v>
      </c>
      <c r="V1297" s="121"/>
      <c r="W1297" s="121"/>
      <c r="X1297" s="121"/>
      <c r="Y1297" s="121"/>
      <c r="Z1297" s="121"/>
      <c r="AA1297" s="121"/>
      <c r="AB1297" s="229">
        <f t="shared" si="523"/>
        <v>0</v>
      </c>
      <c r="AC1297" s="228">
        <f t="shared" si="524"/>
        <v>610</v>
      </c>
      <c r="AD1297" s="19">
        <v>420</v>
      </c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29">
        <f t="shared" si="525"/>
        <v>0</v>
      </c>
      <c r="BD1297" s="48">
        <f t="shared" si="526"/>
        <v>0</v>
      </c>
      <c r="BE1297" s="19">
        <v>0</v>
      </c>
      <c r="BF1297" s="229">
        <f t="shared" si="527"/>
        <v>0</v>
      </c>
      <c r="BG1297" s="210">
        <f t="shared" si="528"/>
        <v>610</v>
      </c>
      <c r="BH1297" s="210">
        <f t="shared" si="529"/>
        <v>420</v>
      </c>
      <c r="BI1297" s="213">
        <f t="shared" si="530"/>
        <v>145.23809523809524</v>
      </c>
      <c r="BJ1297" s="270" t="s">
        <v>2857</v>
      </c>
      <c r="BK1297" s="201"/>
      <c r="BL1297" s="202"/>
      <c r="BM1297" s="202"/>
    </row>
    <row r="1298" spans="1:65" s="317" customFormat="1" ht="18" customHeight="1">
      <c r="A1298" s="114">
        <v>3</v>
      </c>
      <c r="B1298" s="24" t="s">
        <v>1482</v>
      </c>
      <c r="C1298" s="25" t="s">
        <v>1483</v>
      </c>
      <c r="D1298" s="121"/>
      <c r="E1298" s="121"/>
      <c r="F1298" s="121"/>
      <c r="G1298" s="121"/>
      <c r="H1298" s="121"/>
      <c r="I1298" s="121">
        <f>1293+3</f>
        <v>1296</v>
      </c>
      <c r="J1298" s="121"/>
      <c r="K1298" s="121"/>
      <c r="L1298" s="121"/>
      <c r="M1298" s="121"/>
      <c r="N1298" s="121"/>
      <c r="O1298" s="121">
        <f>1269+241+258+177</f>
        <v>1945</v>
      </c>
      <c r="P1298" s="121"/>
      <c r="Q1298" s="121"/>
      <c r="R1298" s="121"/>
      <c r="S1298" s="121"/>
      <c r="T1298" s="121"/>
      <c r="U1298" s="121">
        <f>1220+44+276+184+180</f>
        <v>1904</v>
      </c>
      <c r="V1298" s="121"/>
      <c r="W1298" s="121"/>
      <c r="X1298" s="121"/>
      <c r="Y1298" s="121"/>
      <c r="Z1298" s="121"/>
      <c r="AA1298" s="121">
        <f>1378+298</f>
        <v>1676</v>
      </c>
      <c r="AB1298" s="229">
        <f t="shared" si="523"/>
        <v>0</v>
      </c>
      <c r="AC1298" s="228">
        <f t="shared" si="524"/>
        <v>6821</v>
      </c>
      <c r="AD1298" s="19">
        <v>5398</v>
      </c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29">
        <f t="shared" si="525"/>
        <v>0</v>
      </c>
      <c r="BD1298" s="48">
        <f t="shared" si="526"/>
        <v>0</v>
      </c>
      <c r="BE1298" s="19">
        <v>0</v>
      </c>
      <c r="BF1298" s="229">
        <f t="shared" si="527"/>
        <v>0</v>
      </c>
      <c r="BG1298" s="210">
        <f t="shared" si="528"/>
        <v>6821</v>
      </c>
      <c r="BH1298" s="210">
        <f t="shared" si="529"/>
        <v>5398</v>
      </c>
      <c r="BI1298" s="213">
        <f t="shared" si="530"/>
        <v>126.36161541311597</v>
      </c>
      <c r="BJ1298" s="270" t="s">
        <v>2857</v>
      </c>
      <c r="BK1298" s="201"/>
      <c r="BL1298" s="202"/>
      <c r="BM1298" s="202"/>
    </row>
    <row r="1299" spans="1:65" s="317" customFormat="1" ht="18" customHeight="1">
      <c r="A1299" s="330"/>
      <c r="B1299" s="331" t="s">
        <v>553</v>
      </c>
      <c r="C1299" s="332" t="s">
        <v>554</v>
      </c>
      <c r="D1299" s="333"/>
      <c r="E1299" s="333"/>
      <c r="F1299" s="333"/>
      <c r="G1299" s="333"/>
      <c r="H1299" s="333"/>
      <c r="I1299" s="333"/>
      <c r="J1299" s="333"/>
      <c r="K1299" s="333"/>
      <c r="L1299" s="333"/>
      <c r="M1299" s="333"/>
      <c r="N1299" s="333"/>
      <c r="O1299" s="333"/>
      <c r="P1299" s="333"/>
      <c r="Q1299" s="333"/>
      <c r="R1299" s="333"/>
      <c r="S1299" s="333"/>
      <c r="T1299" s="333"/>
      <c r="U1299" s="333"/>
      <c r="V1299" s="333"/>
      <c r="W1299" s="333"/>
      <c r="X1299" s="333"/>
      <c r="Y1299" s="333"/>
      <c r="Z1299" s="333"/>
      <c r="AA1299" s="333">
        <v>1</v>
      </c>
      <c r="AB1299" s="323"/>
      <c r="AC1299" s="228">
        <f t="shared" si="524"/>
        <v>1</v>
      </c>
      <c r="AD1299" s="326">
        <v>0</v>
      </c>
      <c r="AE1299" s="334"/>
      <c r="AF1299" s="334"/>
      <c r="AG1299" s="334"/>
      <c r="AH1299" s="334"/>
      <c r="AI1299" s="334"/>
      <c r="AJ1299" s="334"/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4"/>
      <c r="AX1299" s="334"/>
      <c r="AY1299" s="334"/>
      <c r="AZ1299" s="334"/>
      <c r="BA1299" s="334"/>
      <c r="BB1299" s="334"/>
      <c r="BC1299" s="323"/>
      <c r="BD1299" s="48">
        <f t="shared" si="526"/>
        <v>0</v>
      </c>
      <c r="BE1299" s="326">
        <v>0</v>
      </c>
      <c r="BF1299" s="323"/>
      <c r="BG1299" s="210">
        <f t="shared" ref="BG1299:BG1300" si="531">AC1299+BD1299</f>
        <v>1</v>
      </c>
      <c r="BH1299" s="210">
        <f t="shared" ref="BH1299:BH1300" si="532">AD1299+BE1299</f>
        <v>0</v>
      </c>
      <c r="BI1299" s="213" t="e">
        <f t="shared" ref="BI1299:BI1300" si="533">BG1299/BH1299*100</f>
        <v>#DIV/0!</v>
      </c>
      <c r="BJ1299" s="270"/>
      <c r="BK1299" s="201"/>
      <c r="BL1299" s="202"/>
      <c r="BM1299" s="202"/>
    </row>
    <row r="1300" spans="1:65" s="317" customFormat="1" ht="18" customHeight="1">
      <c r="A1300" s="114">
        <v>4</v>
      </c>
      <c r="B1300" s="24" t="s">
        <v>561</v>
      </c>
      <c r="C1300" s="25" t="s">
        <v>562</v>
      </c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>
        <v>1</v>
      </c>
      <c r="V1300" s="121"/>
      <c r="W1300" s="121"/>
      <c r="X1300" s="121"/>
      <c r="Y1300" s="121"/>
      <c r="Z1300" s="121"/>
      <c r="AA1300" s="121">
        <v>1</v>
      </c>
      <c r="AB1300" s="229">
        <f t="shared" si="523"/>
        <v>0</v>
      </c>
      <c r="AC1300" s="228">
        <f t="shared" si="524"/>
        <v>2</v>
      </c>
      <c r="AD1300" s="19">
        <v>1</v>
      </c>
      <c r="AE1300" s="28"/>
      <c r="AF1300" s="28"/>
      <c r="AG1300" s="28"/>
      <c r="AH1300" s="28"/>
      <c r="AI1300" s="28"/>
      <c r="AJ1300" s="28">
        <f>12+9</f>
        <v>21</v>
      </c>
      <c r="AK1300" s="28"/>
      <c r="AL1300" s="28"/>
      <c r="AM1300" s="28"/>
      <c r="AN1300" s="28"/>
      <c r="AO1300" s="28"/>
      <c r="AP1300" s="28">
        <f>4+1+9</f>
        <v>14</v>
      </c>
      <c r="AQ1300" s="28"/>
      <c r="AR1300" s="28"/>
      <c r="AS1300" s="28"/>
      <c r="AT1300" s="28"/>
      <c r="AU1300" s="28"/>
      <c r="AV1300" s="28">
        <f>6+2+14</f>
        <v>22</v>
      </c>
      <c r="AW1300" s="28"/>
      <c r="AX1300" s="28"/>
      <c r="AY1300" s="28"/>
      <c r="AZ1300" s="28"/>
      <c r="BA1300" s="28"/>
      <c r="BB1300" s="28">
        <f>2+23</f>
        <v>25</v>
      </c>
      <c r="BC1300" s="229">
        <f t="shared" si="525"/>
        <v>0</v>
      </c>
      <c r="BD1300" s="48">
        <f t="shared" si="526"/>
        <v>82</v>
      </c>
      <c r="BE1300" s="19">
        <v>526</v>
      </c>
      <c r="BF1300" s="229">
        <f t="shared" si="527"/>
        <v>0</v>
      </c>
      <c r="BG1300" s="210">
        <f t="shared" si="531"/>
        <v>84</v>
      </c>
      <c r="BH1300" s="210">
        <f t="shared" si="532"/>
        <v>527</v>
      </c>
      <c r="BI1300" s="213">
        <f t="shared" si="533"/>
        <v>15.939278937381404</v>
      </c>
      <c r="BJ1300" s="141"/>
      <c r="BK1300" s="201"/>
      <c r="BL1300" s="202"/>
      <c r="BM1300" s="202"/>
    </row>
    <row r="1301" spans="1:65" s="317" customFormat="1" ht="18" customHeight="1">
      <c r="A1301" s="114">
        <v>5</v>
      </c>
      <c r="B1301" s="24" t="s">
        <v>672</v>
      </c>
      <c r="C1301" s="25" t="s">
        <v>673</v>
      </c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229">
        <f t="shared" si="523"/>
        <v>0</v>
      </c>
      <c r="AC1301" s="228">
        <f t="shared" si="524"/>
        <v>0</v>
      </c>
      <c r="AD1301" s="19">
        <v>81</v>
      </c>
      <c r="AE1301" s="28"/>
      <c r="AF1301" s="28"/>
      <c r="AG1301" s="28"/>
      <c r="AH1301" s="28"/>
      <c r="AI1301" s="28"/>
      <c r="AJ1301" s="28">
        <f>440+26</f>
        <v>466</v>
      </c>
      <c r="AK1301" s="28"/>
      <c r="AL1301" s="28"/>
      <c r="AM1301" s="28"/>
      <c r="AN1301" s="28"/>
      <c r="AO1301" s="28"/>
      <c r="AP1301" s="28">
        <f>430+182+28+20</f>
        <v>660</v>
      </c>
      <c r="AQ1301" s="28"/>
      <c r="AR1301" s="28"/>
      <c r="AS1301" s="28"/>
      <c r="AT1301" s="28"/>
      <c r="AU1301" s="28"/>
      <c r="AV1301" s="28">
        <f>469+234+45</f>
        <v>748</v>
      </c>
      <c r="AW1301" s="28"/>
      <c r="AX1301" s="28"/>
      <c r="AY1301" s="28"/>
      <c r="AZ1301" s="28"/>
      <c r="BA1301" s="28"/>
      <c r="BB1301" s="28">
        <f>464+204+52</f>
        <v>720</v>
      </c>
      <c r="BC1301" s="229">
        <f t="shared" si="525"/>
        <v>0</v>
      </c>
      <c r="BD1301" s="48">
        <f t="shared" si="526"/>
        <v>2594</v>
      </c>
      <c r="BE1301" s="19">
        <v>2694</v>
      </c>
      <c r="BF1301" s="229">
        <f t="shared" si="527"/>
        <v>0</v>
      </c>
      <c r="BG1301" s="210">
        <f t="shared" si="528"/>
        <v>2594</v>
      </c>
      <c r="BH1301" s="210">
        <f t="shared" si="529"/>
        <v>2775</v>
      </c>
      <c r="BI1301" s="213">
        <f t="shared" si="530"/>
        <v>93.477477477477478</v>
      </c>
      <c r="BJ1301" s="141"/>
      <c r="BK1301" s="201"/>
      <c r="BL1301" s="202"/>
      <c r="BM1301" s="202"/>
    </row>
    <row r="1302" spans="1:65" s="317" customFormat="1" ht="18" customHeight="1">
      <c r="A1302" s="114">
        <v>6</v>
      </c>
      <c r="B1302" s="24" t="s">
        <v>563</v>
      </c>
      <c r="C1302" s="25" t="s">
        <v>564</v>
      </c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229">
        <f t="shared" si="523"/>
        <v>0</v>
      </c>
      <c r="AC1302" s="228">
        <f t="shared" si="524"/>
        <v>0</v>
      </c>
      <c r="AD1302" s="19">
        <v>0</v>
      </c>
      <c r="AE1302" s="28"/>
      <c r="AF1302" s="28"/>
      <c r="AG1302" s="28"/>
      <c r="AH1302" s="28"/>
      <c r="AI1302" s="28"/>
      <c r="AJ1302" s="28">
        <v>1</v>
      </c>
      <c r="AK1302" s="28"/>
      <c r="AL1302" s="28"/>
      <c r="AM1302" s="28"/>
      <c r="AN1302" s="28"/>
      <c r="AO1302" s="28"/>
      <c r="AP1302" s="28">
        <v>2</v>
      </c>
      <c r="AQ1302" s="28"/>
      <c r="AR1302" s="28"/>
      <c r="AS1302" s="28"/>
      <c r="AT1302" s="28"/>
      <c r="AU1302" s="28"/>
      <c r="AV1302" s="28">
        <v>5</v>
      </c>
      <c r="AW1302" s="28"/>
      <c r="AX1302" s="28"/>
      <c r="AY1302" s="28"/>
      <c r="AZ1302" s="28"/>
      <c r="BA1302" s="28"/>
      <c r="BB1302" s="28">
        <v>5</v>
      </c>
      <c r="BC1302" s="229">
        <f t="shared" si="525"/>
        <v>0</v>
      </c>
      <c r="BD1302" s="48">
        <f t="shared" si="526"/>
        <v>13</v>
      </c>
      <c r="BE1302" s="19">
        <v>35</v>
      </c>
      <c r="BF1302" s="229">
        <f t="shared" si="527"/>
        <v>0</v>
      </c>
      <c r="BG1302" s="210">
        <f t="shared" si="528"/>
        <v>13</v>
      </c>
      <c r="BH1302" s="210">
        <f t="shared" si="529"/>
        <v>35</v>
      </c>
      <c r="BI1302" s="213">
        <f t="shared" si="530"/>
        <v>37.142857142857146</v>
      </c>
      <c r="BJ1302" s="141"/>
      <c r="BK1302" s="201"/>
      <c r="BL1302" s="202"/>
      <c r="BM1302" s="202"/>
    </row>
    <row r="1303" spans="1:65" s="317" customFormat="1" ht="18" customHeight="1">
      <c r="A1303" s="114">
        <v>7</v>
      </c>
      <c r="B1303" s="24" t="s">
        <v>565</v>
      </c>
      <c r="C1303" s="35" t="s">
        <v>566</v>
      </c>
      <c r="D1303" s="314"/>
      <c r="E1303" s="314"/>
      <c r="F1303" s="314"/>
      <c r="G1303" s="314"/>
      <c r="H1303" s="314"/>
      <c r="I1303" s="314"/>
      <c r="J1303" s="314"/>
      <c r="K1303" s="314"/>
      <c r="L1303" s="314"/>
      <c r="M1303" s="314"/>
      <c r="N1303" s="314"/>
      <c r="O1303" s="314"/>
      <c r="P1303" s="314"/>
      <c r="Q1303" s="314"/>
      <c r="R1303" s="314"/>
      <c r="S1303" s="314"/>
      <c r="T1303" s="314"/>
      <c r="U1303" s="314"/>
      <c r="V1303" s="314"/>
      <c r="W1303" s="314"/>
      <c r="X1303" s="314"/>
      <c r="Y1303" s="314"/>
      <c r="Z1303" s="314"/>
      <c r="AA1303" s="314"/>
      <c r="AB1303" s="229">
        <f t="shared" si="523"/>
        <v>0</v>
      </c>
      <c r="AC1303" s="228">
        <f t="shared" si="524"/>
        <v>0</v>
      </c>
      <c r="AD1303" s="19">
        <v>0</v>
      </c>
      <c r="AE1303" s="28"/>
      <c r="AF1303" s="28"/>
      <c r="AG1303" s="28"/>
      <c r="AH1303" s="28"/>
      <c r="AI1303" s="28"/>
      <c r="AJ1303" s="28">
        <f>233+6+19</f>
        <v>258</v>
      </c>
      <c r="AK1303" s="28"/>
      <c r="AL1303" s="28"/>
      <c r="AM1303" s="28"/>
      <c r="AN1303" s="28"/>
      <c r="AO1303" s="28"/>
      <c r="AP1303" s="28">
        <f>180+3+12+1</f>
        <v>196</v>
      </c>
      <c r="AQ1303" s="28"/>
      <c r="AR1303" s="28"/>
      <c r="AS1303" s="28"/>
      <c r="AT1303" s="28"/>
      <c r="AU1303" s="28"/>
      <c r="AV1303" s="28">
        <f>144+5+22</f>
        <v>171</v>
      </c>
      <c r="AW1303" s="28"/>
      <c r="AX1303" s="28"/>
      <c r="AY1303" s="28"/>
      <c r="AZ1303" s="28"/>
      <c r="BA1303" s="28"/>
      <c r="BB1303" s="28">
        <f>165+9+26</f>
        <v>200</v>
      </c>
      <c r="BC1303" s="229">
        <f t="shared" si="525"/>
        <v>0</v>
      </c>
      <c r="BD1303" s="48">
        <f t="shared" si="526"/>
        <v>825</v>
      </c>
      <c r="BE1303" s="19">
        <v>920</v>
      </c>
      <c r="BF1303" s="229">
        <f t="shared" si="527"/>
        <v>0</v>
      </c>
      <c r="BG1303" s="210">
        <f t="shared" si="528"/>
        <v>825</v>
      </c>
      <c r="BH1303" s="210">
        <f t="shared" si="529"/>
        <v>920</v>
      </c>
      <c r="BI1303" s="213">
        <f t="shared" si="530"/>
        <v>89.673913043478265</v>
      </c>
      <c r="BJ1303" s="141"/>
      <c r="BK1303" s="201"/>
      <c r="BL1303" s="202"/>
      <c r="BM1303" s="202"/>
    </row>
    <row r="1304" spans="1:65" s="317" customFormat="1" ht="18" customHeight="1">
      <c r="A1304" s="114">
        <v>8</v>
      </c>
      <c r="B1304" s="24" t="s">
        <v>707</v>
      </c>
      <c r="C1304" s="35" t="s">
        <v>708</v>
      </c>
      <c r="D1304" s="314"/>
      <c r="E1304" s="314"/>
      <c r="F1304" s="314"/>
      <c r="G1304" s="314"/>
      <c r="H1304" s="314"/>
      <c r="I1304" s="314"/>
      <c r="J1304" s="314"/>
      <c r="K1304" s="314"/>
      <c r="L1304" s="314"/>
      <c r="M1304" s="314"/>
      <c r="N1304" s="314"/>
      <c r="O1304" s="314"/>
      <c r="P1304" s="314"/>
      <c r="Q1304" s="314"/>
      <c r="R1304" s="314"/>
      <c r="S1304" s="314"/>
      <c r="T1304" s="314"/>
      <c r="U1304" s="314"/>
      <c r="V1304" s="314"/>
      <c r="W1304" s="314"/>
      <c r="X1304" s="314"/>
      <c r="Y1304" s="314"/>
      <c r="Z1304" s="314"/>
      <c r="AA1304" s="314"/>
      <c r="AB1304" s="229">
        <f t="shared" si="523"/>
        <v>0</v>
      </c>
      <c r="AC1304" s="228">
        <f t="shared" si="524"/>
        <v>0</v>
      </c>
      <c r="AD1304" s="19">
        <v>0</v>
      </c>
      <c r="AE1304" s="28"/>
      <c r="AF1304" s="28"/>
      <c r="AG1304" s="28"/>
      <c r="AH1304" s="28"/>
      <c r="AI1304" s="28"/>
      <c r="AJ1304" s="28">
        <v>15</v>
      </c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29">
        <f t="shared" si="525"/>
        <v>0</v>
      </c>
      <c r="BD1304" s="48">
        <f t="shared" si="526"/>
        <v>15</v>
      </c>
      <c r="BE1304" s="19">
        <v>7</v>
      </c>
      <c r="BF1304" s="229">
        <f t="shared" si="527"/>
        <v>0</v>
      </c>
      <c r="BG1304" s="210">
        <f t="shared" si="528"/>
        <v>15</v>
      </c>
      <c r="BH1304" s="210">
        <f t="shared" si="529"/>
        <v>7</v>
      </c>
      <c r="BI1304" s="213">
        <f t="shared" si="530"/>
        <v>214.28571428571428</v>
      </c>
      <c r="BJ1304" s="141"/>
      <c r="BK1304" s="201"/>
      <c r="BL1304" s="202"/>
      <c r="BM1304" s="202"/>
    </row>
    <row r="1305" spans="1:65" s="317" customFormat="1" ht="18" customHeight="1">
      <c r="A1305" s="114">
        <v>9</v>
      </c>
      <c r="B1305" s="24" t="s">
        <v>569</v>
      </c>
      <c r="C1305" s="35" t="s">
        <v>680</v>
      </c>
      <c r="D1305" s="314"/>
      <c r="E1305" s="314"/>
      <c r="F1305" s="314"/>
      <c r="G1305" s="314"/>
      <c r="H1305" s="314"/>
      <c r="I1305" s="314"/>
      <c r="J1305" s="314"/>
      <c r="K1305" s="314"/>
      <c r="L1305" s="314"/>
      <c r="M1305" s="314"/>
      <c r="N1305" s="314"/>
      <c r="O1305" s="314"/>
      <c r="P1305" s="314"/>
      <c r="Q1305" s="314"/>
      <c r="R1305" s="314"/>
      <c r="S1305" s="314"/>
      <c r="T1305" s="314"/>
      <c r="U1305" s="314"/>
      <c r="V1305" s="314"/>
      <c r="W1305" s="314"/>
      <c r="X1305" s="314"/>
      <c r="Y1305" s="314"/>
      <c r="Z1305" s="314"/>
      <c r="AA1305" s="314"/>
      <c r="AB1305" s="229">
        <f t="shared" si="523"/>
        <v>0</v>
      </c>
      <c r="AC1305" s="228">
        <f t="shared" si="524"/>
        <v>0</v>
      </c>
      <c r="AD1305" s="19">
        <v>0</v>
      </c>
      <c r="AE1305" s="28"/>
      <c r="AF1305" s="28"/>
      <c r="AG1305" s="28"/>
      <c r="AH1305" s="28"/>
      <c r="AI1305" s="28"/>
      <c r="AJ1305" s="28">
        <v>1</v>
      </c>
      <c r="AK1305" s="28"/>
      <c r="AL1305" s="28"/>
      <c r="AM1305" s="28"/>
      <c r="AN1305" s="28"/>
      <c r="AO1305" s="28"/>
      <c r="AP1305" s="28">
        <v>3</v>
      </c>
      <c r="AQ1305" s="28"/>
      <c r="AR1305" s="28"/>
      <c r="AS1305" s="28"/>
      <c r="AT1305" s="28"/>
      <c r="AU1305" s="28"/>
      <c r="AV1305" s="28">
        <v>7</v>
      </c>
      <c r="AW1305" s="28"/>
      <c r="AX1305" s="28"/>
      <c r="AY1305" s="28"/>
      <c r="AZ1305" s="28"/>
      <c r="BA1305" s="28"/>
      <c r="BB1305" s="28">
        <v>4</v>
      </c>
      <c r="BC1305" s="229">
        <f t="shared" si="525"/>
        <v>0</v>
      </c>
      <c r="BD1305" s="48">
        <f t="shared" si="526"/>
        <v>15</v>
      </c>
      <c r="BE1305" s="19">
        <v>32</v>
      </c>
      <c r="BF1305" s="229">
        <f t="shared" si="527"/>
        <v>0</v>
      </c>
      <c r="BG1305" s="210">
        <f t="shared" si="528"/>
        <v>15</v>
      </c>
      <c r="BH1305" s="210">
        <f t="shared" si="529"/>
        <v>32</v>
      </c>
      <c r="BI1305" s="213">
        <f t="shared" si="530"/>
        <v>46.875</v>
      </c>
      <c r="BJ1305" s="141"/>
      <c r="BK1305" s="201"/>
      <c r="BL1305" s="202"/>
      <c r="BM1305" s="202"/>
    </row>
    <row r="1306" spans="1:65" s="317" customFormat="1" ht="18" customHeight="1">
      <c r="A1306" s="114">
        <v>10</v>
      </c>
      <c r="B1306" s="24" t="s">
        <v>571</v>
      </c>
      <c r="C1306" s="25" t="s">
        <v>572</v>
      </c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229">
        <f t="shared" si="523"/>
        <v>0</v>
      </c>
      <c r="AC1306" s="228">
        <f t="shared" si="524"/>
        <v>0</v>
      </c>
      <c r="AD1306" s="19">
        <v>0</v>
      </c>
      <c r="AE1306" s="28"/>
      <c r="AF1306" s="28"/>
      <c r="AG1306" s="28"/>
      <c r="AH1306" s="28"/>
      <c r="AI1306" s="28"/>
      <c r="AJ1306" s="28">
        <f>1117+26+2+13</f>
        <v>1158</v>
      </c>
      <c r="AK1306" s="28"/>
      <c r="AL1306" s="28"/>
      <c r="AM1306" s="28"/>
      <c r="AN1306" s="28"/>
      <c r="AO1306" s="28"/>
      <c r="AP1306" s="28">
        <f>1021+715+30+10</f>
        <v>1776</v>
      </c>
      <c r="AQ1306" s="28"/>
      <c r="AR1306" s="28"/>
      <c r="AS1306" s="28"/>
      <c r="AT1306" s="28"/>
      <c r="AU1306" s="28"/>
      <c r="AV1306" s="28">
        <f>941+742+82+1</f>
        <v>1766</v>
      </c>
      <c r="AW1306" s="28"/>
      <c r="AX1306" s="28"/>
      <c r="AY1306" s="28"/>
      <c r="AZ1306" s="28"/>
      <c r="BA1306" s="28"/>
      <c r="BB1306" s="28">
        <f>1111+834+96</f>
        <v>2041</v>
      </c>
      <c r="BC1306" s="229">
        <f t="shared" si="525"/>
        <v>0</v>
      </c>
      <c r="BD1306" s="48">
        <f t="shared" si="526"/>
        <v>6741</v>
      </c>
      <c r="BE1306" s="19">
        <v>5998</v>
      </c>
      <c r="BF1306" s="229">
        <f t="shared" si="527"/>
        <v>0</v>
      </c>
      <c r="BG1306" s="210">
        <f t="shared" si="528"/>
        <v>6741</v>
      </c>
      <c r="BH1306" s="210">
        <f t="shared" si="529"/>
        <v>5998</v>
      </c>
      <c r="BI1306" s="213">
        <f t="shared" si="530"/>
        <v>112.38746248749582</v>
      </c>
      <c r="BJ1306" s="141"/>
      <c r="BK1306" s="201"/>
      <c r="BL1306" s="202"/>
      <c r="BM1306" s="202"/>
    </row>
    <row r="1307" spans="1:65" s="317" customFormat="1" ht="18" customHeight="1">
      <c r="A1307" s="114">
        <v>11</v>
      </c>
      <c r="B1307" s="24" t="s">
        <v>573</v>
      </c>
      <c r="C1307" s="25" t="s">
        <v>574</v>
      </c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229">
        <f t="shared" si="523"/>
        <v>0</v>
      </c>
      <c r="AC1307" s="228">
        <f t="shared" si="524"/>
        <v>0</v>
      </c>
      <c r="AD1307" s="19">
        <v>1</v>
      </c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29">
        <f t="shared" si="525"/>
        <v>0</v>
      </c>
      <c r="BD1307" s="48">
        <f t="shared" si="526"/>
        <v>0</v>
      </c>
      <c r="BE1307" s="19">
        <v>2</v>
      </c>
      <c r="BF1307" s="229">
        <f t="shared" si="527"/>
        <v>0</v>
      </c>
      <c r="BG1307" s="210">
        <f t="shared" si="528"/>
        <v>0</v>
      </c>
      <c r="BH1307" s="210">
        <f t="shared" si="529"/>
        <v>3</v>
      </c>
      <c r="BI1307" s="213">
        <f t="shared" si="530"/>
        <v>0</v>
      </c>
      <c r="BJ1307" s="141"/>
      <c r="BK1307" s="201"/>
      <c r="BL1307" s="202"/>
      <c r="BM1307" s="202"/>
    </row>
    <row r="1308" spans="1:65" s="317" customFormat="1" ht="18" customHeight="1">
      <c r="A1308" s="114">
        <v>12</v>
      </c>
      <c r="B1308" s="24" t="s">
        <v>575</v>
      </c>
      <c r="C1308" s="25" t="s">
        <v>711</v>
      </c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229">
        <f t="shared" si="523"/>
        <v>0</v>
      </c>
      <c r="AC1308" s="228">
        <f t="shared" si="524"/>
        <v>0</v>
      </c>
      <c r="AD1308" s="19">
        <v>0</v>
      </c>
      <c r="AE1308" s="28"/>
      <c r="AF1308" s="28"/>
      <c r="AG1308" s="28"/>
      <c r="AH1308" s="28"/>
      <c r="AI1308" s="28"/>
      <c r="AJ1308" s="28">
        <v>1</v>
      </c>
      <c r="AK1308" s="28"/>
      <c r="AL1308" s="28"/>
      <c r="AM1308" s="28"/>
      <c r="AN1308" s="28"/>
      <c r="AO1308" s="28"/>
      <c r="AP1308" s="28">
        <v>1</v>
      </c>
      <c r="AQ1308" s="28"/>
      <c r="AR1308" s="28"/>
      <c r="AS1308" s="28"/>
      <c r="AT1308" s="28"/>
      <c r="AU1308" s="28"/>
      <c r="AV1308" s="28">
        <f>1+1</f>
        <v>2</v>
      </c>
      <c r="AW1308" s="28"/>
      <c r="AX1308" s="28"/>
      <c r="AY1308" s="28"/>
      <c r="AZ1308" s="28"/>
      <c r="BA1308" s="28"/>
      <c r="BB1308" s="28"/>
      <c r="BC1308" s="229">
        <f t="shared" si="525"/>
        <v>0</v>
      </c>
      <c r="BD1308" s="48">
        <f t="shared" si="526"/>
        <v>4</v>
      </c>
      <c r="BE1308" s="19">
        <v>17</v>
      </c>
      <c r="BF1308" s="229">
        <f t="shared" si="527"/>
        <v>0</v>
      </c>
      <c r="BG1308" s="210">
        <f t="shared" si="528"/>
        <v>4</v>
      </c>
      <c r="BH1308" s="210">
        <f t="shared" si="529"/>
        <v>17</v>
      </c>
      <c r="BI1308" s="213">
        <f t="shared" si="530"/>
        <v>23.52941176470588</v>
      </c>
      <c r="BJ1308" s="141"/>
      <c r="BK1308" s="201"/>
      <c r="BL1308" s="202"/>
      <c r="BM1308" s="202"/>
    </row>
    <row r="1309" spans="1:65" s="17" customFormat="1" ht="25.5" customHeight="1">
      <c r="A1309" s="114">
        <v>13</v>
      </c>
      <c r="B1309" s="24" t="s">
        <v>577</v>
      </c>
      <c r="C1309" s="27" t="s">
        <v>1630</v>
      </c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229">
        <f t="shared" si="523"/>
        <v>0</v>
      </c>
      <c r="AC1309" s="228">
        <f t="shared" si="524"/>
        <v>0</v>
      </c>
      <c r="AD1309" s="19">
        <v>0</v>
      </c>
      <c r="AE1309" s="28"/>
      <c r="AF1309" s="28"/>
      <c r="AG1309" s="28"/>
      <c r="AH1309" s="28"/>
      <c r="AI1309" s="28"/>
      <c r="AJ1309" s="28">
        <v>1</v>
      </c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>
        <v>2</v>
      </c>
      <c r="AW1309" s="28"/>
      <c r="AX1309" s="28"/>
      <c r="AY1309" s="28"/>
      <c r="AZ1309" s="28"/>
      <c r="BA1309" s="28"/>
      <c r="BB1309" s="28">
        <v>1</v>
      </c>
      <c r="BC1309" s="229">
        <f t="shared" si="525"/>
        <v>0</v>
      </c>
      <c r="BD1309" s="48">
        <f t="shared" si="526"/>
        <v>4</v>
      </c>
      <c r="BE1309" s="19">
        <v>8</v>
      </c>
      <c r="BF1309" s="229">
        <f t="shared" si="527"/>
        <v>0</v>
      </c>
      <c r="BG1309" s="210">
        <f t="shared" si="528"/>
        <v>4</v>
      </c>
      <c r="BH1309" s="210">
        <f t="shared" si="529"/>
        <v>8</v>
      </c>
      <c r="BI1309" s="213">
        <f t="shared" si="530"/>
        <v>50</v>
      </c>
      <c r="BJ1309" s="141"/>
      <c r="BK1309" s="201"/>
      <c r="BL1309" s="202"/>
      <c r="BM1309" s="202"/>
    </row>
    <row r="1310" spans="1:65" s="17" customFormat="1" ht="18" customHeight="1">
      <c r="A1310" s="114">
        <v>14</v>
      </c>
      <c r="B1310" s="24" t="s">
        <v>578</v>
      </c>
      <c r="C1310" s="25" t="s">
        <v>1587</v>
      </c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229">
        <f t="shared" si="523"/>
        <v>0</v>
      </c>
      <c r="AC1310" s="228">
        <f t="shared" si="524"/>
        <v>0</v>
      </c>
      <c r="AD1310" s="19">
        <v>0</v>
      </c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>
        <v>1</v>
      </c>
      <c r="AW1310" s="28"/>
      <c r="AX1310" s="28"/>
      <c r="AY1310" s="28"/>
      <c r="AZ1310" s="28"/>
      <c r="BA1310" s="28"/>
      <c r="BB1310" s="28">
        <v>2</v>
      </c>
      <c r="BC1310" s="229">
        <f t="shared" si="525"/>
        <v>0</v>
      </c>
      <c r="BD1310" s="48">
        <f t="shared" si="526"/>
        <v>3</v>
      </c>
      <c r="BE1310" s="19">
        <v>8</v>
      </c>
      <c r="BF1310" s="229">
        <f t="shared" si="527"/>
        <v>0</v>
      </c>
      <c r="BG1310" s="210">
        <f t="shared" si="528"/>
        <v>3</v>
      </c>
      <c r="BH1310" s="210">
        <f t="shared" si="529"/>
        <v>8</v>
      </c>
      <c r="BI1310" s="213">
        <f t="shared" si="530"/>
        <v>37.5</v>
      </c>
      <c r="BJ1310" s="141"/>
      <c r="BK1310" s="201"/>
      <c r="BL1310" s="202"/>
      <c r="BM1310" s="202"/>
    </row>
    <row r="1311" spans="1:65" s="17" customFormat="1" ht="18" customHeight="1">
      <c r="A1311" s="114">
        <v>15</v>
      </c>
      <c r="B1311" s="24" t="s">
        <v>579</v>
      </c>
      <c r="C1311" s="25" t="s">
        <v>580</v>
      </c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229">
        <f t="shared" si="523"/>
        <v>0</v>
      </c>
      <c r="AC1311" s="228">
        <f t="shared" si="524"/>
        <v>0</v>
      </c>
      <c r="AD1311" s="19">
        <v>0</v>
      </c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>
        <v>3</v>
      </c>
      <c r="AW1311" s="28"/>
      <c r="AX1311" s="28"/>
      <c r="AY1311" s="28"/>
      <c r="AZ1311" s="28"/>
      <c r="BA1311" s="28"/>
      <c r="BB1311" s="28"/>
      <c r="BC1311" s="229">
        <f t="shared" si="525"/>
        <v>0</v>
      </c>
      <c r="BD1311" s="48">
        <f t="shared" si="526"/>
        <v>3</v>
      </c>
      <c r="BE1311" s="19">
        <v>4</v>
      </c>
      <c r="BF1311" s="229">
        <f t="shared" si="527"/>
        <v>0</v>
      </c>
      <c r="BG1311" s="210">
        <f t="shared" si="528"/>
        <v>3</v>
      </c>
      <c r="BH1311" s="210">
        <f t="shared" si="529"/>
        <v>4</v>
      </c>
      <c r="BI1311" s="213">
        <f t="shared" si="530"/>
        <v>75</v>
      </c>
      <c r="BJ1311" s="141"/>
      <c r="BK1311" s="201"/>
      <c r="BL1311" s="202"/>
      <c r="BM1311" s="202"/>
    </row>
    <row r="1312" spans="1:65" s="17" customFormat="1" ht="18" customHeight="1">
      <c r="A1312" s="114">
        <v>16</v>
      </c>
      <c r="B1312" s="24" t="s">
        <v>582</v>
      </c>
      <c r="C1312" s="25" t="s">
        <v>583</v>
      </c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229">
        <f t="shared" si="523"/>
        <v>0</v>
      </c>
      <c r="AC1312" s="228">
        <f t="shared" si="524"/>
        <v>0</v>
      </c>
      <c r="AD1312" s="19">
        <v>0</v>
      </c>
      <c r="AE1312" s="28"/>
      <c r="AF1312" s="28"/>
      <c r="AG1312" s="28"/>
      <c r="AH1312" s="28"/>
      <c r="AI1312" s="28"/>
      <c r="AJ1312" s="28">
        <v>2</v>
      </c>
      <c r="AK1312" s="28"/>
      <c r="AL1312" s="28"/>
      <c r="AM1312" s="28"/>
      <c r="AN1312" s="28"/>
      <c r="AO1312" s="28"/>
      <c r="AP1312" s="28">
        <v>1</v>
      </c>
      <c r="AQ1312" s="28"/>
      <c r="AR1312" s="28"/>
      <c r="AS1312" s="28"/>
      <c r="AT1312" s="28"/>
      <c r="AU1312" s="28"/>
      <c r="AV1312" s="28">
        <v>3</v>
      </c>
      <c r="AW1312" s="28"/>
      <c r="AX1312" s="28"/>
      <c r="AY1312" s="28"/>
      <c r="AZ1312" s="28"/>
      <c r="BA1312" s="28"/>
      <c r="BB1312" s="28">
        <v>4</v>
      </c>
      <c r="BC1312" s="229">
        <f t="shared" si="525"/>
        <v>0</v>
      </c>
      <c r="BD1312" s="48">
        <f t="shared" si="526"/>
        <v>10</v>
      </c>
      <c r="BE1312" s="19">
        <v>26</v>
      </c>
      <c r="BF1312" s="229">
        <f t="shared" si="527"/>
        <v>0</v>
      </c>
      <c r="BG1312" s="210">
        <f t="shared" si="528"/>
        <v>10</v>
      </c>
      <c r="BH1312" s="210">
        <f t="shared" si="529"/>
        <v>26</v>
      </c>
      <c r="BI1312" s="213">
        <f t="shared" si="530"/>
        <v>38.461538461538467</v>
      </c>
      <c r="BJ1312" s="141"/>
      <c r="BK1312" s="201"/>
      <c r="BL1312" s="202"/>
      <c r="BM1312" s="202"/>
    </row>
    <row r="1313" spans="1:65" s="17" customFormat="1" ht="18" customHeight="1">
      <c r="A1313" s="114">
        <v>17</v>
      </c>
      <c r="B1313" s="24" t="s">
        <v>584</v>
      </c>
      <c r="C1313" s="25" t="s">
        <v>2603</v>
      </c>
      <c r="D1313" s="207"/>
      <c r="E1313" s="207"/>
      <c r="F1313" s="207"/>
      <c r="G1313" s="207"/>
      <c r="H1313" s="207"/>
      <c r="I1313" s="207"/>
      <c r="J1313" s="207"/>
      <c r="K1313" s="207"/>
      <c r="L1313" s="207"/>
      <c r="M1313" s="207"/>
      <c r="N1313" s="207"/>
      <c r="O1313" s="207"/>
      <c r="P1313" s="207"/>
      <c r="Q1313" s="207"/>
      <c r="R1313" s="207"/>
      <c r="S1313" s="207"/>
      <c r="T1313" s="207"/>
      <c r="U1313" s="207"/>
      <c r="V1313" s="227"/>
      <c r="W1313" s="227"/>
      <c r="X1313" s="227"/>
      <c r="Y1313" s="227"/>
      <c r="Z1313" s="207"/>
      <c r="AA1313" s="207"/>
      <c r="AB1313" s="229">
        <f t="shared" si="523"/>
        <v>0</v>
      </c>
      <c r="AC1313" s="228">
        <f t="shared" si="524"/>
        <v>0</v>
      </c>
      <c r="AD1313" s="19">
        <v>0</v>
      </c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29">
        <f t="shared" si="525"/>
        <v>0</v>
      </c>
      <c r="BD1313" s="48">
        <f t="shared" si="526"/>
        <v>0</v>
      </c>
      <c r="BE1313" s="19">
        <v>128</v>
      </c>
      <c r="BF1313" s="229">
        <f t="shared" si="527"/>
        <v>0</v>
      </c>
      <c r="BG1313" s="210">
        <f t="shared" si="528"/>
        <v>0</v>
      </c>
      <c r="BH1313" s="210">
        <f t="shared" si="529"/>
        <v>128</v>
      </c>
      <c r="BI1313" s="213">
        <f t="shared" si="530"/>
        <v>0</v>
      </c>
      <c r="BJ1313" s="141"/>
      <c r="BK1313" s="201"/>
      <c r="BL1313" s="202"/>
      <c r="BM1313" s="202"/>
    </row>
    <row r="1314" spans="1:65" s="17" customFormat="1" ht="18" customHeight="1">
      <c r="A1314" s="114">
        <v>18</v>
      </c>
      <c r="B1314" s="24" t="s">
        <v>585</v>
      </c>
      <c r="C1314" s="25" t="s">
        <v>586</v>
      </c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229">
        <f t="shared" si="523"/>
        <v>0</v>
      </c>
      <c r="AC1314" s="228">
        <f t="shared" si="524"/>
        <v>0</v>
      </c>
      <c r="AD1314" s="19">
        <v>0</v>
      </c>
      <c r="AE1314" s="28"/>
      <c r="AF1314" s="28"/>
      <c r="AG1314" s="28"/>
      <c r="AH1314" s="28"/>
      <c r="AI1314" s="28"/>
      <c r="AJ1314" s="28">
        <f>13+2</f>
        <v>15</v>
      </c>
      <c r="AK1314" s="28"/>
      <c r="AL1314" s="28"/>
      <c r="AM1314" s="28"/>
      <c r="AN1314" s="28"/>
      <c r="AO1314" s="28"/>
      <c r="AP1314" s="28">
        <f>20+655+2</f>
        <v>677</v>
      </c>
      <c r="AQ1314" s="28"/>
      <c r="AR1314" s="28"/>
      <c r="AS1314" s="28"/>
      <c r="AT1314" s="28"/>
      <c r="AU1314" s="28"/>
      <c r="AV1314" s="28">
        <f>18+736+23</f>
        <v>777</v>
      </c>
      <c r="AW1314" s="28"/>
      <c r="AX1314" s="28"/>
      <c r="AY1314" s="28"/>
      <c r="AZ1314" s="28"/>
      <c r="BA1314" s="28"/>
      <c r="BB1314" s="28">
        <f>15+813+8</f>
        <v>836</v>
      </c>
      <c r="BC1314" s="229">
        <f t="shared" si="525"/>
        <v>0</v>
      </c>
      <c r="BD1314" s="48">
        <f t="shared" si="526"/>
        <v>2305</v>
      </c>
      <c r="BE1314" s="19">
        <v>2294</v>
      </c>
      <c r="BF1314" s="229">
        <f t="shared" si="527"/>
        <v>0</v>
      </c>
      <c r="BG1314" s="210">
        <f t="shared" si="528"/>
        <v>2305</v>
      </c>
      <c r="BH1314" s="210">
        <f t="shared" si="529"/>
        <v>2294</v>
      </c>
      <c r="BI1314" s="213">
        <f t="shared" si="530"/>
        <v>100.47951176983435</v>
      </c>
      <c r="BJ1314" s="141"/>
      <c r="BK1314" s="201"/>
      <c r="BL1314" s="202"/>
      <c r="BM1314" s="202"/>
    </row>
    <row r="1315" spans="1:65" s="17" customFormat="1" ht="18" customHeight="1">
      <c r="A1315" s="114">
        <v>19</v>
      </c>
      <c r="B1315" s="24" t="s">
        <v>1399</v>
      </c>
      <c r="C1315" s="25" t="s">
        <v>1400</v>
      </c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229">
        <f t="shared" si="523"/>
        <v>0</v>
      </c>
      <c r="AC1315" s="228">
        <f t="shared" si="524"/>
        <v>0</v>
      </c>
      <c r="AD1315" s="19">
        <v>0</v>
      </c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29">
        <f t="shared" si="525"/>
        <v>0</v>
      </c>
      <c r="BD1315" s="48">
        <f t="shared" si="526"/>
        <v>0</v>
      </c>
      <c r="BE1315" s="19">
        <v>2</v>
      </c>
      <c r="BF1315" s="229">
        <f t="shared" si="527"/>
        <v>0</v>
      </c>
      <c r="BG1315" s="210">
        <f t="shared" si="528"/>
        <v>0</v>
      </c>
      <c r="BH1315" s="210">
        <f t="shared" si="529"/>
        <v>2</v>
      </c>
      <c r="BI1315" s="213">
        <f t="shared" si="530"/>
        <v>0</v>
      </c>
      <c r="BJ1315" s="141"/>
      <c r="BK1315" s="201"/>
      <c r="BL1315" s="202"/>
      <c r="BM1315" s="202"/>
    </row>
    <row r="1316" spans="1:65" s="17" customFormat="1" ht="18" customHeight="1">
      <c r="A1316" s="114">
        <v>20</v>
      </c>
      <c r="B1316" s="24" t="s">
        <v>712</v>
      </c>
      <c r="C1316" s="25" t="s">
        <v>2581</v>
      </c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229">
        <f t="shared" si="523"/>
        <v>0</v>
      </c>
      <c r="AC1316" s="228">
        <f t="shared" si="524"/>
        <v>0</v>
      </c>
      <c r="AD1316" s="19">
        <v>0</v>
      </c>
      <c r="AE1316" s="28"/>
      <c r="AF1316" s="28"/>
      <c r="AG1316" s="28"/>
      <c r="AH1316" s="28"/>
      <c r="AI1316" s="28"/>
      <c r="AJ1316" s="28">
        <v>3</v>
      </c>
      <c r="AK1316" s="28"/>
      <c r="AL1316" s="28"/>
      <c r="AM1316" s="28"/>
      <c r="AN1316" s="28"/>
      <c r="AO1316" s="28"/>
      <c r="AP1316" s="28">
        <v>2</v>
      </c>
      <c r="AQ1316" s="28"/>
      <c r="AR1316" s="28"/>
      <c r="AS1316" s="28"/>
      <c r="AT1316" s="28"/>
      <c r="AU1316" s="28"/>
      <c r="AV1316" s="28">
        <v>1</v>
      </c>
      <c r="AW1316" s="28"/>
      <c r="AX1316" s="28"/>
      <c r="AY1316" s="28"/>
      <c r="AZ1316" s="28"/>
      <c r="BA1316" s="28"/>
      <c r="BB1316" s="28">
        <v>7</v>
      </c>
      <c r="BC1316" s="229">
        <f t="shared" si="525"/>
        <v>0</v>
      </c>
      <c r="BD1316" s="48">
        <f t="shared" si="526"/>
        <v>13</v>
      </c>
      <c r="BE1316" s="19">
        <v>4</v>
      </c>
      <c r="BF1316" s="229">
        <f t="shared" si="527"/>
        <v>0</v>
      </c>
      <c r="BG1316" s="210">
        <f t="shared" si="528"/>
        <v>13</v>
      </c>
      <c r="BH1316" s="210">
        <f t="shared" si="529"/>
        <v>4</v>
      </c>
      <c r="BI1316" s="213">
        <f t="shared" si="530"/>
        <v>325</v>
      </c>
      <c r="BJ1316" s="141"/>
      <c r="BK1316" s="201"/>
      <c r="BL1316" s="202"/>
      <c r="BM1316" s="202"/>
    </row>
    <row r="1317" spans="1:65" s="17" customFormat="1" ht="18" customHeight="1">
      <c r="A1317" s="114">
        <v>21</v>
      </c>
      <c r="B1317" s="30" t="s">
        <v>587</v>
      </c>
      <c r="C1317" s="31" t="s">
        <v>713</v>
      </c>
      <c r="D1317" s="121"/>
      <c r="E1317" s="121"/>
      <c r="F1317" s="121"/>
      <c r="G1317" s="121"/>
      <c r="H1317" s="121"/>
      <c r="I1317" s="121">
        <v>21</v>
      </c>
      <c r="J1317" s="121"/>
      <c r="K1317" s="121"/>
      <c r="L1317" s="121"/>
      <c r="M1317" s="121"/>
      <c r="N1317" s="121"/>
      <c r="O1317" s="121">
        <v>15</v>
      </c>
      <c r="P1317" s="121"/>
      <c r="Q1317" s="121"/>
      <c r="R1317" s="121"/>
      <c r="S1317" s="121"/>
      <c r="T1317" s="121"/>
      <c r="U1317" s="121">
        <v>10</v>
      </c>
      <c r="V1317" s="121"/>
      <c r="W1317" s="121"/>
      <c r="X1317" s="121"/>
      <c r="Y1317" s="121"/>
      <c r="Z1317" s="121"/>
      <c r="AA1317" s="121">
        <v>17</v>
      </c>
      <c r="AB1317" s="229">
        <f t="shared" si="523"/>
        <v>0</v>
      </c>
      <c r="AC1317" s="228">
        <f t="shared" si="524"/>
        <v>63</v>
      </c>
      <c r="AD1317" s="19">
        <v>58</v>
      </c>
      <c r="AE1317" s="28"/>
      <c r="AF1317" s="28"/>
      <c r="AG1317" s="28"/>
      <c r="AH1317" s="28"/>
      <c r="AI1317" s="28"/>
      <c r="AJ1317" s="28">
        <f>23+2</f>
        <v>25</v>
      </c>
      <c r="AK1317" s="28"/>
      <c r="AL1317" s="28"/>
      <c r="AM1317" s="28"/>
      <c r="AN1317" s="28"/>
      <c r="AO1317" s="28"/>
      <c r="AP1317" s="28">
        <f>25+1</f>
        <v>26</v>
      </c>
      <c r="AQ1317" s="28"/>
      <c r="AR1317" s="28"/>
      <c r="AS1317" s="28"/>
      <c r="AT1317" s="28"/>
      <c r="AU1317" s="28"/>
      <c r="AV1317" s="28">
        <f>25+4</f>
        <v>29</v>
      </c>
      <c r="AW1317" s="28"/>
      <c r="AX1317" s="28"/>
      <c r="AY1317" s="28"/>
      <c r="AZ1317" s="28"/>
      <c r="BA1317" s="28"/>
      <c r="BB1317" s="28">
        <f>28+5</f>
        <v>33</v>
      </c>
      <c r="BC1317" s="229">
        <f t="shared" si="525"/>
        <v>0</v>
      </c>
      <c r="BD1317" s="48">
        <f t="shared" si="526"/>
        <v>113</v>
      </c>
      <c r="BE1317" s="19">
        <v>115</v>
      </c>
      <c r="BF1317" s="229">
        <f t="shared" si="527"/>
        <v>0</v>
      </c>
      <c r="BG1317" s="210">
        <f t="shared" si="528"/>
        <v>176</v>
      </c>
      <c r="BH1317" s="210">
        <f t="shared" si="529"/>
        <v>173</v>
      </c>
      <c r="BI1317" s="213">
        <f t="shared" si="530"/>
        <v>101.73410404624276</v>
      </c>
      <c r="BJ1317" s="141"/>
      <c r="BK1317" s="201"/>
      <c r="BL1317" s="202"/>
      <c r="BM1317" s="202"/>
    </row>
    <row r="1318" spans="1:65" s="17" customFormat="1" ht="18" customHeight="1">
      <c r="A1318" s="114">
        <v>22</v>
      </c>
      <c r="B1318" s="30" t="s">
        <v>588</v>
      </c>
      <c r="C1318" s="31" t="s">
        <v>589</v>
      </c>
      <c r="D1318" s="121"/>
      <c r="E1318" s="121"/>
      <c r="F1318" s="121"/>
      <c r="G1318" s="121"/>
      <c r="H1318" s="121"/>
      <c r="I1318" s="121">
        <v>54</v>
      </c>
      <c r="J1318" s="121"/>
      <c r="K1318" s="121"/>
      <c r="L1318" s="121"/>
      <c r="M1318" s="121"/>
      <c r="N1318" s="121"/>
      <c r="O1318" s="121">
        <v>43</v>
      </c>
      <c r="P1318" s="121"/>
      <c r="Q1318" s="121"/>
      <c r="R1318" s="121"/>
      <c r="S1318" s="121"/>
      <c r="T1318" s="121"/>
      <c r="U1318" s="121">
        <v>41</v>
      </c>
      <c r="V1318" s="121"/>
      <c r="W1318" s="121"/>
      <c r="X1318" s="121"/>
      <c r="Y1318" s="121"/>
      <c r="Z1318" s="121"/>
      <c r="AA1318" s="121">
        <v>48</v>
      </c>
      <c r="AB1318" s="229">
        <f t="shared" si="523"/>
        <v>0</v>
      </c>
      <c r="AC1318" s="228">
        <f t="shared" si="524"/>
        <v>186</v>
      </c>
      <c r="AD1318" s="19">
        <v>134</v>
      </c>
      <c r="AE1318" s="28"/>
      <c r="AF1318" s="28"/>
      <c r="AG1318" s="28"/>
      <c r="AH1318" s="28"/>
      <c r="AI1318" s="28"/>
      <c r="AJ1318" s="28">
        <f>91+246</f>
        <v>337</v>
      </c>
      <c r="AK1318" s="28"/>
      <c r="AL1318" s="28"/>
      <c r="AM1318" s="28"/>
      <c r="AN1318" s="28"/>
      <c r="AO1318" s="28"/>
      <c r="AP1318" s="28">
        <f>91+254</f>
        <v>345</v>
      </c>
      <c r="AQ1318" s="28"/>
      <c r="AR1318" s="28"/>
      <c r="AS1318" s="28"/>
      <c r="AT1318" s="28"/>
      <c r="AU1318" s="28"/>
      <c r="AV1318" s="28">
        <f>102+226</f>
        <v>328</v>
      </c>
      <c r="AW1318" s="28"/>
      <c r="AX1318" s="28"/>
      <c r="AY1318" s="28"/>
      <c r="AZ1318" s="28"/>
      <c r="BA1318" s="28"/>
      <c r="BB1318" s="28">
        <f>92+273</f>
        <v>365</v>
      </c>
      <c r="BC1318" s="229">
        <f t="shared" si="525"/>
        <v>0</v>
      </c>
      <c r="BD1318" s="48">
        <f t="shared" si="526"/>
        <v>1375</v>
      </c>
      <c r="BE1318" s="19">
        <v>1398</v>
      </c>
      <c r="BF1318" s="229">
        <f t="shared" si="527"/>
        <v>0</v>
      </c>
      <c r="BG1318" s="210">
        <f t="shared" si="528"/>
        <v>1561</v>
      </c>
      <c r="BH1318" s="210">
        <f t="shared" si="529"/>
        <v>1532</v>
      </c>
      <c r="BI1318" s="213">
        <f t="shared" si="530"/>
        <v>101.8929503916449</v>
      </c>
      <c r="BJ1318" s="141"/>
      <c r="BK1318" s="201"/>
      <c r="BL1318" s="202"/>
      <c r="BM1318" s="202"/>
    </row>
    <row r="1319" spans="1:65" s="17" customFormat="1" ht="18" customHeight="1">
      <c r="A1319" s="114">
        <v>23</v>
      </c>
      <c r="B1319" s="24" t="s">
        <v>1855</v>
      </c>
      <c r="C1319" s="25" t="s">
        <v>2576</v>
      </c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229">
        <f t="shared" si="523"/>
        <v>0</v>
      </c>
      <c r="AC1319" s="228">
        <f t="shared" si="524"/>
        <v>0</v>
      </c>
      <c r="AD1319" s="19">
        <v>0</v>
      </c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29">
        <f t="shared" si="525"/>
        <v>0</v>
      </c>
      <c r="BD1319" s="48">
        <f t="shared" si="526"/>
        <v>0</v>
      </c>
      <c r="BE1319" s="19">
        <v>1</v>
      </c>
      <c r="BF1319" s="229">
        <f t="shared" si="527"/>
        <v>0</v>
      </c>
      <c r="BG1319" s="210">
        <f t="shared" si="528"/>
        <v>0</v>
      </c>
      <c r="BH1319" s="210">
        <f t="shared" si="529"/>
        <v>1</v>
      </c>
      <c r="BI1319" s="213">
        <f t="shared" si="530"/>
        <v>0</v>
      </c>
      <c r="BJ1319" s="141"/>
      <c r="BK1319" s="201"/>
      <c r="BL1319" s="202"/>
      <c r="BM1319" s="202"/>
    </row>
    <row r="1320" spans="1:65" s="17" customFormat="1" ht="18" customHeight="1">
      <c r="A1320" s="114">
        <v>24</v>
      </c>
      <c r="B1320" s="24" t="s">
        <v>2178</v>
      </c>
      <c r="C1320" s="25" t="s">
        <v>2179</v>
      </c>
      <c r="D1320" s="121"/>
      <c r="E1320" s="121"/>
      <c r="F1320" s="121"/>
      <c r="G1320" s="121"/>
      <c r="H1320" s="121"/>
      <c r="I1320" s="121">
        <v>1</v>
      </c>
      <c r="J1320" s="121"/>
      <c r="K1320" s="121"/>
      <c r="L1320" s="121"/>
      <c r="M1320" s="121"/>
      <c r="N1320" s="121"/>
      <c r="O1320" s="121">
        <v>1</v>
      </c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229">
        <f t="shared" si="523"/>
        <v>0</v>
      </c>
      <c r="AC1320" s="228">
        <f t="shared" si="524"/>
        <v>2</v>
      </c>
      <c r="AD1320" s="19">
        <v>6</v>
      </c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29">
        <f t="shared" si="525"/>
        <v>0</v>
      </c>
      <c r="BD1320" s="48">
        <f t="shared" si="526"/>
        <v>0</v>
      </c>
      <c r="BE1320" s="19">
        <v>4</v>
      </c>
      <c r="BF1320" s="229">
        <f t="shared" si="527"/>
        <v>0</v>
      </c>
      <c r="BG1320" s="210">
        <f t="shared" si="528"/>
        <v>2</v>
      </c>
      <c r="BH1320" s="210">
        <f t="shared" si="529"/>
        <v>10</v>
      </c>
      <c r="BI1320" s="213">
        <f t="shared" si="530"/>
        <v>20</v>
      </c>
      <c r="BJ1320" s="141"/>
      <c r="BK1320" s="201"/>
      <c r="BL1320" s="202"/>
      <c r="BM1320" s="202"/>
    </row>
    <row r="1321" spans="1:65" s="17" customFormat="1" ht="18" customHeight="1">
      <c r="A1321" s="114">
        <v>25</v>
      </c>
      <c r="B1321" s="24" t="s">
        <v>1365</v>
      </c>
      <c r="C1321" s="25" t="s">
        <v>1366</v>
      </c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>
        <v>1</v>
      </c>
      <c r="P1321" s="121"/>
      <c r="Q1321" s="121"/>
      <c r="R1321" s="121"/>
      <c r="S1321" s="121"/>
      <c r="T1321" s="121"/>
      <c r="U1321" s="121">
        <v>1</v>
      </c>
      <c r="V1321" s="121"/>
      <c r="W1321" s="121"/>
      <c r="X1321" s="121"/>
      <c r="Y1321" s="121"/>
      <c r="Z1321" s="121"/>
      <c r="AA1321" s="121"/>
      <c r="AB1321" s="229">
        <f t="shared" si="523"/>
        <v>0</v>
      </c>
      <c r="AC1321" s="228">
        <f t="shared" si="524"/>
        <v>2</v>
      </c>
      <c r="AD1321" s="19">
        <v>0</v>
      </c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>
        <f>1+1</f>
        <v>2</v>
      </c>
      <c r="AW1321" s="28"/>
      <c r="AX1321" s="28"/>
      <c r="AY1321" s="28"/>
      <c r="AZ1321" s="28"/>
      <c r="BA1321" s="28"/>
      <c r="BB1321" s="28">
        <v>1</v>
      </c>
      <c r="BC1321" s="229">
        <f t="shared" si="525"/>
        <v>0</v>
      </c>
      <c r="BD1321" s="48">
        <f t="shared" si="526"/>
        <v>3</v>
      </c>
      <c r="BE1321" s="19">
        <v>22</v>
      </c>
      <c r="BF1321" s="229">
        <f t="shared" si="527"/>
        <v>0</v>
      </c>
      <c r="BG1321" s="210">
        <f t="shared" si="528"/>
        <v>5</v>
      </c>
      <c r="BH1321" s="210">
        <f t="shared" si="529"/>
        <v>22</v>
      </c>
      <c r="BI1321" s="213">
        <f t="shared" si="530"/>
        <v>22.727272727272727</v>
      </c>
      <c r="BJ1321" s="141"/>
      <c r="BK1321" s="201"/>
      <c r="BL1321" s="202"/>
      <c r="BM1321" s="202"/>
    </row>
    <row r="1322" spans="1:65" s="17" customFormat="1" ht="18" customHeight="1">
      <c r="A1322" s="114">
        <v>26</v>
      </c>
      <c r="B1322" s="24" t="s">
        <v>6</v>
      </c>
      <c r="C1322" s="25" t="s">
        <v>2180</v>
      </c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>
        <v>1</v>
      </c>
      <c r="P1322" s="121"/>
      <c r="Q1322" s="121"/>
      <c r="R1322" s="121"/>
      <c r="S1322" s="121"/>
      <c r="T1322" s="121"/>
      <c r="U1322" s="121">
        <v>2</v>
      </c>
      <c r="V1322" s="121"/>
      <c r="W1322" s="121"/>
      <c r="X1322" s="121"/>
      <c r="Y1322" s="121"/>
      <c r="Z1322" s="121"/>
      <c r="AA1322" s="121">
        <v>1</v>
      </c>
      <c r="AB1322" s="229">
        <f t="shared" si="523"/>
        <v>0</v>
      </c>
      <c r="AC1322" s="228">
        <f t="shared" si="524"/>
        <v>4</v>
      </c>
      <c r="AD1322" s="19">
        <v>4</v>
      </c>
      <c r="AE1322" s="28"/>
      <c r="AF1322" s="28"/>
      <c r="AG1322" s="28"/>
      <c r="AH1322" s="28"/>
      <c r="AI1322" s="28"/>
      <c r="AJ1322" s="28">
        <v>2</v>
      </c>
      <c r="AK1322" s="28"/>
      <c r="AL1322" s="28"/>
      <c r="AM1322" s="28"/>
      <c r="AN1322" s="28"/>
      <c r="AO1322" s="28"/>
      <c r="AP1322" s="28">
        <f>2+1</f>
        <v>3</v>
      </c>
      <c r="AQ1322" s="28"/>
      <c r="AR1322" s="28"/>
      <c r="AS1322" s="28"/>
      <c r="AT1322" s="28"/>
      <c r="AU1322" s="28"/>
      <c r="AV1322" s="28">
        <f>1+1</f>
        <v>2</v>
      </c>
      <c r="AW1322" s="28"/>
      <c r="AX1322" s="28"/>
      <c r="AY1322" s="28"/>
      <c r="AZ1322" s="28"/>
      <c r="BA1322" s="28"/>
      <c r="BB1322" s="28">
        <v>3</v>
      </c>
      <c r="BC1322" s="229">
        <f t="shared" si="525"/>
        <v>0</v>
      </c>
      <c r="BD1322" s="48">
        <f t="shared" si="526"/>
        <v>10</v>
      </c>
      <c r="BE1322" s="19">
        <v>24</v>
      </c>
      <c r="BF1322" s="229">
        <f t="shared" si="527"/>
        <v>0</v>
      </c>
      <c r="BG1322" s="210">
        <f t="shared" si="528"/>
        <v>14</v>
      </c>
      <c r="BH1322" s="210">
        <f t="shared" si="529"/>
        <v>28</v>
      </c>
      <c r="BI1322" s="213">
        <f t="shared" si="530"/>
        <v>50</v>
      </c>
      <c r="BJ1322" s="141"/>
      <c r="BK1322" s="201"/>
      <c r="BL1322" s="202"/>
      <c r="BM1322" s="202"/>
    </row>
    <row r="1323" spans="1:65" s="17" customFormat="1" ht="18" customHeight="1">
      <c r="A1323" s="114">
        <v>27</v>
      </c>
      <c r="B1323" s="24" t="s">
        <v>2037</v>
      </c>
      <c r="C1323" s="25" t="s">
        <v>2575</v>
      </c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229">
        <f t="shared" si="523"/>
        <v>0</v>
      </c>
      <c r="AC1323" s="228">
        <f t="shared" si="524"/>
        <v>0</v>
      </c>
      <c r="AD1323" s="19">
        <v>2</v>
      </c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29">
        <f t="shared" si="525"/>
        <v>0</v>
      </c>
      <c r="BD1323" s="48">
        <f t="shared" si="526"/>
        <v>0</v>
      </c>
      <c r="BE1323" s="19">
        <v>0</v>
      </c>
      <c r="BF1323" s="229">
        <f t="shared" si="527"/>
        <v>0</v>
      </c>
      <c r="BG1323" s="210">
        <f t="shared" si="528"/>
        <v>0</v>
      </c>
      <c r="BH1323" s="210">
        <f t="shared" si="529"/>
        <v>2</v>
      </c>
      <c r="BI1323" s="213">
        <f t="shared" si="530"/>
        <v>0</v>
      </c>
      <c r="BJ1323" s="141"/>
      <c r="BK1323" s="201"/>
      <c r="BL1323" s="202"/>
      <c r="BM1323" s="202"/>
    </row>
    <row r="1324" spans="1:65" s="17" customFormat="1" ht="18" customHeight="1">
      <c r="A1324" s="114">
        <v>28</v>
      </c>
      <c r="B1324" s="24" t="s">
        <v>714</v>
      </c>
      <c r="C1324" s="25" t="s">
        <v>715</v>
      </c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229">
        <f t="shared" si="523"/>
        <v>0</v>
      </c>
      <c r="AC1324" s="228">
        <f t="shared" si="524"/>
        <v>0</v>
      </c>
      <c r="AD1324" s="19">
        <v>0</v>
      </c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29">
        <f t="shared" si="525"/>
        <v>0</v>
      </c>
      <c r="BD1324" s="48">
        <f t="shared" si="526"/>
        <v>0</v>
      </c>
      <c r="BE1324" s="19">
        <v>1</v>
      </c>
      <c r="BF1324" s="229">
        <f t="shared" si="527"/>
        <v>0</v>
      </c>
      <c r="BG1324" s="210">
        <f t="shared" si="528"/>
        <v>0</v>
      </c>
      <c r="BH1324" s="210">
        <f t="shared" si="529"/>
        <v>1</v>
      </c>
      <c r="BI1324" s="213">
        <f t="shared" si="530"/>
        <v>0</v>
      </c>
      <c r="BJ1324" s="141"/>
      <c r="BK1324" s="201"/>
      <c r="BL1324" s="202"/>
      <c r="BM1324" s="202"/>
    </row>
    <row r="1325" spans="1:65" s="17" customFormat="1" ht="21.95" customHeight="1">
      <c r="A1325" s="114">
        <v>29</v>
      </c>
      <c r="B1325" s="24" t="s">
        <v>716</v>
      </c>
      <c r="C1325" s="27" t="s">
        <v>2572</v>
      </c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229">
        <f t="shared" si="523"/>
        <v>0</v>
      </c>
      <c r="AC1325" s="228">
        <f t="shared" si="524"/>
        <v>0</v>
      </c>
      <c r="AD1325" s="19">
        <v>0</v>
      </c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29">
        <f t="shared" si="525"/>
        <v>0</v>
      </c>
      <c r="BD1325" s="48">
        <f t="shared" si="526"/>
        <v>0</v>
      </c>
      <c r="BE1325" s="19">
        <v>1</v>
      </c>
      <c r="BF1325" s="229">
        <f t="shared" si="527"/>
        <v>0</v>
      </c>
      <c r="BG1325" s="210">
        <f t="shared" si="528"/>
        <v>0</v>
      </c>
      <c r="BH1325" s="210">
        <f t="shared" si="529"/>
        <v>1</v>
      </c>
      <c r="BI1325" s="213">
        <f t="shared" si="530"/>
        <v>0</v>
      </c>
      <c r="BJ1325" s="141"/>
      <c r="BK1325" s="201"/>
      <c r="BL1325" s="202"/>
      <c r="BM1325" s="202"/>
    </row>
    <row r="1326" spans="1:65" s="17" customFormat="1" ht="18" customHeight="1">
      <c r="A1326" s="114">
        <v>30</v>
      </c>
      <c r="B1326" s="30" t="s">
        <v>590</v>
      </c>
      <c r="C1326" s="31" t="s">
        <v>686</v>
      </c>
      <c r="D1326" s="121"/>
      <c r="E1326" s="121"/>
      <c r="F1326" s="121"/>
      <c r="G1326" s="121"/>
      <c r="H1326" s="121"/>
      <c r="I1326" s="121">
        <v>16</v>
      </c>
      <c r="J1326" s="121"/>
      <c r="K1326" s="121"/>
      <c r="L1326" s="121"/>
      <c r="M1326" s="121"/>
      <c r="N1326" s="121"/>
      <c r="O1326" s="121">
        <v>6</v>
      </c>
      <c r="P1326" s="121"/>
      <c r="Q1326" s="121"/>
      <c r="R1326" s="121"/>
      <c r="S1326" s="121"/>
      <c r="T1326" s="121"/>
      <c r="U1326" s="121">
        <v>14</v>
      </c>
      <c r="V1326" s="121"/>
      <c r="W1326" s="121"/>
      <c r="X1326" s="121"/>
      <c r="Y1326" s="121"/>
      <c r="Z1326" s="121"/>
      <c r="AA1326" s="121">
        <v>7</v>
      </c>
      <c r="AB1326" s="229">
        <f t="shared" si="523"/>
        <v>0</v>
      </c>
      <c r="AC1326" s="228">
        <f t="shared" si="524"/>
        <v>43</v>
      </c>
      <c r="AD1326" s="19">
        <v>46</v>
      </c>
      <c r="AE1326" s="28"/>
      <c r="AF1326" s="28"/>
      <c r="AG1326" s="28"/>
      <c r="AH1326" s="28"/>
      <c r="AI1326" s="28"/>
      <c r="AJ1326" s="28">
        <f>27+211</f>
        <v>238</v>
      </c>
      <c r="AK1326" s="28"/>
      <c r="AL1326" s="28"/>
      <c r="AM1326" s="28"/>
      <c r="AN1326" s="28"/>
      <c r="AO1326" s="28"/>
      <c r="AP1326" s="28">
        <f>35+163</f>
        <v>198</v>
      </c>
      <c r="AQ1326" s="28"/>
      <c r="AR1326" s="28"/>
      <c r="AS1326" s="28"/>
      <c r="AT1326" s="28"/>
      <c r="AU1326" s="28"/>
      <c r="AV1326" s="28">
        <f>42+157</f>
        <v>199</v>
      </c>
      <c r="AW1326" s="28"/>
      <c r="AX1326" s="28"/>
      <c r="AY1326" s="28"/>
      <c r="AZ1326" s="28"/>
      <c r="BA1326" s="28"/>
      <c r="BB1326" s="28">
        <f>32+198</f>
        <v>230</v>
      </c>
      <c r="BC1326" s="229">
        <f t="shared" si="525"/>
        <v>0</v>
      </c>
      <c r="BD1326" s="48">
        <f t="shared" si="526"/>
        <v>865</v>
      </c>
      <c r="BE1326" s="19">
        <v>905</v>
      </c>
      <c r="BF1326" s="229">
        <f t="shared" si="527"/>
        <v>0</v>
      </c>
      <c r="BG1326" s="210">
        <f t="shared" si="528"/>
        <v>908</v>
      </c>
      <c r="BH1326" s="210">
        <f t="shared" si="529"/>
        <v>951</v>
      </c>
      <c r="BI1326" s="213">
        <f t="shared" si="530"/>
        <v>95.47844374342796</v>
      </c>
      <c r="BJ1326" s="141"/>
      <c r="BK1326" s="201"/>
      <c r="BL1326" s="202"/>
      <c r="BM1326" s="202"/>
    </row>
    <row r="1327" spans="1:65" s="17" customFormat="1" ht="18" customHeight="1">
      <c r="A1327" s="114">
        <v>31</v>
      </c>
      <c r="B1327" s="30" t="s">
        <v>591</v>
      </c>
      <c r="C1327" s="31" t="s">
        <v>592</v>
      </c>
      <c r="D1327" s="121"/>
      <c r="E1327" s="121"/>
      <c r="F1327" s="121"/>
      <c r="G1327" s="121"/>
      <c r="H1327" s="121"/>
      <c r="I1327" s="121">
        <v>2</v>
      </c>
      <c r="J1327" s="121"/>
      <c r="K1327" s="121"/>
      <c r="L1327" s="121"/>
      <c r="M1327" s="121"/>
      <c r="N1327" s="121"/>
      <c r="O1327" s="121">
        <v>8</v>
      </c>
      <c r="P1327" s="121"/>
      <c r="Q1327" s="121"/>
      <c r="R1327" s="121"/>
      <c r="S1327" s="121"/>
      <c r="T1327" s="121"/>
      <c r="U1327" s="121">
        <v>3</v>
      </c>
      <c r="V1327" s="121"/>
      <c r="W1327" s="121"/>
      <c r="X1327" s="121"/>
      <c r="Y1327" s="121"/>
      <c r="Z1327" s="121"/>
      <c r="AA1327" s="121">
        <v>4</v>
      </c>
      <c r="AB1327" s="229">
        <f t="shared" si="523"/>
        <v>0</v>
      </c>
      <c r="AC1327" s="228">
        <f t="shared" si="524"/>
        <v>17</v>
      </c>
      <c r="AD1327" s="19">
        <v>12</v>
      </c>
      <c r="AE1327" s="28"/>
      <c r="AF1327" s="28"/>
      <c r="AG1327" s="28"/>
      <c r="AH1327" s="28"/>
      <c r="AI1327" s="28"/>
      <c r="AJ1327" s="28">
        <f>21+63</f>
        <v>84</v>
      </c>
      <c r="AK1327" s="28"/>
      <c r="AL1327" s="28"/>
      <c r="AM1327" s="28"/>
      <c r="AN1327" s="28"/>
      <c r="AO1327" s="28"/>
      <c r="AP1327" s="28">
        <f>16+60</f>
        <v>76</v>
      </c>
      <c r="AQ1327" s="28"/>
      <c r="AR1327" s="28"/>
      <c r="AS1327" s="28"/>
      <c r="AT1327" s="28"/>
      <c r="AU1327" s="28"/>
      <c r="AV1327" s="28">
        <f>23+49</f>
        <v>72</v>
      </c>
      <c r="AW1327" s="28"/>
      <c r="AX1327" s="28"/>
      <c r="AY1327" s="28"/>
      <c r="AZ1327" s="28"/>
      <c r="BA1327" s="28"/>
      <c r="BB1327" s="28">
        <f>28+62</f>
        <v>90</v>
      </c>
      <c r="BC1327" s="229">
        <f t="shared" si="525"/>
        <v>0</v>
      </c>
      <c r="BD1327" s="48">
        <f t="shared" si="526"/>
        <v>322</v>
      </c>
      <c r="BE1327" s="19">
        <v>402</v>
      </c>
      <c r="BF1327" s="229">
        <f t="shared" si="527"/>
        <v>0</v>
      </c>
      <c r="BG1327" s="210">
        <f t="shared" si="528"/>
        <v>339</v>
      </c>
      <c r="BH1327" s="210">
        <f t="shared" si="529"/>
        <v>414</v>
      </c>
      <c r="BI1327" s="213">
        <f t="shared" si="530"/>
        <v>81.884057971014485</v>
      </c>
      <c r="BJ1327" s="141"/>
      <c r="BK1327" s="201"/>
      <c r="BL1327" s="202"/>
      <c r="BM1327" s="202"/>
    </row>
    <row r="1328" spans="1:65" s="17" customFormat="1" ht="21.95" customHeight="1">
      <c r="A1328" s="114">
        <v>32</v>
      </c>
      <c r="B1328" s="30" t="s">
        <v>1594</v>
      </c>
      <c r="C1328" s="32" t="s">
        <v>2544</v>
      </c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229">
        <f t="shared" si="523"/>
        <v>0</v>
      </c>
      <c r="AC1328" s="228">
        <f t="shared" si="524"/>
        <v>0</v>
      </c>
      <c r="AD1328" s="19">
        <v>4</v>
      </c>
      <c r="AE1328" s="28"/>
      <c r="AF1328" s="28"/>
      <c r="AG1328" s="28"/>
      <c r="AH1328" s="28"/>
      <c r="AI1328" s="28"/>
      <c r="AJ1328" s="28">
        <v>1</v>
      </c>
      <c r="AK1328" s="28"/>
      <c r="AL1328" s="28"/>
      <c r="AM1328" s="28"/>
      <c r="AN1328" s="28"/>
      <c r="AO1328" s="28"/>
      <c r="AP1328" s="28">
        <v>4</v>
      </c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>
        <v>3</v>
      </c>
      <c r="BC1328" s="229">
        <f t="shared" si="525"/>
        <v>0</v>
      </c>
      <c r="BD1328" s="48">
        <f t="shared" si="526"/>
        <v>8</v>
      </c>
      <c r="BE1328" s="19">
        <v>6</v>
      </c>
      <c r="BF1328" s="229">
        <f t="shared" si="527"/>
        <v>0</v>
      </c>
      <c r="BG1328" s="210">
        <f t="shared" si="528"/>
        <v>8</v>
      </c>
      <c r="BH1328" s="210">
        <f t="shared" si="529"/>
        <v>10</v>
      </c>
      <c r="BI1328" s="213">
        <f t="shared" si="530"/>
        <v>80</v>
      </c>
      <c r="BJ1328" s="141"/>
      <c r="BK1328" s="201"/>
      <c r="BL1328" s="202"/>
      <c r="BM1328" s="202"/>
    </row>
    <row r="1329" spans="1:65" s="17" customFormat="1" ht="18" customHeight="1">
      <c r="A1329" s="114">
        <v>33</v>
      </c>
      <c r="B1329" s="30" t="s">
        <v>718</v>
      </c>
      <c r="C1329" s="31" t="s">
        <v>2543</v>
      </c>
      <c r="D1329" s="121"/>
      <c r="E1329" s="121"/>
      <c r="F1329" s="121"/>
      <c r="G1329" s="121"/>
      <c r="H1329" s="121"/>
      <c r="I1329" s="121">
        <v>3</v>
      </c>
      <c r="J1329" s="121"/>
      <c r="K1329" s="121"/>
      <c r="L1329" s="121"/>
      <c r="M1329" s="121"/>
      <c r="N1329" s="121"/>
      <c r="O1329" s="121">
        <v>7</v>
      </c>
      <c r="P1329" s="121"/>
      <c r="Q1329" s="121"/>
      <c r="R1329" s="121"/>
      <c r="S1329" s="121"/>
      <c r="T1329" s="121"/>
      <c r="U1329" s="121">
        <v>3</v>
      </c>
      <c r="V1329" s="121"/>
      <c r="W1329" s="121"/>
      <c r="X1329" s="121"/>
      <c r="Y1329" s="121"/>
      <c r="Z1329" s="121"/>
      <c r="AA1329" s="121">
        <v>4</v>
      </c>
      <c r="AB1329" s="229">
        <f t="shared" si="523"/>
        <v>0</v>
      </c>
      <c r="AC1329" s="228">
        <f t="shared" si="524"/>
        <v>17</v>
      </c>
      <c r="AD1329" s="19">
        <v>8</v>
      </c>
      <c r="AE1329" s="28"/>
      <c r="AF1329" s="28"/>
      <c r="AG1329" s="28"/>
      <c r="AH1329" s="28"/>
      <c r="AI1329" s="28"/>
      <c r="AJ1329" s="28">
        <f>19+43</f>
        <v>62</v>
      </c>
      <c r="AK1329" s="28"/>
      <c r="AL1329" s="28"/>
      <c r="AM1329" s="28"/>
      <c r="AN1329" s="28"/>
      <c r="AO1329" s="28"/>
      <c r="AP1329" s="28">
        <f>17+39</f>
        <v>56</v>
      </c>
      <c r="AQ1329" s="28"/>
      <c r="AR1329" s="28"/>
      <c r="AS1329" s="28"/>
      <c r="AT1329" s="28"/>
      <c r="AU1329" s="28"/>
      <c r="AV1329" s="28">
        <f>18+48</f>
        <v>66</v>
      </c>
      <c r="AW1329" s="28"/>
      <c r="AX1329" s="28"/>
      <c r="AY1329" s="28"/>
      <c r="AZ1329" s="28"/>
      <c r="BA1329" s="28"/>
      <c r="BB1329" s="28">
        <f>15+42</f>
        <v>57</v>
      </c>
      <c r="BC1329" s="229">
        <f t="shared" si="525"/>
        <v>0</v>
      </c>
      <c r="BD1329" s="48">
        <f t="shared" si="526"/>
        <v>241</v>
      </c>
      <c r="BE1329" s="19">
        <v>210</v>
      </c>
      <c r="BF1329" s="229">
        <f t="shared" si="527"/>
        <v>0</v>
      </c>
      <c r="BG1329" s="210">
        <f t="shared" si="528"/>
        <v>258</v>
      </c>
      <c r="BH1329" s="210">
        <f t="shared" si="529"/>
        <v>218</v>
      </c>
      <c r="BI1329" s="213">
        <f t="shared" ref="BI1329:BI1360" si="534">BG1329/BH1329*100</f>
        <v>118.34862385321101</v>
      </c>
      <c r="BJ1329" s="141"/>
      <c r="BK1329" s="201"/>
      <c r="BL1329" s="202"/>
      <c r="BM1329" s="202"/>
    </row>
    <row r="1330" spans="1:65" s="17" customFormat="1" ht="18" customHeight="1">
      <c r="A1330" s="114">
        <v>34</v>
      </c>
      <c r="B1330" s="24" t="s">
        <v>593</v>
      </c>
      <c r="C1330" s="25" t="s">
        <v>755</v>
      </c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>
        <v>19</v>
      </c>
      <c r="P1330" s="121"/>
      <c r="Q1330" s="121"/>
      <c r="R1330" s="121"/>
      <c r="S1330" s="121"/>
      <c r="T1330" s="121"/>
      <c r="U1330" s="121">
        <v>118</v>
      </c>
      <c r="V1330" s="121"/>
      <c r="W1330" s="121"/>
      <c r="X1330" s="121"/>
      <c r="Y1330" s="121"/>
      <c r="Z1330" s="121"/>
      <c r="AA1330" s="121">
        <v>29</v>
      </c>
      <c r="AB1330" s="229"/>
      <c r="AC1330" s="228">
        <f t="shared" ref="AC1330:AC1361" si="535">E1330+G1330+I1330+K1330+M1330+O1330+Q1330+S1330+U1330+W1330+Y1330+AA1330</f>
        <v>166</v>
      </c>
      <c r="AD1330" s="19">
        <v>0</v>
      </c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29"/>
      <c r="BD1330" s="48">
        <f t="shared" ref="BD1330:BD1361" si="536">AF1330+AH1330+AJ1330+AL1330+AN1330+AP1330+AR1330+AT1330+AV1330+AX1330+AZ1330+BB1330</f>
        <v>0</v>
      </c>
      <c r="BE1330" s="19">
        <v>0</v>
      </c>
      <c r="BF1330" s="229"/>
      <c r="BG1330" s="210">
        <f t="shared" ref="BG1330:BG1361" si="537">AC1330+BD1330</f>
        <v>166</v>
      </c>
      <c r="BH1330" s="210">
        <f t="shared" ref="BH1330:BH1361" si="538">AD1330+BE1330</f>
        <v>0</v>
      </c>
      <c r="BI1330" s="213" t="e">
        <f t="shared" si="534"/>
        <v>#DIV/0!</v>
      </c>
      <c r="BJ1330" s="141"/>
      <c r="BK1330" s="201"/>
      <c r="BL1330" s="202"/>
      <c r="BM1330" s="202"/>
    </row>
    <row r="1331" spans="1:65" s="17" customFormat="1" ht="18" customHeight="1">
      <c r="A1331" s="114">
        <v>35</v>
      </c>
      <c r="B1331" s="24" t="s">
        <v>826</v>
      </c>
      <c r="C1331" s="25" t="s">
        <v>827</v>
      </c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229">
        <f t="shared" ref="AB1331:AB1346" si="539">D1331+F1331+H1331+J1331+L1331+N1331+P1331+R1331+T1331+V1331+X1331+Z1331</f>
        <v>0</v>
      </c>
      <c r="AC1331" s="228">
        <f t="shared" si="535"/>
        <v>0</v>
      </c>
      <c r="AD1331" s="19">
        <v>0</v>
      </c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29">
        <f t="shared" ref="BC1331:BC1346" si="540">AE1331+AG1331+AI1331+AK1331+AM1331+AO1331+AQ1331+AS1331+AU1331+AW1331+AY1331+BA1331</f>
        <v>0</v>
      </c>
      <c r="BD1331" s="48">
        <f t="shared" si="536"/>
        <v>0</v>
      </c>
      <c r="BE1331" s="19">
        <v>28</v>
      </c>
      <c r="BF1331" s="229">
        <f t="shared" ref="BF1331:BF1346" si="541">AB1331+BC1331</f>
        <v>0</v>
      </c>
      <c r="BG1331" s="210">
        <f t="shared" si="537"/>
        <v>0</v>
      </c>
      <c r="BH1331" s="210">
        <f t="shared" si="538"/>
        <v>28</v>
      </c>
      <c r="BI1331" s="213">
        <f t="shared" si="534"/>
        <v>0</v>
      </c>
      <c r="BJ1331" s="141"/>
      <c r="BK1331" s="201"/>
      <c r="BL1331" s="202"/>
      <c r="BM1331" s="202"/>
    </row>
    <row r="1332" spans="1:65" s="17" customFormat="1" ht="18" customHeight="1">
      <c r="A1332" s="114">
        <v>36</v>
      </c>
      <c r="B1332" s="24" t="s">
        <v>596</v>
      </c>
      <c r="C1332" s="25" t="s">
        <v>597</v>
      </c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229">
        <f t="shared" si="539"/>
        <v>0</v>
      </c>
      <c r="AC1332" s="228">
        <f t="shared" si="535"/>
        <v>0</v>
      </c>
      <c r="AD1332" s="19">
        <v>0</v>
      </c>
      <c r="AE1332" s="28"/>
      <c r="AF1332" s="28"/>
      <c r="AG1332" s="28"/>
      <c r="AH1332" s="28"/>
      <c r="AI1332" s="28"/>
      <c r="AJ1332" s="28">
        <f>50+3</f>
        <v>53</v>
      </c>
      <c r="AK1332" s="28"/>
      <c r="AL1332" s="28"/>
      <c r="AM1332" s="28"/>
      <c r="AN1332" s="28"/>
      <c r="AO1332" s="28"/>
      <c r="AP1332" s="28">
        <f>55+24+4</f>
        <v>83</v>
      </c>
      <c r="AQ1332" s="28"/>
      <c r="AR1332" s="28"/>
      <c r="AS1332" s="28"/>
      <c r="AT1332" s="28"/>
      <c r="AU1332" s="28"/>
      <c r="AV1332" s="28">
        <f>55+41+9</f>
        <v>105</v>
      </c>
      <c r="AW1332" s="28"/>
      <c r="AX1332" s="28"/>
      <c r="AY1332" s="28"/>
      <c r="AZ1332" s="28"/>
      <c r="BA1332" s="28"/>
      <c r="BB1332" s="28">
        <f>66+6+17</f>
        <v>89</v>
      </c>
      <c r="BC1332" s="229">
        <f t="shared" si="540"/>
        <v>0</v>
      </c>
      <c r="BD1332" s="48">
        <f t="shared" si="536"/>
        <v>330</v>
      </c>
      <c r="BE1332" s="19">
        <v>336</v>
      </c>
      <c r="BF1332" s="229">
        <f t="shared" si="541"/>
        <v>0</v>
      </c>
      <c r="BG1332" s="210">
        <f t="shared" si="537"/>
        <v>330</v>
      </c>
      <c r="BH1332" s="210">
        <f t="shared" si="538"/>
        <v>336</v>
      </c>
      <c r="BI1332" s="213">
        <f t="shared" si="534"/>
        <v>98.214285714285708</v>
      </c>
      <c r="BJ1332" s="141"/>
      <c r="BK1332" s="201"/>
      <c r="BL1332" s="202"/>
      <c r="BM1332" s="202"/>
    </row>
    <row r="1333" spans="1:65" s="17" customFormat="1" ht="21.95" customHeight="1">
      <c r="A1333" s="114">
        <v>37</v>
      </c>
      <c r="B1333" s="24" t="s">
        <v>626</v>
      </c>
      <c r="C1333" s="25" t="s">
        <v>627</v>
      </c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229">
        <f t="shared" si="539"/>
        <v>0</v>
      </c>
      <c r="AC1333" s="228">
        <f t="shared" si="535"/>
        <v>0</v>
      </c>
      <c r="AD1333" s="19">
        <v>0</v>
      </c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29">
        <f t="shared" si="540"/>
        <v>0</v>
      </c>
      <c r="BD1333" s="48">
        <f t="shared" si="536"/>
        <v>0</v>
      </c>
      <c r="BE1333" s="19">
        <v>1</v>
      </c>
      <c r="BF1333" s="229">
        <f t="shared" si="541"/>
        <v>0</v>
      </c>
      <c r="BG1333" s="210">
        <f t="shared" si="537"/>
        <v>0</v>
      </c>
      <c r="BH1333" s="210">
        <f t="shared" si="538"/>
        <v>1</v>
      </c>
      <c r="BI1333" s="213">
        <f t="shared" si="534"/>
        <v>0</v>
      </c>
      <c r="BJ1333" s="141"/>
      <c r="BK1333" s="201"/>
      <c r="BL1333" s="202"/>
      <c r="BM1333" s="202"/>
    </row>
    <row r="1334" spans="1:65" s="17" customFormat="1" ht="18" customHeight="1">
      <c r="A1334" s="114">
        <v>38</v>
      </c>
      <c r="B1334" s="24" t="s">
        <v>628</v>
      </c>
      <c r="C1334" s="25" t="s">
        <v>629</v>
      </c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229">
        <f t="shared" si="539"/>
        <v>0</v>
      </c>
      <c r="AC1334" s="228">
        <f t="shared" si="535"/>
        <v>0</v>
      </c>
      <c r="AD1334" s="19">
        <v>2</v>
      </c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>
        <v>835</v>
      </c>
      <c r="AQ1334" s="28"/>
      <c r="AR1334" s="28"/>
      <c r="AS1334" s="28"/>
      <c r="AT1334" s="28"/>
      <c r="AU1334" s="28"/>
      <c r="AV1334" s="28">
        <v>653</v>
      </c>
      <c r="AW1334" s="28"/>
      <c r="AX1334" s="28"/>
      <c r="AY1334" s="28"/>
      <c r="AZ1334" s="28"/>
      <c r="BA1334" s="28"/>
      <c r="BB1334" s="28">
        <v>742</v>
      </c>
      <c r="BC1334" s="229">
        <f t="shared" si="540"/>
        <v>0</v>
      </c>
      <c r="BD1334" s="48">
        <f t="shared" si="536"/>
        <v>2230</v>
      </c>
      <c r="BE1334" s="19">
        <v>1294</v>
      </c>
      <c r="BF1334" s="229">
        <f t="shared" si="541"/>
        <v>0</v>
      </c>
      <c r="BG1334" s="210">
        <f t="shared" si="537"/>
        <v>2230</v>
      </c>
      <c r="BH1334" s="210">
        <f t="shared" si="538"/>
        <v>1296</v>
      </c>
      <c r="BI1334" s="213">
        <f t="shared" si="534"/>
        <v>172.0679012345679</v>
      </c>
      <c r="BJ1334" s="141"/>
      <c r="BK1334" s="201"/>
      <c r="BL1334" s="202"/>
      <c r="BM1334" s="202"/>
    </row>
    <row r="1335" spans="1:65" s="17" customFormat="1" ht="18" customHeight="1">
      <c r="A1335" s="114">
        <v>39</v>
      </c>
      <c r="B1335" s="24" t="s">
        <v>979</v>
      </c>
      <c r="C1335" s="25" t="s">
        <v>696</v>
      </c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229">
        <f t="shared" si="539"/>
        <v>0</v>
      </c>
      <c r="AC1335" s="228">
        <f t="shared" si="535"/>
        <v>0</v>
      </c>
      <c r="AD1335" s="19">
        <v>1</v>
      </c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29">
        <f t="shared" si="540"/>
        <v>0</v>
      </c>
      <c r="BD1335" s="48">
        <f t="shared" si="536"/>
        <v>0</v>
      </c>
      <c r="BE1335" s="19">
        <v>0</v>
      </c>
      <c r="BF1335" s="229">
        <f t="shared" si="541"/>
        <v>0</v>
      </c>
      <c r="BG1335" s="210">
        <f t="shared" si="537"/>
        <v>0</v>
      </c>
      <c r="BH1335" s="210">
        <f t="shared" si="538"/>
        <v>1</v>
      </c>
      <c r="BI1335" s="213">
        <f t="shared" si="534"/>
        <v>0</v>
      </c>
      <c r="BJ1335" s="141"/>
      <c r="BK1335" s="201"/>
      <c r="BL1335" s="202"/>
      <c r="BM1335" s="202"/>
    </row>
    <row r="1336" spans="1:65" s="17" customFormat="1" ht="18" customHeight="1">
      <c r="A1336" s="114">
        <v>40</v>
      </c>
      <c r="B1336" s="36" t="s">
        <v>630</v>
      </c>
      <c r="C1336" s="35" t="s">
        <v>631</v>
      </c>
      <c r="D1336" s="225"/>
      <c r="E1336" s="225"/>
      <c r="F1336" s="225"/>
      <c r="G1336" s="225"/>
      <c r="H1336" s="225"/>
      <c r="I1336" s="225"/>
      <c r="J1336" s="225"/>
      <c r="K1336" s="225"/>
      <c r="L1336" s="225"/>
      <c r="M1336" s="225"/>
      <c r="N1336" s="225"/>
      <c r="O1336" s="225"/>
      <c r="P1336" s="225"/>
      <c r="Q1336" s="225"/>
      <c r="R1336" s="225"/>
      <c r="S1336" s="225"/>
      <c r="T1336" s="225"/>
      <c r="U1336" s="225"/>
      <c r="V1336" s="227"/>
      <c r="W1336" s="227"/>
      <c r="X1336" s="227"/>
      <c r="Y1336" s="227"/>
      <c r="Z1336" s="225"/>
      <c r="AA1336" s="225"/>
      <c r="AB1336" s="229">
        <f t="shared" si="539"/>
        <v>0</v>
      </c>
      <c r="AC1336" s="228">
        <f t="shared" si="535"/>
        <v>0</v>
      </c>
      <c r="AD1336" s="19">
        <v>0</v>
      </c>
      <c r="AE1336" s="28"/>
      <c r="AF1336" s="28"/>
      <c r="AG1336" s="28"/>
      <c r="AH1336" s="28"/>
      <c r="AI1336" s="28"/>
      <c r="AJ1336" s="28">
        <f>6+1</f>
        <v>7</v>
      </c>
      <c r="AK1336" s="28"/>
      <c r="AL1336" s="28"/>
      <c r="AM1336" s="28"/>
      <c r="AN1336" s="28"/>
      <c r="AO1336" s="28"/>
      <c r="AP1336" s="28">
        <f>7+6</f>
        <v>13</v>
      </c>
      <c r="AQ1336" s="28"/>
      <c r="AR1336" s="28"/>
      <c r="AS1336" s="28"/>
      <c r="AT1336" s="28"/>
      <c r="AU1336" s="28"/>
      <c r="AV1336" s="28">
        <f>2+7</f>
        <v>9</v>
      </c>
      <c r="AW1336" s="28"/>
      <c r="AX1336" s="28"/>
      <c r="AY1336" s="28"/>
      <c r="AZ1336" s="28"/>
      <c r="BA1336" s="28"/>
      <c r="BB1336" s="28">
        <f>2+2+6</f>
        <v>10</v>
      </c>
      <c r="BC1336" s="229">
        <f t="shared" si="540"/>
        <v>0</v>
      </c>
      <c r="BD1336" s="48">
        <f t="shared" si="536"/>
        <v>39</v>
      </c>
      <c r="BE1336" s="19">
        <v>64</v>
      </c>
      <c r="BF1336" s="229">
        <f t="shared" si="541"/>
        <v>0</v>
      </c>
      <c r="BG1336" s="210">
        <f t="shared" si="537"/>
        <v>39</v>
      </c>
      <c r="BH1336" s="210">
        <f t="shared" si="538"/>
        <v>64</v>
      </c>
      <c r="BI1336" s="213">
        <f t="shared" si="534"/>
        <v>60.9375</v>
      </c>
      <c r="BJ1336" s="141"/>
      <c r="BK1336" s="201"/>
      <c r="BL1336" s="202"/>
      <c r="BM1336" s="202"/>
    </row>
    <row r="1337" spans="1:65" s="17" customFormat="1" ht="18" customHeight="1">
      <c r="A1337" s="114">
        <v>41</v>
      </c>
      <c r="B1337" s="36" t="s">
        <v>770</v>
      </c>
      <c r="C1337" s="35" t="s">
        <v>771</v>
      </c>
      <c r="D1337" s="207"/>
      <c r="E1337" s="207"/>
      <c r="F1337" s="207"/>
      <c r="G1337" s="207"/>
      <c r="H1337" s="207"/>
      <c r="I1337" s="207"/>
      <c r="J1337" s="207"/>
      <c r="K1337" s="207"/>
      <c r="L1337" s="207"/>
      <c r="M1337" s="207"/>
      <c r="N1337" s="207"/>
      <c r="O1337" s="207"/>
      <c r="P1337" s="207"/>
      <c r="Q1337" s="207"/>
      <c r="R1337" s="207"/>
      <c r="S1337" s="207"/>
      <c r="T1337" s="207"/>
      <c r="U1337" s="207"/>
      <c r="V1337" s="227"/>
      <c r="W1337" s="227"/>
      <c r="X1337" s="227"/>
      <c r="Y1337" s="227"/>
      <c r="Z1337" s="207"/>
      <c r="AA1337" s="207"/>
      <c r="AB1337" s="229">
        <f t="shared" si="539"/>
        <v>0</v>
      </c>
      <c r="AC1337" s="228">
        <f t="shared" si="535"/>
        <v>0</v>
      </c>
      <c r="AD1337" s="19">
        <v>0</v>
      </c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>
        <v>6</v>
      </c>
      <c r="AQ1337" s="28"/>
      <c r="AR1337" s="28"/>
      <c r="AS1337" s="28"/>
      <c r="AT1337" s="28"/>
      <c r="AU1337" s="28"/>
      <c r="AV1337" s="28">
        <f>5+148</f>
        <v>153</v>
      </c>
      <c r="AW1337" s="28"/>
      <c r="AX1337" s="28"/>
      <c r="AY1337" s="28"/>
      <c r="AZ1337" s="28"/>
      <c r="BA1337" s="28"/>
      <c r="BB1337" s="28"/>
      <c r="BC1337" s="229">
        <f t="shared" si="540"/>
        <v>0</v>
      </c>
      <c r="BD1337" s="48">
        <f t="shared" si="536"/>
        <v>159</v>
      </c>
      <c r="BE1337" s="19">
        <v>27</v>
      </c>
      <c r="BF1337" s="229">
        <f t="shared" si="541"/>
        <v>0</v>
      </c>
      <c r="BG1337" s="210">
        <f t="shared" si="537"/>
        <v>159</v>
      </c>
      <c r="BH1337" s="210">
        <f t="shared" si="538"/>
        <v>27</v>
      </c>
      <c r="BI1337" s="213">
        <f t="shared" si="534"/>
        <v>588.88888888888891</v>
      </c>
      <c r="BJ1337" s="141"/>
      <c r="BK1337" s="201"/>
      <c r="BL1337" s="202"/>
      <c r="BM1337" s="202"/>
    </row>
    <row r="1338" spans="1:65" s="17" customFormat="1" ht="18" customHeight="1">
      <c r="A1338" s="114">
        <v>42</v>
      </c>
      <c r="B1338" s="36" t="s">
        <v>632</v>
      </c>
      <c r="C1338" s="35" t="s">
        <v>633</v>
      </c>
      <c r="D1338" s="207"/>
      <c r="E1338" s="207"/>
      <c r="F1338" s="207"/>
      <c r="G1338" s="207"/>
      <c r="H1338" s="207"/>
      <c r="I1338" s="207"/>
      <c r="J1338" s="207"/>
      <c r="K1338" s="207"/>
      <c r="L1338" s="207"/>
      <c r="M1338" s="207"/>
      <c r="N1338" s="207"/>
      <c r="O1338" s="207"/>
      <c r="P1338" s="207"/>
      <c r="Q1338" s="207"/>
      <c r="R1338" s="207"/>
      <c r="S1338" s="207"/>
      <c r="T1338" s="207"/>
      <c r="U1338" s="207"/>
      <c r="V1338" s="227"/>
      <c r="W1338" s="227"/>
      <c r="X1338" s="227"/>
      <c r="Y1338" s="227"/>
      <c r="Z1338" s="207"/>
      <c r="AA1338" s="207"/>
      <c r="AB1338" s="229">
        <f t="shared" si="539"/>
        <v>0</v>
      </c>
      <c r="AC1338" s="228">
        <f t="shared" si="535"/>
        <v>0</v>
      </c>
      <c r="AD1338" s="19">
        <v>0</v>
      </c>
      <c r="AE1338" s="28"/>
      <c r="AF1338" s="28"/>
      <c r="AG1338" s="28"/>
      <c r="AH1338" s="28"/>
      <c r="AI1338" s="28"/>
      <c r="AJ1338" s="28">
        <f>3+7</f>
        <v>10</v>
      </c>
      <c r="AK1338" s="28"/>
      <c r="AL1338" s="28"/>
      <c r="AM1338" s="28"/>
      <c r="AN1338" s="28"/>
      <c r="AO1338" s="28"/>
      <c r="AP1338" s="28">
        <f>19+5</f>
        <v>24</v>
      </c>
      <c r="AQ1338" s="28"/>
      <c r="AR1338" s="28"/>
      <c r="AS1338" s="28"/>
      <c r="AT1338" s="28"/>
      <c r="AU1338" s="28"/>
      <c r="AV1338" s="28">
        <v>16</v>
      </c>
      <c r="AW1338" s="28"/>
      <c r="AX1338" s="28"/>
      <c r="AY1338" s="28"/>
      <c r="AZ1338" s="28"/>
      <c r="BA1338" s="28"/>
      <c r="BB1338" s="28">
        <f>8+23</f>
        <v>31</v>
      </c>
      <c r="BC1338" s="229">
        <f t="shared" si="540"/>
        <v>0</v>
      </c>
      <c r="BD1338" s="48">
        <f t="shared" si="536"/>
        <v>81</v>
      </c>
      <c r="BE1338" s="19">
        <v>146</v>
      </c>
      <c r="BF1338" s="229">
        <f t="shared" si="541"/>
        <v>0</v>
      </c>
      <c r="BG1338" s="210">
        <f t="shared" si="537"/>
        <v>81</v>
      </c>
      <c r="BH1338" s="210">
        <f t="shared" si="538"/>
        <v>146</v>
      </c>
      <c r="BI1338" s="213">
        <f t="shared" si="534"/>
        <v>55.479452054794521</v>
      </c>
      <c r="BJ1338" s="141"/>
      <c r="BK1338" s="201"/>
      <c r="BL1338" s="202"/>
      <c r="BM1338" s="202"/>
    </row>
    <row r="1339" spans="1:65" s="17" customFormat="1" ht="18" customHeight="1">
      <c r="A1339" s="114">
        <v>43</v>
      </c>
      <c r="B1339" s="24" t="s">
        <v>634</v>
      </c>
      <c r="C1339" s="25" t="s">
        <v>696</v>
      </c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229">
        <f t="shared" si="539"/>
        <v>0</v>
      </c>
      <c r="AC1339" s="228">
        <f t="shared" si="535"/>
        <v>0</v>
      </c>
      <c r="AD1339" s="19">
        <v>1</v>
      </c>
      <c r="AE1339" s="28"/>
      <c r="AF1339" s="28"/>
      <c r="AG1339" s="28"/>
      <c r="AH1339" s="28"/>
      <c r="AI1339" s="28"/>
      <c r="AJ1339" s="28">
        <f>2+21</f>
        <v>23</v>
      </c>
      <c r="AK1339" s="28"/>
      <c r="AL1339" s="28"/>
      <c r="AM1339" s="28"/>
      <c r="AN1339" s="28"/>
      <c r="AO1339" s="28"/>
      <c r="AP1339" s="28">
        <f>18+2+19</f>
        <v>39</v>
      </c>
      <c r="AQ1339" s="28"/>
      <c r="AR1339" s="28"/>
      <c r="AS1339" s="28"/>
      <c r="AT1339" s="28"/>
      <c r="AU1339" s="28"/>
      <c r="AV1339" s="28">
        <f>1+40</f>
        <v>41</v>
      </c>
      <c r="AW1339" s="28"/>
      <c r="AX1339" s="28"/>
      <c r="AY1339" s="28"/>
      <c r="AZ1339" s="28"/>
      <c r="BA1339" s="28"/>
      <c r="BB1339" s="28">
        <f>18+56</f>
        <v>74</v>
      </c>
      <c r="BC1339" s="229">
        <f t="shared" si="540"/>
        <v>0</v>
      </c>
      <c r="BD1339" s="48">
        <f t="shared" si="536"/>
        <v>177</v>
      </c>
      <c r="BE1339" s="19">
        <v>314</v>
      </c>
      <c r="BF1339" s="229">
        <f t="shared" si="541"/>
        <v>0</v>
      </c>
      <c r="BG1339" s="210">
        <f t="shared" si="537"/>
        <v>177</v>
      </c>
      <c r="BH1339" s="210">
        <f t="shared" si="538"/>
        <v>315</v>
      </c>
      <c r="BI1339" s="213">
        <f t="shared" si="534"/>
        <v>56.19047619047619</v>
      </c>
      <c r="BJ1339" s="141"/>
      <c r="BK1339" s="201"/>
      <c r="BL1339" s="202"/>
      <c r="BM1339" s="202"/>
    </row>
    <row r="1340" spans="1:65" s="17" customFormat="1" ht="18" customHeight="1">
      <c r="A1340" s="114">
        <v>44</v>
      </c>
      <c r="B1340" s="24" t="s">
        <v>636</v>
      </c>
      <c r="C1340" s="25" t="s">
        <v>637</v>
      </c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229">
        <f t="shared" si="539"/>
        <v>0</v>
      </c>
      <c r="AC1340" s="228">
        <f t="shared" si="535"/>
        <v>0</v>
      </c>
      <c r="AD1340" s="19">
        <v>0</v>
      </c>
      <c r="AE1340" s="28"/>
      <c r="AF1340" s="28"/>
      <c r="AG1340" s="28"/>
      <c r="AH1340" s="28"/>
      <c r="AI1340" s="28"/>
      <c r="AJ1340" s="28">
        <v>1</v>
      </c>
      <c r="AK1340" s="28"/>
      <c r="AL1340" s="28"/>
      <c r="AM1340" s="28"/>
      <c r="AN1340" s="28"/>
      <c r="AO1340" s="28"/>
      <c r="AP1340" s="28">
        <v>3</v>
      </c>
      <c r="AQ1340" s="28"/>
      <c r="AR1340" s="28"/>
      <c r="AS1340" s="28"/>
      <c r="AT1340" s="28"/>
      <c r="AU1340" s="28"/>
      <c r="AV1340" s="28">
        <v>5</v>
      </c>
      <c r="AW1340" s="28"/>
      <c r="AX1340" s="28"/>
      <c r="AY1340" s="28"/>
      <c r="AZ1340" s="28"/>
      <c r="BA1340" s="28"/>
      <c r="BB1340" s="28">
        <v>7</v>
      </c>
      <c r="BC1340" s="229">
        <f t="shared" si="540"/>
        <v>0</v>
      </c>
      <c r="BD1340" s="48">
        <f t="shared" si="536"/>
        <v>16</v>
      </c>
      <c r="BE1340" s="19">
        <v>34</v>
      </c>
      <c r="BF1340" s="229">
        <f t="shared" si="541"/>
        <v>0</v>
      </c>
      <c r="BG1340" s="210">
        <f t="shared" si="537"/>
        <v>16</v>
      </c>
      <c r="BH1340" s="210">
        <f t="shared" si="538"/>
        <v>34</v>
      </c>
      <c r="BI1340" s="213">
        <f t="shared" si="534"/>
        <v>47.058823529411761</v>
      </c>
      <c r="BJ1340" s="141"/>
      <c r="BK1340" s="201"/>
      <c r="BL1340" s="202"/>
      <c r="BM1340" s="202"/>
    </row>
    <row r="1341" spans="1:65" s="17" customFormat="1" ht="18" customHeight="1">
      <c r="A1341" s="114">
        <v>45</v>
      </c>
      <c r="B1341" s="24" t="s">
        <v>643</v>
      </c>
      <c r="C1341" s="25" t="s">
        <v>722</v>
      </c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229">
        <f t="shared" si="539"/>
        <v>0</v>
      </c>
      <c r="AC1341" s="228">
        <f t="shared" si="535"/>
        <v>0</v>
      </c>
      <c r="AD1341" s="19">
        <v>0</v>
      </c>
      <c r="AE1341" s="28"/>
      <c r="AF1341" s="28"/>
      <c r="AG1341" s="28"/>
      <c r="AH1341" s="28"/>
      <c r="AI1341" s="28"/>
      <c r="AJ1341" s="28">
        <v>3</v>
      </c>
      <c r="AK1341" s="28"/>
      <c r="AL1341" s="28"/>
      <c r="AM1341" s="28"/>
      <c r="AN1341" s="28"/>
      <c r="AO1341" s="28"/>
      <c r="AP1341" s="28">
        <f>6+7</f>
        <v>13</v>
      </c>
      <c r="AQ1341" s="28"/>
      <c r="AR1341" s="28"/>
      <c r="AS1341" s="28"/>
      <c r="AT1341" s="28"/>
      <c r="AU1341" s="28"/>
      <c r="AV1341" s="28">
        <f>9+38</f>
        <v>47</v>
      </c>
      <c r="AW1341" s="28"/>
      <c r="AX1341" s="28"/>
      <c r="AY1341" s="28"/>
      <c r="AZ1341" s="28"/>
      <c r="BA1341" s="28"/>
      <c r="BB1341" s="28">
        <v>37</v>
      </c>
      <c r="BC1341" s="229">
        <f t="shared" si="540"/>
        <v>0</v>
      </c>
      <c r="BD1341" s="48">
        <f t="shared" si="536"/>
        <v>100</v>
      </c>
      <c r="BE1341" s="19">
        <v>286</v>
      </c>
      <c r="BF1341" s="229">
        <f t="shared" si="541"/>
        <v>0</v>
      </c>
      <c r="BG1341" s="210">
        <f t="shared" si="537"/>
        <v>100</v>
      </c>
      <c r="BH1341" s="210">
        <f t="shared" si="538"/>
        <v>286</v>
      </c>
      <c r="BI1341" s="213">
        <f t="shared" si="534"/>
        <v>34.965034965034967</v>
      </c>
      <c r="BJ1341" s="141"/>
      <c r="BK1341" s="201"/>
      <c r="BL1341" s="202"/>
      <c r="BM1341" s="202"/>
    </row>
    <row r="1342" spans="1:65" s="17" customFormat="1" ht="18" customHeight="1">
      <c r="A1342" s="114">
        <v>46</v>
      </c>
      <c r="B1342" s="36" t="s">
        <v>773</v>
      </c>
      <c r="C1342" s="25" t="s">
        <v>1159</v>
      </c>
      <c r="D1342" s="207"/>
      <c r="E1342" s="207"/>
      <c r="F1342" s="207"/>
      <c r="G1342" s="207"/>
      <c r="H1342" s="207"/>
      <c r="I1342" s="207"/>
      <c r="J1342" s="207"/>
      <c r="K1342" s="207"/>
      <c r="L1342" s="207"/>
      <c r="M1342" s="207"/>
      <c r="N1342" s="207"/>
      <c r="O1342" s="207"/>
      <c r="P1342" s="207"/>
      <c r="Q1342" s="207"/>
      <c r="R1342" s="207"/>
      <c r="S1342" s="207"/>
      <c r="T1342" s="207"/>
      <c r="U1342" s="207"/>
      <c r="V1342" s="227"/>
      <c r="W1342" s="227"/>
      <c r="X1342" s="227"/>
      <c r="Y1342" s="227"/>
      <c r="Z1342" s="207"/>
      <c r="AA1342" s="207"/>
      <c r="AB1342" s="229">
        <f t="shared" si="539"/>
        <v>0</v>
      </c>
      <c r="AC1342" s="228">
        <f t="shared" si="535"/>
        <v>0</v>
      </c>
      <c r="AD1342" s="19">
        <v>0</v>
      </c>
      <c r="AE1342" s="28"/>
      <c r="AF1342" s="28"/>
      <c r="AG1342" s="28"/>
      <c r="AH1342" s="28"/>
      <c r="AI1342" s="28"/>
      <c r="AJ1342" s="28">
        <v>1</v>
      </c>
      <c r="AK1342" s="28"/>
      <c r="AL1342" s="28"/>
      <c r="AM1342" s="28"/>
      <c r="AN1342" s="28"/>
      <c r="AO1342" s="28"/>
      <c r="AP1342" s="28">
        <v>1</v>
      </c>
      <c r="AQ1342" s="28"/>
      <c r="AR1342" s="28"/>
      <c r="AS1342" s="28"/>
      <c r="AT1342" s="28"/>
      <c r="AU1342" s="28"/>
      <c r="AV1342" s="28">
        <v>1</v>
      </c>
      <c r="AW1342" s="28"/>
      <c r="AX1342" s="28"/>
      <c r="AY1342" s="28"/>
      <c r="AZ1342" s="28"/>
      <c r="BA1342" s="28"/>
      <c r="BB1342" s="28">
        <v>1</v>
      </c>
      <c r="BC1342" s="229">
        <f t="shared" si="540"/>
        <v>0</v>
      </c>
      <c r="BD1342" s="48">
        <f t="shared" si="536"/>
        <v>4</v>
      </c>
      <c r="BE1342" s="19">
        <v>4</v>
      </c>
      <c r="BF1342" s="229">
        <f t="shared" si="541"/>
        <v>0</v>
      </c>
      <c r="BG1342" s="210">
        <f t="shared" si="537"/>
        <v>4</v>
      </c>
      <c r="BH1342" s="210">
        <f t="shared" si="538"/>
        <v>4</v>
      </c>
      <c r="BI1342" s="213">
        <f t="shared" si="534"/>
        <v>100</v>
      </c>
      <c r="BJ1342" s="141"/>
      <c r="BK1342" s="201"/>
      <c r="BL1342" s="202"/>
      <c r="BM1342" s="202"/>
    </row>
    <row r="1343" spans="1:65" s="17" customFormat="1" ht="18" customHeight="1">
      <c r="A1343" s="114">
        <v>47</v>
      </c>
      <c r="B1343" s="36" t="s">
        <v>644</v>
      </c>
      <c r="C1343" s="25" t="s">
        <v>645</v>
      </c>
      <c r="D1343" s="207"/>
      <c r="E1343" s="207"/>
      <c r="F1343" s="207"/>
      <c r="G1343" s="207"/>
      <c r="H1343" s="207"/>
      <c r="I1343" s="207"/>
      <c r="J1343" s="207"/>
      <c r="K1343" s="207"/>
      <c r="L1343" s="207"/>
      <c r="M1343" s="207"/>
      <c r="N1343" s="207"/>
      <c r="O1343" s="207"/>
      <c r="P1343" s="207"/>
      <c r="Q1343" s="207"/>
      <c r="R1343" s="207"/>
      <c r="S1343" s="207"/>
      <c r="T1343" s="207"/>
      <c r="U1343" s="207"/>
      <c r="V1343" s="227"/>
      <c r="W1343" s="227"/>
      <c r="X1343" s="227"/>
      <c r="Y1343" s="227"/>
      <c r="Z1343" s="207"/>
      <c r="AA1343" s="207"/>
      <c r="AB1343" s="229">
        <f t="shared" si="539"/>
        <v>0</v>
      </c>
      <c r="AC1343" s="228">
        <f t="shared" si="535"/>
        <v>0</v>
      </c>
      <c r="AD1343" s="19">
        <v>0</v>
      </c>
      <c r="AE1343" s="28"/>
      <c r="AF1343" s="28"/>
      <c r="AG1343" s="28"/>
      <c r="AH1343" s="28"/>
      <c r="AI1343" s="28"/>
      <c r="AJ1343" s="28">
        <f>45+3</f>
        <v>48</v>
      </c>
      <c r="AK1343" s="28"/>
      <c r="AL1343" s="28"/>
      <c r="AM1343" s="28"/>
      <c r="AN1343" s="28"/>
      <c r="AO1343" s="28"/>
      <c r="AP1343" s="28">
        <f>95+2</f>
        <v>97</v>
      </c>
      <c r="AQ1343" s="28"/>
      <c r="AR1343" s="28"/>
      <c r="AS1343" s="28"/>
      <c r="AT1343" s="28"/>
      <c r="AU1343" s="28"/>
      <c r="AV1343" s="28">
        <f>56+14</f>
        <v>70</v>
      </c>
      <c r="AW1343" s="28"/>
      <c r="AX1343" s="28"/>
      <c r="AY1343" s="28"/>
      <c r="AZ1343" s="28"/>
      <c r="BA1343" s="28"/>
      <c r="BB1343" s="28">
        <f>48+10</f>
        <v>58</v>
      </c>
      <c r="BC1343" s="229">
        <f t="shared" si="540"/>
        <v>0</v>
      </c>
      <c r="BD1343" s="48">
        <f t="shared" si="536"/>
        <v>273</v>
      </c>
      <c r="BE1343" s="19">
        <v>432</v>
      </c>
      <c r="BF1343" s="229">
        <f t="shared" si="541"/>
        <v>0</v>
      </c>
      <c r="BG1343" s="210">
        <f t="shared" si="537"/>
        <v>273</v>
      </c>
      <c r="BH1343" s="210">
        <f t="shared" si="538"/>
        <v>432</v>
      </c>
      <c r="BI1343" s="213">
        <f t="shared" si="534"/>
        <v>63.194444444444443</v>
      </c>
      <c r="BJ1343" s="141"/>
      <c r="BK1343" s="201"/>
      <c r="BL1343" s="202"/>
      <c r="BM1343" s="202"/>
    </row>
    <row r="1344" spans="1:65" s="17" customFormat="1" ht="18" customHeight="1">
      <c r="A1344" s="114">
        <v>48</v>
      </c>
      <c r="B1344" s="24" t="s">
        <v>698</v>
      </c>
      <c r="C1344" s="25" t="s">
        <v>699</v>
      </c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229">
        <f t="shared" si="539"/>
        <v>0</v>
      </c>
      <c r="AC1344" s="228">
        <f t="shared" si="535"/>
        <v>0</v>
      </c>
      <c r="AD1344" s="19">
        <v>0</v>
      </c>
      <c r="AE1344" s="28"/>
      <c r="AF1344" s="28"/>
      <c r="AG1344" s="28"/>
      <c r="AH1344" s="28"/>
      <c r="AI1344" s="28"/>
      <c r="AJ1344" s="28">
        <v>14</v>
      </c>
      <c r="AK1344" s="28"/>
      <c r="AL1344" s="28"/>
      <c r="AM1344" s="28"/>
      <c r="AN1344" s="28"/>
      <c r="AO1344" s="28"/>
      <c r="AP1344" s="28">
        <f>6+14</f>
        <v>20</v>
      </c>
      <c r="AQ1344" s="28"/>
      <c r="AR1344" s="28"/>
      <c r="AS1344" s="28"/>
      <c r="AT1344" s="28"/>
      <c r="AU1344" s="28"/>
      <c r="AV1344" s="28">
        <f>13+2</f>
        <v>15</v>
      </c>
      <c r="AW1344" s="28"/>
      <c r="AX1344" s="28"/>
      <c r="AY1344" s="28"/>
      <c r="AZ1344" s="28"/>
      <c r="BA1344" s="28"/>
      <c r="BB1344" s="28">
        <f>8+11+1</f>
        <v>20</v>
      </c>
      <c r="BC1344" s="229">
        <f t="shared" si="540"/>
        <v>0</v>
      </c>
      <c r="BD1344" s="48">
        <f t="shared" si="536"/>
        <v>69</v>
      </c>
      <c r="BE1344" s="19">
        <v>106</v>
      </c>
      <c r="BF1344" s="229">
        <f t="shared" si="541"/>
        <v>0</v>
      </c>
      <c r="BG1344" s="210">
        <f t="shared" si="537"/>
        <v>69</v>
      </c>
      <c r="BH1344" s="210">
        <f t="shared" si="538"/>
        <v>106</v>
      </c>
      <c r="BI1344" s="213">
        <f t="shared" si="534"/>
        <v>65.094339622641513</v>
      </c>
      <c r="BJ1344" s="141"/>
      <c r="BK1344" s="201"/>
      <c r="BL1344" s="202"/>
      <c r="BM1344" s="202"/>
    </row>
    <row r="1345" spans="1:65" s="17" customFormat="1" ht="18" customHeight="1">
      <c r="A1345" s="114">
        <v>49</v>
      </c>
      <c r="B1345" s="24" t="s">
        <v>835</v>
      </c>
      <c r="C1345" s="25" t="s">
        <v>1962</v>
      </c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229">
        <f t="shared" si="539"/>
        <v>0</v>
      </c>
      <c r="AC1345" s="228">
        <f t="shared" si="535"/>
        <v>0</v>
      </c>
      <c r="AD1345" s="19">
        <v>0</v>
      </c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>
        <v>10</v>
      </c>
      <c r="AQ1345" s="28"/>
      <c r="AR1345" s="28"/>
      <c r="AS1345" s="28"/>
      <c r="AT1345" s="28"/>
      <c r="AU1345" s="28"/>
      <c r="AV1345" s="28">
        <v>18</v>
      </c>
      <c r="AW1345" s="28"/>
      <c r="AX1345" s="28"/>
      <c r="AY1345" s="28"/>
      <c r="AZ1345" s="28"/>
      <c r="BA1345" s="28"/>
      <c r="BB1345" s="28">
        <v>8</v>
      </c>
      <c r="BC1345" s="229">
        <f t="shared" si="540"/>
        <v>0</v>
      </c>
      <c r="BD1345" s="48">
        <f t="shared" si="536"/>
        <v>36</v>
      </c>
      <c r="BE1345" s="19">
        <v>84</v>
      </c>
      <c r="BF1345" s="229">
        <f t="shared" si="541"/>
        <v>0</v>
      </c>
      <c r="BG1345" s="210">
        <f t="shared" si="537"/>
        <v>36</v>
      </c>
      <c r="BH1345" s="210">
        <f t="shared" si="538"/>
        <v>84</v>
      </c>
      <c r="BI1345" s="213">
        <f t="shared" si="534"/>
        <v>42.857142857142854</v>
      </c>
      <c r="BJ1345" s="141"/>
      <c r="BK1345" s="201"/>
      <c r="BL1345" s="202"/>
      <c r="BM1345" s="202"/>
    </row>
    <row r="1346" spans="1:65" s="17" customFormat="1" ht="18" customHeight="1">
      <c r="A1346" s="114">
        <v>50</v>
      </c>
      <c r="B1346" s="24" t="s">
        <v>1395</v>
      </c>
      <c r="C1346" s="25" t="s">
        <v>1404</v>
      </c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229">
        <f t="shared" si="539"/>
        <v>0</v>
      </c>
      <c r="AC1346" s="228">
        <f t="shared" si="535"/>
        <v>0</v>
      </c>
      <c r="AD1346" s="19">
        <v>0</v>
      </c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>
        <v>16</v>
      </c>
      <c r="AQ1346" s="28"/>
      <c r="AR1346" s="28"/>
      <c r="AS1346" s="28"/>
      <c r="AT1346" s="28"/>
      <c r="AU1346" s="28"/>
      <c r="AV1346" s="28">
        <v>6</v>
      </c>
      <c r="AW1346" s="28"/>
      <c r="AX1346" s="28"/>
      <c r="AY1346" s="28"/>
      <c r="AZ1346" s="28"/>
      <c r="BA1346" s="28"/>
      <c r="BB1346" s="28">
        <v>3</v>
      </c>
      <c r="BC1346" s="229">
        <f t="shared" si="540"/>
        <v>0</v>
      </c>
      <c r="BD1346" s="48">
        <f t="shared" si="536"/>
        <v>25</v>
      </c>
      <c r="BE1346" s="19">
        <v>58</v>
      </c>
      <c r="BF1346" s="229">
        <f t="shared" si="541"/>
        <v>0</v>
      </c>
      <c r="BG1346" s="210">
        <f t="shared" si="537"/>
        <v>25</v>
      </c>
      <c r="BH1346" s="210">
        <f t="shared" si="538"/>
        <v>58</v>
      </c>
      <c r="BI1346" s="213">
        <f t="shared" si="534"/>
        <v>43.103448275862064</v>
      </c>
      <c r="BJ1346" s="141"/>
      <c r="BK1346" s="201"/>
      <c r="BL1346" s="202"/>
      <c r="BM1346" s="202"/>
    </row>
    <row r="1347" spans="1:65" s="17" customFormat="1" ht="18" customHeight="1">
      <c r="A1347" s="114">
        <v>51</v>
      </c>
      <c r="B1347" s="24" t="s">
        <v>892</v>
      </c>
      <c r="C1347" s="25" t="s">
        <v>893</v>
      </c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229"/>
      <c r="AC1347" s="228">
        <f t="shared" si="535"/>
        <v>0</v>
      </c>
      <c r="AD1347" s="19">
        <v>0</v>
      </c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>
        <v>2</v>
      </c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29"/>
      <c r="BD1347" s="48">
        <f t="shared" si="536"/>
        <v>2</v>
      </c>
      <c r="BE1347" s="19">
        <v>0</v>
      </c>
      <c r="BF1347" s="229"/>
      <c r="BG1347" s="210">
        <f t="shared" si="537"/>
        <v>2</v>
      </c>
      <c r="BH1347" s="210">
        <f t="shared" si="538"/>
        <v>0</v>
      </c>
      <c r="BI1347" s="213" t="e">
        <f t="shared" si="534"/>
        <v>#DIV/0!</v>
      </c>
      <c r="BJ1347" s="141"/>
      <c r="BK1347" s="201"/>
      <c r="BL1347" s="202"/>
      <c r="BM1347" s="202"/>
    </row>
    <row r="1348" spans="1:65" s="17" customFormat="1" ht="18" customHeight="1">
      <c r="A1348" s="114">
        <v>52</v>
      </c>
      <c r="B1348" s="24" t="s">
        <v>650</v>
      </c>
      <c r="C1348" s="25" t="s">
        <v>2445</v>
      </c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229">
        <f t="shared" ref="AB1348:AB1388" si="542">D1348+F1348+H1348+J1348+L1348+N1348+P1348+R1348+T1348+V1348+X1348+Z1348</f>
        <v>0</v>
      </c>
      <c r="AC1348" s="228">
        <f t="shared" si="535"/>
        <v>0</v>
      </c>
      <c r="AD1348" s="19">
        <v>0</v>
      </c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>
        <v>2</v>
      </c>
      <c r="AW1348" s="28"/>
      <c r="AX1348" s="28"/>
      <c r="AY1348" s="28"/>
      <c r="AZ1348" s="28"/>
      <c r="BA1348" s="28"/>
      <c r="BB1348" s="28"/>
      <c r="BC1348" s="229">
        <f t="shared" ref="BC1348:BC1388" si="543">AE1348+AG1348+AI1348+AK1348+AM1348+AO1348+AQ1348+AS1348+AU1348+AW1348+AY1348+BA1348</f>
        <v>0</v>
      </c>
      <c r="BD1348" s="48">
        <f t="shared" si="536"/>
        <v>2</v>
      </c>
      <c r="BE1348" s="19">
        <v>2</v>
      </c>
      <c r="BF1348" s="229">
        <f t="shared" ref="BF1348:BF1388" si="544">AB1348+BC1348</f>
        <v>0</v>
      </c>
      <c r="BG1348" s="210">
        <f t="shared" si="537"/>
        <v>2</v>
      </c>
      <c r="BH1348" s="210">
        <f t="shared" si="538"/>
        <v>2</v>
      </c>
      <c r="BI1348" s="213">
        <f t="shared" si="534"/>
        <v>100</v>
      </c>
      <c r="BJ1348" s="141"/>
      <c r="BK1348" s="201"/>
      <c r="BL1348" s="202"/>
      <c r="BM1348" s="202"/>
    </row>
    <row r="1349" spans="1:65" s="17" customFormat="1" ht="21.95" customHeight="1">
      <c r="A1349" s="114">
        <v>53</v>
      </c>
      <c r="B1349" s="24" t="s">
        <v>701</v>
      </c>
      <c r="C1349" s="27" t="s">
        <v>2444</v>
      </c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229">
        <f t="shared" si="542"/>
        <v>0</v>
      </c>
      <c r="AC1349" s="228">
        <f t="shared" si="535"/>
        <v>0</v>
      </c>
      <c r="AD1349" s="19">
        <v>0</v>
      </c>
      <c r="AE1349" s="28"/>
      <c r="AF1349" s="28"/>
      <c r="AG1349" s="28"/>
      <c r="AH1349" s="28"/>
      <c r="AI1349" s="28"/>
      <c r="AJ1349" s="28">
        <v>1</v>
      </c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>
        <v>2</v>
      </c>
      <c r="BC1349" s="229">
        <f t="shared" si="543"/>
        <v>0</v>
      </c>
      <c r="BD1349" s="48">
        <f t="shared" si="536"/>
        <v>3</v>
      </c>
      <c r="BE1349" s="19">
        <v>5</v>
      </c>
      <c r="BF1349" s="229">
        <f t="shared" si="544"/>
        <v>0</v>
      </c>
      <c r="BG1349" s="210">
        <f t="shared" si="537"/>
        <v>3</v>
      </c>
      <c r="BH1349" s="210">
        <f t="shared" si="538"/>
        <v>5</v>
      </c>
      <c r="BI1349" s="213">
        <f t="shared" si="534"/>
        <v>60</v>
      </c>
      <c r="BJ1349" s="141"/>
      <c r="BK1349" s="201"/>
      <c r="BL1349" s="202"/>
      <c r="BM1349" s="202"/>
    </row>
    <row r="1350" spans="1:65" s="17" customFormat="1" ht="18" customHeight="1">
      <c r="A1350" s="114">
        <v>54</v>
      </c>
      <c r="B1350" s="24" t="s">
        <v>702</v>
      </c>
      <c r="C1350" s="25" t="s">
        <v>2443</v>
      </c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229">
        <f t="shared" si="542"/>
        <v>0</v>
      </c>
      <c r="AC1350" s="228">
        <f t="shared" si="535"/>
        <v>0</v>
      </c>
      <c r="AD1350" s="19">
        <v>0</v>
      </c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29">
        <f t="shared" si="543"/>
        <v>0</v>
      </c>
      <c r="BD1350" s="48">
        <f t="shared" si="536"/>
        <v>0</v>
      </c>
      <c r="BE1350" s="19">
        <v>3</v>
      </c>
      <c r="BF1350" s="229">
        <f t="shared" si="544"/>
        <v>0</v>
      </c>
      <c r="BG1350" s="210">
        <f t="shared" si="537"/>
        <v>0</v>
      </c>
      <c r="BH1350" s="210">
        <f t="shared" si="538"/>
        <v>3</v>
      </c>
      <c r="BI1350" s="213">
        <f t="shared" si="534"/>
        <v>0</v>
      </c>
      <c r="BJ1350" s="141"/>
      <c r="BK1350" s="201"/>
      <c r="BL1350" s="202"/>
      <c r="BM1350" s="202"/>
    </row>
    <row r="1351" spans="1:65" s="17" customFormat="1" ht="18" customHeight="1">
      <c r="A1351" s="114">
        <v>55</v>
      </c>
      <c r="B1351" s="24" t="s">
        <v>651</v>
      </c>
      <c r="C1351" s="25" t="s">
        <v>1453</v>
      </c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229">
        <f t="shared" si="542"/>
        <v>0</v>
      </c>
      <c r="AC1351" s="228">
        <f t="shared" si="535"/>
        <v>0</v>
      </c>
      <c r="AD1351" s="19">
        <v>1</v>
      </c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29">
        <f t="shared" si="543"/>
        <v>0</v>
      </c>
      <c r="BD1351" s="48">
        <f t="shared" si="536"/>
        <v>0</v>
      </c>
      <c r="BE1351" s="19">
        <v>2</v>
      </c>
      <c r="BF1351" s="229">
        <f t="shared" si="544"/>
        <v>0</v>
      </c>
      <c r="BG1351" s="210">
        <f t="shared" si="537"/>
        <v>0</v>
      </c>
      <c r="BH1351" s="210">
        <f t="shared" si="538"/>
        <v>3</v>
      </c>
      <c r="BI1351" s="213">
        <f t="shared" si="534"/>
        <v>0</v>
      </c>
      <c r="BJ1351" s="141"/>
      <c r="BK1351" s="201"/>
      <c r="BL1351" s="202"/>
      <c r="BM1351" s="202"/>
    </row>
    <row r="1352" spans="1:65" s="17" customFormat="1" ht="18" customHeight="1">
      <c r="A1352" s="114">
        <v>56</v>
      </c>
      <c r="B1352" s="24" t="s">
        <v>814</v>
      </c>
      <c r="C1352" s="25" t="s">
        <v>815</v>
      </c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229">
        <f t="shared" si="542"/>
        <v>0</v>
      </c>
      <c r="AC1352" s="228">
        <f t="shared" si="535"/>
        <v>0</v>
      </c>
      <c r="AD1352" s="19">
        <v>1</v>
      </c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29">
        <f t="shared" si="543"/>
        <v>0</v>
      </c>
      <c r="BD1352" s="48">
        <f t="shared" si="536"/>
        <v>0</v>
      </c>
      <c r="BE1352" s="19">
        <v>2</v>
      </c>
      <c r="BF1352" s="229">
        <f t="shared" si="544"/>
        <v>0</v>
      </c>
      <c r="BG1352" s="210">
        <f t="shared" si="537"/>
        <v>0</v>
      </c>
      <c r="BH1352" s="210">
        <f t="shared" si="538"/>
        <v>3</v>
      </c>
      <c r="BI1352" s="213">
        <f t="shared" si="534"/>
        <v>0</v>
      </c>
      <c r="BJ1352" s="141"/>
      <c r="BK1352" s="201"/>
      <c r="BL1352" s="202"/>
      <c r="BM1352" s="202"/>
    </row>
    <row r="1353" spans="1:65" s="17" customFormat="1" ht="18" customHeight="1">
      <c r="A1353" s="114">
        <v>57</v>
      </c>
      <c r="B1353" s="24" t="s">
        <v>819</v>
      </c>
      <c r="C1353" s="25" t="s">
        <v>993</v>
      </c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229">
        <f t="shared" si="542"/>
        <v>0</v>
      </c>
      <c r="AC1353" s="228">
        <f t="shared" si="535"/>
        <v>0</v>
      </c>
      <c r="AD1353" s="19">
        <v>0</v>
      </c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29">
        <f t="shared" si="543"/>
        <v>0</v>
      </c>
      <c r="BD1353" s="48">
        <f t="shared" si="536"/>
        <v>0</v>
      </c>
      <c r="BE1353" s="19">
        <v>1</v>
      </c>
      <c r="BF1353" s="229">
        <f t="shared" si="544"/>
        <v>0</v>
      </c>
      <c r="BG1353" s="210">
        <f t="shared" si="537"/>
        <v>0</v>
      </c>
      <c r="BH1353" s="210">
        <f t="shared" si="538"/>
        <v>1</v>
      </c>
      <c r="BI1353" s="213">
        <f t="shared" si="534"/>
        <v>0</v>
      </c>
      <c r="BJ1353" s="141"/>
      <c r="BK1353" s="201"/>
      <c r="BL1353" s="202"/>
      <c r="BM1353" s="202"/>
    </row>
    <row r="1354" spans="1:65" s="17" customFormat="1" ht="18" customHeight="1">
      <c r="A1354" s="114">
        <v>58</v>
      </c>
      <c r="B1354" s="24" t="s">
        <v>928</v>
      </c>
      <c r="C1354" s="25" t="s">
        <v>2270</v>
      </c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229">
        <f t="shared" si="542"/>
        <v>0</v>
      </c>
      <c r="AC1354" s="228">
        <f t="shared" si="535"/>
        <v>0</v>
      </c>
      <c r="AD1354" s="19">
        <v>0</v>
      </c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29">
        <f t="shared" si="543"/>
        <v>0</v>
      </c>
      <c r="BD1354" s="48">
        <f t="shared" si="536"/>
        <v>0</v>
      </c>
      <c r="BE1354" s="19">
        <v>1</v>
      </c>
      <c r="BF1354" s="229">
        <f t="shared" si="544"/>
        <v>0</v>
      </c>
      <c r="BG1354" s="210">
        <f t="shared" si="537"/>
        <v>0</v>
      </c>
      <c r="BH1354" s="210">
        <f t="shared" si="538"/>
        <v>1</v>
      </c>
      <c r="BI1354" s="213">
        <f t="shared" si="534"/>
        <v>0</v>
      </c>
      <c r="BJ1354" s="141"/>
      <c r="BK1354" s="201"/>
      <c r="BL1354" s="202"/>
      <c r="BM1354" s="202"/>
    </row>
    <row r="1355" spans="1:65" s="17" customFormat="1" ht="18" customHeight="1">
      <c r="A1355" s="114">
        <v>59</v>
      </c>
      <c r="B1355" s="24" t="s">
        <v>775</v>
      </c>
      <c r="C1355" s="25" t="s">
        <v>1580</v>
      </c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229">
        <f t="shared" si="542"/>
        <v>0</v>
      </c>
      <c r="AC1355" s="228">
        <f t="shared" si="535"/>
        <v>0</v>
      </c>
      <c r="AD1355" s="19">
        <v>0</v>
      </c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29">
        <f t="shared" si="543"/>
        <v>0</v>
      </c>
      <c r="BD1355" s="48">
        <f t="shared" si="536"/>
        <v>0</v>
      </c>
      <c r="BE1355" s="19">
        <v>1</v>
      </c>
      <c r="BF1355" s="229">
        <f t="shared" si="544"/>
        <v>0</v>
      </c>
      <c r="BG1355" s="210">
        <f t="shared" si="537"/>
        <v>0</v>
      </c>
      <c r="BH1355" s="210">
        <f t="shared" si="538"/>
        <v>1</v>
      </c>
      <c r="BI1355" s="213">
        <f t="shared" si="534"/>
        <v>0</v>
      </c>
      <c r="BJ1355" s="141"/>
      <c r="BK1355" s="201"/>
      <c r="BL1355" s="202"/>
      <c r="BM1355" s="202"/>
    </row>
    <row r="1356" spans="1:65" s="17" customFormat="1" ht="18" customHeight="1">
      <c r="A1356" s="114">
        <v>60</v>
      </c>
      <c r="B1356" s="24" t="s">
        <v>724</v>
      </c>
      <c r="C1356" s="25" t="s">
        <v>1093</v>
      </c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229">
        <f t="shared" si="542"/>
        <v>0</v>
      </c>
      <c r="AC1356" s="228">
        <f t="shared" si="535"/>
        <v>0</v>
      </c>
      <c r="AD1356" s="19">
        <v>0</v>
      </c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29">
        <f t="shared" si="543"/>
        <v>0</v>
      </c>
      <c r="BD1356" s="48">
        <f t="shared" si="536"/>
        <v>0</v>
      </c>
      <c r="BE1356" s="19">
        <v>1</v>
      </c>
      <c r="BF1356" s="229">
        <f t="shared" si="544"/>
        <v>0</v>
      </c>
      <c r="BG1356" s="210">
        <f t="shared" si="537"/>
        <v>0</v>
      </c>
      <c r="BH1356" s="210">
        <f t="shared" si="538"/>
        <v>1</v>
      </c>
      <c r="BI1356" s="213">
        <f t="shared" si="534"/>
        <v>0</v>
      </c>
      <c r="BJ1356" s="141"/>
      <c r="BK1356" s="201"/>
      <c r="BL1356" s="202"/>
      <c r="BM1356" s="202"/>
    </row>
    <row r="1357" spans="1:65" s="17" customFormat="1" ht="18" customHeight="1">
      <c r="A1357" s="114">
        <v>61</v>
      </c>
      <c r="B1357" s="33" t="s">
        <v>652</v>
      </c>
      <c r="C1357" s="34" t="s">
        <v>727</v>
      </c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229">
        <f t="shared" si="542"/>
        <v>0</v>
      </c>
      <c r="AC1357" s="228">
        <f t="shared" si="535"/>
        <v>0</v>
      </c>
      <c r="AD1357" s="19">
        <v>1</v>
      </c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29">
        <f t="shared" si="543"/>
        <v>0</v>
      </c>
      <c r="BD1357" s="48">
        <f t="shared" si="536"/>
        <v>0</v>
      </c>
      <c r="BE1357" s="19">
        <v>1</v>
      </c>
      <c r="BF1357" s="229">
        <f t="shared" si="544"/>
        <v>0</v>
      </c>
      <c r="BG1357" s="210">
        <f t="shared" si="537"/>
        <v>0</v>
      </c>
      <c r="BH1357" s="210">
        <f t="shared" si="538"/>
        <v>2</v>
      </c>
      <c r="BI1357" s="213">
        <f t="shared" si="534"/>
        <v>0</v>
      </c>
      <c r="BJ1357" s="141"/>
      <c r="BK1357" s="201"/>
      <c r="BL1357" s="202"/>
      <c r="BM1357" s="202"/>
    </row>
    <row r="1358" spans="1:65" s="17" customFormat="1" ht="18" customHeight="1">
      <c r="A1358" s="114">
        <v>62</v>
      </c>
      <c r="B1358" s="33" t="s">
        <v>728</v>
      </c>
      <c r="C1358" s="34" t="s">
        <v>729</v>
      </c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229">
        <f t="shared" si="542"/>
        <v>0</v>
      </c>
      <c r="AC1358" s="228">
        <f t="shared" si="535"/>
        <v>0</v>
      </c>
      <c r="AD1358" s="19">
        <v>1</v>
      </c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29">
        <f t="shared" si="543"/>
        <v>0</v>
      </c>
      <c r="BD1358" s="48">
        <f t="shared" si="536"/>
        <v>0</v>
      </c>
      <c r="BE1358" s="19">
        <v>2</v>
      </c>
      <c r="BF1358" s="229">
        <f t="shared" si="544"/>
        <v>0</v>
      </c>
      <c r="BG1358" s="210">
        <f t="shared" si="537"/>
        <v>0</v>
      </c>
      <c r="BH1358" s="210">
        <f t="shared" si="538"/>
        <v>3</v>
      </c>
      <c r="BI1358" s="213">
        <f t="shared" si="534"/>
        <v>0</v>
      </c>
      <c r="BJ1358" s="141"/>
      <c r="BK1358" s="201"/>
      <c r="BL1358" s="202"/>
      <c r="BM1358" s="202"/>
    </row>
    <row r="1359" spans="1:65" s="17" customFormat="1" ht="18" customHeight="1">
      <c r="A1359" s="114">
        <v>63</v>
      </c>
      <c r="B1359" s="33" t="s">
        <v>730</v>
      </c>
      <c r="C1359" s="25" t="s">
        <v>731</v>
      </c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229">
        <f t="shared" si="542"/>
        <v>0</v>
      </c>
      <c r="AC1359" s="228">
        <f t="shared" si="535"/>
        <v>0</v>
      </c>
      <c r="AD1359" s="19">
        <v>1</v>
      </c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29">
        <f t="shared" si="543"/>
        <v>0</v>
      </c>
      <c r="BD1359" s="48">
        <f t="shared" si="536"/>
        <v>0</v>
      </c>
      <c r="BE1359" s="19">
        <v>2</v>
      </c>
      <c r="BF1359" s="229">
        <f t="shared" si="544"/>
        <v>0</v>
      </c>
      <c r="BG1359" s="210">
        <f t="shared" si="537"/>
        <v>0</v>
      </c>
      <c r="BH1359" s="210">
        <f t="shared" si="538"/>
        <v>3</v>
      </c>
      <c r="BI1359" s="213">
        <f t="shared" si="534"/>
        <v>0</v>
      </c>
      <c r="BJ1359" s="141"/>
      <c r="BK1359" s="201"/>
      <c r="BL1359" s="202"/>
      <c r="BM1359" s="202"/>
    </row>
    <row r="1360" spans="1:65" s="17" customFormat="1" ht="18" customHeight="1">
      <c r="A1360" s="114">
        <v>64</v>
      </c>
      <c r="B1360" s="33" t="s">
        <v>732</v>
      </c>
      <c r="C1360" s="34" t="s">
        <v>733</v>
      </c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229">
        <f t="shared" si="542"/>
        <v>0</v>
      </c>
      <c r="AC1360" s="228">
        <f t="shared" si="535"/>
        <v>0</v>
      </c>
      <c r="AD1360" s="19">
        <v>1</v>
      </c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29">
        <f t="shared" si="543"/>
        <v>0</v>
      </c>
      <c r="BD1360" s="48">
        <f t="shared" si="536"/>
        <v>0</v>
      </c>
      <c r="BE1360" s="19">
        <v>2</v>
      </c>
      <c r="BF1360" s="229">
        <f t="shared" si="544"/>
        <v>0</v>
      </c>
      <c r="BG1360" s="210">
        <f t="shared" si="537"/>
        <v>0</v>
      </c>
      <c r="BH1360" s="210">
        <f t="shared" si="538"/>
        <v>3</v>
      </c>
      <c r="BI1360" s="213">
        <f t="shared" si="534"/>
        <v>0</v>
      </c>
      <c r="BJ1360" s="141"/>
      <c r="BK1360" s="201"/>
      <c r="BL1360" s="202"/>
      <c r="BM1360" s="202"/>
    </row>
    <row r="1361" spans="1:65" s="17" customFormat="1" ht="18" customHeight="1">
      <c r="A1361" s="114">
        <v>65</v>
      </c>
      <c r="B1361" s="33" t="s">
        <v>996</v>
      </c>
      <c r="C1361" s="25" t="s">
        <v>1026</v>
      </c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229">
        <f t="shared" si="542"/>
        <v>0</v>
      </c>
      <c r="AC1361" s="228">
        <f t="shared" si="535"/>
        <v>0</v>
      </c>
      <c r="AD1361" s="19">
        <v>1</v>
      </c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29">
        <f t="shared" si="543"/>
        <v>0</v>
      </c>
      <c r="BD1361" s="48">
        <f t="shared" si="536"/>
        <v>0</v>
      </c>
      <c r="BE1361" s="19">
        <v>2</v>
      </c>
      <c r="BF1361" s="229">
        <f t="shared" si="544"/>
        <v>0</v>
      </c>
      <c r="BG1361" s="210">
        <f t="shared" si="537"/>
        <v>0</v>
      </c>
      <c r="BH1361" s="210">
        <f t="shared" si="538"/>
        <v>3</v>
      </c>
      <c r="BI1361" s="213">
        <f t="shared" ref="BI1361:BI1388" si="545">BG1361/BH1361*100</f>
        <v>0</v>
      </c>
      <c r="BJ1361" s="141"/>
      <c r="BK1361" s="201"/>
      <c r="BL1361" s="202"/>
      <c r="BM1361" s="202"/>
    </row>
    <row r="1362" spans="1:65" s="17" customFormat="1" ht="18" customHeight="1">
      <c r="A1362" s="114">
        <v>66</v>
      </c>
      <c r="B1362" s="33" t="s">
        <v>734</v>
      </c>
      <c r="C1362" s="34" t="s">
        <v>735</v>
      </c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229">
        <f t="shared" si="542"/>
        <v>0</v>
      </c>
      <c r="AC1362" s="228">
        <f t="shared" ref="AC1362:AC1388" si="546">E1362+G1362+I1362+K1362+M1362+O1362+Q1362+S1362+U1362+W1362+Y1362+AA1362</f>
        <v>0</v>
      </c>
      <c r="AD1362" s="19">
        <v>1</v>
      </c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29">
        <f t="shared" si="543"/>
        <v>0</v>
      </c>
      <c r="BD1362" s="48">
        <f t="shared" ref="BD1362:BD1388" si="547">AF1362+AH1362+AJ1362+AL1362+AN1362+AP1362+AR1362+AT1362+AV1362+AX1362+AZ1362+BB1362</f>
        <v>0</v>
      </c>
      <c r="BE1362" s="19">
        <v>2</v>
      </c>
      <c r="BF1362" s="229">
        <f t="shared" si="544"/>
        <v>0</v>
      </c>
      <c r="BG1362" s="210">
        <f t="shared" ref="BG1362:BG1388" si="548">AC1362+BD1362</f>
        <v>0</v>
      </c>
      <c r="BH1362" s="210">
        <f t="shared" ref="BH1362:BH1388" si="549">AD1362+BE1362</f>
        <v>3</v>
      </c>
      <c r="BI1362" s="213">
        <f t="shared" si="545"/>
        <v>0</v>
      </c>
      <c r="BJ1362" s="141"/>
      <c r="BK1362" s="201"/>
      <c r="BL1362" s="202"/>
      <c r="BM1362" s="202"/>
    </row>
    <row r="1363" spans="1:65" s="17" customFormat="1" ht="18" customHeight="1">
      <c r="A1363" s="114">
        <v>67</v>
      </c>
      <c r="B1363" s="33" t="s">
        <v>736</v>
      </c>
      <c r="C1363" s="34" t="s">
        <v>737</v>
      </c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229">
        <f t="shared" si="542"/>
        <v>0</v>
      </c>
      <c r="AC1363" s="228">
        <f t="shared" si="546"/>
        <v>0</v>
      </c>
      <c r="AD1363" s="19">
        <v>0</v>
      </c>
      <c r="AE1363" s="28"/>
      <c r="AF1363" s="28"/>
      <c r="AG1363" s="28"/>
      <c r="AH1363" s="28"/>
      <c r="AI1363" s="28"/>
      <c r="AJ1363" s="28">
        <v>4</v>
      </c>
      <c r="AK1363" s="28"/>
      <c r="AL1363" s="28"/>
      <c r="AM1363" s="28"/>
      <c r="AN1363" s="28"/>
      <c r="AO1363" s="28"/>
      <c r="AP1363" s="28">
        <v>1</v>
      </c>
      <c r="AQ1363" s="28"/>
      <c r="AR1363" s="28"/>
      <c r="AS1363" s="28"/>
      <c r="AT1363" s="28"/>
      <c r="AU1363" s="28"/>
      <c r="AV1363" s="28">
        <v>9</v>
      </c>
      <c r="AW1363" s="28"/>
      <c r="AX1363" s="28"/>
      <c r="AY1363" s="28"/>
      <c r="AZ1363" s="28"/>
      <c r="BA1363" s="28"/>
      <c r="BB1363" s="28">
        <v>7</v>
      </c>
      <c r="BC1363" s="229">
        <f t="shared" si="543"/>
        <v>0</v>
      </c>
      <c r="BD1363" s="48">
        <f t="shared" si="547"/>
        <v>21</v>
      </c>
      <c r="BE1363" s="19">
        <v>45</v>
      </c>
      <c r="BF1363" s="229">
        <f t="shared" si="544"/>
        <v>0</v>
      </c>
      <c r="BG1363" s="210">
        <f t="shared" si="548"/>
        <v>21</v>
      </c>
      <c r="BH1363" s="210">
        <f t="shared" si="549"/>
        <v>45</v>
      </c>
      <c r="BI1363" s="213">
        <f t="shared" si="545"/>
        <v>46.666666666666664</v>
      </c>
      <c r="BJ1363" s="141"/>
      <c r="BK1363" s="201"/>
      <c r="BL1363" s="202"/>
      <c r="BM1363" s="202"/>
    </row>
    <row r="1364" spans="1:65" s="17" customFormat="1" ht="18" customHeight="1">
      <c r="A1364" s="114">
        <v>68</v>
      </c>
      <c r="B1364" s="33" t="s">
        <v>738</v>
      </c>
      <c r="C1364" s="25" t="s">
        <v>1917</v>
      </c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229">
        <f t="shared" si="542"/>
        <v>0</v>
      </c>
      <c r="AC1364" s="228">
        <f t="shared" si="546"/>
        <v>0</v>
      </c>
      <c r="AD1364" s="19">
        <v>0</v>
      </c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29">
        <f t="shared" si="543"/>
        <v>0</v>
      </c>
      <c r="BD1364" s="48">
        <f t="shared" si="547"/>
        <v>0</v>
      </c>
      <c r="BE1364" s="19">
        <v>1</v>
      </c>
      <c r="BF1364" s="229">
        <f t="shared" si="544"/>
        <v>0</v>
      </c>
      <c r="BG1364" s="210">
        <f t="shared" si="548"/>
        <v>0</v>
      </c>
      <c r="BH1364" s="210">
        <f t="shared" si="549"/>
        <v>1</v>
      </c>
      <c r="BI1364" s="213">
        <f t="shared" si="545"/>
        <v>0</v>
      </c>
      <c r="BJ1364" s="141"/>
      <c r="BK1364" s="201"/>
      <c r="BL1364" s="202"/>
      <c r="BM1364" s="202"/>
    </row>
    <row r="1365" spans="1:65" s="17" customFormat="1" ht="18" customHeight="1">
      <c r="A1365" s="114">
        <v>69</v>
      </c>
      <c r="B1365" s="24" t="s">
        <v>797</v>
      </c>
      <c r="C1365" s="25" t="s">
        <v>798</v>
      </c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229">
        <f t="shared" si="542"/>
        <v>0</v>
      </c>
      <c r="AC1365" s="228">
        <f t="shared" si="546"/>
        <v>0</v>
      </c>
      <c r="AD1365" s="19">
        <v>0</v>
      </c>
      <c r="AE1365" s="28"/>
      <c r="AF1365" s="28"/>
      <c r="AG1365" s="28"/>
      <c r="AH1365" s="28"/>
      <c r="AI1365" s="28"/>
      <c r="AJ1365" s="28">
        <f>1479+1+44</f>
        <v>1524</v>
      </c>
      <c r="AK1365" s="28"/>
      <c r="AL1365" s="28"/>
      <c r="AM1365" s="28"/>
      <c r="AN1365" s="28"/>
      <c r="AO1365" s="28"/>
      <c r="AP1365" s="28">
        <f>1307+4+53</f>
        <v>1364</v>
      </c>
      <c r="AQ1365" s="28"/>
      <c r="AR1365" s="28"/>
      <c r="AS1365" s="28"/>
      <c r="AT1365" s="28"/>
      <c r="AU1365" s="28"/>
      <c r="AV1365" s="28">
        <f>1347+1+1</f>
        <v>1349</v>
      </c>
      <c r="AW1365" s="28"/>
      <c r="AX1365" s="28"/>
      <c r="AY1365" s="28"/>
      <c r="AZ1365" s="28"/>
      <c r="BA1365" s="28"/>
      <c r="BB1365" s="28">
        <f>1515+1</f>
        <v>1516</v>
      </c>
      <c r="BC1365" s="229">
        <f t="shared" si="543"/>
        <v>0</v>
      </c>
      <c r="BD1365" s="48">
        <f t="shared" si="547"/>
        <v>5753</v>
      </c>
      <c r="BE1365" s="19">
        <v>6798</v>
      </c>
      <c r="BF1365" s="229">
        <f t="shared" si="544"/>
        <v>0</v>
      </c>
      <c r="BG1365" s="210">
        <f t="shared" si="548"/>
        <v>5753</v>
      </c>
      <c r="BH1365" s="210">
        <f t="shared" si="549"/>
        <v>6798</v>
      </c>
      <c r="BI1365" s="213">
        <f t="shared" si="545"/>
        <v>84.627831715210363</v>
      </c>
      <c r="BJ1365" s="141"/>
      <c r="BK1365" s="201"/>
      <c r="BL1365" s="202"/>
      <c r="BM1365" s="202"/>
    </row>
    <row r="1366" spans="1:65" s="17" customFormat="1" ht="18" customHeight="1">
      <c r="A1366" s="114">
        <v>70</v>
      </c>
      <c r="B1366" s="24" t="s">
        <v>653</v>
      </c>
      <c r="C1366" s="25" t="s">
        <v>654</v>
      </c>
      <c r="D1366" s="121"/>
      <c r="E1366" s="121"/>
      <c r="F1366" s="121"/>
      <c r="G1366" s="121"/>
      <c r="H1366" s="121"/>
      <c r="I1366" s="121">
        <v>3</v>
      </c>
      <c r="J1366" s="121"/>
      <c r="K1366" s="121"/>
      <c r="L1366" s="121"/>
      <c r="M1366" s="121"/>
      <c r="N1366" s="121"/>
      <c r="O1366" s="121">
        <v>4</v>
      </c>
      <c r="P1366" s="121"/>
      <c r="Q1366" s="121"/>
      <c r="R1366" s="121"/>
      <c r="S1366" s="121"/>
      <c r="T1366" s="121"/>
      <c r="U1366" s="121">
        <v>4</v>
      </c>
      <c r="V1366" s="121"/>
      <c r="W1366" s="121"/>
      <c r="X1366" s="121"/>
      <c r="Y1366" s="121"/>
      <c r="Z1366" s="121"/>
      <c r="AA1366" s="121">
        <v>7</v>
      </c>
      <c r="AB1366" s="229">
        <f t="shared" si="542"/>
        <v>0</v>
      </c>
      <c r="AC1366" s="228">
        <f t="shared" si="546"/>
        <v>18</v>
      </c>
      <c r="AD1366" s="19">
        <v>5</v>
      </c>
      <c r="AE1366" s="28"/>
      <c r="AF1366" s="28"/>
      <c r="AG1366" s="28"/>
      <c r="AH1366" s="28"/>
      <c r="AI1366" s="28"/>
      <c r="AJ1366" s="28">
        <v>118</v>
      </c>
      <c r="AK1366" s="28"/>
      <c r="AL1366" s="28"/>
      <c r="AM1366" s="28"/>
      <c r="AN1366" s="28"/>
      <c r="AO1366" s="28"/>
      <c r="AP1366" s="28">
        <v>101</v>
      </c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>
        <v>131</v>
      </c>
      <c r="BC1366" s="229">
        <f t="shared" si="543"/>
        <v>0</v>
      </c>
      <c r="BD1366" s="48">
        <f t="shared" si="547"/>
        <v>350</v>
      </c>
      <c r="BE1366" s="19">
        <v>268</v>
      </c>
      <c r="BF1366" s="229">
        <f t="shared" si="544"/>
        <v>0</v>
      </c>
      <c r="BG1366" s="210">
        <f t="shared" si="548"/>
        <v>368</v>
      </c>
      <c r="BH1366" s="210">
        <f t="shared" si="549"/>
        <v>273</v>
      </c>
      <c r="BI1366" s="213">
        <f t="shared" si="545"/>
        <v>134.7985347985348</v>
      </c>
      <c r="BJ1366" s="141"/>
      <c r="BK1366" s="201"/>
      <c r="BL1366" s="202"/>
      <c r="BM1366" s="202"/>
    </row>
    <row r="1367" spans="1:65" s="17" customFormat="1" ht="18" customHeight="1">
      <c r="A1367" s="114">
        <v>71</v>
      </c>
      <c r="B1367" s="24" t="s">
        <v>655</v>
      </c>
      <c r="C1367" s="25" t="s">
        <v>997</v>
      </c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229">
        <f t="shared" si="542"/>
        <v>0</v>
      </c>
      <c r="AC1367" s="228">
        <f t="shared" si="546"/>
        <v>0</v>
      </c>
      <c r="AD1367" s="19">
        <v>0</v>
      </c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29">
        <f t="shared" si="543"/>
        <v>0</v>
      </c>
      <c r="BD1367" s="48">
        <f t="shared" si="547"/>
        <v>0</v>
      </c>
      <c r="BE1367" s="19">
        <v>1</v>
      </c>
      <c r="BF1367" s="229">
        <f t="shared" si="544"/>
        <v>0</v>
      </c>
      <c r="BG1367" s="210">
        <f t="shared" si="548"/>
        <v>0</v>
      </c>
      <c r="BH1367" s="210">
        <f t="shared" si="549"/>
        <v>1</v>
      </c>
      <c r="BI1367" s="213">
        <f t="shared" si="545"/>
        <v>0</v>
      </c>
      <c r="BJ1367" s="141"/>
      <c r="BK1367" s="201"/>
      <c r="BL1367" s="202"/>
      <c r="BM1367" s="202"/>
    </row>
    <row r="1368" spans="1:65" s="17" customFormat="1" ht="18" customHeight="1">
      <c r="A1368" s="114">
        <v>72</v>
      </c>
      <c r="B1368" s="24" t="s">
        <v>822</v>
      </c>
      <c r="C1368" s="25" t="s">
        <v>823</v>
      </c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229">
        <f t="shared" si="542"/>
        <v>0</v>
      </c>
      <c r="AC1368" s="228">
        <f t="shared" si="546"/>
        <v>0</v>
      </c>
      <c r="AD1368" s="19">
        <v>0</v>
      </c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29">
        <f t="shared" si="543"/>
        <v>0</v>
      </c>
      <c r="BD1368" s="48">
        <f t="shared" si="547"/>
        <v>0</v>
      </c>
      <c r="BE1368" s="19">
        <v>1</v>
      </c>
      <c r="BF1368" s="229">
        <f t="shared" si="544"/>
        <v>0</v>
      </c>
      <c r="BG1368" s="210">
        <f t="shared" si="548"/>
        <v>0</v>
      </c>
      <c r="BH1368" s="210">
        <f t="shared" si="549"/>
        <v>1</v>
      </c>
      <c r="BI1368" s="213">
        <f t="shared" si="545"/>
        <v>0</v>
      </c>
      <c r="BJ1368" s="141"/>
      <c r="BK1368" s="201"/>
      <c r="BL1368" s="202"/>
      <c r="BM1368" s="202"/>
    </row>
    <row r="1369" spans="1:65" s="17" customFormat="1" ht="18" customHeight="1">
      <c r="A1369" s="114">
        <v>73</v>
      </c>
      <c r="B1369" s="24" t="s">
        <v>776</v>
      </c>
      <c r="C1369" s="25" t="s">
        <v>777</v>
      </c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229">
        <f t="shared" si="542"/>
        <v>0</v>
      </c>
      <c r="AC1369" s="228">
        <f t="shared" si="546"/>
        <v>0</v>
      </c>
      <c r="AD1369" s="19">
        <v>0</v>
      </c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29">
        <f t="shared" si="543"/>
        <v>0</v>
      </c>
      <c r="BD1369" s="48">
        <f t="shared" si="547"/>
        <v>0</v>
      </c>
      <c r="BE1369" s="19">
        <v>1</v>
      </c>
      <c r="BF1369" s="229">
        <f t="shared" si="544"/>
        <v>0</v>
      </c>
      <c r="BG1369" s="210">
        <f t="shared" si="548"/>
        <v>0</v>
      </c>
      <c r="BH1369" s="210">
        <f t="shared" si="549"/>
        <v>1</v>
      </c>
      <c r="BI1369" s="213">
        <f t="shared" si="545"/>
        <v>0</v>
      </c>
      <c r="BJ1369" s="141"/>
      <c r="BK1369" s="201"/>
      <c r="BL1369" s="202"/>
      <c r="BM1369" s="202"/>
    </row>
    <row r="1370" spans="1:65" s="17" customFormat="1" ht="18" customHeight="1">
      <c r="A1370" s="114">
        <v>74</v>
      </c>
      <c r="B1370" s="36" t="s">
        <v>800</v>
      </c>
      <c r="C1370" s="25" t="s">
        <v>801</v>
      </c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229">
        <f t="shared" si="542"/>
        <v>0</v>
      </c>
      <c r="AC1370" s="228">
        <f t="shared" si="546"/>
        <v>0</v>
      </c>
      <c r="AD1370" s="19">
        <v>0</v>
      </c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>
        <v>18</v>
      </c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>
        <v>12</v>
      </c>
      <c r="BC1370" s="229">
        <f t="shared" si="543"/>
        <v>0</v>
      </c>
      <c r="BD1370" s="48">
        <f t="shared" si="547"/>
        <v>30</v>
      </c>
      <c r="BE1370" s="19">
        <v>72</v>
      </c>
      <c r="BF1370" s="229">
        <f t="shared" si="544"/>
        <v>0</v>
      </c>
      <c r="BG1370" s="210">
        <f t="shared" si="548"/>
        <v>30</v>
      </c>
      <c r="BH1370" s="210">
        <f t="shared" si="549"/>
        <v>72</v>
      </c>
      <c r="BI1370" s="213">
        <f t="shared" si="545"/>
        <v>41.666666666666671</v>
      </c>
      <c r="BJ1370" s="141"/>
      <c r="BK1370" s="201"/>
      <c r="BL1370" s="202"/>
      <c r="BM1370" s="202"/>
    </row>
    <row r="1371" spans="1:65" s="17" customFormat="1" ht="21.95" customHeight="1">
      <c r="A1371" s="114">
        <v>75</v>
      </c>
      <c r="B1371" s="36" t="s">
        <v>657</v>
      </c>
      <c r="C1371" s="27" t="s">
        <v>1401</v>
      </c>
      <c r="D1371" s="207"/>
      <c r="E1371" s="207"/>
      <c r="F1371" s="207"/>
      <c r="G1371" s="207"/>
      <c r="H1371" s="207"/>
      <c r="I1371" s="207"/>
      <c r="J1371" s="207"/>
      <c r="K1371" s="207"/>
      <c r="L1371" s="207"/>
      <c r="M1371" s="207"/>
      <c r="N1371" s="207"/>
      <c r="O1371" s="207"/>
      <c r="P1371" s="207"/>
      <c r="Q1371" s="207"/>
      <c r="R1371" s="207"/>
      <c r="S1371" s="207"/>
      <c r="T1371" s="207"/>
      <c r="U1371" s="207"/>
      <c r="V1371" s="227"/>
      <c r="W1371" s="227"/>
      <c r="X1371" s="227"/>
      <c r="Y1371" s="227"/>
      <c r="Z1371" s="207"/>
      <c r="AA1371" s="207"/>
      <c r="AB1371" s="229">
        <f t="shared" si="542"/>
        <v>0</v>
      </c>
      <c r="AC1371" s="228">
        <f t="shared" si="546"/>
        <v>0</v>
      </c>
      <c r="AD1371" s="19">
        <v>0</v>
      </c>
      <c r="AE1371" s="28"/>
      <c r="AF1371" s="28"/>
      <c r="AG1371" s="28"/>
      <c r="AH1371" s="28"/>
      <c r="AI1371" s="28"/>
      <c r="AJ1371" s="28">
        <f>33+1+7</f>
        <v>41</v>
      </c>
      <c r="AK1371" s="28"/>
      <c r="AL1371" s="28"/>
      <c r="AM1371" s="28"/>
      <c r="AN1371" s="28"/>
      <c r="AO1371" s="28"/>
      <c r="AP1371" s="28">
        <f>32+14+1+6</f>
        <v>53</v>
      </c>
      <c r="AQ1371" s="28"/>
      <c r="AR1371" s="28"/>
      <c r="AS1371" s="28"/>
      <c r="AT1371" s="28"/>
      <c r="AU1371" s="28"/>
      <c r="AV1371" s="28">
        <f>33+5+2+2</f>
        <v>42</v>
      </c>
      <c r="AW1371" s="28"/>
      <c r="AX1371" s="28"/>
      <c r="AY1371" s="28"/>
      <c r="AZ1371" s="28"/>
      <c r="BA1371" s="28"/>
      <c r="BB1371" s="28">
        <f>29+27+3+3</f>
        <v>62</v>
      </c>
      <c r="BC1371" s="229">
        <f t="shared" si="543"/>
        <v>0</v>
      </c>
      <c r="BD1371" s="48">
        <f t="shared" si="547"/>
        <v>198</v>
      </c>
      <c r="BE1371" s="19">
        <v>248</v>
      </c>
      <c r="BF1371" s="229">
        <f t="shared" si="544"/>
        <v>0</v>
      </c>
      <c r="BG1371" s="210">
        <f t="shared" si="548"/>
        <v>198</v>
      </c>
      <c r="BH1371" s="210">
        <f t="shared" si="549"/>
        <v>248</v>
      </c>
      <c r="BI1371" s="213">
        <f t="shared" si="545"/>
        <v>79.838709677419345</v>
      </c>
      <c r="BJ1371" s="141"/>
      <c r="BK1371" s="201"/>
      <c r="BL1371" s="202"/>
      <c r="BM1371" s="202"/>
    </row>
    <row r="1372" spans="1:65" s="17" customFormat="1" ht="21.95" customHeight="1">
      <c r="A1372" s="114">
        <v>76</v>
      </c>
      <c r="B1372" s="24" t="s">
        <v>742</v>
      </c>
      <c r="C1372" s="27" t="s">
        <v>778</v>
      </c>
      <c r="D1372" s="207"/>
      <c r="E1372" s="207"/>
      <c r="F1372" s="207"/>
      <c r="G1372" s="207"/>
      <c r="H1372" s="207"/>
      <c r="I1372" s="207"/>
      <c r="J1372" s="207"/>
      <c r="K1372" s="207"/>
      <c r="L1372" s="207"/>
      <c r="M1372" s="207"/>
      <c r="N1372" s="207"/>
      <c r="O1372" s="207"/>
      <c r="P1372" s="207"/>
      <c r="Q1372" s="207"/>
      <c r="R1372" s="207"/>
      <c r="S1372" s="207"/>
      <c r="T1372" s="207"/>
      <c r="U1372" s="207"/>
      <c r="V1372" s="227"/>
      <c r="W1372" s="227"/>
      <c r="X1372" s="227"/>
      <c r="Y1372" s="227"/>
      <c r="Z1372" s="207"/>
      <c r="AA1372" s="207"/>
      <c r="AB1372" s="229">
        <f t="shared" si="542"/>
        <v>0</v>
      </c>
      <c r="AC1372" s="228">
        <f t="shared" si="546"/>
        <v>0</v>
      </c>
      <c r="AD1372" s="19">
        <v>0</v>
      </c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29">
        <f t="shared" si="543"/>
        <v>0</v>
      </c>
      <c r="BD1372" s="48">
        <f t="shared" si="547"/>
        <v>0</v>
      </c>
      <c r="BE1372" s="19">
        <v>4</v>
      </c>
      <c r="BF1372" s="229">
        <f t="shared" si="544"/>
        <v>0</v>
      </c>
      <c r="BG1372" s="210">
        <f t="shared" si="548"/>
        <v>0</v>
      </c>
      <c r="BH1372" s="210">
        <f t="shared" si="549"/>
        <v>4</v>
      </c>
      <c r="BI1372" s="213">
        <f t="shared" si="545"/>
        <v>0</v>
      </c>
      <c r="BJ1372" s="141"/>
      <c r="BK1372" s="201"/>
      <c r="BL1372" s="202"/>
      <c r="BM1372" s="202"/>
    </row>
    <row r="1373" spans="1:65" s="17" customFormat="1" ht="21.95" customHeight="1">
      <c r="A1373" s="114">
        <v>77</v>
      </c>
      <c r="B1373" s="24" t="s">
        <v>658</v>
      </c>
      <c r="C1373" s="27" t="s">
        <v>2625</v>
      </c>
      <c r="D1373" s="207"/>
      <c r="E1373" s="207"/>
      <c r="F1373" s="207"/>
      <c r="G1373" s="207"/>
      <c r="H1373" s="207"/>
      <c r="I1373" s="207"/>
      <c r="J1373" s="207"/>
      <c r="K1373" s="207"/>
      <c r="L1373" s="207"/>
      <c r="M1373" s="207"/>
      <c r="N1373" s="207"/>
      <c r="O1373" s="207"/>
      <c r="P1373" s="207"/>
      <c r="Q1373" s="207"/>
      <c r="R1373" s="207"/>
      <c r="S1373" s="207"/>
      <c r="T1373" s="207"/>
      <c r="U1373" s="207"/>
      <c r="V1373" s="227"/>
      <c r="W1373" s="227"/>
      <c r="X1373" s="227"/>
      <c r="Y1373" s="227"/>
      <c r="Z1373" s="207"/>
      <c r="AA1373" s="207"/>
      <c r="AB1373" s="229">
        <f t="shared" si="542"/>
        <v>0</v>
      </c>
      <c r="AC1373" s="228">
        <f t="shared" si="546"/>
        <v>0</v>
      </c>
      <c r="AD1373" s="19">
        <v>0</v>
      </c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29">
        <f t="shared" si="543"/>
        <v>0</v>
      </c>
      <c r="BD1373" s="48">
        <f t="shared" si="547"/>
        <v>0</v>
      </c>
      <c r="BE1373" s="19">
        <v>6</v>
      </c>
      <c r="BF1373" s="229">
        <f t="shared" si="544"/>
        <v>0</v>
      </c>
      <c r="BG1373" s="210">
        <f t="shared" si="548"/>
        <v>0</v>
      </c>
      <c r="BH1373" s="210">
        <f t="shared" si="549"/>
        <v>6</v>
      </c>
      <c r="BI1373" s="213">
        <f t="shared" si="545"/>
        <v>0</v>
      </c>
      <c r="BJ1373" s="141"/>
      <c r="BK1373" s="201"/>
      <c r="BL1373" s="202"/>
      <c r="BM1373" s="202"/>
    </row>
    <row r="1374" spans="1:65" s="17" customFormat="1" ht="18" customHeight="1">
      <c r="A1374" s="114">
        <v>78</v>
      </c>
      <c r="B1374" s="24" t="s">
        <v>782</v>
      </c>
      <c r="C1374" s="25" t="s">
        <v>783</v>
      </c>
      <c r="D1374" s="207"/>
      <c r="E1374" s="207"/>
      <c r="F1374" s="207"/>
      <c r="G1374" s="207"/>
      <c r="H1374" s="207"/>
      <c r="I1374" s="207"/>
      <c r="J1374" s="207"/>
      <c r="K1374" s="207"/>
      <c r="L1374" s="207"/>
      <c r="M1374" s="207"/>
      <c r="N1374" s="207"/>
      <c r="O1374" s="207"/>
      <c r="P1374" s="207"/>
      <c r="Q1374" s="207"/>
      <c r="R1374" s="207"/>
      <c r="S1374" s="207"/>
      <c r="T1374" s="207"/>
      <c r="U1374" s="207"/>
      <c r="V1374" s="227"/>
      <c r="W1374" s="227"/>
      <c r="X1374" s="227"/>
      <c r="Y1374" s="227"/>
      <c r="Z1374" s="207"/>
      <c r="AA1374" s="207"/>
      <c r="AB1374" s="229">
        <f t="shared" si="542"/>
        <v>0</v>
      </c>
      <c r="AC1374" s="228">
        <f t="shared" si="546"/>
        <v>0</v>
      </c>
      <c r="AD1374" s="19">
        <v>0</v>
      </c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29">
        <f t="shared" si="543"/>
        <v>0</v>
      </c>
      <c r="BD1374" s="48">
        <f t="shared" si="547"/>
        <v>0</v>
      </c>
      <c r="BE1374" s="19">
        <v>1</v>
      </c>
      <c r="BF1374" s="229">
        <f t="shared" si="544"/>
        <v>0</v>
      </c>
      <c r="BG1374" s="210">
        <f t="shared" si="548"/>
        <v>0</v>
      </c>
      <c r="BH1374" s="210">
        <f t="shared" si="549"/>
        <v>1</v>
      </c>
      <c r="BI1374" s="213">
        <f t="shared" si="545"/>
        <v>0</v>
      </c>
      <c r="BJ1374" s="141"/>
      <c r="BK1374" s="201"/>
      <c r="BL1374" s="202"/>
      <c r="BM1374" s="202"/>
    </row>
    <row r="1375" spans="1:65" s="17" customFormat="1" ht="18" customHeight="1">
      <c r="A1375" s="114">
        <v>79</v>
      </c>
      <c r="B1375" s="24" t="s">
        <v>903</v>
      </c>
      <c r="C1375" s="25" t="s">
        <v>1165</v>
      </c>
      <c r="D1375" s="207"/>
      <c r="E1375" s="207"/>
      <c r="F1375" s="207"/>
      <c r="G1375" s="207"/>
      <c r="H1375" s="207"/>
      <c r="I1375" s="207"/>
      <c r="J1375" s="207"/>
      <c r="K1375" s="207"/>
      <c r="L1375" s="207"/>
      <c r="M1375" s="207"/>
      <c r="N1375" s="207"/>
      <c r="O1375" s="207"/>
      <c r="P1375" s="207"/>
      <c r="Q1375" s="207"/>
      <c r="R1375" s="207"/>
      <c r="S1375" s="207"/>
      <c r="T1375" s="207"/>
      <c r="U1375" s="207"/>
      <c r="V1375" s="227"/>
      <c r="W1375" s="227"/>
      <c r="X1375" s="227"/>
      <c r="Y1375" s="227"/>
      <c r="Z1375" s="207"/>
      <c r="AA1375" s="207"/>
      <c r="AB1375" s="229">
        <f t="shared" si="542"/>
        <v>0</v>
      </c>
      <c r="AC1375" s="228">
        <f t="shared" si="546"/>
        <v>0</v>
      </c>
      <c r="AD1375" s="19">
        <v>0</v>
      </c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29">
        <f t="shared" si="543"/>
        <v>0</v>
      </c>
      <c r="BD1375" s="48">
        <f t="shared" si="547"/>
        <v>0</v>
      </c>
      <c r="BE1375" s="19">
        <v>6</v>
      </c>
      <c r="BF1375" s="229">
        <f t="shared" si="544"/>
        <v>0</v>
      </c>
      <c r="BG1375" s="210">
        <f t="shared" si="548"/>
        <v>0</v>
      </c>
      <c r="BH1375" s="210">
        <f t="shared" si="549"/>
        <v>6</v>
      </c>
      <c r="BI1375" s="213">
        <f t="shared" si="545"/>
        <v>0</v>
      </c>
      <c r="BJ1375" s="141"/>
      <c r="BK1375" s="201"/>
      <c r="BL1375" s="202"/>
      <c r="BM1375" s="202"/>
    </row>
    <row r="1376" spans="1:65" s="17" customFormat="1" ht="18" customHeight="1">
      <c r="A1376" s="114">
        <v>80</v>
      </c>
      <c r="B1376" s="24" t="s">
        <v>659</v>
      </c>
      <c r="C1376" s="25" t="s">
        <v>660</v>
      </c>
      <c r="D1376" s="207"/>
      <c r="E1376" s="207"/>
      <c r="F1376" s="207"/>
      <c r="G1376" s="207"/>
      <c r="H1376" s="207"/>
      <c r="I1376" s="207"/>
      <c r="J1376" s="207"/>
      <c r="K1376" s="207"/>
      <c r="L1376" s="207"/>
      <c r="M1376" s="207"/>
      <c r="N1376" s="207"/>
      <c r="O1376" s="207"/>
      <c r="P1376" s="207"/>
      <c r="Q1376" s="207"/>
      <c r="R1376" s="207"/>
      <c r="S1376" s="207"/>
      <c r="T1376" s="207"/>
      <c r="U1376" s="207"/>
      <c r="V1376" s="227"/>
      <c r="W1376" s="227"/>
      <c r="X1376" s="227"/>
      <c r="Y1376" s="227"/>
      <c r="Z1376" s="207"/>
      <c r="AA1376" s="207"/>
      <c r="AB1376" s="229">
        <f t="shared" si="542"/>
        <v>0</v>
      </c>
      <c r="AC1376" s="228">
        <f t="shared" si="546"/>
        <v>0</v>
      </c>
      <c r="AD1376" s="19">
        <v>0</v>
      </c>
      <c r="AE1376" s="28"/>
      <c r="AF1376" s="28"/>
      <c r="AG1376" s="28"/>
      <c r="AH1376" s="28"/>
      <c r="AI1376" s="28"/>
      <c r="AJ1376" s="28">
        <v>14</v>
      </c>
      <c r="AK1376" s="28"/>
      <c r="AL1376" s="28"/>
      <c r="AM1376" s="28"/>
      <c r="AN1376" s="28"/>
      <c r="AO1376" s="28"/>
      <c r="AP1376" s="28">
        <f>836+15</f>
        <v>851</v>
      </c>
      <c r="AQ1376" s="28"/>
      <c r="AR1376" s="28"/>
      <c r="AS1376" s="28"/>
      <c r="AT1376" s="28"/>
      <c r="AU1376" s="28"/>
      <c r="AV1376" s="28">
        <f>835+49+4</f>
        <v>888</v>
      </c>
      <c r="AW1376" s="28"/>
      <c r="AX1376" s="28"/>
      <c r="AY1376" s="28"/>
      <c r="AZ1376" s="28"/>
      <c r="BA1376" s="28"/>
      <c r="BB1376" s="28">
        <f>952+150</f>
        <v>1102</v>
      </c>
      <c r="BC1376" s="229">
        <f t="shared" si="543"/>
        <v>0</v>
      </c>
      <c r="BD1376" s="48">
        <f t="shared" si="547"/>
        <v>2855</v>
      </c>
      <c r="BE1376" s="19">
        <v>9254</v>
      </c>
      <c r="BF1376" s="229">
        <f t="shared" si="544"/>
        <v>0</v>
      </c>
      <c r="BG1376" s="210">
        <f t="shared" si="548"/>
        <v>2855</v>
      </c>
      <c r="BH1376" s="210">
        <f t="shared" si="549"/>
        <v>9254</v>
      </c>
      <c r="BI1376" s="213">
        <f t="shared" si="545"/>
        <v>30.85152366544197</v>
      </c>
      <c r="BJ1376" s="141"/>
      <c r="BK1376" s="201"/>
      <c r="BL1376" s="202"/>
      <c r="BM1376" s="202"/>
    </row>
    <row r="1377" spans="1:65" s="17" customFormat="1" ht="26.25" customHeight="1">
      <c r="A1377" s="114">
        <v>81</v>
      </c>
      <c r="B1377" s="24" t="s">
        <v>661</v>
      </c>
      <c r="C1377" s="27" t="s">
        <v>743</v>
      </c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229">
        <f t="shared" si="542"/>
        <v>0</v>
      </c>
      <c r="AC1377" s="228">
        <f t="shared" si="546"/>
        <v>0</v>
      </c>
      <c r="AD1377" s="19">
        <v>0</v>
      </c>
      <c r="AE1377" s="28"/>
      <c r="AF1377" s="28"/>
      <c r="AG1377" s="28"/>
      <c r="AH1377" s="28"/>
      <c r="AI1377" s="28"/>
      <c r="AJ1377" s="28">
        <f>2446+66+93+75</f>
        <v>2680</v>
      </c>
      <c r="AK1377" s="28"/>
      <c r="AL1377" s="28"/>
      <c r="AM1377" s="28"/>
      <c r="AN1377" s="28"/>
      <c r="AO1377" s="28"/>
      <c r="AP1377" s="28">
        <f>2790+1042+83+79+70</f>
        <v>4064</v>
      </c>
      <c r="AQ1377" s="28"/>
      <c r="AR1377" s="28"/>
      <c r="AS1377" s="28"/>
      <c r="AT1377" s="28"/>
      <c r="AU1377" s="28"/>
      <c r="AV1377" s="28">
        <f>3118+933+204+2+94+1</f>
        <v>4352</v>
      </c>
      <c r="AW1377" s="28"/>
      <c r="AX1377" s="28"/>
      <c r="AY1377" s="28"/>
      <c r="AZ1377" s="28"/>
      <c r="BA1377" s="28"/>
      <c r="BB1377" s="28">
        <f>2803+954+225+90</f>
        <v>4072</v>
      </c>
      <c r="BC1377" s="229">
        <f t="shared" si="543"/>
        <v>0</v>
      </c>
      <c r="BD1377" s="48">
        <f t="shared" si="547"/>
        <v>15168</v>
      </c>
      <c r="BE1377" s="19">
        <v>27385</v>
      </c>
      <c r="BF1377" s="229">
        <f t="shared" si="544"/>
        <v>0</v>
      </c>
      <c r="BG1377" s="210">
        <f t="shared" si="548"/>
        <v>15168</v>
      </c>
      <c r="BH1377" s="210">
        <f t="shared" si="549"/>
        <v>27385</v>
      </c>
      <c r="BI1377" s="213">
        <f t="shared" si="545"/>
        <v>55.387986123790398</v>
      </c>
      <c r="BJ1377" s="141"/>
      <c r="BK1377" s="201"/>
      <c r="BL1377" s="202"/>
      <c r="BM1377" s="202"/>
    </row>
    <row r="1378" spans="1:65" s="17" customFormat="1" ht="26.25" customHeight="1">
      <c r="A1378" s="114">
        <v>82</v>
      </c>
      <c r="B1378" s="24" t="s">
        <v>784</v>
      </c>
      <c r="C1378" s="27" t="s">
        <v>1369</v>
      </c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229">
        <f t="shared" si="542"/>
        <v>0</v>
      </c>
      <c r="AC1378" s="228">
        <f t="shared" si="546"/>
        <v>0</v>
      </c>
      <c r="AD1378" s="19">
        <v>0</v>
      </c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29">
        <f t="shared" si="543"/>
        <v>0</v>
      </c>
      <c r="BD1378" s="48">
        <f t="shared" si="547"/>
        <v>0</v>
      </c>
      <c r="BE1378" s="19">
        <v>2</v>
      </c>
      <c r="BF1378" s="229">
        <f t="shared" si="544"/>
        <v>0</v>
      </c>
      <c r="BG1378" s="210">
        <f t="shared" si="548"/>
        <v>0</v>
      </c>
      <c r="BH1378" s="210">
        <f t="shared" si="549"/>
        <v>2</v>
      </c>
      <c r="BI1378" s="213">
        <f t="shared" si="545"/>
        <v>0</v>
      </c>
      <c r="BJ1378" s="141"/>
      <c r="BK1378" s="201"/>
      <c r="BL1378" s="202"/>
      <c r="BM1378" s="202"/>
    </row>
    <row r="1379" spans="1:65" s="17" customFormat="1" ht="18" customHeight="1">
      <c r="A1379" s="114">
        <v>83</v>
      </c>
      <c r="B1379" s="24" t="s">
        <v>662</v>
      </c>
      <c r="C1379" s="25" t="s">
        <v>1096</v>
      </c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229">
        <f t="shared" si="542"/>
        <v>0</v>
      </c>
      <c r="AC1379" s="228">
        <f t="shared" si="546"/>
        <v>0</v>
      </c>
      <c r="AD1379" s="19">
        <v>0</v>
      </c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>
        <v>590</v>
      </c>
      <c r="AQ1379" s="28"/>
      <c r="AR1379" s="28"/>
      <c r="AS1379" s="28"/>
      <c r="AT1379" s="28"/>
      <c r="AU1379" s="28"/>
      <c r="AV1379" s="28">
        <v>613</v>
      </c>
      <c r="AW1379" s="28"/>
      <c r="AX1379" s="28"/>
      <c r="AY1379" s="28"/>
      <c r="AZ1379" s="28"/>
      <c r="BA1379" s="28"/>
      <c r="BB1379" s="28">
        <f>2+659</f>
        <v>661</v>
      </c>
      <c r="BC1379" s="229">
        <f t="shared" si="543"/>
        <v>0</v>
      </c>
      <c r="BD1379" s="48">
        <f t="shared" si="547"/>
        <v>1864</v>
      </c>
      <c r="BE1379" s="19">
        <v>2091</v>
      </c>
      <c r="BF1379" s="229">
        <f t="shared" si="544"/>
        <v>0</v>
      </c>
      <c r="BG1379" s="210">
        <f t="shared" si="548"/>
        <v>1864</v>
      </c>
      <c r="BH1379" s="210">
        <f t="shared" si="549"/>
        <v>2091</v>
      </c>
      <c r="BI1379" s="213">
        <f t="shared" si="545"/>
        <v>89.143950263032039</v>
      </c>
      <c r="BJ1379" s="141"/>
      <c r="BK1379" s="201"/>
      <c r="BL1379" s="202"/>
      <c r="BM1379" s="202"/>
    </row>
    <row r="1380" spans="1:65" s="17" customFormat="1" ht="18" customHeight="1">
      <c r="A1380" s="114">
        <v>84</v>
      </c>
      <c r="B1380" s="24" t="s">
        <v>663</v>
      </c>
      <c r="C1380" s="25" t="s">
        <v>1097</v>
      </c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229">
        <f t="shared" si="542"/>
        <v>0</v>
      </c>
      <c r="AC1380" s="228">
        <f t="shared" si="546"/>
        <v>0</v>
      </c>
      <c r="AD1380" s="19">
        <v>0</v>
      </c>
      <c r="AE1380" s="28"/>
      <c r="AF1380" s="28"/>
      <c r="AG1380" s="28"/>
      <c r="AH1380" s="28"/>
      <c r="AI1380" s="28"/>
      <c r="AJ1380" s="28">
        <v>69</v>
      </c>
      <c r="AK1380" s="28"/>
      <c r="AL1380" s="28"/>
      <c r="AM1380" s="28"/>
      <c r="AN1380" s="28"/>
      <c r="AO1380" s="28"/>
      <c r="AP1380" s="28">
        <v>19</v>
      </c>
      <c r="AQ1380" s="28"/>
      <c r="AR1380" s="28"/>
      <c r="AS1380" s="28"/>
      <c r="AT1380" s="28"/>
      <c r="AU1380" s="28"/>
      <c r="AV1380" s="28">
        <v>18</v>
      </c>
      <c r="AW1380" s="28"/>
      <c r="AX1380" s="28"/>
      <c r="AY1380" s="28"/>
      <c r="AZ1380" s="28"/>
      <c r="BA1380" s="28"/>
      <c r="BB1380" s="28">
        <v>39</v>
      </c>
      <c r="BC1380" s="229">
        <f t="shared" si="543"/>
        <v>0</v>
      </c>
      <c r="BD1380" s="48">
        <f t="shared" si="547"/>
        <v>145</v>
      </c>
      <c r="BE1380" s="19">
        <v>285</v>
      </c>
      <c r="BF1380" s="229">
        <f t="shared" si="544"/>
        <v>0</v>
      </c>
      <c r="BG1380" s="210">
        <f t="shared" si="548"/>
        <v>145</v>
      </c>
      <c r="BH1380" s="210">
        <f t="shared" si="549"/>
        <v>285</v>
      </c>
      <c r="BI1380" s="213">
        <f t="shared" si="545"/>
        <v>50.877192982456144</v>
      </c>
      <c r="BJ1380" s="141"/>
      <c r="BK1380" s="201"/>
      <c r="BL1380" s="202"/>
      <c r="BM1380" s="202"/>
    </row>
    <row r="1381" spans="1:65" s="17" customFormat="1" ht="21.95" customHeight="1">
      <c r="A1381" s="114">
        <v>85</v>
      </c>
      <c r="B1381" s="24" t="s">
        <v>664</v>
      </c>
      <c r="C1381" s="27" t="s">
        <v>1167</v>
      </c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229">
        <f t="shared" si="542"/>
        <v>0</v>
      </c>
      <c r="AC1381" s="228">
        <f t="shared" si="546"/>
        <v>0</v>
      </c>
      <c r="AD1381" s="19">
        <v>0</v>
      </c>
      <c r="AE1381" s="28"/>
      <c r="AF1381" s="28"/>
      <c r="AG1381" s="28"/>
      <c r="AH1381" s="28"/>
      <c r="AI1381" s="28"/>
      <c r="AJ1381" s="28">
        <f>489+26+15</f>
        <v>530</v>
      </c>
      <c r="AK1381" s="28"/>
      <c r="AL1381" s="28"/>
      <c r="AM1381" s="28"/>
      <c r="AN1381" s="28"/>
      <c r="AO1381" s="28"/>
      <c r="AP1381" s="28">
        <f>433+26+106+12</f>
        <v>577</v>
      </c>
      <c r="AQ1381" s="28"/>
      <c r="AR1381" s="28"/>
      <c r="AS1381" s="28"/>
      <c r="AT1381" s="28"/>
      <c r="AU1381" s="28"/>
      <c r="AV1381" s="28">
        <f>475+72+122</f>
        <v>669</v>
      </c>
      <c r="AW1381" s="28"/>
      <c r="AX1381" s="28"/>
      <c r="AY1381" s="28"/>
      <c r="AZ1381" s="28"/>
      <c r="BA1381" s="28"/>
      <c r="BB1381" s="28">
        <f>543+12+77+132+1</f>
        <v>765</v>
      </c>
      <c r="BC1381" s="229">
        <f t="shared" si="543"/>
        <v>0</v>
      </c>
      <c r="BD1381" s="48">
        <f t="shared" si="547"/>
        <v>2541</v>
      </c>
      <c r="BE1381" s="19">
        <v>2785</v>
      </c>
      <c r="BF1381" s="229">
        <f t="shared" si="544"/>
        <v>0</v>
      </c>
      <c r="BG1381" s="210">
        <f t="shared" si="548"/>
        <v>2541</v>
      </c>
      <c r="BH1381" s="210">
        <f t="shared" si="549"/>
        <v>2785</v>
      </c>
      <c r="BI1381" s="213">
        <f t="shared" si="545"/>
        <v>91.238779174147226</v>
      </c>
      <c r="BJ1381" s="141"/>
      <c r="BK1381" s="201"/>
      <c r="BL1381" s="202"/>
      <c r="BM1381" s="202"/>
    </row>
    <row r="1382" spans="1:65" s="17" customFormat="1" ht="27" customHeight="1">
      <c r="A1382" s="114">
        <v>86</v>
      </c>
      <c r="B1382" s="24" t="s">
        <v>786</v>
      </c>
      <c r="C1382" s="27" t="s">
        <v>2250</v>
      </c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229">
        <f t="shared" si="542"/>
        <v>0</v>
      </c>
      <c r="AC1382" s="228">
        <f t="shared" si="546"/>
        <v>0</v>
      </c>
      <c r="AD1382" s="19">
        <v>0</v>
      </c>
      <c r="AE1382" s="28"/>
      <c r="AF1382" s="28"/>
      <c r="AG1382" s="28"/>
      <c r="AH1382" s="28"/>
      <c r="AI1382" s="28"/>
      <c r="AJ1382" s="28">
        <v>118</v>
      </c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29">
        <f t="shared" si="543"/>
        <v>0</v>
      </c>
      <c r="BD1382" s="48">
        <f t="shared" si="547"/>
        <v>118</v>
      </c>
      <c r="BE1382" s="19">
        <v>2</v>
      </c>
      <c r="BF1382" s="229">
        <f t="shared" si="544"/>
        <v>0</v>
      </c>
      <c r="BG1382" s="210">
        <f t="shared" si="548"/>
        <v>118</v>
      </c>
      <c r="BH1382" s="210">
        <f t="shared" si="549"/>
        <v>2</v>
      </c>
      <c r="BI1382" s="213">
        <f t="shared" si="545"/>
        <v>5900</v>
      </c>
      <c r="BJ1382" s="141"/>
      <c r="BK1382" s="201"/>
      <c r="BL1382" s="202"/>
      <c r="BM1382" s="202"/>
    </row>
    <row r="1383" spans="1:65" s="317" customFormat="1" ht="18" customHeight="1">
      <c r="A1383" s="114">
        <v>87</v>
      </c>
      <c r="B1383" s="24" t="s">
        <v>704</v>
      </c>
      <c r="C1383" s="25" t="s">
        <v>1383</v>
      </c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229">
        <f t="shared" si="542"/>
        <v>0</v>
      </c>
      <c r="AC1383" s="228">
        <f t="shared" si="546"/>
        <v>0</v>
      </c>
      <c r="AD1383" s="19">
        <v>0</v>
      </c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>
        <f>5+718</f>
        <v>723</v>
      </c>
      <c r="AQ1383" s="28"/>
      <c r="AR1383" s="28"/>
      <c r="AS1383" s="28"/>
      <c r="AT1383" s="28"/>
      <c r="AU1383" s="28"/>
      <c r="AV1383" s="28">
        <v>657</v>
      </c>
      <c r="AW1383" s="28"/>
      <c r="AX1383" s="28"/>
      <c r="AY1383" s="28"/>
      <c r="AZ1383" s="28"/>
      <c r="BA1383" s="28"/>
      <c r="BB1383" s="28">
        <v>941</v>
      </c>
      <c r="BC1383" s="229">
        <f t="shared" si="543"/>
        <v>0</v>
      </c>
      <c r="BD1383" s="48">
        <f t="shared" si="547"/>
        <v>2321</v>
      </c>
      <c r="BE1383" s="19">
        <v>598</v>
      </c>
      <c r="BF1383" s="229">
        <f t="shared" si="544"/>
        <v>0</v>
      </c>
      <c r="BG1383" s="210">
        <f t="shared" si="548"/>
        <v>2321</v>
      </c>
      <c r="BH1383" s="210">
        <f t="shared" si="549"/>
        <v>598</v>
      </c>
      <c r="BI1383" s="213">
        <f t="shared" si="545"/>
        <v>388.12709030100336</v>
      </c>
      <c r="BJ1383" s="141"/>
      <c r="BK1383" s="201"/>
      <c r="BL1383" s="202"/>
      <c r="BM1383" s="202"/>
    </row>
    <row r="1384" spans="1:65" s="317" customFormat="1" ht="18" customHeight="1">
      <c r="A1384" s="114">
        <v>88</v>
      </c>
      <c r="B1384" s="24" t="s">
        <v>788</v>
      </c>
      <c r="C1384" s="25" t="s">
        <v>1172</v>
      </c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229">
        <f t="shared" si="542"/>
        <v>0</v>
      </c>
      <c r="AC1384" s="228">
        <f t="shared" si="546"/>
        <v>0</v>
      </c>
      <c r="AD1384" s="19">
        <v>0</v>
      </c>
      <c r="AE1384" s="28"/>
      <c r="AF1384" s="28"/>
      <c r="AG1384" s="28"/>
      <c r="AH1384" s="28"/>
      <c r="AI1384" s="28"/>
      <c r="AJ1384" s="28">
        <v>7</v>
      </c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29">
        <f t="shared" si="543"/>
        <v>0</v>
      </c>
      <c r="BD1384" s="48">
        <f t="shared" si="547"/>
        <v>7</v>
      </c>
      <c r="BE1384" s="19">
        <v>4</v>
      </c>
      <c r="BF1384" s="229">
        <f t="shared" si="544"/>
        <v>0</v>
      </c>
      <c r="BG1384" s="210">
        <f t="shared" si="548"/>
        <v>7</v>
      </c>
      <c r="BH1384" s="210">
        <f t="shared" si="549"/>
        <v>4</v>
      </c>
      <c r="BI1384" s="213">
        <f t="shared" si="545"/>
        <v>175</v>
      </c>
      <c r="BJ1384" s="141"/>
      <c r="BK1384" s="201"/>
      <c r="BL1384" s="202"/>
      <c r="BM1384" s="202"/>
    </row>
    <row r="1385" spans="1:65" s="17" customFormat="1" ht="24" customHeight="1">
      <c r="A1385" s="114">
        <v>89</v>
      </c>
      <c r="B1385" s="24" t="s">
        <v>790</v>
      </c>
      <c r="C1385" s="27" t="s">
        <v>2431</v>
      </c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229">
        <f t="shared" si="542"/>
        <v>0</v>
      </c>
      <c r="AC1385" s="228">
        <f t="shared" si="546"/>
        <v>0</v>
      </c>
      <c r="AD1385" s="19">
        <v>0</v>
      </c>
      <c r="AE1385" s="28"/>
      <c r="AF1385" s="28"/>
      <c r="AG1385" s="28"/>
      <c r="AH1385" s="28"/>
      <c r="AI1385" s="28"/>
      <c r="AJ1385" s="28">
        <f>1372+28+1+56</f>
        <v>1457</v>
      </c>
      <c r="AK1385" s="28"/>
      <c r="AL1385" s="28"/>
      <c r="AM1385" s="28"/>
      <c r="AN1385" s="28"/>
      <c r="AO1385" s="28"/>
      <c r="AP1385" s="28">
        <f>1277+75+27+5+53</f>
        <v>1437</v>
      </c>
      <c r="AQ1385" s="28"/>
      <c r="AR1385" s="28"/>
      <c r="AS1385" s="28"/>
      <c r="AT1385" s="28"/>
      <c r="AU1385" s="28"/>
      <c r="AV1385" s="28">
        <f>1335+33+79+2</f>
        <v>1449</v>
      </c>
      <c r="AW1385" s="28"/>
      <c r="AX1385" s="28"/>
      <c r="AY1385" s="28"/>
      <c r="AZ1385" s="28"/>
      <c r="BA1385" s="28"/>
      <c r="BB1385" s="28">
        <f>1514+54+83</f>
        <v>1651</v>
      </c>
      <c r="BC1385" s="229">
        <f t="shared" si="543"/>
        <v>0</v>
      </c>
      <c r="BD1385" s="48">
        <f t="shared" si="547"/>
        <v>5994</v>
      </c>
      <c r="BE1385" s="19">
        <v>7894</v>
      </c>
      <c r="BF1385" s="229">
        <f t="shared" si="544"/>
        <v>0</v>
      </c>
      <c r="BG1385" s="210">
        <f t="shared" si="548"/>
        <v>5994</v>
      </c>
      <c r="BH1385" s="210">
        <f t="shared" si="549"/>
        <v>7894</v>
      </c>
      <c r="BI1385" s="213">
        <f t="shared" si="545"/>
        <v>75.931086901444132</v>
      </c>
      <c r="BJ1385" s="141"/>
      <c r="BK1385" s="201"/>
      <c r="BL1385" s="202"/>
      <c r="BM1385" s="202"/>
    </row>
    <row r="1386" spans="1:65" s="17" customFormat="1" ht="24" customHeight="1">
      <c r="A1386" s="114">
        <v>90</v>
      </c>
      <c r="B1386" s="24" t="s">
        <v>791</v>
      </c>
      <c r="C1386" s="27" t="s">
        <v>2318</v>
      </c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229">
        <f t="shared" si="542"/>
        <v>0</v>
      </c>
      <c r="AC1386" s="228">
        <f t="shared" si="546"/>
        <v>0</v>
      </c>
      <c r="AD1386" s="19">
        <v>0</v>
      </c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29">
        <f t="shared" si="543"/>
        <v>0</v>
      </c>
      <c r="BD1386" s="48">
        <f t="shared" si="547"/>
        <v>0</v>
      </c>
      <c r="BE1386" s="19">
        <v>6</v>
      </c>
      <c r="BF1386" s="229">
        <f t="shared" si="544"/>
        <v>0</v>
      </c>
      <c r="BG1386" s="210">
        <f t="shared" si="548"/>
        <v>0</v>
      </c>
      <c r="BH1386" s="210">
        <f t="shared" si="549"/>
        <v>6</v>
      </c>
      <c r="BI1386" s="213">
        <f t="shared" si="545"/>
        <v>0</v>
      </c>
      <c r="BJ1386" s="141"/>
      <c r="BK1386" s="201"/>
      <c r="BL1386" s="202"/>
      <c r="BM1386" s="202"/>
    </row>
    <row r="1387" spans="1:65" s="17" customFormat="1" ht="21.75" customHeight="1">
      <c r="A1387" s="114">
        <v>91</v>
      </c>
      <c r="B1387" s="24" t="s">
        <v>744</v>
      </c>
      <c r="C1387" s="27" t="s">
        <v>745</v>
      </c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229">
        <f t="shared" si="542"/>
        <v>0</v>
      </c>
      <c r="AC1387" s="228">
        <f t="shared" si="546"/>
        <v>0</v>
      </c>
      <c r="AD1387" s="19">
        <v>0</v>
      </c>
      <c r="AE1387" s="28"/>
      <c r="AF1387" s="28"/>
      <c r="AG1387" s="28"/>
      <c r="AH1387" s="28"/>
      <c r="AI1387" s="28"/>
      <c r="AJ1387" s="28">
        <v>13</v>
      </c>
      <c r="AK1387" s="28"/>
      <c r="AL1387" s="28"/>
      <c r="AM1387" s="28"/>
      <c r="AN1387" s="28"/>
      <c r="AO1387" s="28"/>
      <c r="AP1387" s="28">
        <f>2+9</f>
        <v>11</v>
      </c>
      <c r="AQ1387" s="28"/>
      <c r="AR1387" s="28"/>
      <c r="AS1387" s="28"/>
      <c r="AT1387" s="28"/>
      <c r="AU1387" s="28"/>
      <c r="AV1387" s="28">
        <v>7</v>
      </c>
      <c r="AW1387" s="28"/>
      <c r="AX1387" s="28"/>
      <c r="AY1387" s="28"/>
      <c r="AZ1387" s="28"/>
      <c r="BA1387" s="28"/>
      <c r="BB1387" s="28">
        <v>1</v>
      </c>
      <c r="BC1387" s="229">
        <f t="shared" si="543"/>
        <v>0</v>
      </c>
      <c r="BD1387" s="48">
        <f t="shared" si="547"/>
        <v>32</v>
      </c>
      <c r="BE1387" s="19">
        <v>80</v>
      </c>
      <c r="BF1387" s="229">
        <f t="shared" si="544"/>
        <v>0</v>
      </c>
      <c r="BG1387" s="210">
        <f t="shared" si="548"/>
        <v>32</v>
      </c>
      <c r="BH1387" s="210">
        <f t="shared" si="549"/>
        <v>80</v>
      </c>
      <c r="BI1387" s="213">
        <f t="shared" si="545"/>
        <v>40</v>
      </c>
      <c r="BJ1387" s="141"/>
      <c r="BK1387" s="201"/>
      <c r="BL1387" s="202"/>
      <c r="BM1387" s="202"/>
    </row>
    <row r="1388" spans="1:65" s="17" customFormat="1" ht="18" customHeight="1">
      <c r="A1388" s="114">
        <v>92</v>
      </c>
      <c r="B1388" s="157" t="s">
        <v>1788</v>
      </c>
      <c r="C1388" s="162" t="s">
        <v>1789</v>
      </c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229">
        <f t="shared" si="542"/>
        <v>0</v>
      </c>
      <c r="AC1388" s="228">
        <f t="shared" si="546"/>
        <v>0</v>
      </c>
      <c r="AD1388" s="19">
        <v>1</v>
      </c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29">
        <f t="shared" si="543"/>
        <v>0</v>
      </c>
      <c r="BD1388" s="48">
        <f t="shared" si="547"/>
        <v>0</v>
      </c>
      <c r="BE1388" s="19">
        <v>0</v>
      </c>
      <c r="BF1388" s="229">
        <f t="shared" si="544"/>
        <v>0</v>
      </c>
      <c r="BG1388" s="210">
        <f t="shared" si="548"/>
        <v>0</v>
      </c>
      <c r="BH1388" s="210">
        <f t="shared" si="549"/>
        <v>1</v>
      </c>
      <c r="BI1388" s="213">
        <f t="shared" si="545"/>
        <v>0</v>
      </c>
      <c r="BJ1388" s="269" t="s">
        <v>2856</v>
      </c>
      <c r="BK1388" s="201"/>
      <c r="BL1388" s="202"/>
      <c r="BM1388" s="202"/>
    </row>
    <row r="1389" spans="1:65" s="38" customFormat="1" ht="21.95" customHeight="1">
      <c r="A1389" s="372" t="s">
        <v>2762</v>
      </c>
      <c r="B1389" s="372"/>
      <c r="C1389" s="372"/>
      <c r="D1389" s="220">
        <f t="shared" ref="D1389:AA1389" si="550">SUM(D1390:D1487)</f>
        <v>0</v>
      </c>
      <c r="E1389" s="220">
        <f t="shared" si="550"/>
        <v>0</v>
      </c>
      <c r="F1389" s="220">
        <f t="shared" si="550"/>
        <v>0</v>
      </c>
      <c r="G1389" s="220">
        <f t="shared" si="550"/>
        <v>0</v>
      </c>
      <c r="H1389" s="220">
        <f t="shared" si="550"/>
        <v>0</v>
      </c>
      <c r="I1389" s="220">
        <f t="shared" si="550"/>
        <v>1860</v>
      </c>
      <c r="J1389" s="220">
        <f t="shared" si="550"/>
        <v>0</v>
      </c>
      <c r="K1389" s="220">
        <f t="shared" si="550"/>
        <v>0</v>
      </c>
      <c r="L1389" s="220">
        <f t="shared" si="550"/>
        <v>0</v>
      </c>
      <c r="M1389" s="220">
        <f t="shared" si="550"/>
        <v>0</v>
      </c>
      <c r="N1389" s="220">
        <f t="shared" si="550"/>
        <v>0</v>
      </c>
      <c r="O1389" s="220">
        <f t="shared" si="550"/>
        <v>1829</v>
      </c>
      <c r="P1389" s="220">
        <f t="shared" si="550"/>
        <v>0</v>
      </c>
      <c r="Q1389" s="220">
        <f t="shared" si="550"/>
        <v>0</v>
      </c>
      <c r="R1389" s="220">
        <f t="shared" si="550"/>
        <v>0</v>
      </c>
      <c r="S1389" s="220">
        <f t="shared" si="550"/>
        <v>0</v>
      </c>
      <c r="T1389" s="220">
        <f t="shared" si="550"/>
        <v>0</v>
      </c>
      <c r="U1389" s="220">
        <f t="shared" si="550"/>
        <v>1433</v>
      </c>
      <c r="V1389" s="220">
        <f t="shared" si="550"/>
        <v>0</v>
      </c>
      <c r="W1389" s="220">
        <f t="shared" si="550"/>
        <v>0</v>
      </c>
      <c r="X1389" s="220">
        <f t="shared" si="550"/>
        <v>0</v>
      </c>
      <c r="Y1389" s="220">
        <f t="shared" si="550"/>
        <v>0</v>
      </c>
      <c r="Z1389" s="220">
        <f t="shared" si="550"/>
        <v>0</v>
      </c>
      <c r="AA1389" s="220">
        <f t="shared" si="550"/>
        <v>1214</v>
      </c>
      <c r="AB1389" s="220">
        <f t="shared" ref="AB1389" si="551">D1389+F1389+H1389+J1389+L1389+N1389+P1389+R1389+T1389+V1389+X1389+Z1389</f>
        <v>0</v>
      </c>
      <c r="AC1389" s="220">
        <f t="shared" ref="AC1389" si="552">E1389+G1389+I1389+K1389+M1389+O1389+Q1389+S1389+U1389+W1389+Y1389+AA1389</f>
        <v>6336</v>
      </c>
      <c r="AD1389" s="274">
        <f t="shared" ref="AD1389:BB1389" si="553">SUM(AD1390:AD1487)</f>
        <v>8644</v>
      </c>
      <c r="AE1389" s="276">
        <f t="shared" si="553"/>
        <v>0</v>
      </c>
      <c r="AF1389" s="276">
        <f t="shared" si="553"/>
        <v>0</v>
      </c>
      <c r="AG1389" s="276">
        <f t="shared" si="553"/>
        <v>0</v>
      </c>
      <c r="AH1389" s="276">
        <f t="shared" si="553"/>
        <v>0</v>
      </c>
      <c r="AI1389" s="276">
        <f t="shared" si="553"/>
        <v>0</v>
      </c>
      <c r="AJ1389" s="276">
        <f t="shared" si="553"/>
        <v>6256</v>
      </c>
      <c r="AK1389" s="276">
        <f t="shared" si="553"/>
        <v>0</v>
      </c>
      <c r="AL1389" s="276">
        <f t="shared" si="553"/>
        <v>0</v>
      </c>
      <c r="AM1389" s="276">
        <f t="shared" si="553"/>
        <v>0</v>
      </c>
      <c r="AN1389" s="276">
        <f t="shared" si="553"/>
        <v>0</v>
      </c>
      <c r="AO1389" s="276">
        <f t="shared" si="553"/>
        <v>0</v>
      </c>
      <c r="AP1389" s="276">
        <f t="shared" si="553"/>
        <v>6702</v>
      </c>
      <c r="AQ1389" s="276">
        <f t="shared" si="553"/>
        <v>0</v>
      </c>
      <c r="AR1389" s="276">
        <f t="shared" si="553"/>
        <v>0</v>
      </c>
      <c r="AS1389" s="276">
        <f t="shared" si="553"/>
        <v>0</v>
      </c>
      <c r="AT1389" s="276">
        <f t="shared" si="553"/>
        <v>0</v>
      </c>
      <c r="AU1389" s="276">
        <f t="shared" si="553"/>
        <v>0</v>
      </c>
      <c r="AV1389" s="276">
        <f t="shared" si="553"/>
        <v>7452</v>
      </c>
      <c r="AW1389" s="276">
        <f t="shared" si="553"/>
        <v>0</v>
      </c>
      <c r="AX1389" s="276">
        <f t="shared" si="553"/>
        <v>0</v>
      </c>
      <c r="AY1389" s="276">
        <f t="shared" si="553"/>
        <v>0</v>
      </c>
      <c r="AZ1389" s="276">
        <f t="shared" si="553"/>
        <v>0</v>
      </c>
      <c r="BA1389" s="276">
        <f t="shared" si="553"/>
        <v>0</v>
      </c>
      <c r="BB1389" s="276">
        <f t="shared" si="553"/>
        <v>6384</v>
      </c>
      <c r="BC1389" s="220">
        <f t="shared" ref="BC1389" si="554">AE1389+AG1389+AI1389+AK1389+AM1389+AO1389+AQ1389+AS1389+AU1389+AW1389+AY1389+BA1389</f>
        <v>0</v>
      </c>
      <c r="BD1389" s="210">
        <f t="shared" ref="BD1389" si="555">AF1389+AH1389+AJ1389+AL1389+AN1389+AP1389+AR1389+AT1389+AV1389+AX1389+AZ1389+BB1389</f>
        <v>26794</v>
      </c>
      <c r="BE1389" s="276">
        <f>SUM(BE1390:BE1487)</f>
        <v>26593</v>
      </c>
      <c r="BF1389" s="220">
        <f t="shared" ref="BF1389" si="556">AB1389+BC1389</f>
        <v>0</v>
      </c>
      <c r="BG1389" s="210">
        <f t="shared" ref="BG1389" si="557">AC1389+BD1389</f>
        <v>33130</v>
      </c>
      <c r="BH1389" s="210">
        <f t="shared" ref="BH1389" si="558">AD1389+BE1389</f>
        <v>35237</v>
      </c>
      <c r="BI1389" s="213">
        <f t="shared" ref="BI1389" si="559">BG1389/BH1389*100</f>
        <v>94.020489826035131</v>
      </c>
      <c r="BJ1389" s="140">
        <v>35237</v>
      </c>
      <c r="BK1389" s="203">
        <f>BH1389-BJ1389</f>
        <v>0</v>
      </c>
      <c r="BL1389" s="198">
        <v>23807</v>
      </c>
      <c r="BM1389" s="199">
        <f>BG1389-BL1389</f>
        <v>9323</v>
      </c>
    </row>
    <row r="1390" spans="1:65" s="38" customFormat="1" ht="21.95" customHeight="1">
      <c r="A1390" s="114">
        <v>1</v>
      </c>
      <c r="B1390" s="24" t="s">
        <v>705</v>
      </c>
      <c r="C1390" s="27" t="s">
        <v>706</v>
      </c>
      <c r="D1390" s="121"/>
      <c r="E1390" s="121"/>
      <c r="F1390" s="121"/>
      <c r="G1390" s="121"/>
      <c r="H1390" s="28"/>
      <c r="I1390" s="121">
        <v>1</v>
      </c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>
        <f>50+32</f>
        <v>82</v>
      </c>
      <c r="V1390" s="121"/>
      <c r="W1390" s="121"/>
      <c r="X1390" s="121"/>
      <c r="Y1390" s="121"/>
      <c r="Z1390" s="121"/>
      <c r="AA1390" s="121"/>
      <c r="AB1390" s="229">
        <f t="shared" ref="AB1390:AB1432" si="560">D1390+F1390+H1390+J1390+L1390+N1390+P1390+R1390+T1390+V1390+X1390+Z1390</f>
        <v>0</v>
      </c>
      <c r="AC1390" s="228">
        <f t="shared" ref="AC1390:AC1432" si="561">E1390+G1390+I1390+K1390+M1390+O1390+Q1390+S1390+U1390+W1390+Y1390+AA1390</f>
        <v>83</v>
      </c>
      <c r="AD1390" s="19">
        <v>1228</v>
      </c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29">
        <f t="shared" ref="BC1390:BC1432" si="562">AE1390+AG1390+AI1390+AK1390+AM1390+AO1390+AQ1390+AS1390+AU1390+AW1390+AY1390+BA1390</f>
        <v>0</v>
      </c>
      <c r="BD1390" s="48">
        <f t="shared" ref="BD1390:BD1432" si="563">AF1390+AH1390+AJ1390+AL1390+AN1390+AP1390+AR1390+AT1390+AV1390+AX1390+AZ1390+BB1390</f>
        <v>0</v>
      </c>
      <c r="BE1390" s="19">
        <v>0</v>
      </c>
      <c r="BF1390" s="229">
        <f t="shared" ref="BF1390:BF1432" si="564">AB1390+BC1390</f>
        <v>0</v>
      </c>
      <c r="BG1390" s="210">
        <f t="shared" ref="BG1390:BG1432" si="565">AC1390+BD1390</f>
        <v>83</v>
      </c>
      <c r="BH1390" s="210">
        <f t="shared" ref="BH1390:BH1432" si="566">AD1390+BE1390</f>
        <v>1228</v>
      </c>
      <c r="BI1390" s="213">
        <f t="shared" ref="BI1390:BI1422" si="567">BG1390/BH1390*100</f>
        <v>6.7589576547231269</v>
      </c>
      <c r="BJ1390" s="270" t="s">
        <v>2857</v>
      </c>
      <c r="BK1390" s="201"/>
      <c r="BL1390" s="4"/>
      <c r="BM1390" s="4"/>
    </row>
    <row r="1391" spans="1:65" s="38" customFormat="1" ht="35.25" customHeight="1">
      <c r="A1391" s="114">
        <v>2</v>
      </c>
      <c r="B1391" s="24" t="s">
        <v>2075</v>
      </c>
      <c r="C1391" s="37" t="s">
        <v>2076</v>
      </c>
      <c r="D1391" s="121"/>
      <c r="E1391" s="121"/>
      <c r="F1391" s="121"/>
      <c r="G1391" s="121"/>
      <c r="H1391" s="28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229">
        <f t="shared" si="560"/>
        <v>0</v>
      </c>
      <c r="AC1391" s="228">
        <f t="shared" si="561"/>
        <v>0</v>
      </c>
      <c r="AD1391" s="19">
        <v>9</v>
      </c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29">
        <f t="shared" si="562"/>
        <v>0</v>
      </c>
      <c r="BD1391" s="48">
        <f t="shared" si="563"/>
        <v>0</v>
      </c>
      <c r="BE1391" s="19">
        <v>0</v>
      </c>
      <c r="BF1391" s="229">
        <f t="shared" si="564"/>
        <v>0</v>
      </c>
      <c r="BG1391" s="210">
        <f t="shared" si="565"/>
        <v>0</v>
      </c>
      <c r="BH1391" s="210">
        <f t="shared" si="566"/>
        <v>9</v>
      </c>
      <c r="BI1391" s="213">
        <f t="shared" si="567"/>
        <v>0</v>
      </c>
      <c r="BJ1391" s="270" t="s">
        <v>2857</v>
      </c>
      <c r="BK1391" s="201"/>
      <c r="BL1391" s="4"/>
      <c r="BM1391" s="4"/>
    </row>
    <row r="1392" spans="1:65" ht="18" customHeight="1">
      <c r="A1392" s="114">
        <v>3</v>
      </c>
      <c r="B1392" s="24" t="s">
        <v>937</v>
      </c>
      <c r="C1392" s="25" t="s">
        <v>938</v>
      </c>
      <c r="D1392" s="121"/>
      <c r="E1392" s="121"/>
      <c r="F1392" s="121"/>
      <c r="G1392" s="121"/>
      <c r="H1392" s="28"/>
      <c r="I1392" s="121">
        <v>427</v>
      </c>
      <c r="J1392" s="121"/>
      <c r="K1392" s="121"/>
      <c r="L1392" s="121"/>
      <c r="M1392" s="121"/>
      <c r="N1392" s="121"/>
      <c r="O1392" s="121">
        <v>389</v>
      </c>
      <c r="P1392" s="121"/>
      <c r="Q1392" s="121"/>
      <c r="R1392" s="121"/>
      <c r="S1392" s="121"/>
      <c r="T1392" s="121"/>
      <c r="U1392" s="121">
        <f>397+352</f>
        <v>749</v>
      </c>
      <c r="V1392" s="121"/>
      <c r="W1392" s="121"/>
      <c r="X1392" s="121"/>
      <c r="Y1392" s="121"/>
      <c r="Z1392" s="121"/>
      <c r="AA1392" s="121"/>
      <c r="AB1392" s="229">
        <f t="shared" si="560"/>
        <v>0</v>
      </c>
      <c r="AC1392" s="228">
        <f t="shared" si="561"/>
        <v>1565</v>
      </c>
      <c r="AD1392" s="19">
        <v>1322</v>
      </c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29">
        <f t="shared" si="562"/>
        <v>0</v>
      </c>
      <c r="BD1392" s="48">
        <f t="shared" si="563"/>
        <v>0</v>
      </c>
      <c r="BE1392" s="19">
        <v>0</v>
      </c>
      <c r="BF1392" s="229">
        <f t="shared" si="564"/>
        <v>0</v>
      </c>
      <c r="BG1392" s="210">
        <f t="shared" si="565"/>
        <v>1565</v>
      </c>
      <c r="BH1392" s="210">
        <f t="shared" si="566"/>
        <v>1322</v>
      </c>
      <c r="BI1392" s="213">
        <f t="shared" si="567"/>
        <v>118.38124054462935</v>
      </c>
      <c r="BJ1392" s="270" t="s">
        <v>2857</v>
      </c>
      <c r="BK1392" s="201"/>
    </row>
    <row r="1393" spans="1:63" ht="18" customHeight="1">
      <c r="A1393" s="114">
        <v>4</v>
      </c>
      <c r="B1393" s="24" t="s">
        <v>1468</v>
      </c>
      <c r="C1393" s="25" t="s">
        <v>1471</v>
      </c>
      <c r="D1393" s="121"/>
      <c r="E1393" s="121"/>
      <c r="F1393" s="121"/>
      <c r="G1393" s="121"/>
      <c r="H1393" s="28"/>
      <c r="I1393" s="121">
        <v>267</v>
      </c>
      <c r="J1393" s="121"/>
      <c r="K1393" s="121"/>
      <c r="L1393" s="121"/>
      <c r="M1393" s="121"/>
      <c r="N1393" s="121"/>
      <c r="O1393" s="121">
        <v>239</v>
      </c>
      <c r="P1393" s="121"/>
      <c r="Q1393" s="121"/>
      <c r="R1393" s="121"/>
      <c r="S1393" s="121"/>
      <c r="T1393" s="121"/>
      <c r="U1393" s="121">
        <f>352+250</f>
        <v>602</v>
      </c>
      <c r="V1393" s="121"/>
      <c r="W1393" s="121"/>
      <c r="X1393" s="121"/>
      <c r="Y1393" s="121"/>
      <c r="Z1393" s="121"/>
      <c r="AA1393" s="121"/>
      <c r="AB1393" s="229">
        <f t="shared" si="560"/>
        <v>0</v>
      </c>
      <c r="AC1393" s="228">
        <f t="shared" si="561"/>
        <v>1108</v>
      </c>
      <c r="AD1393" s="19">
        <v>1495</v>
      </c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29">
        <f t="shared" si="562"/>
        <v>0</v>
      </c>
      <c r="BD1393" s="48">
        <f t="shared" si="563"/>
        <v>0</v>
      </c>
      <c r="BE1393" s="19">
        <v>0</v>
      </c>
      <c r="BF1393" s="229">
        <f t="shared" si="564"/>
        <v>0</v>
      </c>
      <c r="BG1393" s="210">
        <f t="shared" si="565"/>
        <v>1108</v>
      </c>
      <c r="BH1393" s="210">
        <f t="shared" si="566"/>
        <v>1495</v>
      </c>
      <c r="BI1393" s="213">
        <f t="shared" si="567"/>
        <v>74.113712374581937</v>
      </c>
      <c r="BJ1393" s="270" t="s">
        <v>2857</v>
      </c>
      <c r="BK1393" s="201"/>
    </row>
    <row r="1394" spans="1:63" ht="18" customHeight="1">
      <c r="A1394" s="114">
        <v>5</v>
      </c>
      <c r="B1394" s="24" t="s">
        <v>1482</v>
      </c>
      <c r="C1394" s="25" t="s">
        <v>1483</v>
      </c>
      <c r="D1394" s="121"/>
      <c r="E1394" s="121"/>
      <c r="F1394" s="121"/>
      <c r="G1394" s="121"/>
      <c r="H1394" s="121"/>
      <c r="I1394" s="121">
        <v>1161</v>
      </c>
      <c r="J1394" s="121"/>
      <c r="K1394" s="121"/>
      <c r="L1394" s="121"/>
      <c r="M1394" s="121"/>
      <c r="N1394" s="121"/>
      <c r="O1394" s="121">
        <f>1094+100+4</f>
        <v>1198</v>
      </c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>
        <v>1209</v>
      </c>
      <c r="AB1394" s="229">
        <f t="shared" si="560"/>
        <v>0</v>
      </c>
      <c r="AC1394" s="228">
        <f t="shared" si="561"/>
        <v>3568</v>
      </c>
      <c r="AD1394" s="19">
        <v>4582</v>
      </c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29">
        <f t="shared" si="562"/>
        <v>0</v>
      </c>
      <c r="BD1394" s="48">
        <f t="shared" si="563"/>
        <v>0</v>
      </c>
      <c r="BE1394" s="19">
        <v>0</v>
      </c>
      <c r="BF1394" s="229">
        <f t="shared" si="564"/>
        <v>0</v>
      </c>
      <c r="BG1394" s="210">
        <f t="shared" si="565"/>
        <v>3568</v>
      </c>
      <c r="BH1394" s="210">
        <f t="shared" si="566"/>
        <v>4582</v>
      </c>
      <c r="BI1394" s="213">
        <f t="shared" si="567"/>
        <v>77.869925796595368</v>
      </c>
      <c r="BJ1394" s="270" t="s">
        <v>2857</v>
      </c>
      <c r="BK1394" s="201"/>
    </row>
    <row r="1395" spans="1:63" ht="18" customHeight="1">
      <c r="A1395" s="330"/>
      <c r="B1395" s="24" t="s">
        <v>555</v>
      </c>
      <c r="C1395" s="332" t="s">
        <v>556</v>
      </c>
      <c r="D1395" s="333"/>
      <c r="E1395" s="333"/>
      <c r="F1395" s="333"/>
      <c r="G1395" s="333"/>
      <c r="H1395" s="333"/>
      <c r="I1395" s="333"/>
      <c r="J1395" s="333"/>
      <c r="K1395" s="333"/>
      <c r="L1395" s="333"/>
      <c r="M1395" s="333"/>
      <c r="N1395" s="333"/>
      <c r="O1395" s="333"/>
      <c r="P1395" s="333"/>
      <c r="Q1395" s="333"/>
      <c r="R1395" s="333"/>
      <c r="S1395" s="333"/>
      <c r="T1395" s="333"/>
      <c r="U1395" s="333"/>
      <c r="V1395" s="333"/>
      <c r="W1395" s="333"/>
      <c r="X1395" s="333"/>
      <c r="Y1395" s="333"/>
      <c r="Z1395" s="333"/>
      <c r="AA1395" s="333"/>
      <c r="AB1395" s="323"/>
      <c r="AC1395" s="228">
        <f t="shared" si="561"/>
        <v>0</v>
      </c>
      <c r="AD1395" s="326">
        <v>0</v>
      </c>
      <c r="AE1395" s="334"/>
      <c r="AF1395" s="334"/>
      <c r="AG1395" s="334"/>
      <c r="AH1395" s="334"/>
      <c r="AI1395" s="334"/>
      <c r="AJ1395" s="334"/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4"/>
      <c r="AX1395" s="334"/>
      <c r="AY1395" s="334"/>
      <c r="AZ1395" s="334"/>
      <c r="BA1395" s="334"/>
      <c r="BB1395" s="334">
        <v>5</v>
      </c>
      <c r="BC1395" s="323"/>
      <c r="BD1395" s="48">
        <f t="shared" si="563"/>
        <v>5</v>
      </c>
      <c r="BE1395" s="326">
        <v>0</v>
      </c>
      <c r="BF1395" s="323"/>
      <c r="BG1395" s="210">
        <f t="shared" ref="BG1395" si="568">AC1395+BD1395</f>
        <v>5</v>
      </c>
      <c r="BH1395" s="210">
        <f t="shared" ref="BH1395" si="569">AD1395+BE1395</f>
        <v>0</v>
      </c>
      <c r="BI1395" s="213" t="e">
        <f t="shared" ref="BI1395" si="570">BG1395/BH1395*100</f>
        <v>#DIV/0!</v>
      </c>
      <c r="BJ1395" s="270"/>
      <c r="BK1395" s="201"/>
    </row>
    <row r="1396" spans="1:63" ht="18" customHeight="1">
      <c r="A1396" s="114">
        <v>6</v>
      </c>
      <c r="B1396" s="24" t="s">
        <v>561</v>
      </c>
      <c r="C1396" s="25" t="s">
        <v>562</v>
      </c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229">
        <f t="shared" si="560"/>
        <v>0</v>
      </c>
      <c r="AC1396" s="228">
        <f t="shared" si="561"/>
        <v>0</v>
      </c>
      <c r="AD1396" s="19">
        <v>0</v>
      </c>
      <c r="AE1396" s="28"/>
      <c r="AF1396" s="28"/>
      <c r="AG1396" s="28"/>
      <c r="AH1396" s="28"/>
      <c r="AI1396" s="28"/>
      <c r="AJ1396" s="28">
        <v>4</v>
      </c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>
        <v>10</v>
      </c>
      <c r="AW1396" s="28"/>
      <c r="AX1396" s="28"/>
      <c r="AY1396" s="28"/>
      <c r="AZ1396" s="28"/>
      <c r="BA1396" s="28"/>
      <c r="BB1396" s="28">
        <v>1</v>
      </c>
      <c r="BC1396" s="229">
        <f t="shared" si="562"/>
        <v>0</v>
      </c>
      <c r="BD1396" s="48">
        <f t="shared" si="563"/>
        <v>15</v>
      </c>
      <c r="BE1396" s="19">
        <v>14</v>
      </c>
      <c r="BF1396" s="229">
        <f t="shared" si="564"/>
        <v>0</v>
      </c>
      <c r="BG1396" s="210">
        <f t="shared" si="565"/>
        <v>15</v>
      </c>
      <c r="BH1396" s="210">
        <f t="shared" si="566"/>
        <v>14</v>
      </c>
      <c r="BI1396" s="213">
        <f t="shared" si="567"/>
        <v>107.14285714285714</v>
      </c>
      <c r="BJ1396" s="141"/>
      <c r="BK1396" s="201"/>
    </row>
    <row r="1397" spans="1:63" ht="18" customHeight="1">
      <c r="A1397" s="114">
        <v>7</v>
      </c>
      <c r="B1397" s="24" t="s">
        <v>672</v>
      </c>
      <c r="C1397" s="25" t="s">
        <v>673</v>
      </c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229">
        <f t="shared" si="560"/>
        <v>0</v>
      </c>
      <c r="AC1397" s="228">
        <f t="shared" si="561"/>
        <v>0</v>
      </c>
      <c r="AD1397" s="19">
        <v>0</v>
      </c>
      <c r="AE1397" s="28"/>
      <c r="AF1397" s="28"/>
      <c r="AG1397" s="28"/>
      <c r="AH1397" s="28"/>
      <c r="AI1397" s="28"/>
      <c r="AJ1397" s="28">
        <f>221+24+14</f>
        <v>259</v>
      </c>
      <c r="AK1397" s="28"/>
      <c r="AL1397" s="28"/>
      <c r="AM1397" s="28"/>
      <c r="AN1397" s="28"/>
      <c r="AO1397" s="28"/>
      <c r="AP1397" s="28">
        <f>209+4+9</f>
        <v>222</v>
      </c>
      <c r="AQ1397" s="28"/>
      <c r="AR1397" s="28"/>
      <c r="AS1397" s="28"/>
      <c r="AT1397" s="28"/>
      <c r="AU1397" s="28"/>
      <c r="AV1397" s="28">
        <f>317+17</f>
        <v>334</v>
      </c>
      <c r="AW1397" s="28"/>
      <c r="AX1397" s="28"/>
      <c r="AY1397" s="28"/>
      <c r="AZ1397" s="28"/>
      <c r="BA1397" s="28"/>
      <c r="BB1397" s="28">
        <f>233+4</f>
        <v>237</v>
      </c>
      <c r="BC1397" s="229">
        <f t="shared" si="562"/>
        <v>0</v>
      </c>
      <c r="BD1397" s="48">
        <f t="shared" si="563"/>
        <v>1052</v>
      </c>
      <c r="BE1397" s="19">
        <v>1322</v>
      </c>
      <c r="BF1397" s="229">
        <f t="shared" si="564"/>
        <v>0</v>
      </c>
      <c r="BG1397" s="210">
        <f t="shared" si="565"/>
        <v>1052</v>
      </c>
      <c r="BH1397" s="210">
        <f t="shared" si="566"/>
        <v>1322</v>
      </c>
      <c r="BI1397" s="213">
        <f t="shared" si="567"/>
        <v>79.576399394856281</v>
      </c>
      <c r="BJ1397" s="141"/>
      <c r="BK1397" s="201"/>
    </row>
    <row r="1398" spans="1:63" ht="18" customHeight="1">
      <c r="A1398" s="114">
        <v>8</v>
      </c>
      <c r="B1398" s="24" t="s">
        <v>563</v>
      </c>
      <c r="C1398" s="25" t="s">
        <v>1367</v>
      </c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229">
        <f t="shared" si="560"/>
        <v>0</v>
      </c>
      <c r="AC1398" s="228">
        <f t="shared" si="561"/>
        <v>0</v>
      </c>
      <c r="AD1398" s="19">
        <v>0</v>
      </c>
      <c r="AE1398" s="28"/>
      <c r="AF1398" s="28"/>
      <c r="AG1398" s="28"/>
      <c r="AH1398" s="28"/>
      <c r="AI1398" s="28"/>
      <c r="AJ1398" s="28">
        <v>1</v>
      </c>
      <c r="AK1398" s="28"/>
      <c r="AL1398" s="28"/>
      <c r="AM1398" s="28"/>
      <c r="AN1398" s="28"/>
      <c r="AO1398" s="28"/>
      <c r="AP1398" s="28">
        <v>1</v>
      </c>
      <c r="AQ1398" s="28"/>
      <c r="AR1398" s="28"/>
      <c r="AS1398" s="28"/>
      <c r="AT1398" s="28"/>
      <c r="AU1398" s="28"/>
      <c r="AV1398" s="28">
        <v>3</v>
      </c>
      <c r="AW1398" s="28"/>
      <c r="AX1398" s="28"/>
      <c r="AY1398" s="28"/>
      <c r="AZ1398" s="28"/>
      <c r="BA1398" s="28"/>
      <c r="BB1398" s="28">
        <f>122+1</f>
        <v>123</v>
      </c>
      <c r="BC1398" s="229">
        <f t="shared" si="562"/>
        <v>0</v>
      </c>
      <c r="BD1398" s="48">
        <f t="shared" si="563"/>
        <v>128</v>
      </c>
      <c r="BE1398" s="19">
        <v>8</v>
      </c>
      <c r="BF1398" s="229">
        <f t="shared" si="564"/>
        <v>0</v>
      </c>
      <c r="BG1398" s="210">
        <f t="shared" si="565"/>
        <v>128</v>
      </c>
      <c r="BH1398" s="210">
        <f t="shared" si="566"/>
        <v>8</v>
      </c>
      <c r="BI1398" s="213">
        <f t="shared" si="567"/>
        <v>1600</v>
      </c>
      <c r="BJ1398" s="141"/>
      <c r="BK1398" s="201"/>
    </row>
    <row r="1399" spans="1:63" ht="18" customHeight="1">
      <c r="A1399" s="114">
        <v>9</v>
      </c>
      <c r="B1399" s="24" t="s">
        <v>565</v>
      </c>
      <c r="C1399" s="25" t="s">
        <v>746</v>
      </c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229">
        <f t="shared" si="560"/>
        <v>0</v>
      </c>
      <c r="AC1399" s="228">
        <f t="shared" si="561"/>
        <v>0</v>
      </c>
      <c r="AD1399" s="19">
        <v>0</v>
      </c>
      <c r="AE1399" s="28"/>
      <c r="AF1399" s="28"/>
      <c r="AG1399" s="28"/>
      <c r="AH1399" s="28"/>
      <c r="AI1399" s="28"/>
      <c r="AJ1399" s="28">
        <f>130+6+53+2</f>
        <v>191</v>
      </c>
      <c r="AK1399" s="28"/>
      <c r="AL1399" s="28"/>
      <c r="AM1399" s="28"/>
      <c r="AN1399" s="28"/>
      <c r="AO1399" s="28"/>
      <c r="AP1399" s="28">
        <f>137+3+78+5</f>
        <v>223</v>
      </c>
      <c r="AQ1399" s="28"/>
      <c r="AR1399" s="28"/>
      <c r="AS1399" s="28"/>
      <c r="AT1399" s="28"/>
      <c r="AU1399" s="28"/>
      <c r="AV1399" s="28">
        <f>165+9+71+1</f>
        <v>246</v>
      </c>
      <c r="AW1399" s="28"/>
      <c r="AX1399" s="28"/>
      <c r="AY1399" s="28"/>
      <c r="AZ1399" s="28"/>
      <c r="BA1399" s="28"/>
      <c r="BB1399" s="28">
        <f>2+94</f>
        <v>96</v>
      </c>
      <c r="BC1399" s="229">
        <f t="shared" si="562"/>
        <v>0</v>
      </c>
      <c r="BD1399" s="48">
        <f t="shared" si="563"/>
        <v>756</v>
      </c>
      <c r="BE1399" s="19">
        <v>725</v>
      </c>
      <c r="BF1399" s="229">
        <f t="shared" si="564"/>
        <v>0</v>
      </c>
      <c r="BG1399" s="210">
        <f t="shared" si="565"/>
        <v>756</v>
      </c>
      <c r="BH1399" s="210">
        <f t="shared" si="566"/>
        <v>725</v>
      </c>
      <c r="BI1399" s="213">
        <f t="shared" si="567"/>
        <v>104.27586206896551</v>
      </c>
      <c r="BJ1399" s="141"/>
      <c r="BK1399" s="201"/>
    </row>
    <row r="1400" spans="1:63" ht="18" customHeight="1">
      <c r="A1400" s="114">
        <v>10</v>
      </c>
      <c r="B1400" s="24" t="s">
        <v>707</v>
      </c>
      <c r="C1400" s="25" t="s">
        <v>708</v>
      </c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229">
        <f t="shared" si="560"/>
        <v>0</v>
      </c>
      <c r="AC1400" s="228">
        <f t="shared" si="561"/>
        <v>0</v>
      </c>
      <c r="AD1400" s="19">
        <v>0</v>
      </c>
      <c r="AE1400" s="28"/>
      <c r="AF1400" s="28"/>
      <c r="AG1400" s="28"/>
      <c r="AH1400" s="28"/>
      <c r="AI1400" s="28"/>
      <c r="AJ1400" s="28">
        <f>39+5</f>
        <v>44</v>
      </c>
      <c r="AK1400" s="28"/>
      <c r="AL1400" s="28"/>
      <c r="AM1400" s="28"/>
      <c r="AN1400" s="28"/>
      <c r="AO1400" s="28"/>
      <c r="AP1400" s="28">
        <f>43+2</f>
        <v>45</v>
      </c>
      <c r="AQ1400" s="28"/>
      <c r="AR1400" s="28"/>
      <c r="AS1400" s="28"/>
      <c r="AT1400" s="28"/>
      <c r="AU1400" s="28"/>
      <c r="AV1400" s="28">
        <f>25+2</f>
        <v>27</v>
      </c>
      <c r="AW1400" s="28"/>
      <c r="AX1400" s="28"/>
      <c r="AY1400" s="28"/>
      <c r="AZ1400" s="28"/>
      <c r="BA1400" s="28"/>
      <c r="BB1400" s="28">
        <v>22</v>
      </c>
      <c r="BC1400" s="229">
        <f t="shared" si="562"/>
        <v>0</v>
      </c>
      <c r="BD1400" s="48">
        <f t="shared" si="563"/>
        <v>138</v>
      </c>
      <c r="BE1400" s="19">
        <v>229</v>
      </c>
      <c r="BF1400" s="229">
        <f t="shared" si="564"/>
        <v>0</v>
      </c>
      <c r="BG1400" s="210">
        <f t="shared" si="565"/>
        <v>138</v>
      </c>
      <c r="BH1400" s="210">
        <f t="shared" si="566"/>
        <v>229</v>
      </c>
      <c r="BI1400" s="213">
        <f t="shared" si="567"/>
        <v>60.262008733624448</v>
      </c>
      <c r="BJ1400" s="141"/>
      <c r="BK1400" s="201"/>
    </row>
    <row r="1401" spans="1:63" ht="18" customHeight="1">
      <c r="A1401" s="114">
        <v>11</v>
      </c>
      <c r="B1401" s="24" t="s">
        <v>747</v>
      </c>
      <c r="C1401" s="25" t="s">
        <v>748</v>
      </c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229">
        <f t="shared" si="560"/>
        <v>0</v>
      </c>
      <c r="AC1401" s="228">
        <f t="shared" si="561"/>
        <v>0</v>
      </c>
      <c r="AD1401" s="19">
        <v>0</v>
      </c>
      <c r="AE1401" s="28"/>
      <c r="AF1401" s="28"/>
      <c r="AG1401" s="28"/>
      <c r="AH1401" s="28"/>
      <c r="AI1401" s="28"/>
      <c r="AJ1401" s="28">
        <v>5</v>
      </c>
      <c r="AK1401" s="28"/>
      <c r="AL1401" s="28"/>
      <c r="AM1401" s="28"/>
      <c r="AN1401" s="28"/>
      <c r="AO1401" s="28"/>
      <c r="AP1401" s="28">
        <v>2</v>
      </c>
      <c r="AQ1401" s="28"/>
      <c r="AR1401" s="28"/>
      <c r="AS1401" s="28"/>
      <c r="AT1401" s="28"/>
      <c r="AU1401" s="28"/>
      <c r="AV1401" s="28">
        <v>2</v>
      </c>
      <c r="AW1401" s="28"/>
      <c r="AX1401" s="28"/>
      <c r="AY1401" s="28"/>
      <c r="AZ1401" s="28"/>
      <c r="BA1401" s="28"/>
      <c r="BB1401" s="28">
        <v>2</v>
      </c>
      <c r="BC1401" s="229">
        <f t="shared" si="562"/>
        <v>0</v>
      </c>
      <c r="BD1401" s="48">
        <f t="shared" si="563"/>
        <v>11</v>
      </c>
      <c r="BE1401" s="19">
        <v>8</v>
      </c>
      <c r="BF1401" s="229">
        <f t="shared" si="564"/>
        <v>0</v>
      </c>
      <c r="BG1401" s="210">
        <f t="shared" si="565"/>
        <v>11</v>
      </c>
      <c r="BH1401" s="210">
        <f t="shared" si="566"/>
        <v>8</v>
      </c>
      <c r="BI1401" s="213">
        <f t="shared" si="567"/>
        <v>137.5</v>
      </c>
      <c r="BJ1401" s="141"/>
      <c r="BK1401" s="201"/>
    </row>
    <row r="1402" spans="1:63" ht="18" customHeight="1">
      <c r="A1402" s="114">
        <v>12</v>
      </c>
      <c r="B1402" s="24" t="s">
        <v>709</v>
      </c>
      <c r="C1402" s="25" t="s">
        <v>710</v>
      </c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229">
        <f t="shared" si="560"/>
        <v>0</v>
      </c>
      <c r="AC1402" s="228">
        <f t="shared" si="561"/>
        <v>0</v>
      </c>
      <c r="AD1402" s="19">
        <v>0</v>
      </c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29">
        <f t="shared" si="562"/>
        <v>0</v>
      </c>
      <c r="BD1402" s="48">
        <f t="shared" si="563"/>
        <v>0</v>
      </c>
      <c r="BE1402" s="19">
        <v>1</v>
      </c>
      <c r="BF1402" s="229">
        <f t="shared" si="564"/>
        <v>0</v>
      </c>
      <c r="BG1402" s="210">
        <f t="shared" si="565"/>
        <v>0</v>
      </c>
      <c r="BH1402" s="210">
        <f t="shared" si="566"/>
        <v>1</v>
      </c>
      <c r="BI1402" s="213">
        <f t="shared" si="567"/>
        <v>0</v>
      </c>
      <c r="BJ1402" s="141"/>
      <c r="BK1402" s="201"/>
    </row>
    <row r="1403" spans="1:63" ht="18" customHeight="1">
      <c r="A1403" s="114">
        <v>13</v>
      </c>
      <c r="B1403" s="24" t="s">
        <v>678</v>
      </c>
      <c r="C1403" s="25" t="s">
        <v>679</v>
      </c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229">
        <f t="shared" si="560"/>
        <v>0</v>
      </c>
      <c r="AC1403" s="228">
        <f t="shared" si="561"/>
        <v>0</v>
      </c>
      <c r="AD1403" s="19">
        <v>0</v>
      </c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>
        <v>1</v>
      </c>
      <c r="AQ1403" s="28"/>
      <c r="AR1403" s="28"/>
      <c r="AS1403" s="28"/>
      <c r="AT1403" s="28"/>
      <c r="AU1403" s="28"/>
      <c r="AV1403" s="28">
        <f>1+1</f>
        <v>2</v>
      </c>
      <c r="AW1403" s="28"/>
      <c r="AX1403" s="28"/>
      <c r="AY1403" s="28"/>
      <c r="AZ1403" s="28"/>
      <c r="BA1403" s="28"/>
      <c r="BB1403" s="28"/>
      <c r="BC1403" s="229">
        <f t="shared" si="562"/>
        <v>0</v>
      </c>
      <c r="BD1403" s="48">
        <f t="shared" si="563"/>
        <v>3</v>
      </c>
      <c r="BE1403" s="19">
        <v>1</v>
      </c>
      <c r="BF1403" s="229">
        <f t="shared" si="564"/>
        <v>0</v>
      </c>
      <c r="BG1403" s="210">
        <f t="shared" si="565"/>
        <v>3</v>
      </c>
      <c r="BH1403" s="210">
        <f t="shared" si="566"/>
        <v>1</v>
      </c>
      <c r="BI1403" s="213">
        <f t="shared" si="567"/>
        <v>300</v>
      </c>
      <c r="BJ1403" s="141"/>
      <c r="BK1403" s="201"/>
    </row>
    <row r="1404" spans="1:63" ht="18" customHeight="1">
      <c r="A1404" s="114">
        <v>14</v>
      </c>
      <c r="B1404" s="24" t="s">
        <v>749</v>
      </c>
      <c r="C1404" s="25" t="s">
        <v>750</v>
      </c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229">
        <f t="shared" si="560"/>
        <v>0</v>
      </c>
      <c r="AC1404" s="228">
        <f t="shared" si="561"/>
        <v>0</v>
      </c>
      <c r="AD1404" s="19">
        <v>0</v>
      </c>
      <c r="AE1404" s="28"/>
      <c r="AF1404" s="28"/>
      <c r="AG1404" s="28"/>
      <c r="AH1404" s="28"/>
      <c r="AI1404" s="28"/>
      <c r="AJ1404" s="28">
        <v>75</v>
      </c>
      <c r="AK1404" s="28"/>
      <c r="AL1404" s="28"/>
      <c r="AM1404" s="28"/>
      <c r="AN1404" s="28"/>
      <c r="AO1404" s="28"/>
      <c r="AP1404" s="28">
        <v>72</v>
      </c>
      <c r="AQ1404" s="28"/>
      <c r="AR1404" s="28"/>
      <c r="AS1404" s="28"/>
      <c r="AT1404" s="28"/>
      <c r="AU1404" s="28"/>
      <c r="AV1404" s="28">
        <v>67</v>
      </c>
      <c r="AW1404" s="28"/>
      <c r="AX1404" s="28"/>
      <c r="AY1404" s="28"/>
      <c r="AZ1404" s="28"/>
      <c r="BA1404" s="28"/>
      <c r="BB1404" s="28">
        <v>66</v>
      </c>
      <c r="BC1404" s="229">
        <f t="shared" si="562"/>
        <v>0</v>
      </c>
      <c r="BD1404" s="48">
        <f t="shared" si="563"/>
        <v>280</v>
      </c>
      <c r="BE1404" s="19">
        <v>235</v>
      </c>
      <c r="BF1404" s="229">
        <f t="shared" si="564"/>
        <v>0</v>
      </c>
      <c r="BG1404" s="210">
        <f t="shared" si="565"/>
        <v>280</v>
      </c>
      <c r="BH1404" s="210">
        <f t="shared" si="566"/>
        <v>235</v>
      </c>
      <c r="BI1404" s="213">
        <f t="shared" si="567"/>
        <v>119.14893617021276</v>
      </c>
      <c r="BJ1404" s="141"/>
      <c r="BK1404" s="201"/>
    </row>
    <row r="1405" spans="1:63" ht="18" customHeight="1">
      <c r="A1405" s="114">
        <v>15</v>
      </c>
      <c r="B1405" s="24" t="s">
        <v>569</v>
      </c>
      <c r="C1405" s="25" t="s">
        <v>680</v>
      </c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229">
        <f t="shared" si="560"/>
        <v>0</v>
      </c>
      <c r="AC1405" s="228">
        <f t="shared" si="561"/>
        <v>0</v>
      </c>
      <c r="AD1405" s="19">
        <v>0</v>
      </c>
      <c r="AE1405" s="28"/>
      <c r="AF1405" s="28"/>
      <c r="AG1405" s="28"/>
      <c r="AH1405" s="28"/>
      <c r="AI1405" s="28"/>
      <c r="AJ1405" s="28">
        <v>1</v>
      </c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>
        <v>2</v>
      </c>
      <c r="AW1405" s="28"/>
      <c r="AX1405" s="28"/>
      <c r="AY1405" s="28"/>
      <c r="AZ1405" s="28"/>
      <c r="BA1405" s="28"/>
      <c r="BB1405" s="28">
        <v>2</v>
      </c>
      <c r="BC1405" s="229">
        <f t="shared" si="562"/>
        <v>0</v>
      </c>
      <c r="BD1405" s="48">
        <f t="shared" si="563"/>
        <v>5</v>
      </c>
      <c r="BE1405" s="19">
        <v>5</v>
      </c>
      <c r="BF1405" s="229">
        <f t="shared" si="564"/>
        <v>0</v>
      </c>
      <c r="BG1405" s="210">
        <f t="shared" si="565"/>
        <v>5</v>
      </c>
      <c r="BH1405" s="210">
        <f t="shared" si="566"/>
        <v>5</v>
      </c>
      <c r="BI1405" s="213">
        <f t="shared" si="567"/>
        <v>100</v>
      </c>
      <c r="BJ1405" s="141"/>
      <c r="BK1405" s="201"/>
    </row>
    <row r="1406" spans="1:63" ht="18" customHeight="1">
      <c r="A1406" s="114">
        <v>16</v>
      </c>
      <c r="B1406" s="24" t="s">
        <v>571</v>
      </c>
      <c r="C1406" s="25" t="s">
        <v>572</v>
      </c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229">
        <f t="shared" si="560"/>
        <v>0</v>
      </c>
      <c r="AC1406" s="228">
        <f t="shared" si="561"/>
        <v>0</v>
      </c>
      <c r="AD1406" s="19">
        <v>0</v>
      </c>
      <c r="AE1406" s="28"/>
      <c r="AF1406" s="28"/>
      <c r="AG1406" s="28"/>
      <c r="AH1406" s="28"/>
      <c r="AI1406" s="28"/>
      <c r="AJ1406" s="28">
        <f>766+28+91+7</f>
        <v>892</v>
      </c>
      <c r="AK1406" s="28"/>
      <c r="AL1406" s="28"/>
      <c r="AM1406" s="28"/>
      <c r="AN1406" s="28"/>
      <c r="AO1406" s="28"/>
      <c r="AP1406" s="28">
        <f>785+16+112+44</f>
        <v>957</v>
      </c>
      <c r="AQ1406" s="28"/>
      <c r="AR1406" s="28"/>
      <c r="AS1406" s="28"/>
      <c r="AT1406" s="28"/>
      <c r="AU1406" s="28"/>
      <c r="AV1406" s="28">
        <f>878+23+113</f>
        <v>1014</v>
      </c>
      <c r="AW1406" s="28"/>
      <c r="AX1406" s="28"/>
      <c r="AY1406" s="28"/>
      <c r="AZ1406" s="28"/>
      <c r="BA1406" s="28"/>
      <c r="BB1406" s="28">
        <f>710+7+128</f>
        <v>845</v>
      </c>
      <c r="BC1406" s="229">
        <f t="shared" si="562"/>
        <v>0</v>
      </c>
      <c r="BD1406" s="48">
        <f t="shared" si="563"/>
        <v>3708</v>
      </c>
      <c r="BE1406" s="19">
        <v>3853</v>
      </c>
      <c r="BF1406" s="229">
        <f t="shared" si="564"/>
        <v>0</v>
      </c>
      <c r="BG1406" s="210">
        <f t="shared" si="565"/>
        <v>3708</v>
      </c>
      <c r="BH1406" s="210">
        <f t="shared" si="566"/>
        <v>3853</v>
      </c>
      <c r="BI1406" s="213">
        <f t="shared" si="567"/>
        <v>96.236698676356099</v>
      </c>
      <c r="BJ1406" s="141"/>
      <c r="BK1406" s="201"/>
    </row>
    <row r="1407" spans="1:63" ht="18" customHeight="1">
      <c r="A1407" s="114">
        <v>17</v>
      </c>
      <c r="B1407" s="24" t="s">
        <v>573</v>
      </c>
      <c r="C1407" s="25" t="s">
        <v>574</v>
      </c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229">
        <f t="shared" si="560"/>
        <v>0</v>
      </c>
      <c r="AC1407" s="228">
        <f t="shared" si="561"/>
        <v>0</v>
      </c>
      <c r="AD1407" s="19">
        <v>0</v>
      </c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29">
        <f t="shared" si="562"/>
        <v>0</v>
      </c>
      <c r="BD1407" s="48">
        <f t="shared" si="563"/>
        <v>0</v>
      </c>
      <c r="BE1407" s="19">
        <v>1</v>
      </c>
      <c r="BF1407" s="229">
        <f t="shared" si="564"/>
        <v>0</v>
      </c>
      <c r="BG1407" s="210">
        <f t="shared" si="565"/>
        <v>0</v>
      </c>
      <c r="BH1407" s="210">
        <f t="shared" si="566"/>
        <v>1</v>
      </c>
      <c r="BI1407" s="213">
        <f t="shared" si="567"/>
        <v>0</v>
      </c>
      <c r="BJ1407" s="141"/>
      <c r="BK1407" s="201"/>
    </row>
    <row r="1408" spans="1:63" ht="18" customHeight="1">
      <c r="A1408" s="114">
        <v>18</v>
      </c>
      <c r="B1408" s="24" t="s">
        <v>575</v>
      </c>
      <c r="C1408" s="25" t="s">
        <v>711</v>
      </c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229">
        <f t="shared" si="560"/>
        <v>0</v>
      </c>
      <c r="AC1408" s="228">
        <f t="shared" si="561"/>
        <v>0</v>
      </c>
      <c r="AD1408" s="19">
        <v>0</v>
      </c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>
        <v>3</v>
      </c>
      <c r="AW1408" s="28"/>
      <c r="AX1408" s="28"/>
      <c r="AY1408" s="28"/>
      <c r="AZ1408" s="28"/>
      <c r="BA1408" s="28"/>
      <c r="BB1408" s="28">
        <v>1</v>
      </c>
      <c r="BC1408" s="229">
        <f t="shared" si="562"/>
        <v>0</v>
      </c>
      <c r="BD1408" s="48">
        <f t="shared" si="563"/>
        <v>4</v>
      </c>
      <c r="BE1408" s="19">
        <v>1</v>
      </c>
      <c r="BF1408" s="229">
        <f t="shared" si="564"/>
        <v>0</v>
      </c>
      <c r="BG1408" s="210">
        <f t="shared" si="565"/>
        <v>4</v>
      </c>
      <c r="BH1408" s="210">
        <f t="shared" si="566"/>
        <v>1</v>
      </c>
      <c r="BI1408" s="213">
        <f t="shared" si="567"/>
        <v>400</v>
      </c>
      <c r="BJ1408" s="141"/>
      <c r="BK1408" s="201"/>
    </row>
    <row r="1409" spans="1:65" s="38" customFormat="1" ht="21.95" customHeight="1">
      <c r="A1409" s="114">
        <v>19</v>
      </c>
      <c r="B1409" s="24" t="s">
        <v>577</v>
      </c>
      <c r="C1409" s="27" t="s">
        <v>1630</v>
      </c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229">
        <f t="shared" si="560"/>
        <v>0</v>
      </c>
      <c r="AC1409" s="228">
        <f t="shared" si="561"/>
        <v>0</v>
      </c>
      <c r="AD1409" s="19">
        <v>0</v>
      </c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29">
        <f t="shared" si="562"/>
        <v>0</v>
      </c>
      <c r="BD1409" s="48">
        <f t="shared" si="563"/>
        <v>0</v>
      </c>
      <c r="BE1409" s="19">
        <v>3</v>
      </c>
      <c r="BF1409" s="229">
        <f t="shared" si="564"/>
        <v>0</v>
      </c>
      <c r="BG1409" s="210">
        <f t="shared" si="565"/>
        <v>0</v>
      </c>
      <c r="BH1409" s="210">
        <f t="shared" si="566"/>
        <v>3</v>
      </c>
      <c r="BI1409" s="213">
        <f t="shared" si="567"/>
        <v>0</v>
      </c>
      <c r="BJ1409" s="141"/>
      <c r="BK1409" s="201"/>
      <c r="BL1409" s="4"/>
      <c r="BM1409" s="4"/>
    </row>
    <row r="1410" spans="1:65" s="38" customFormat="1" ht="18" customHeight="1">
      <c r="A1410" s="114">
        <v>20</v>
      </c>
      <c r="B1410" s="24" t="s">
        <v>578</v>
      </c>
      <c r="C1410" s="25" t="s">
        <v>2840</v>
      </c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229">
        <f t="shared" si="560"/>
        <v>0</v>
      </c>
      <c r="AC1410" s="228">
        <f t="shared" si="561"/>
        <v>0</v>
      </c>
      <c r="AD1410" s="19">
        <v>0</v>
      </c>
      <c r="AE1410" s="28"/>
      <c r="AF1410" s="28"/>
      <c r="AG1410" s="28"/>
      <c r="AH1410" s="28"/>
      <c r="AI1410" s="28"/>
      <c r="AJ1410" s="28">
        <v>1</v>
      </c>
      <c r="AK1410" s="28"/>
      <c r="AL1410" s="28"/>
      <c r="AM1410" s="28"/>
      <c r="AN1410" s="28"/>
      <c r="AO1410" s="28"/>
      <c r="AP1410" s="28">
        <v>1</v>
      </c>
      <c r="AQ1410" s="28"/>
      <c r="AR1410" s="28"/>
      <c r="AS1410" s="28"/>
      <c r="AT1410" s="28"/>
      <c r="AU1410" s="28"/>
      <c r="AV1410" s="28">
        <v>1</v>
      </c>
      <c r="AW1410" s="28"/>
      <c r="AX1410" s="28"/>
      <c r="AY1410" s="28"/>
      <c r="AZ1410" s="28"/>
      <c r="BA1410" s="28"/>
      <c r="BB1410" s="28"/>
      <c r="BC1410" s="229">
        <f t="shared" si="562"/>
        <v>0</v>
      </c>
      <c r="BD1410" s="48">
        <f t="shared" si="563"/>
        <v>3</v>
      </c>
      <c r="BE1410" s="19">
        <v>3</v>
      </c>
      <c r="BF1410" s="229">
        <f t="shared" si="564"/>
        <v>0</v>
      </c>
      <c r="BG1410" s="210">
        <f t="shared" si="565"/>
        <v>3</v>
      </c>
      <c r="BH1410" s="210">
        <f t="shared" si="566"/>
        <v>3</v>
      </c>
      <c r="BI1410" s="213">
        <f t="shared" si="567"/>
        <v>100</v>
      </c>
      <c r="BJ1410" s="141"/>
      <c r="BK1410" s="201"/>
      <c r="BL1410" s="4"/>
      <c r="BM1410" s="4"/>
    </row>
    <row r="1411" spans="1:65" s="38" customFormat="1" ht="18" customHeight="1">
      <c r="A1411" s="114">
        <v>21</v>
      </c>
      <c r="B1411" s="24" t="s">
        <v>579</v>
      </c>
      <c r="C1411" s="25" t="s">
        <v>580</v>
      </c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229">
        <f t="shared" si="560"/>
        <v>0</v>
      </c>
      <c r="AC1411" s="228">
        <f t="shared" si="561"/>
        <v>0</v>
      </c>
      <c r="AD1411" s="19">
        <v>0</v>
      </c>
      <c r="AE1411" s="28"/>
      <c r="AF1411" s="28"/>
      <c r="AG1411" s="28"/>
      <c r="AH1411" s="28"/>
      <c r="AI1411" s="28"/>
      <c r="AJ1411" s="28">
        <f>111+25</f>
        <v>136</v>
      </c>
      <c r="AK1411" s="28"/>
      <c r="AL1411" s="28"/>
      <c r="AM1411" s="28"/>
      <c r="AN1411" s="28"/>
      <c r="AO1411" s="28"/>
      <c r="AP1411" s="28">
        <f>80+53</f>
        <v>133</v>
      </c>
      <c r="AQ1411" s="28"/>
      <c r="AR1411" s="28"/>
      <c r="AS1411" s="28"/>
      <c r="AT1411" s="28"/>
      <c r="AU1411" s="28"/>
      <c r="AV1411" s="28">
        <f>85+41</f>
        <v>126</v>
      </c>
      <c r="AW1411" s="28"/>
      <c r="AX1411" s="28"/>
      <c r="AY1411" s="28"/>
      <c r="AZ1411" s="28"/>
      <c r="BA1411" s="28"/>
      <c r="BB1411" s="28">
        <f>73+9</f>
        <v>82</v>
      </c>
      <c r="BC1411" s="229">
        <f t="shared" si="562"/>
        <v>0</v>
      </c>
      <c r="BD1411" s="48">
        <f t="shared" si="563"/>
        <v>477</v>
      </c>
      <c r="BE1411" s="19">
        <f>144+284</f>
        <v>428</v>
      </c>
      <c r="BF1411" s="229">
        <f t="shared" si="564"/>
        <v>0</v>
      </c>
      <c r="BG1411" s="210">
        <f t="shared" si="565"/>
        <v>477</v>
      </c>
      <c r="BH1411" s="210">
        <f t="shared" si="566"/>
        <v>428</v>
      </c>
      <c r="BI1411" s="213">
        <f t="shared" si="567"/>
        <v>111.44859813084112</v>
      </c>
      <c r="BJ1411" s="141"/>
      <c r="BK1411" s="201"/>
      <c r="BL1411" s="4"/>
      <c r="BM1411" s="4"/>
    </row>
    <row r="1412" spans="1:65" s="38" customFormat="1" ht="18" customHeight="1">
      <c r="A1412" s="114">
        <v>22</v>
      </c>
      <c r="B1412" s="24" t="s">
        <v>582</v>
      </c>
      <c r="C1412" s="25" t="s">
        <v>583</v>
      </c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229">
        <f t="shared" si="560"/>
        <v>0</v>
      </c>
      <c r="AC1412" s="228">
        <f t="shared" si="561"/>
        <v>0</v>
      </c>
      <c r="AD1412" s="19">
        <v>0</v>
      </c>
      <c r="AE1412" s="28"/>
      <c r="AF1412" s="28"/>
      <c r="AG1412" s="28"/>
      <c r="AH1412" s="28"/>
      <c r="AI1412" s="28"/>
      <c r="AJ1412" s="28">
        <v>4</v>
      </c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>
        <v>2</v>
      </c>
      <c r="AW1412" s="28"/>
      <c r="AX1412" s="28"/>
      <c r="AY1412" s="28"/>
      <c r="AZ1412" s="28"/>
      <c r="BA1412" s="28"/>
      <c r="BB1412" s="28"/>
      <c r="BC1412" s="229">
        <f t="shared" si="562"/>
        <v>0</v>
      </c>
      <c r="BD1412" s="48">
        <f t="shared" si="563"/>
        <v>6</v>
      </c>
      <c r="BE1412" s="19">
        <v>6</v>
      </c>
      <c r="BF1412" s="229">
        <f t="shared" si="564"/>
        <v>0</v>
      </c>
      <c r="BG1412" s="210">
        <f t="shared" si="565"/>
        <v>6</v>
      </c>
      <c r="BH1412" s="210">
        <f t="shared" si="566"/>
        <v>6</v>
      </c>
      <c r="BI1412" s="213">
        <f t="shared" si="567"/>
        <v>100</v>
      </c>
      <c r="BJ1412" s="141"/>
      <c r="BK1412" s="201"/>
      <c r="BL1412" s="4"/>
      <c r="BM1412" s="4"/>
    </row>
    <row r="1413" spans="1:65" s="38" customFormat="1" ht="18" customHeight="1">
      <c r="A1413" s="114">
        <v>23</v>
      </c>
      <c r="B1413" s="24" t="s">
        <v>584</v>
      </c>
      <c r="C1413" s="25" t="s">
        <v>2603</v>
      </c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229">
        <f t="shared" si="560"/>
        <v>0</v>
      </c>
      <c r="AC1413" s="228">
        <f t="shared" si="561"/>
        <v>0</v>
      </c>
      <c r="AD1413" s="19">
        <v>0</v>
      </c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29">
        <f t="shared" si="562"/>
        <v>0</v>
      </c>
      <c r="BD1413" s="48">
        <f t="shared" si="563"/>
        <v>0</v>
      </c>
      <c r="BE1413" s="19">
        <v>18</v>
      </c>
      <c r="BF1413" s="229">
        <f t="shared" si="564"/>
        <v>0</v>
      </c>
      <c r="BG1413" s="210">
        <f t="shared" si="565"/>
        <v>0</v>
      </c>
      <c r="BH1413" s="210">
        <f t="shared" si="566"/>
        <v>18</v>
      </c>
      <c r="BI1413" s="213">
        <f t="shared" si="567"/>
        <v>0</v>
      </c>
      <c r="BJ1413" s="141"/>
      <c r="BK1413" s="201"/>
      <c r="BL1413" s="4"/>
      <c r="BM1413" s="4"/>
    </row>
    <row r="1414" spans="1:65" s="38" customFormat="1" ht="18" customHeight="1">
      <c r="A1414" s="114">
        <v>24</v>
      </c>
      <c r="B1414" s="24" t="s">
        <v>585</v>
      </c>
      <c r="C1414" s="25" t="s">
        <v>586</v>
      </c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229">
        <f t="shared" si="560"/>
        <v>0</v>
      </c>
      <c r="AC1414" s="228">
        <f t="shared" si="561"/>
        <v>0</v>
      </c>
      <c r="AD1414" s="19">
        <v>0</v>
      </c>
      <c r="AE1414" s="28"/>
      <c r="AF1414" s="28"/>
      <c r="AG1414" s="28"/>
      <c r="AH1414" s="28"/>
      <c r="AI1414" s="28"/>
      <c r="AJ1414" s="28">
        <f>5+1</f>
        <v>6</v>
      </c>
      <c r="AK1414" s="28"/>
      <c r="AL1414" s="28"/>
      <c r="AM1414" s="28"/>
      <c r="AN1414" s="28"/>
      <c r="AO1414" s="28"/>
      <c r="AP1414" s="28">
        <f>8+1+1</f>
        <v>10</v>
      </c>
      <c r="AQ1414" s="28"/>
      <c r="AR1414" s="28"/>
      <c r="AS1414" s="28"/>
      <c r="AT1414" s="28"/>
      <c r="AU1414" s="28"/>
      <c r="AV1414" s="28">
        <f>3+7</f>
        <v>10</v>
      </c>
      <c r="AW1414" s="28"/>
      <c r="AX1414" s="28"/>
      <c r="AY1414" s="28"/>
      <c r="AZ1414" s="28"/>
      <c r="BA1414" s="28"/>
      <c r="BB1414" s="28">
        <f>28+2</f>
        <v>30</v>
      </c>
      <c r="BC1414" s="229">
        <f t="shared" si="562"/>
        <v>0</v>
      </c>
      <c r="BD1414" s="48">
        <f t="shared" si="563"/>
        <v>56</v>
      </c>
      <c r="BE1414" s="19">
        <v>19</v>
      </c>
      <c r="BF1414" s="229">
        <f t="shared" si="564"/>
        <v>0</v>
      </c>
      <c r="BG1414" s="210">
        <f t="shared" si="565"/>
        <v>56</v>
      </c>
      <c r="BH1414" s="210">
        <f t="shared" si="566"/>
        <v>19</v>
      </c>
      <c r="BI1414" s="213">
        <f t="shared" si="567"/>
        <v>294.73684210526312</v>
      </c>
      <c r="BJ1414" s="141"/>
      <c r="BK1414" s="201"/>
      <c r="BL1414" s="4"/>
      <c r="BM1414" s="4"/>
    </row>
    <row r="1415" spans="1:65" s="38" customFormat="1" ht="18" customHeight="1">
      <c r="A1415" s="114">
        <v>25</v>
      </c>
      <c r="B1415" s="24" t="s">
        <v>682</v>
      </c>
      <c r="C1415" s="25" t="s">
        <v>683</v>
      </c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>
        <v>1</v>
      </c>
      <c r="AB1415" s="229">
        <f t="shared" si="560"/>
        <v>0</v>
      </c>
      <c r="AC1415" s="228">
        <f t="shared" si="561"/>
        <v>1</v>
      </c>
      <c r="AD1415" s="19">
        <v>0</v>
      </c>
      <c r="AE1415" s="28"/>
      <c r="AF1415" s="28"/>
      <c r="AG1415" s="28"/>
      <c r="AH1415" s="28"/>
      <c r="AI1415" s="28"/>
      <c r="AJ1415" s="28">
        <f>10+27+4</f>
        <v>41</v>
      </c>
      <c r="AK1415" s="28"/>
      <c r="AL1415" s="28"/>
      <c r="AM1415" s="28"/>
      <c r="AN1415" s="28"/>
      <c r="AO1415" s="28"/>
      <c r="AP1415" s="28">
        <f>55+22</f>
        <v>77</v>
      </c>
      <c r="AQ1415" s="28"/>
      <c r="AR1415" s="28"/>
      <c r="AS1415" s="28"/>
      <c r="AT1415" s="28"/>
      <c r="AU1415" s="28"/>
      <c r="AV1415" s="28">
        <f>37+18+1</f>
        <v>56</v>
      </c>
      <c r="AW1415" s="28"/>
      <c r="AX1415" s="28"/>
      <c r="AY1415" s="28"/>
      <c r="AZ1415" s="28"/>
      <c r="BA1415" s="28"/>
      <c r="BB1415" s="28">
        <f>27+62+12</f>
        <v>101</v>
      </c>
      <c r="BC1415" s="229">
        <f t="shared" si="562"/>
        <v>0</v>
      </c>
      <c r="BD1415" s="48">
        <f t="shared" si="563"/>
        <v>275</v>
      </c>
      <c r="BE1415" s="19">
        <v>278</v>
      </c>
      <c r="BF1415" s="229">
        <f t="shared" si="564"/>
        <v>0</v>
      </c>
      <c r="BG1415" s="210">
        <f t="shared" si="565"/>
        <v>276</v>
      </c>
      <c r="BH1415" s="210">
        <f t="shared" si="566"/>
        <v>278</v>
      </c>
      <c r="BI1415" s="213">
        <f t="shared" si="567"/>
        <v>99.280575539568346</v>
      </c>
      <c r="BJ1415" s="141"/>
      <c r="BK1415" s="201"/>
      <c r="BL1415" s="4"/>
      <c r="BM1415" s="4"/>
    </row>
    <row r="1416" spans="1:65" s="38" customFormat="1" ht="18" customHeight="1">
      <c r="A1416" s="114">
        <v>26</v>
      </c>
      <c r="B1416" s="24" t="s">
        <v>684</v>
      </c>
      <c r="C1416" s="25" t="s">
        <v>685</v>
      </c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229">
        <f t="shared" si="560"/>
        <v>0</v>
      </c>
      <c r="AC1416" s="228">
        <f t="shared" si="561"/>
        <v>0</v>
      </c>
      <c r="AD1416" s="19">
        <v>0</v>
      </c>
      <c r="AE1416" s="28"/>
      <c r="AF1416" s="28"/>
      <c r="AG1416" s="28"/>
      <c r="AH1416" s="28"/>
      <c r="AI1416" s="28"/>
      <c r="AJ1416" s="28">
        <v>11</v>
      </c>
      <c r="AK1416" s="28"/>
      <c r="AL1416" s="28"/>
      <c r="AM1416" s="28"/>
      <c r="AN1416" s="28"/>
      <c r="AO1416" s="28"/>
      <c r="AP1416" s="28">
        <f>12+3</f>
        <v>15</v>
      </c>
      <c r="AQ1416" s="28"/>
      <c r="AR1416" s="28"/>
      <c r="AS1416" s="28"/>
      <c r="AT1416" s="28"/>
      <c r="AU1416" s="28"/>
      <c r="AV1416" s="28">
        <f>3+3</f>
        <v>6</v>
      </c>
      <c r="AW1416" s="28"/>
      <c r="AX1416" s="28"/>
      <c r="AY1416" s="28"/>
      <c r="AZ1416" s="28"/>
      <c r="BA1416" s="28"/>
      <c r="BB1416" s="28">
        <f>8+5</f>
        <v>13</v>
      </c>
      <c r="BC1416" s="229">
        <f t="shared" si="562"/>
        <v>0</v>
      </c>
      <c r="BD1416" s="48">
        <f t="shared" si="563"/>
        <v>45</v>
      </c>
      <c r="BE1416" s="19">
        <v>75</v>
      </c>
      <c r="BF1416" s="229">
        <f t="shared" si="564"/>
        <v>0</v>
      </c>
      <c r="BG1416" s="210">
        <f t="shared" si="565"/>
        <v>45</v>
      </c>
      <c r="BH1416" s="210">
        <f t="shared" si="566"/>
        <v>75</v>
      </c>
      <c r="BI1416" s="213">
        <f t="shared" si="567"/>
        <v>60</v>
      </c>
      <c r="BJ1416" s="141"/>
      <c r="BK1416" s="201"/>
      <c r="BL1416" s="4"/>
      <c r="BM1416" s="4"/>
    </row>
    <row r="1417" spans="1:65" s="38" customFormat="1" ht="18" customHeight="1">
      <c r="A1417" s="114">
        <v>27</v>
      </c>
      <c r="B1417" s="24" t="s">
        <v>1399</v>
      </c>
      <c r="C1417" s="25" t="s">
        <v>1400</v>
      </c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229">
        <f t="shared" si="560"/>
        <v>0</v>
      </c>
      <c r="AC1417" s="228">
        <f t="shared" si="561"/>
        <v>0</v>
      </c>
      <c r="AD1417" s="19">
        <v>0</v>
      </c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29">
        <f t="shared" si="562"/>
        <v>0</v>
      </c>
      <c r="BD1417" s="48">
        <f t="shared" si="563"/>
        <v>0</v>
      </c>
      <c r="BE1417" s="19">
        <v>1</v>
      </c>
      <c r="BF1417" s="229">
        <f t="shared" si="564"/>
        <v>0</v>
      </c>
      <c r="BG1417" s="210">
        <f t="shared" si="565"/>
        <v>0</v>
      </c>
      <c r="BH1417" s="210">
        <f t="shared" si="566"/>
        <v>1</v>
      </c>
      <c r="BI1417" s="213">
        <f t="shared" si="567"/>
        <v>0</v>
      </c>
      <c r="BJ1417" s="141"/>
      <c r="BK1417" s="201"/>
      <c r="BL1417" s="4"/>
      <c r="BM1417" s="4"/>
    </row>
    <row r="1418" spans="1:65" s="38" customFormat="1" ht="18" customHeight="1">
      <c r="A1418" s="114">
        <v>28</v>
      </c>
      <c r="B1418" s="24" t="s">
        <v>596</v>
      </c>
      <c r="C1418" s="25" t="s">
        <v>597</v>
      </c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229">
        <f t="shared" si="560"/>
        <v>0</v>
      </c>
      <c r="AC1418" s="228">
        <f t="shared" si="561"/>
        <v>0</v>
      </c>
      <c r="AD1418" s="19">
        <v>0</v>
      </c>
      <c r="AE1418" s="28"/>
      <c r="AF1418" s="28"/>
      <c r="AG1418" s="28"/>
      <c r="AH1418" s="28"/>
      <c r="AI1418" s="28"/>
      <c r="AJ1418" s="28">
        <f>20+2</f>
        <v>22</v>
      </c>
      <c r="AK1418" s="28"/>
      <c r="AL1418" s="28"/>
      <c r="AM1418" s="28"/>
      <c r="AN1418" s="28"/>
      <c r="AO1418" s="28"/>
      <c r="AP1418" s="28">
        <v>22</v>
      </c>
      <c r="AQ1418" s="28"/>
      <c r="AR1418" s="28"/>
      <c r="AS1418" s="28"/>
      <c r="AT1418" s="28"/>
      <c r="AU1418" s="28"/>
      <c r="AV1418" s="28">
        <f>24+1</f>
        <v>25</v>
      </c>
      <c r="AW1418" s="28"/>
      <c r="AX1418" s="28"/>
      <c r="AY1418" s="28"/>
      <c r="AZ1418" s="28"/>
      <c r="BA1418" s="28"/>
      <c r="BB1418" s="28">
        <f>27+1</f>
        <v>28</v>
      </c>
      <c r="BC1418" s="229">
        <f t="shared" si="562"/>
        <v>0</v>
      </c>
      <c r="BD1418" s="48">
        <f t="shared" si="563"/>
        <v>97</v>
      </c>
      <c r="BE1418" s="19">
        <v>115</v>
      </c>
      <c r="BF1418" s="229">
        <f t="shared" si="564"/>
        <v>0</v>
      </c>
      <c r="BG1418" s="210">
        <f t="shared" si="565"/>
        <v>97</v>
      </c>
      <c r="BH1418" s="210">
        <f t="shared" si="566"/>
        <v>115</v>
      </c>
      <c r="BI1418" s="213">
        <f t="shared" si="567"/>
        <v>84.34782608695653</v>
      </c>
      <c r="BJ1418" s="141"/>
      <c r="BK1418" s="201"/>
      <c r="BL1418" s="4"/>
      <c r="BM1418" s="4"/>
    </row>
    <row r="1419" spans="1:65" s="38" customFormat="1" ht="18" customHeight="1">
      <c r="A1419" s="114">
        <v>29</v>
      </c>
      <c r="B1419" s="24" t="s">
        <v>757</v>
      </c>
      <c r="C1419" s="25" t="s">
        <v>758</v>
      </c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229">
        <f t="shared" si="560"/>
        <v>0</v>
      </c>
      <c r="AC1419" s="228">
        <f t="shared" si="561"/>
        <v>0</v>
      </c>
      <c r="AD1419" s="19">
        <v>0</v>
      </c>
      <c r="AE1419" s="28"/>
      <c r="AF1419" s="28"/>
      <c r="AG1419" s="28"/>
      <c r="AH1419" s="28"/>
      <c r="AI1419" s="28"/>
      <c r="AJ1419" s="28">
        <v>2</v>
      </c>
      <c r="AK1419" s="28"/>
      <c r="AL1419" s="28"/>
      <c r="AM1419" s="28"/>
      <c r="AN1419" s="28"/>
      <c r="AO1419" s="28"/>
      <c r="AP1419" s="28">
        <v>4</v>
      </c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29">
        <f t="shared" si="562"/>
        <v>0</v>
      </c>
      <c r="BD1419" s="48">
        <f t="shared" si="563"/>
        <v>6</v>
      </c>
      <c r="BE1419" s="19">
        <v>8</v>
      </c>
      <c r="BF1419" s="229">
        <f t="shared" si="564"/>
        <v>0</v>
      </c>
      <c r="BG1419" s="210">
        <f t="shared" si="565"/>
        <v>6</v>
      </c>
      <c r="BH1419" s="210">
        <f t="shared" si="566"/>
        <v>8</v>
      </c>
      <c r="BI1419" s="213">
        <f t="shared" si="567"/>
        <v>75</v>
      </c>
      <c r="BJ1419" s="141"/>
      <c r="BK1419" s="201"/>
      <c r="BL1419" s="4"/>
      <c r="BM1419" s="4"/>
    </row>
    <row r="1420" spans="1:65" s="38" customFormat="1" ht="21.95" customHeight="1">
      <c r="A1420" s="114">
        <v>30</v>
      </c>
      <c r="B1420" s="24" t="s">
        <v>626</v>
      </c>
      <c r="C1420" s="25" t="s">
        <v>627</v>
      </c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229">
        <f t="shared" si="560"/>
        <v>0</v>
      </c>
      <c r="AC1420" s="228">
        <f t="shared" si="561"/>
        <v>0</v>
      </c>
      <c r="AD1420" s="19">
        <v>0</v>
      </c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29">
        <f t="shared" si="562"/>
        <v>0</v>
      </c>
      <c r="BD1420" s="48">
        <f t="shared" si="563"/>
        <v>0</v>
      </c>
      <c r="BE1420" s="19">
        <v>1</v>
      </c>
      <c r="BF1420" s="229">
        <f t="shared" si="564"/>
        <v>0</v>
      </c>
      <c r="BG1420" s="210">
        <f t="shared" si="565"/>
        <v>0</v>
      </c>
      <c r="BH1420" s="210">
        <f t="shared" si="566"/>
        <v>1</v>
      </c>
      <c r="BI1420" s="213">
        <f t="shared" si="567"/>
        <v>0</v>
      </c>
      <c r="BJ1420" s="141"/>
      <c r="BK1420" s="201"/>
      <c r="BL1420" s="4"/>
      <c r="BM1420" s="4"/>
    </row>
    <row r="1421" spans="1:65" s="38" customFormat="1" ht="18" customHeight="1">
      <c r="A1421" s="114">
        <v>31</v>
      </c>
      <c r="B1421" s="24" t="s">
        <v>695</v>
      </c>
      <c r="C1421" s="25" t="s">
        <v>1856</v>
      </c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229">
        <f t="shared" si="560"/>
        <v>0</v>
      </c>
      <c r="AC1421" s="228">
        <f t="shared" si="561"/>
        <v>0</v>
      </c>
      <c r="AD1421" s="19">
        <v>0</v>
      </c>
      <c r="AE1421" s="28"/>
      <c r="AF1421" s="28"/>
      <c r="AG1421" s="28"/>
      <c r="AH1421" s="28"/>
      <c r="AI1421" s="28"/>
      <c r="AJ1421" s="28">
        <f>10+16+3</f>
        <v>29</v>
      </c>
      <c r="AK1421" s="28"/>
      <c r="AL1421" s="28"/>
      <c r="AM1421" s="28"/>
      <c r="AN1421" s="28"/>
      <c r="AO1421" s="28"/>
      <c r="AP1421" s="28">
        <f>39+18</f>
        <v>57</v>
      </c>
      <c r="AQ1421" s="28"/>
      <c r="AR1421" s="28"/>
      <c r="AS1421" s="28"/>
      <c r="AT1421" s="28"/>
      <c r="AU1421" s="28"/>
      <c r="AV1421" s="28">
        <f>30+11+1</f>
        <v>42</v>
      </c>
      <c r="AW1421" s="28"/>
      <c r="AX1421" s="28"/>
      <c r="AY1421" s="28"/>
      <c r="AZ1421" s="28"/>
      <c r="BA1421" s="28"/>
      <c r="BB1421" s="28">
        <f>19+31+6</f>
        <v>56</v>
      </c>
      <c r="BC1421" s="229">
        <f t="shared" si="562"/>
        <v>0</v>
      </c>
      <c r="BD1421" s="48">
        <f t="shared" si="563"/>
        <v>184</v>
      </c>
      <c r="BE1421" s="19">
        <v>208</v>
      </c>
      <c r="BF1421" s="229">
        <f t="shared" si="564"/>
        <v>0</v>
      </c>
      <c r="BG1421" s="210">
        <f t="shared" si="565"/>
        <v>184</v>
      </c>
      <c r="BH1421" s="210">
        <f t="shared" si="566"/>
        <v>208</v>
      </c>
      <c r="BI1421" s="213">
        <f t="shared" si="567"/>
        <v>88.461538461538453</v>
      </c>
      <c r="BJ1421" s="141"/>
      <c r="BK1421" s="201"/>
      <c r="BL1421" s="4"/>
      <c r="BM1421" s="4"/>
    </row>
    <row r="1422" spans="1:65" s="38" customFormat="1" ht="18" customHeight="1">
      <c r="A1422" s="114">
        <v>32</v>
      </c>
      <c r="B1422" s="24" t="s">
        <v>628</v>
      </c>
      <c r="C1422" s="25" t="s">
        <v>629</v>
      </c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229">
        <f t="shared" si="560"/>
        <v>0</v>
      </c>
      <c r="AC1422" s="228">
        <f t="shared" si="561"/>
        <v>0</v>
      </c>
      <c r="AD1422" s="19">
        <v>0</v>
      </c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29">
        <f t="shared" si="562"/>
        <v>0</v>
      </c>
      <c r="BD1422" s="48">
        <f t="shared" si="563"/>
        <v>0</v>
      </c>
      <c r="BE1422" s="19">
        <v>1</v>
      </c>
      <c r="BF1422" s="229">
        <f t="shared" si="564"/>
        <v>0</v>
      </c>
      <c r="BG1422" s="210">
        <f t="shared" si="565"/>
        <v>0</v>
      </c>
      <c r="BH1422" s="210">
        <f t="shared" si="566"/>
        <v>1</v>
      </c>
      <c r="BI1422" s="213">
        <f t="shared" si="567"/>
        <v>0</v>
      </c>
      <c r="BJ1422" s="141"/>
      <c r="BK1422" s="201"/>
      <c r="BL1422" s="4"/>
      <c r="BM1422" s="4"/>
    </row>
    <row r="1423" spans="1:65" s="38" customFormat="1" ht="18" customHeight="1">
      <c r="A1423" s="114">
        <v>33</v>
      </c>
      <c r="B1423" s="24" t="s">
        <v>764</v>
      </c>
      <c r="C1423" s="25" t="s">
        <v>765</v>
      </c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229">
        <f t="shared" si="560"/>
        <v>0</v>
      </c>
      <c r="AC1423" s="228">
        <f t="shared" si="561"/>
        <v>0</v>
      </c>
      <c r="AD1423" s="19">
        <v>0</v>
      </c>
      <c r="AE1423" s="28"/>
      <c r="AF1423" s="28"/>
      <c r="AG1423" s="28"/>
      <c r="AH1423" s="28"/>
      <c r="AI1423" s="28"/>
      <c r="AJ1423" s="28">
        <f>393+1</f>
        <v>394</v>
      </c>
      <c r="AK1423" s="28"/>
      <c r="AL1423" s="28"/>
      <c r="AM1423" s="28"/>
      <c r="AN1423" s="28"/>
      <c r="AO1423" s="28"/>
      <c r="AP1423" s="28">
        <v>538</v>
      </c>
      <c r="AQ1423" s="28"/>
      <c r="AR1423" s="28"/>
      <c r="AS1423" s="28"/>
      <c r="AT1423" s="28"/>
      <c r="AU1423" s="28"/>
      <c r="AV1423" s="28">
        <f>1+444</f>
        <v>445</v>
      </c>
      <c r="AW1423" s="28"/>
      <c r="AX1423" s="28"/>
      <c r="AY1423" s="28"/>
      <c r="AZ1423" s="28"/>
      <c r="BA1423" s="28"/>
      <c r="BB1423" s="28">
        <v>501</v>
      </c>
      <c r="BC1423" s="229">
        <f t="shared" si="562"/>
        <v>0</v>
      </c>
      <c r="BD1423" s="48">
        <f t="shared" si="563"/>
        <v>1878</v>
      </c>
      <c r="BE1423" s="19">
        <v>1388</v>
      </c>
      <c r="BF1423" s="229">
        <f t="shared" si="564"/>
        <v>0</v>
      </c>
      <c r="BG1423" s="210">
        <f t="shared" si="565"/>
        <v>1878</v>
      </c>
      <c r="BH1423" s="210">
        <f t="shared" si="566"/>
        <v>1388</v>
      </c>
      <c r="BI1423" s="213">
        <f t="shared" ref="BI1423:BI1454" si="571">BG1423/BH1423*100</f>
        <v>135.30259365994237</v>
      </c>
      <c r="BJ1423" s="141"/>
      <c r="BK1423" s="201"/>
      <c r="BL1423" s="4"/>
      <c r="BM1423" s="4"/>
    </row>
    <row r="1424" spans="1:65" s="38" customFormat="1" ht="18" customHeight="1">
      <c r="A1424" s="114">
        <v>34</v>
      </c>
      <c r="B1424" s="33" t="s">
        <v>630</v>
      </c>
      <c r="C1424" s="25" t="s">
        <v>631</v>
      </c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229">
        <f t="shared" si="560"/>
        <v>0</v>
      </c>
      <c r="AC1424" s="228">
        <f t="shared" si="561"/>
        <v>0</v>
      </c>
      <c r="AD1424" s="19">
        <v>0</v>
      </c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>
        <v>1</v>
      </c>
      <c r="AQ1424" s="28"/>
      <c r="AR1424" s="28"/>
      <c r="AS1424" s="28"/>
      <c r="AT1424" s="28"/>
      <c r="AU1424" s="28"/>
      <c r="AV1424" s="28">
        <v>2</v>
      </c>
      <c r="AW1424" s="28"/>
      <c r="AX1424" s="28"/>
      <c r="AY1424" s="28"/>
      <c r="AZ1424" s="28"/>
      <c r="BA1424" s="28"/>
      <c r="BB1424" s="28"/>
      <c r="BC1424" s="229">
        <f t="shared" si="562"/>
        <v>0</v>
      </c>
      <c r="BD1424" s="48">
        <f t="shared" si="563"/>
        <v>3</v>
      </c>
      <c r="BE1424" s="19">
        <v>10</v>
      </c>
      <c r="BF1424" s="229">
        <f t="shared" si="564"/>
        <v>0</v>
      </c>
      <c r="BG1424" s="210">
        <f t="shared" si="565"/>
        <v>3</v>
      </c>
      <c r="BH1424" s="210">
        <f t="shared" si="566"/>
        <v>10</v>
      </c>
      <c r="BI1424" s="213">
        <f t="shared" si="571"/>
        <v>30</v>
      </c>
      <c r="BJ1424" s="141"/>
      <c r="BK1424" s="201"/>
      <c r="BL1424" s="4"/>
      <c r="BM1424" s="4"/>
    </row>
    <row r="1425" spans="1:65" s="38" customFormat="1" ht="18" customHeight="1">
      <c r="A1425" s="114">
        <v>35</v>
      </c>
      <c r="B1425" s="33" t="s">
        <v>770</v>
      </c>
      <c r="C1425" s="25" t="s">
        <v>771</v>
      </c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229">
        <f t="shared" si="560"/>
        <v>0</v>
      </c>
      <c r="AC1425" s="228">
        <f t="shared" si="561"/>
        <v>0</v>
      </c>
      <c r="AD1425" s="19">
        <v>0</v>
      </c>
      <c r="AE1425" s="28"/>
      <c r="AF1425" s="28"/>
      <c r="AG1425" s="28"/>
      <c r="AH1425" s="28"/>
      <c r="AI1425" s="28"/>
      <c r="AJ1425" s="28">
        <v>139</v>
      </c>
      <c r="AK1425" s="28"/>
      <c r="AL1425" s="28"/>
      <c r="AM1425" s="28"/>
      <c r="AN1425" s="28"/>
      <c r="AO1425" s="28"/>
      <c r="AP1425" s="28">
        <v>130</v>
      </c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29">
        <f t="shared" si="562"/>
        <v>0</v>
      </c>
      <c r="BD1425" s="48">
        <f t="shared" si="563"/>
        <v>269</v>
      </c>
      <c r="BE1425" s="19">
        <v>1</v>
      </c>
      <c r="BF1425" s="229">
        <f t="shared" si="564"/>
        <v>0</v>
      </c>
      <c r="BG1425" s="210">
        <f t="shared" si="565"/>
        <v>269</v>
      </c>
      <c r="BH1425" s="210">
        <f t="shared" si="566"/>
        <v>1</v>
      </c>
      <c r="BI1425" s="313">
        <f t="shared" si="571"/>
        <v>26900</v>
      </c>
      <c r="BJ1425" s="141"/>
      <c r="BK1425" s="201"/>
      <c r="BL1425" s="4"/>
      <c r="BM1425" s="4"/>
    </row>
    <row r="1426" spans="1:65" s="38" customFormat="1" ht="18" customHeight="1">
      <c r="A1426" s="114">
        <v>36</v>
      </c>
      <c r="B1426" s="24" t="s">
        <v>1181</v>
      </c>
      <c r="C1426" s="25" t="s">
        <v>1417</v>
      </c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229">
        <f t="shared" si="560"/>
        <v>0</v>
      </c>
      <c r="AC1426" s="228">
        <f t="shared" si="561"/>
        <v>0</v>
      </c>
      <c r="AD1426" s="19">
        <v>0</v>
      </c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29">
        <f t="shared" si="562"/>
        <v>0</v>
      </c>
      <c r="BD1426" s="48">
        <f t="shared" si="563"/>
        <v>0</v>
      </c>
      <c r="BE1426" s="19">
        <v>1</v>
      </c>
      <c r="BF1426" s="229">
        <f t="shared" si="564"/>
        <v>0</v>
      </c>
      <c r="BG1426" s="210">
        <f t="shared" si="565"/>
        <v>0</v>
      </c>
      <c r="BH1426" s="210">
        <f t="shared" si="566"/>
        <v>1</v>
      </c>
      <c r="BI1426" s="213">
        <f t="shared" si="571"/>
        <v>0</v>
      </c>
      <c r="BJ1426" s="141"/>
      <c r="BK1426" s="201"/>
      <c r="BL1426" s="4"/>
      <c r="BM1426" s="4"/>
    </row>
    <row r="1427" spans="1:65" s="38" customFormat="1" ht="18" customHeight="1">
      <c r="A1427" s="114">
        <v>37</v>
      </c>
      <c r="B1427" s="24" t="s">
        <v>632</v>
      </c>
      <c r="C1427" s="25" t="s">
        <v>633</v>
      </c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229">
        <f t="shared" si="560"/>
        <v>0</v>
      </c>
      <c r="AC1427" s="228">
        <f t="shared" si="561"/>
        <v>0</v>
      </c>
      <c r="AD1427" s="19">
        <v>0</v>
      </c>
      <c r="AE1427" s="28"/>
      <c r="AF1427" s="28"/>
      <c r="AG1427" s="28"/>
      <c r="AH1427" s="28"/>
      <c r="AI1427" s="28"/>
      <c r="AJ1427" s="28">
        <v>12</v>
      </c>
      <c r="AK1427" s="28"/>
      <c r="AL1427" s="28"/>
      <c r="AM1427" s="28"/>
      <c r="AN1427" s="28"/>
      <c r="AO1427" s="28"/>
      <c r="AP1427" s="28">
        <v>1</v>
      </c>
      <c r="AQ1427" s="28"/>
      <c r="AR1427" s="28"/>
      <c r="AS1427" s="28"/>
      <c r="AT1427" s="28"/>
      <c r="AU1427" s="28"/>
      <c r="AV1427" s="28">
        <v>7</v>
      </c>
      <c r="AW1427" s="28"/>
      <c r="AX1427" s="28"/>
      <c r="AY1427" s="28"/>
      <c r="AZ1427" s="28"/>
      <c r="BA1427" s="28"/>
      <c r="BB1427" s="28">
        <v>4</v>
      </c>
      <c r="BC1427" s="229">
        <f t="shared" si="562"/>
        <v>0</v>
      </c>
      <c r="BD1427" s="48">
        <f t="shared" si="563"/>
        <v>24</v>
      </c>
      <c r="BE1427" s="19">
        <v>9</v>
      </c>
      <c r="BF1427" s="229">
        <f t="shared" si="564"/>
        <v>0</v>
      </c>
      <c r="BG1427" s="210">
        <f t="shared" si="565"/>
        <v>24</v>
      </c>
      <c r="BH1427" s="210">
        <f t="shared" si="566"/>
        <v>9</v>
      </c>
      <c r="BI1427" s="213">
        <f t="shared" si="571"/>
        <v>266.66666666666663</v>
      </c>
      <c r="BJ1427" s="141"/>
      <c r="BK1427" s="201"/>
      <c r="BL1427" s="4"/>
      <c r="BM1427" s="4"/>
    </row>
    <row r="1428" spans="1:65" s="38" customFormat="1" ht="18" customHeight="1">
      <c r="A1428" s="114">
        <v>38</v>
      </c>
      <c r="B1428" s="24" t="s">
        <v>634</v>
      </c>
      <c r="C1428" s="25" t="s">
        <v>696</v>
      </c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229">
        <f t="shared" si="560"/>
        <v>0</v>
      </c>
      <c r="AC1428" s="228">
        <f t="shared" si="561"/>
        <v>0</v>
      </c>
      <c r="AD1428" s="19">
        <v>0</v>
      </c>
      <c r="AE1428" s="28"/>
      <c r="AF1428" s="28"/>
      <c r="AG1428" s="28"/>
      <c r="AH1428" s="28"/>
      <c r="AI1428" s="28"/>
      <c r="AJ1428" s="28">
        <f>44+29</f>
        <v>73</v>
      </c>
      <c r="AK1428" s="28"/>
      <c r="AL1428" s="28"/>
      <c r="AM1428" s="28"/>
      <c r="AN1428" s="28"/>
      <c r="AO1428" s="28"/>
      <c r="AP1428" s="28">
        <f>18+10</f>
        <v>28</v>
      </c>
      <c r="AQ1428" s="28"/>
      <c r="AR1428" s="28"/>
      <c r="AS1428" s="28"/>
      <c r="AT1428" s="28"/>
      <c r="AU1428" s="28"/>
      <c r="AV1428" s="28">
        <f>54+16</f>
        <v>70</v>
      </c>
      <c r="AW1428" s="28"/>
      <c r="AX1428" s="28"/>
      <c r="AY1428" s="28"/>
      <c r="AZ1428" s="28"/>
      <c r="BA1428" s="28"/>
      <c r="BB1428" s="28">
        <f>48+4</f>
        <v>52</v>
      </c>
      <c r="BC1428" s="229">
        <f t="shared" si="562"/>
        <v>0</v>
      </c>
      <c r="BD1428" s="48">
        <f t="shared" si="563"/>
        <v>223</v>
      </c>
      <c r="BE1428" s="19">
        <v>198</v>
      </c>
      <c r="BF1428" s="229">
        <f t="shared" si="564"/>
        <v>0</v>
      </c>
      <c r="BG1428" s="210">
        <f t="shared" si="565"/>
        <v>223</v>
      </c>
      <c r="BH1428" s="210">
        <f t="shared" si="566"/>
        <v>198</v>
      </c>
      <c r="BI1428" s="213">
        <f t="shared" si="571"/>
        <v>112.62626262626263</v>
      </c>
      <c r="BJ1428" s="141"/>
      <c r="BK1428" s="201"/>
      <c r="BL1428" s="4"/>
      <c r="BM1428" s="4"/>
    </row>
    <row r="1429" spans="1:65" s="38" customFormat="1" ht="18" customHeight="1">
      <c r="A1429" s="114">
        <v>39</v>
      </c>
      <c r="B1429" s="24" t="s">
        <v>636</v>
      </c>
      <c r="C1429" s="25" t="s">
        <v>637</v>
      </c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229">
        <f t="shared" si="560"/>
        <v>0</v>
      </c>
      <c r="AC1429" s="228">
        <f t="shared" si="561"/>
        <v>0</v>
      </c>
      <c r="AD1429" s="19">
        <v>0</v>
      </c>
      <c r="AE1429" s="28"/>
      <c r="AF1429" s="28"/>
      <c r="AG1429" s="28"/>
      <c r="AH1429" s="28"/>
      <c r="AI1429" s="28"/>
      <c r="AJ1429" s="28">
        <f>2+1</f>
        <v>3</v>
      </c>
      <c r="AK1429" s="28"/>
      <c r="AL1429" s="28"/>
      <c r="AM1429" s="28"/>
      <c r="AN1429" s="28"/>
      <c r="AO1429" s="28"/>
      <c r="AP1429" s="28">
        <f>3+2</f>
        <v>5</v>
      </c>
      <c r="AQ1429" s="28"/>
      <c r="AR1429" s="28"/>
      <c r="AS1429" s="28"/>
      <c r="AT1429" s="28"/>
      <c r="AU1429" s="28"/>
      <c r="AV1429" s="28">
        <f>9+5</f>
        <v>14</v>
      </c>
      <c r="AW1429" s="28"/>
      <c r="AX1429" s="28"/>
      <c r="AY1429" s="28"/>
      <c r="AZ1429" s="28"/>
      <c r="BA1429" s="28"/>
      <c r="BB1429" s="28">
        <f>5+1</f>
        <v>6</v>
      </c>
      <c r="BC1429" s="229">
        <f t="shared" si="562"/>
        <v>0</v>
      </c>
      <c r="BD1429" s="48">
        <f t="shared" si="563"/>
        <v>28</v>
      </c>
      <c r="BE1429" s="19">
        <v>10</v>
      </c>
      <c r="BF1429" s="229">
        <f t="shared" si="564"/>
        <v>0</v>
      </c>
      <c r="BG1429" s="210">
        <f t="shared" si="565"/>
        <v>28</v>
      </c>
      <c r="BH1429" s="210">
        <f t="shared" si="566"/>
        <v>10</v>
      </c>
      <c r="BI1429" s="213">
        <f t="shared" si="571"/>
        <v>280</v>
      </c>
      <c r="BJ1429" s="141"/>
      <c r="BK1429" s="201"/>
      <c r="BL1429" s="4"/>
      <c r="BM1429" s="4"/>
    </row>
    <row r="1430" spans="1:65" s="38" customFormat="1" ht="18" customHeight="1">
      <c r="A1430" s="114">
        <v>40</v>
      </c>
      <c r="B1430" s="24" t="s">
        <v>643</v>
      </c>
      <c r="C1430" s="25" t="s">
        <v>722</v>
      </c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229">
        <f t="shared" si="560"/>
        <v>0</v>
      </c>
      <c r="AC1430" s="228">
        <f t="shared" si="561"/>
        <v>0</v>
      </c>
      <c r="AD1430" s="19">
        <v>0</v>
      </c>
      <c r="AE1430" s="28"/>
      <c r="AF1430" s="28"/>
      <c r="AG1430" s="28"/>
      <c r="AH1430" s="28"/>
      <c r="AI1430" s="28"/>
      <c r="AJ1430" s="28">
        <v>16</v>
      </c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>
        <v>1</v>
      </c>
      <c r="AW1430" s="28"/>
      <c r="AX1430" s="28"/>
      <c r="AY1430" s="28"/>
      <c r="AZ1430" s="28"/>
      <c r="BA1430" s="28"/>
      <c r="BB1430" s="28">
        <v>6</v>
      </c>
      <c r="BC1430" s="229">
        <f t="shared" si="562"/>
        <v>0</v>
      </c>
      <c r="BD1430" s="48">
        <f t="shared" si="563"/>
        <v>23</v>
      </c>
      <c r="BE1430" s="19">
        <v>10</v>
      </c>
      <c r="BF1430" s="229">
        <f t="shared" si="564"/>
        <v>0</v>
      </c>
      <c r="BG1430" s="210">
        <f t="shared" si="565"/>
        <v>23</v>
      </c>
      <c r="BH1430" s="210">
        <f t="shared" si="566"/>
        <v>10</v>
      </c>
      <c r="BI1430" s="213">
        <f t="shared" si="571"/>
        <v>229.99999999999997</v>
      </c>
      <c r="BJ1430" s="141"/>
      <c r="BK1430" s="201"/>
      <c r="BL1430" s="4"/>
      <c r="BM1430" s="4"/>
    </row>
    <row r="1431" spans="1:65" s="38" customFormat="1" ht="18" customHeight="1">
      <c r="A1431" s="114">
        <v>41</v>
      </c>
      <c r="B1431" s="24" t="s">
        <v>773</v>
      </c>
      <c r="C1431" s="25" t="s">
        <v>1159</v>
      </c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229">
        <f t="shared" si="560"/>
        <v>0</v>
      </c>
      <c r="AC1431" s="228">
        <f t="shared" si="561"/>
        <v>0</v>
      </c>
      <c r="AD1431" s="19">
        <v>0</v>
      </c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>
        <v>1</v>
      </c>
      <c r="BC1431" s="229">
        <f t="shared" si="562"/>
        <v>0</v>
      </c>
      <c r="BD1431" s="48">
        <f t="shared" si="563"/>
        <v>1</v>
      </c>
      <c r="BE1431" s="19">
        <v>21</v>
      </c>
      <c r="BF1431" s="229">
        <f t="shared" si="564"/>
        <v>0</v>
      </c>
      <c r="BG1431" s="210">
        <f t="shared" si="565"/>
        <v>1</v>
      </c>
      <c r="BH1431" s="210">
        <f t="shared" si="566"/>
        <v>21</v>
      </c>
      <c r="BI1431" s="213">
        <f t="shared" si="571"/>
        <v>4.7619047619047619</v>
      </c>
      <c r="BJ1431" s="141"/>
      <c r="BK1431" s="201"/>
      <c r="BL1431" s="4"/>
      <c r="BM1431" s="4"/>
    </row>
    <row r="1432" spans="1:65" s="38" customFormat="1" ht="18" customHeight="1">
      <c r="A1432" s="114">
        <v>42</v>
      </c>
      <c r="B1432" s="24" t="s">
        <v>644</v>
      </c>
      <c r="C1432" s="25" t="s">
        <v>645</v>
      </c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229">
        <f t="shared" si="560"/>
        <v>0</v>
      </c>
      <c r="AC1432" s="228">
        <f t="shared" si="561"/>
        <v>0</v>
      </c>
      <c r="AD1432" s="19">
        <v>0</v>
      </c>
      <c r="AE1432" s="28"/>
      <c r="AF1432" s="28"/>
      <c r="AG1432" s="28"/>
      <c r="AH1432" s="28"/>
      <c r="AI1432" s="28"/>
      <c r="AJ1432" s="28">
        <f>42+4</f>
        <v>46</v>
      </c>
      <c r="AK1432" s="28"/>
      <c r="AL1432" s="28"/>
      <c r="AM1432" s="28"/>
      <c r="AN1432" s="28"/>
      <c r="AO1432" s="28"/>
      <c r="AP1432" s="28">
        <f>49+2+1</f>
        <v>52</v>
      </c>
      <c r="AQ1432" s="28"/>
      <c r="AR1432" s="28"/>
      <c r="AS1432" s="28"/>
      <c r="AT1432" s="28"/>
      <c r="AU1432" s="28"/>
      <c r="AV1432" s="28">
        <f>102+4</f>
        <v>106</v>
      </c>
      <c r="AW1432" s="28"/>
      <c r="AX1432" s="28"/>
      <c r="AY1432" s="28"/>
      <c r="AZ1432" s="28"/>
      <c r="BA1432" s="28"/>
      <c r="BB1432" s="28">
        <v>70</v>
      </c>
      <c r="BC1432" s="229">
        <f t="shared" si="562"/>
        <v>0</v>
      </c>
      <c r="BD1432" s="48">
        <f t="shared" si="563"/>
        <v>274</v>
      </c>
      <c r="BE1432" s="19">
        <v>388</v>
      </c>
      <c r="BF1432" s="229">
        <f t="shared" si="564"/>
        <v>0</v>
      </c>
      <c r="BG1432" s="210">
        <f t="shared" si="565"/>
        <v>274</v>
      </c>
      <c r="BH1432" s="210">
        <f t="shared" si="566"/>
        <v>388</v>
      </c>
      <c r="BI1432" s="213">
        <f t="shared" si="571"/>
        <v>70.618556701030926</v>
      </c>
      <c r="BJ1432" s="141"/>
      <c r="BK1432" s="201"/>
      <c r="BL1432" s="4"/>
      <c r="BM1432" s="4"/>
    </row>
    <row r="1433" spans="1:65" s="38" customFormat="1" ht="18" customHeight="1">
      <c r="A1433" s="114">
        <v>43</v>
      </c>
      <c r="B1433" s="24" t="s">
        <v>1011</v>
      </c>
      <c r="C1433" s="25" t="s">
        <v>1596</v>
      </c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229"/>
      <c r="AC1433" s="228">
        <f t="shared" ref="AC1433:AC1464" si="572">E1433+G1433+I1433+K1433+M1433+O1433+Q1433+S1433+U1433+W1433+Y1433+AA1433</f>
        <v>0</v>
      </c>
      <c r="AD1433" s="19">
        <v>0</v>
      </c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>
        <v>2</v>
      </c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29"/>
      <c r="BD1433" s="48">
        <f t="shared" ref="BD1433:BD1464" si="573">AF1433+AH1433+AJ1433+AL1433+AN1433+AP1433+AR1433+AT1433+AV1433+AX1433+AZ1433+BB1433</f>
        <v>2</v>
      </c>
      <c r="BE1433" s="19">
        <v>0</v>
      </c>
      <c r="BF1433" s="229"/>
      <c r="BG1433" s="210">
        <f t="shared" ref="BG1433:BG1464" si="574">AC1433+BD1433</f>
        <v>2</v>
      </c>
      <c r="BH1433" s="210">
        <f t="shared" ref="BH1433:BH1464" si="575">AD1433+BE1433</f>
        <v>0</v>
      </c>
      <c r="BI1433" s="213" t="e">
        <f t="shared" si="571"/>
        <v>#DIV/0!</v>
      </c>
      <c r="BJ1433" s="141"/>
      <c r="BK1433" s="201"/>
      <c r="BL1433" s="4"/>
      <c r="BM1433" s="4"/>
    </row>
    <row r="1434" spans="1:65" s="38" customFormat="1" ht="18" customHeight="1">
      <c r="A1434" s="114">
        <v>44</v>
      </c>
      <c r="B1434" s="24" t="s">
        <v>698</v>
      </c>
      <c r="C1434" s="25" t="s">
        <v>699</v>
      </c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229">
        <f>D1434+F1434+H1434+J1434+L1434+N1434+P1434+R1434+T1434+V1434+X1434+Z1434</f>
        <v>0</v>
      </c>
      <c r="AC1434" s="228">
        <f t="shared" si="572"/>
        <v>0</v>
      </c>
      <c r="AD1434" s="19">
        <v>0</v>
      </c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>
        <v>1</v>
      </c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29">
        <f>AE1434+AG1434+AI1434+AK1434+AM1434+AO1434+AQ1434+AS1434+AU1434+AW1434+AY1434+BA1434</f>
        <v>0</v>
      </c>
      <c r="BD1434" s="48">
        <f t="shared" si="573"/>
        <v>1</v>
      </c>
      <c r="BE1434" s="19">
        <v>2</v>
      </c>
      <c r="BF1434" s="229">
        <f>AB1434+BC1434</f>
        <v>0</v>
      </c>
      <c r="BG1434" s="210">
        <f t="shared" si="574"/>
        <v>1</v>
      </c>
      <c r="BH1434" s="210">
        <f t="shared" si="575"/>
        <v>2</v>
      </c>
      <c r="BI1434" s="213">
        <f t="shared" si="571"/>
        <v>50</v>
      </c>
      <c r="BJ1434" s="141"/>
      <c r="BK1434" s="201"/>
      <c r="BL1434" s="4"/>
      <c r="BM1434" s="4"/>
    </row>
    <row r="1435" spans="1:65" s="38" customFormat="1" ht="18" customHeight="1">
      <c r="A1435" s="114">
        <v>45</v>
      </c>
      <c r="B1435" s="24" t="s">
        <v>648</v>
      </c>
      <c r="C1435" s="25" t="s">
        <v>649</v>
      </c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229"/>
      <c r="AC1435" s="228">
        <f t="shared" si="572"/>
        <v>0</v>
      </c>
      <c r="AD1435" s="19">
        <v>0</v>
      </c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>
        <v>8</v>
      </c>
      <c r="AW1435" s="28"/>
      <c r="AX1435" s="28"/>
      <c r="AY1435" s="28"/>
      <c r="AZ1435" s="28"/>
      <c r="BA1435" s="28"/>
      <c r="BB1435" s="28"/>
      <c r="BC1435" s="229"/>
      <c r="BD1435" s="48">
        <f t="shared" si="573"/>
        <v>8</v>
      </c>
      <c r="BE1435" s="19">
        <v>0</v>
      </c>
      <c r="BF1435" s="229"/>
      <c r="BG1435" s="210">
        <f t="shared" si="574"/>
        <v>8</v>
      </c>
      <c r="BH1435" s="210">
        <f t="shared" si="575"/>
        <v>0</v>
      </c>
      <c r="BI1435" s="213" t="e">
        <f t="shared" si="571"/>
        <v>#DIV/0!</v>
      </c>
      <c r="BJ1435" s="141"/>
      <c r="BK1435" s="201"/>
      <c r="BL1435" s="4"/>
      <c r="BM1435" s="4"/>
    </row>
    <row r="1436" spans="1:65" s="38" customFormat="1" ht="18" customHeight="1">
      <c r="A1436" s="114">
        <v>46</v>
      </c>
      <c r="B1436" s="24" t="s">
        <v>700</v>
      </c>
      <c r="C1436" s="25" t="s">
        <v>845</v>
      </c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229">
        <f t="shared" ref="AB1436:AB1467" si="576">D1436+F1436+H1436+J1436+L1436+N1436+P1436+R1436+T1436+V1436+X1436+Z1436</f>
        <v>0</v>
      </c>
      <c r="AC1436" s="228">
        <f t="shared" si="572"/>
        <v>0</v>
      </c>
      <c r="AD1436" s="19">
        <v>0</v>
      </c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>
        <v>2</v>
      </c>
      <c r="AW1436" s="28"/>
      <c r="AX1436" s="28"/>
      <c r="AY1436" s="28"/>
      <c r="AZ1436" s="28"/>
      <c r="BA1436" s="28"/>
      <c r="BB1436" s="28"/>
      <c r="BC1436" s="229">
        <f t="shared" ref="BC1436:BC1467" si="577">AE1436+AG1436+AI1436+AK1436+AM1436+AO1436+AQ1436+AS1436+AU1436+AW1436+AY1436+BA1436</f>
        <v>0</v>
      </c>
      <c r="BD1436" s="48">
        <f t="shared" si="573"/>
        <v>2</v>
      </c>
      <c r="BE1436" s="19">
        <v>1</v>
      </c>
      <c r="BF1436" s="229">
        <f t="shared" ref="BF1436:BF1467" si="578">AB1436+BC1436</f>
        <v>0</v>
      </c>
      <c r="BG1436" s="210">
        <f t="shared" si="574"/>
        <v>2</v>
      </c>
      <c r="BH1436" s="210">
        <f t="shared" si="575"/>
        <v>1</v>
      </c>
      <c r="BI1436" s="213">
        <f t="shared" si="571"/>
        <v>200</v>
      </c>
      <c r="BJ1436" s="141"/>
      <c r="BK1436" s="201"/>
      <c r="BL1436" s="4"/>
      <c r="BM1436" s="4"/>
    </row>
    <row r="1437" spans="1:65" s="38" customFormat="1" ht="18" customHeight="1">
      <c r="A1437" s="114">
        <v>47</v>
      </c>
      <c r="B1437" s="24" t="s">
        <v>650</v>
      </c>
      <c r="C1437" s="25" t="s">
        <v>2445</v>
      </c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229">
        <f t="shared" si="576"/>
        <v>0</v>
      </c>
      <c r="AC1437" s="228">
        <f t="shared" si="572"/>
        <v>0</v>
      </c>
      <c r="AD1437" s="19">
        <v>0</v>
      </c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29">
        <f t="shared" si="577"/>
        <v>0</v>
      </c>
      <c r="BD1437" s="48">
        <f t="shared" si="573"/>
        <v>0</v>
      </c>
      <c r="BE1437" s="19">
        <v>4</v>
      </c>
      <c r="BF1437" s="229">
        <f t="shared" si="578"/>
        <v>0</v>
      </c>
      <c r="BG1437" s="210">
        <f t="shared" si="574"/>
        <v>0</v>
      </c>
      <c r="BH1437" s="210">
        <f t="shared" si="575"/>
        <v>4</v>
      </c>
      <c r="BI1437" s="213">
        <f t="shared" si="571"/>
        <v>0</v>
      </c>
      <c r="BJ1437" s="141"/>
      <c r="BK1437" s="201"/>
      <c r="BL1437" s="4"/>
      <c r="BM1437" s="4"/>
    </row>
    <row r="1438" spans="1:65" s="38" customFormat="1" ht="24.75" customHeight="1">
      <c r="A1438" s="114">
        <v>48</v>
      </c>
      <c r="B1438" s="24" t="s">
        <v>701</v>
      </c>
      <c r="C1438" s="27" t="s">
        <v>2444</v>
      </c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229">
        <f t="shared" si="576"/>
        <v>0</v>
      </c>
      <c r="AC1438" s="228">
        <f t="shared" si="572"/>
        <v>0</v>
      </c>
      <c r="AD1438" s="19">
        <v>0</v>
      </c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>
        <v>1</v>
      </c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29">
        <f t="shared" si="577"/>
        <v>0</v>
      </c>
      <c r="BD1438" s="48">
        <f t="shared" si="573"/>
        <v>1</v>
      </c>
      <c r="BE1438" s="19">
        <v>5</v>
      </c>
      <c r="BF1438" s="229">
        <f t="shared" si="578"/>
        <v>0</v>
      </c>
      <c r="BG1438" s="210">
        <f t="shared" si="574"/>
        <v>1</v>
      </c>
      <c r="BH1438" s="210">
        <f t="shared" si="575"/>
        <v>5</v>
      </c>
      <c r="BI1438" s="213">
        <f t="shared" si="571"/>
        <v>20</v>
      </c>
      <c r="BJ1438" s="141"/>
      <c r="BK1438" s="201"/>
      <c r="BL1438" s="4"/>
      <c r="BM1438" s="4"/>
    </row>
    <row r="1439" spans="1:65" s="38" customFormat="1" ht="18" customHeight="1">
      <c r="A1439" s="114">
        <v>49</v>
      </c>
      <c r="B1439" s="24" t="s">
        <v>702</v>
      </c>
      <c r="C1439" s="25" t="s">
        <v>2841</v>
      </c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229">
        <f t="shared" si="576"/>
        <v>0</v>
      </c>
      <c r="AC1439" s="228">
        <f t="shared" si="572"/>
        <v>0</v>
      </c>
      <c r="AD1439" s="19">
        <v>0</v>
      </c>
      <c r="AE1439" s="28"/>
      <c r="AF1439" s="28"/>
      <c r="AG1439" s="28"/>
      <c r="AH1439" s="28"/>
      <c r="AI1439" s="28"/>
      <c r="AJ1439" s="28">
        <v>2</v>
      </c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29">
        <f t="shared" si="577"/>
        <v>0</v>
      </c>
      <c r="BD1439" s="48">
        <f t="shared" si="573"/>
        <v>2</v>
      </c>
      <c r="BE1439" s="19">
        <v>0</v>
      </c>
      <c r="BF1439" s="229">
        <f t="shared" si="578"/>
        <v>0</v>
      </c>
      <c r="BG1439" s="210">
        <f t="shared" si="574"/>
        <v>2</v>
      </c>
      <c r="BH1439" s="210">
        <f t="shared" si="575"/>
        <v>0</v>
      </c>
      <c r="BI1439" s="213" t="e">
        <f t="shared" si="571"/>
        <v>#DIV/0!</v>
      </c>
      <c r="BJ1439" s="141"/>
      <c r="BK1439" s="201"/>
      <c r="BL1439" s="4"/>
      <c r="BM1439" s="4"/>
    </row>
    <row r="1440" spans="1:65" s="38" customFormat="1" ht="18" customHeight="1">
      <c r="A1440" s="114">
        <v>50</v>
      </c>
      <c r="B1440" s="24" t="s">
        <v>651</v>
      </c>
      <c r="C1440" s="25" t="s">
        <v>1453</v>
      </c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229">
        <f t="shared" si="576"/>
        <v>0</v>
      </c>
      <c r="AC1440" s="228">
        <f t="shared" si="572"/>
        <v>0</v>
      </c>
      <c r="AD1440" s="19">
        <v>0</v>
      </c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29">
        <f t="shared" si="577"/>
        <v>0</v>
      </c>
      <c r="BD1440" s="48">
        <f t="shared" si="573"/>
        <v>0</v>
      </c>
      <c r="BE1440" s="19">
        <v>1</v>
      </c>
      <c r="BF1440" s="229">
        <f t="shared" si="578"/>
        <v>0</v>
      </c>
      <c r="BG1440" s="210">
        <f t="shared" si="574"/>
        <v>0</v>
      </c>
      <c r="BH1440" s="210">
        <f t="shared" si="575"/>
        <v>1</v>
      </c>
      <c r="BI1440" s="213">
        <f t="shared" si="571"/>
        <v>0</v>
      </c>
      <c r="BJ1440" s="141"/>
      <c r="BK1440" s="201"/>
      <c r="BL1440" s="4"/>
      <c r="BM1440" s="4"/>
    </row>
    <row r="1441" spans="1:65" s="38" customFormat="1" ht="18" customHeight="1">
      <c r="A1441" s="114">
        <v>51</v>
      </c>
      <c r="B1441" s="24" t="s">
        <v>814</v>
      </c>
      <c r="C1441" s="25" t="s">
        <v>815</v>
      </c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229">
        <f t="shared" si="576"/>
        <v>0</v>
      </c>
      <c r="AC1441" s="228">
        <f t="shared" si="572"/>
        <v>0</v>
      </c>
      <c r="AD1441" s="19">
        <v>0</v>
      </c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29">
        <f t="shared" si="577"/>
        <v>0</v>
      </c>
      <c r="BD1441" s="48">
        <f t="shared" si="573"/>
        <v>0</v>
      </c>
      <c r="BE1441" s="19">
        <v>1</v>
      </c>
      <c r="BF1441" s="229">
        <f t="shared" si="578"/>
        <v>0</v>
      </c>
      <c r="BG1441" s="210">
        <f t="shared" si="574"/>
        <v>0</v>
      </c>
      <c r="BH1441" s="210">
        <f t="shared" si="575"/>
        <v>1</v>
      </c>
      <c r="BI1441" s="213">
        <f t="shared" si="571"/>
        <v>0</v>
      </c>
      <c r="BJ1441" s="141"/>
      <c r="BK1441" s="201"/>
      <c r="BL1441" s="4"/>
      <c r="BM1441" s="4"/>
    </row>
    <row r="1442" spans="1:65" s="38" customFormat="1" ht="18" customHeight="1">
      <c r="A1442" s="114">
        <v>52</v>
      </c>
      <c r="B1442" s="24" t="s">
        <v>703</v>
      </c>
      <c r="C1442" s="25" t="s">
        <v>774</v>
      </c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229">
        <f t="shared" si="576"/>
        <v>0</v>
      </c>
      <c r="AC1442" s="228">
        <f t="shared" si="572"/>
        <v>0</v>
      </c>
      <c r="AD1442" s="19">
        <v>0</v>
      </c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>
        <v>1</v>
      </c>
      <c r="BC1442" s="229">
        <f t="shared" si="577"/>
        <v>0</v>
      </c>
      <c r="BD1442" s="48">
        <f t="shared" si="573"/>
        <v>1</v>
      </c>
      <c r="BE1442" s="19">
        <v>1</v>
      </c>
      <c r="BF1442" s="229">
        <f t="shared" si="578"/>
        <v>0</v>
      </c>
      <c r="BG1442" s="210">
        <f t="shared" si="574"/>
        <v>1</v>
      </c>
      <c r="BH1442" s="210">
        <f t="shared" si="575"/>
        <v>1</v>
      </c>
      <c r="BI1442" s="213">
        <f t="shared" si="571"/>
        <v>100</v>
      </c>
      <c r="BJ1442" s="141"/>
      <c r="BK1442" s="201"/>
      <c r="BL1442" s="4"/>
      <c r="BM1442" s="4"/>
    </row>
    <row r="1443" spans="1:65" s="38" customFormat="1" ht="18" customHeight="1">
      <c r="A1443" s="114">
        <v>53</v>
      </c>
      <c r="B1443" s="24" t="s">
        <v>819</v>
      </c>
      <c r="C1443" s="25" t="s">
        <v>993</v>
      </c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229">
        <f t="shared" si="576"/>
        <v>0</v>
      </c>
      <c r="AC1443" s="228">
        <f t="shared" si="572"/>
        <v>0</v>
      </c>
      <c r="AD1443" s="19">
        <v>0</v>
      </c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29">
        <f t="shared" si="577"/>
        <v>0</v>
      </c>
      <c r="BD1443" s="48">
        <f t="shared" si="573"/>
        <v>0</v>
      </c>
      <c r="BE1443" s="19">
        <v>1</v>
      </c>
      <c r="BF1443" s="229">
        <f t="shared" si="578"/>
        <v>0</v>
      </c>
      <c r="BG1443" s="210">
        <f t="shared" si="574"/>
        <v>0</v>
      </c>
      <c r="BH1443" s="210">
        <f t="shared" si="575"/>
        <v>1</v>
      </c>
      <c r="BI1443" s="213">
        <f t="shared" si="571"/>
        <v>0</v>
      </c>
      <c r="BJ1443" s="141"/>
      <c r="BK1443" s="201"/>
      <c r="BL1443" s="4"/>
      <c r="BM1443" s="4"/>
    </row>
    <row r="1444" spans="1:65" s="38" customFormat="1" ht="18" customHeight="1">
      <c r="A1444" s="114">
        <v>54</v>
      </c>
      <c r="B1444" s="24" t="s">
        <v>734</v>
      </c>
      <c r="C1444" s="25" t="s">
        <v>735</v>
      </c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229">
        <f t="shared" si="576"/>
        <v>0</v>
      </c>
      <c r="AC1444" s="228">
        <f t="shared" si="572"/>
        <v>0</v>
      </c>
      <c r="AD1444" s="19">
        <v>0</v>
      </c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29">
        <f t="shared" si="577"/>
        <v>0</v>
      </c>
      <c r="BD1444" s="48">
        <f t="shared" si="573"/>
        <v>0</v>
      </c>
      <c r="BE1444" s="19">
        <v>1</v>
      </c>
      <c r="BF1444" s="229">
        <f t="shared" si="578"/>
        <v>0</v>
      </c>
      <c r="BG1444" s="210">
        <f t="shared" si="574"/>
        <v>0</v>
      </c>
      <c r="BH1444" s="210">
        <f t="shared" si="575"/>
        <v>1</v>
      </c>
      <c r="BI1444" s="213">
        <f t="shared" si="571"/>
        <v>0</v>
      </c>
      <c r="BJ1444" s="141"/>
      <c r="BK1444" s="201"/>
      <c r="BL1444" s="4"/>
      <c r="BM1444" s="4"/>
    </row>
    <row r="1445" spans="1:65" s="38" customFormat="1" ht="18" customHeight="1">
      <c r="A1445" s="114">
        <v>55</v>
      </c>
      <c r="B1445" s="24" t="s">
        <v>736</v>
      </c>
      <c r="C1445" s="25" t="s">
        <v>1027</v>
      </c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229">
        <f t="shared" si="576"/>
        <v>0</v>
      </c>
      <c r="AC1445" s="228">
        <f t="shared" si="572"/>
        <v>0</v>
      </c>
      <c r="AD1445" s="19">
        <v>0</v>
      </c>
      <c r="AE1445" s="28"/>
      <c r="AF1445" s="28"/>
      <c r="AG1445" s="28"/>
      <c r="AH1445" s="28"/>
      <c r="AI1445" s="28"/>
      <c r="AJ1445" s="28">
        <v>7</v>
      </c>
      <c r="AK1445" s="28"/>
      <c r="AL1445" s="28"/>
      <c r="AM1445" s="28"/>
      <c r="AN1445" s="28"/>
      <c r="AO1445" s="28"/>
      <c r="AP1445" s="28">
        <v>4</v>
      </c>
      <c r="AQ1445" s="28"/>
      <c r="AR1445" s="28"/>
      <c r="AS1445" s="28"/>
      <c r="AT1445" s="28"/>
      <c r="AU1445" s="28"/>
      <c r="AV1445" s="28">
        <v>5</v>
      </c>
      <c r="AW1445" s="28"/>
      <c r="AX1445" s="28"/>
      <c r="AY1445" s="28"/>
      <c r="AZ1445" s="28"/>
      <c r="BA1445" s="28"/>
      <c r="BB1445" s="28"/>
      <c r="BC1445" s="229">
        <f t="shared" si="577"/>
        <v>0</v>
      </c>
      <c r="BD1445" s="48">
        <f t="shared" si="573"/>
        <v>16</v>
      </c>
      <c r="BE1445" s="19">
        <v>6</v>
      </c>
      <c r="BF1445" s="229">
        <f t="shared" si="578"/>
        <v>0</v>
      </c>
      <c r="BG1445" s="210">
        <f t="shared" si="574"/>
        <v>16</v>
      </c>
      <c r="BH1445" s="210">
        <f t="shared" si="575"/>
        <v>6</v>
      </c>
      <c r="BI1445" s="213">
        <f t="shared" si="571"/>
        <v>266.66666666666663</v>
      </c>
      <c r="BJ1445" s="141"/>
      <c r="BK1445" s="201"/>
      <c r="BL1445" s="4"/>
      <c r="BM1445" s="4"/>
    </row>
    <row r="1446" spans="1:65" s="38" customFormat="1" ht="18" customHeight="1">
      <c r="A1446" s="114">
        <v>56</v>
      </c>
      <c r="B1446" s="24" t="s">
        <v>653</v>
      </c>
      <c r="C1446" s="25" t="s">
        <v>654</v>
      </c>
      <c r="D1446" s="121"/>
      <c r="E1446" s="121"/>
      <c r="F1446" s="121"/>
      <c r="G1446" s="121"/>
      <c r="H1446" s="121"/>
      <c r="I1446" s="121">
        <v>3</v>
      </c>
      <c r="J1446" s="121"/>
      <c r="K1446" s="121"/>
      <c r="L1446" s="121"/>
      <c r="M1446" s="121"/>
      <c r="N1446" s="121"/>
      <c r="O1446" s="121">
        <v>3</v>
      </c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>
        <v>4</v>
      </c>
      <c r="AB1446" s="229">
        <f t="shared" si="576"/>
        <v>0</v>
      </c>
      <c r="AC1446" s="228">
        <f t="shared" si="572"/>
        <v>10</v>
      </c>
      <c r="AD1446" s="19">
        <v>6</v>
      </c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>
        <v>141</v>
      </c>
      <c r="AW1446" s="28"/>
      <c r="AX1446" s="28"/>
      <c r="AY1446" s="28"/>
      <c r="AZ1446" s="28"/>
      <c r="BA1446" s="28"/>
      <c r="BB1446" s="28">
        <v>144</v>
      </c>
      <c r="BC1446" s="229">
        <f t="shared" si="577"/>
        <v>0</v>
      </c>
      <c r="BD1446" s="48">
        <f t="shared" si="573"/>
        <v>285</v>
      </c>
      <c r="BE1446" s="19">
        <v>372</v>
      </c>
      <c r="BF1446" s="229">
        <f t="shared" si="578"/>
        <v>0</v>
      </c>
      <c r="BG1446" s="210">
        <f t="shared" si="574"/>
        <v>295</v>
      </c>
      <c r="BH1446" s="210">
        <f t="shared" si="575"/>
        <v>378</v>
      </c>
      <c r="BI1446" s="213">
        <f t="shared" si="571"/>
        <v>78.042328042328052</v>
      </c>
      <c r="BJ1446" s="141"/>
      <c r="BK1446" s="201"/>
      <c r="BL1446" s="4"/>
      <c r="BM1446" s="4"/>
    </row>
    <row r="1447" spans="1:65" s="38" customFormat="1" ht="18" customHeight="1">
      <c r="A1447" s="114">
        <v>57</v>
      </c>
      <c r="B1447" s="24" t="s">
        <v>655</v>
      </c>
      <c r="C1447" s="25" t="s">
        <v>997</v>
      </c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229">
        <f t="shared" si="576"/>
        <v>0</v>
      </c>
      <c r="AC1447" s="228">
        <f t="shared" si="572"/>
        <v>0</v>
      </c>
      <c r="AD1447" s="19">
        <v>0</v>
      </c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29">
        <f t="shared" si="577"/>
        <v>0</v>
      </c>
      <c r="BD1447" s="48">
        <f t="shared" si="573"/>
        <v>0</v>
      </c>
      <c r="BE1447" s="19">
        <v>1</v>
      </c>
      <c r="BF1447" s="229">
        <f t="shared" si="578"/>
        <v>0</v>
      </c>
      <c r="BG1447" s="210">
        <f t="shared" si="574"/>
        <v>0</v>
      </c>
      <c r="BH1447" s="210">
        <f t="shared" si="575"/>
        <v>1</v>
      </c>
      <c r="BI1447" s="213">
        <f t="shared" si="571"/>
        <v>0</v>
      </c>
      <c r="BJ1447" s="141"/>
      <c r="BK1447" s="201"/>
      <c r="BL1447" s="4"/>
      <c r="BM1447" s="4"/>
    </row>
    <row r="1448" spans="1:65" s="38" customFormat="1" ht="18" customHeight="1">
      <c r="A1448" s="114">
        <v>58</v>
      </c>
      <c r="B1448" s="24" t="s">
        <v>822</v>
      </c>
      <c r="C1448" s="25" t="s">
        <v>1405</v>
      </c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229">
        <f t="shared" si="576"/>
        <v>0</v>
      </c>
      <c r="AC1448" s="228">
        <f t="shared" si="572"/>
        <v>0</v>
      </c>
      <c r="AD1448" s="19">
        <v>0</v>
      </c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29">
        <f t="shared" si="577"/>
        <v>0</v>
      </c>
      <c r="BD1448" s="48">
        <f t="shared" si="573"/>
        <v>0</v>
      </c>
      <c r="BE1448" s="19">
        <v>1</v>
      </c>
      <c r="BF1448" s="229">
        <f t="shared" si="578"/>
        <v>0</v>
      </c>
      <c r="BG1448" s="210">
        <f t="shared" si="574"/>
        <v>0</v>
      </c>
      <c r="BH1448" s="210">
        <f t="shared" si="575"/>
        <v>1</v>
      </c>
      <c r="BI1448" s="213">
        <f t="shared" si="571"/>
        <v>0</v>
      </c>
      <c r="BJ1448" s="141"/>
      <c r="BK1448" s="201"/>
      <c r="BL1448" s="4"/>
      <c r="BM1448" s="4"/>
    </row>
    <row r="1449" spans="1:65" s="38" customFormat="1" ht="18" customHeight="1">
      <c r="A1449" s="114">
        <v>59</v>
      </c>
      <c r="B1449" s="24" t="s">
        <v>1250</v>
      </c>
      <c r="C1449" s="25" t="s">
        <v>1963</v>
      </c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229">
        <f t="shared" si="576"/>
        <v>0</v>
      </c>
      <c r="AC1449" s="228">
        <f t="shared" si="572"/>
        <v>0</v>
      </c>
      <c r="AD1449" s="19">
        <v>0</v>
      </c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29">
        <f t="shared" si="577"/>
        <v>0</v>
      </c>
      <c r="BD1449" s="48">
        <f t="shared" si="573"/>
        <v>0</v>
      </c>
      <c r="BE1449" s="19">
        <v>1</v>
      </c>
      <c r="BF1449" s="229">
        <f t="shared" si="578"/>
        <v>0</v>
      </c>
      <c r="BG1449" s="210">
        <f t="shared" si="574"/>
        <v>0</v>
      </c>
      <c r="BH1449" s="210">
        <f t="shared" si="575"/>
        <v>1</v>
      </c>
      <c r="BI1449" s="213">
        <f t="shared" si="571"/>
        <v>0</v>
      </c>
      <c r="BJ1449" s="141"/>
      <c r="BK1449" s="201"/>
      <c r="BL1449" s="4"/>
      <c r="BM1449" s="4"/>
    </row>
    <row r="1450" spans="1:65" s="38" customFormat="1" ht="18" customHeight="1">
      <c r="A1450" s="114">
        <v>60</v>
      </c>
      <c r="B1450" s="24" t="s">
        <v>776</v>
      </c>
      <c r="C1450" s="25" t="s">
        <v>777</v>
      </c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229">
        <f t="shared" si="576"/>
        <v>0</v>
      </c>
      <c r="AC1450" s="228">
        <f t="shared" si="572"/>
        <v>0</v>
      </c>
      <c r="AD1450" s="19">
        <v>0</v>
      </c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29">
        <f t="shared" si="577"/>
        <v>0</v>
      </c>
      <c r="BD1450" s="48">
        <f t="shared" si="573"/>
        <v>0</v>
      </c>
      <c r="BE1450" s="19">
        <v>1</v>
      </c>
      <c r="BF1450" s="229">
        <f t="shared" si="578"/>
        <v>0</v>
      </c>
      <c r="BG1450" s="210">
        <f t="shared" si="574"/>
        <v>0</v>
      </c>
      <c r="BH1450" s="210">
        <f t="shared" si="575"/>
        <v>1</v>
      </c>
      <c r="BI1450" s="213">
        <f t="shared" si="571"/>
        <v>0</v>
      </c>
      <c r="BJ1450" s="141"/>
      <c r="BK1450" s="201"/>
      <c r="BL1450" s="4"/>
      <c r="BM1450" s="4"/>
    </row>
    <row r="1451" spans="1:65" s="38" customFormat="1" ht="21.95" customHeight="1">
      <c r="A1451" s="114">
        <v>61</v>
      </c>
      <c r="B1451" s="24" t="s">
        <v>900</v>
      </c>
      <c r="C1451" s="27" t="s">
        <v>1983</v>
      </c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229">
        <f t="shared" si="576"/>
        <v>0</v>
      </c>
      <c r="AC1451" s="228">
        <f t="shared" si="572"/>
        <v>0</v>
      </c>
      <c r="AD1451" s="19">
        <v>0</v>
      </c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>
        <f>3+1</f>
        <v>4</v>
      </c>
      <c r="BC1451" s="229">
        <f t="shared" si="577"/>
        <v>0</v>
      </c>
      <c r="BD1451" s="48">
        <f t="shared" si="573"/>
        <v>4</v>
      </c>
      <c r="BE1451" s="19">
        <v>10</v>
      </c>
      <c r="BF1451" s="229">
        <f t="shared" si="578"/>
        <v>0</v>
      </c>
      <c r="BG1451" s="210">
        <f t="shared" si="574"/>
        <v>4</v>
      </c>
      <c r="BH1451" s="210">
        <f t="shared" si="575"/>
        <v>10</v>
      </c>
      <c r="BI1451" s="213">
        <f t="shared" si="571"/>
        <v>40</v>
      </c>
      <c r="BJ1451" s="141"/>
      <c r="BK1451" s="201"/>
      <c r="BL1451" s="4"/>
      <c r="BM1451" s="4"/>
    </row>
    <row r="1452" spans="1:65" s="38" customFormat="1" ht="18" customHeight="1">
      <c r="A1452" s="114">
        <v>62</v>
      </c>
      <c r="B1452" s="24" t="s">
        <v>842</v>
      </c>
      <c r="C1452" s="25" t="s">
        <v>843</v>
      </c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229">
        <f t="shared" si="576"/>
        <v>0</v>
      </c>
      <c r="AC1452" s="228">
        <f t="shared" si="572"/>
        <v>0</v>
      </c>
      <c r="AD1452" s="19">
        <v>0</v>
      </c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>
        <v>1</v>
      </c>
      <c r="BC1452" s="229">
        <f t="shared" si="577"/>
        <v>0</v>
      </c>
      <c r="BD1452" s="48">
        <f t="shared" si="573"/>
        <v>1</v>
      </c>
      <c r="BE1452" s="19">
        <v>8</v>
      </c>
      <c r="BF1452" s="229">
        <f t="shared" si="578"/>
        <v>0</v>
      </c>
      <c r="BG1452" s="210">
        <f t="shared" si="574"/>
        <v>1</v>
      </c>
      <c r="BH1452" s="210">
        <f t="shared" si="575"/>
        <v>8</v>
      </c>
      <c r="BI1452" s="213">
        <f t="shared" si="571"/>
        <v>12.5</v>
      </c>
      <c r="BJ1452" s="141"/>
      <c r="BK1452" s="201"/>
      <c r="BL1452" s="4"/>
      <c r="BM1452" s="4"/>
    </row>
    <row r="1453" spans="1:65" s="38" customFormat="1" ht="18" customHeight="1">
      <c r="A1453" s="114">
        <v>63</v>
      </c>
      <c r="B1453" s="24" t="s">
        <v>1648</v>
      </c>
      <c r="C1453" s="25" t="s">
        <v>2622</v>
      </c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229">
        <f t="shared" si="576"/>
        <v>0</v>
      </c>
      <c r="AC1453" s="228">
        <f t="shared" si="572"/>
        <v>0</v>
      </c>
      <c r="AD1453" s="19">
        <v>0</v>
      </c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29">
        <f t="shared" si="577"/>
        <v>0</v>
      </c>
      <c r="BD1453" s="48">
        <f t="shared" si="573"/>
        <v>0</v>
      </c>
      <c r="BE1453" s="19">
        <v>4</v>
      </c>
      <c r="BF1453" s="229">
        <f t="shared" si="578"/>
        <v>0</v>
      </c>
      <c r="BG1453" s="210">
        <f t="shared" si="574"/>
        <v>0</v>
      </c>
      <c r="BH1453" s="210">
        <f t="shared" si="575"/>
        <v>4</v>
      </c>
      <c r="BI1453" s="213">
        <f t="shared" si="571"/>
        <v>0</v>
      </c>
      <c r="BJ1453" s="141"/>
      <c r="BK1453" s="201"/>
      <c r="BL1453" s="4"/>
      <c r="BM1453" s="4"/>
    </row>
    <row r="1454" spans="1:65" s="38" customFormat="1" ht="21.95" customHeight="1">
      <c r="A1454" s="114">
        <v>64</v>
      </c>
      <c r="B1454" s="24" t="s">
        <v>657</v>
      </c>
      <c r="C1454" s="27" t="s">
        <v>1401</v>
      </c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229">
        <f t="shared" si="576"/>
        <v>0</v>
      </c>
      <c r="AC1454" s="228">
        <f t="shared" si="572"/>
        <v>0</v>
      </c>
      <c r="AD1454" s="19">
        <v>0</v>
      </c>
      <c r="AE1454" s="28"/>
      <c r="AF1454" s="28"/>
      <c r="AG1454" s="28"/>
      <c r="AH1454" s="28"/>
      <c r="AI1454" s="28"/>
      <c r="AJ1454" s="28">
        <f>92+2+2+9</f>
        <v>105</v>
      </c>
      <c r="AK1454" s="28"/>
      <c r="AL1454" s="28"/>
      <c r="AM1454" s="28"/>
      <c r="AN1454" s="28"/>
      <c r="AO1454" s="28"/>
      <c r="AP1454" s="28">
        <f>82+3+19</f>
        <v>104</v>
      </c>
      <c r="AQ1454" s="28"/>
      <c r="AR1454" s="28"/>
      <c r="AS1454" s="28"/>
      <c r="AT1454" s="28"/>
      <c r="AU1454" s="28"/>
      <c r="AV1454" s="28">
        <f>49+7</f>
        <v>56</v>
      </c>
      <c r="AW1454" s="28"/>
      <c r="AX1454" s="28"/>
      <c r="AY1454" s="28"/>
      <c r="AZ1454" s="28"/>
      <c r="BA1454" s="28"/>
      <c r="BB1454" s="28">
        <f>77+12</f>
        <v>89</v>
      </c>
      <c r="BC1454" s="229">
        <f t="shared" si="577"/>
        <v>0</v>
      </c>
      <c r="BD1454" s="48">
        <f t="shared" si="573"/>
        <v>354</v>
      </c>
      <c r="BE1454" s="19">
        <v>254</v>
      </c>
      <c r="BF1454" s="229">
        <f t="shared" si="578"/>
        <v>0</v>
      </c>
      <c r="BG1454" s="210">
        <f t="shared" si="574"/>
        <v>354</v>
      </c>
      <c r="BH1454" s="210">
        <f t="shared" si="575"/>
        <v>254</v>
      </c>
      <c r="BI1454" s="213">
        <f t="shared" si="571"/>
        <v>139.37007874015748</v>
      </c>
      <c r="BJ1454" s="141"/>
      <c r="BK1454" s="201"/>
      <c r="BL1454" s="4"/>
      <c r="BM1454" s="4"/>
    </row>
    <row r="1455" spans="1:65" s="38" customFormat="1" ht="21.95" customHeight="1">
      <c r="A1455" s="114">
        <v>65</v>
      </c>
      <c r="B1455" s="24" t="s">
        <v>1505</v>
      </c>
      <c r="C1455" s="27" t="s">
        <v>1740</v>
      </c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229">
        <f t="shared" si="576"/>
        <v>0</v>
      </c>
      <c r="AC1455" s="228">
        <f t="shared" si="572"/>
        <v>0</v>
      </c>
      <c r="AD1455" s="19">
        <v>0</v>
      </c>
      <c r="AE1455" s="28"/>
      <c r="AF1455" s="28"/>
      <c r="AG1455" s="28"/>
      <c r="AH1455" s="28"/>
      <c r="AI1455" s="28"/>
      <c r="AJ1455" s="28">
        <v>2</v>
      </c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29">
        <f t="shared" si="577"/>
        <v>0</v>
      </c>
      <c r="BD1455" s="48">
        <f t="shared" si="573"/>
        <v>2</v>
      </c>
      <c r="BE1455" s="19">
        <v>21</v>
      </c>
      <c r="BF1455" s="229">
        <f t="shared" si="578"/>
        <v>0</v>
      </c>
      <c r="BG1455" s="210">
        <f t="shared" si="574"/>
        <v>2</v>
      </c>
      <c r="BH1455" s="210">
        <f t="shared" si="575"/>
        <v>21</v>
      </c>
      <c r="BI1455" s="213">
        <f t="shared" ref="BI1455:BI1486" si="579">BG1455/BH1455*100</f>
        <v>9.5238095238095237</v>
      </c>
      <c r="BJ1455" s="141"/>
      <c r="BK1455" s="201"/>
      <c r="BL1455" s="4"/>
      <c r="BM1455" s="4"/>
    </row>
    <row r="1456" spans="1:65" s="38" customFormat="1" ht="21.95" customHeight="1">
      <c r="A1456" s="114">
        <v>66</v>
      </c>
      <c r="B1456" s="24" t="s">
        <v>742</v>
      </c>
      <c r="C1456" s="27" t="s">
        <v>778</v>
      </c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229">
        <f t="shared" si="576"/>
        <v>0</v>
      </c>
      <c r="AC1456" s="228">
        <f t="shared" si="572"/>
        <v>0</v>
      </c>
      <c r="AD1456" s="19">
        <v>0</v>
      </c>
      <c r="AE1456" s="28"/>
      <c r="AF1456" s="28"/>
      <c r="AG1456" s="28"/>
      <c r="AH1456" s="28"/>
      <c r="AI1456" s="28"/>
      <c r="AJ1456" s="28">
        <f>128+82</f>
        <v>210</v>
      </c>
      <c r="AK1456" s="28"/>
      <c r="AL1456" s="28"/>
      <c r="AM1456" s="28"/>
      <c r="AN1456" s="28"/>
      <c r="AO1456" s="28"/>
      <c r="AP1456" s="28">
        <f>104+76</f>
        <v>180</v>
      </c>
      <c r="AQ1456" s="28"/>
      <c r="AR1456" s="28"/>
      <c r="AS1456" s="28"/>
      <c r="AT1456" s="28"/>
      <c r="AU1456" s="28"/>
      <c r="AV1456" s="28">
        <f>107+65</f>
        <v>172</v>
      </c>
      <c r="AW1456" s="28"/>
      <c r="AX1456" s="28"/>
      <c r="AY1456" s="28"/>
      <c r="AZ1456" s="28"/>
      <c r="BA1456" s="28"/>
      <c r="BB1456" s="28">
        <f>89+24</f>
        <v>113</v>
      </c>
      <c r="BC1456" s="229">
        <f t="shared" si="577"/>
        <v>0</v>
      </c>
      <c r="BD1456" s="48">
        <f t="shared" si="573"/>
        <v>675</v>
      </c>
      <c r="BE1456" s="19">
        <v>574</v>
      </c>
      <c r="BF1456" s="229">
        <f t="shared" si="578"/>
        <v>0</v>
      </c>
      <c r="BG1456" s="210">
        <f t="shared" si="574"/>
        <v>675</v>
      </c>
      <c r="BH1456" s="210">
        <f t="shared" si="575"/>
        <v>574</v>
      </c>
      <c r="BI1456" s="213">
        <f t="shared" si="579"/>
        <v>117.59581881533101</v>
      </c>
      <c r="BJ1456" s="141"/>
      <c r="BK1456" s="201"/>
      <c r="BL1456" s="4"/>
      <c r="BM1456" s="4"/>
    </row>
    <row r="1457" spans="1:65" s="38" customFormat="1" ht="21.95" customHeight="1">
      <c r="A1457" s="114">
        <v>67</v>
      </c>
      <c r="B1457" s="24" t="s">
        <v>802</v>
      </c>
      <c r="C1457" s="25" t="s">
        <v>803</v>
      </c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229">
        <f t="shared" si="576"/>
        <v>0</v>
      </c>
      <c r="AC1457" s="228">
        <f t="shared" si="572"/>
        <v>0</v>
      </c>
      <c r="AD1457" s="19">
        <v>0</v>
      </c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>
        <v>1</v>
      </c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29">
        <f t="shared" si="577"/>
        <v>0</v>
      </c>
      <c r="BD1457" s="48">
        <f t="shared" si="573"/>
        <v>1</v>
      </c>
      <c r="BE1457" s="19">
        <v>4</v>
      </c>
      <c r="BF1457" s="229">
        <f t="shared" si="578"/>
        <v>0</v>
      </c>
      <c r="BG1457" s="210">
        <f t="shared" si="574"/>
        <v>1</v>
      </c>
      <c r="BH1457" s="210">
        <f t="shared" si="575"/>
        <v>4</v>
      </c>
      <c r="BI1457" s="213">
        <f t="shared" si="579"/>
        <v>25</v>
      </c>
      <c r="BJ1457" s="141"/>
      <c r="BK1457" s="201"/>
      <c r="BL1457" s="4"/>
      <c r="BM1457" s="4"/>
    </row>
    <row r="1458" spans="1:65" s="38" customFormat="1" ht="21.95" customHeight="1">
      <c r="A1458" s="114">
        <v>68</v>
      </c>
      <c r="B1458" s="24" t="s">
        <v>658</v>
      </c>
      <c r="C1458" s="25" t="s">
        <v>779</v>
      </c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229">
        <f t="shared" si="576"/>
        <v>0</v>
      </c>
      <c r="AC1458" s="228">
        <f t="shared" si="572"/>
        <v>0</v>
      </c>
      <c r="AD1458" s="19">
        <v>0</v>
      </c>
      <c r="AE1458" s="28"/>
      <c r="AF1458" s="28"/>
      <c r="AG1458" s="28"/>
      <c r="AH1458" s="28"/>
      <c r="AI1458" s="28"/>
      <c r="AJ1458" s="28">
        <f>415+6+20</f>
        <v>441</v>
      </c>
      <c r="AK1458" s="28"/>
      <c r="AL1458" s="28"/>
      <c r="AM1458" s="28"/>
      <c r="AN1458" s="28"/>
      <c r="AO1458" s="28"/>
      <c r="AP1458" s="28">
        <f>426+3+57</f>
        <v>486</v>
      </c>
      <c r="AQ1458" s="28"/>
      <c r="AR1458" s="28"/>
      <c r="AS1458" s="28"/>
      <c r="AT1458" s="28"/>
      <c r="AU1458" s="28"/>
      <c r="AV1458" s="28">
        <f>706+6</f>
        <v>712</v>
      </c>
      <c r="AW1458" s="28"/>
      <c r="AX1458" s="28"/>
      <c r="AY1458" s="28"/>
      <c r="AZ1458" s="28"/>
      <c r="BA1458" s="28"/>
      <c r="BB1458" s="28">
        <v>456</v>
      </c>
      <c r="BC1458" s="229">
        <f t="shared" si="577"/>
        <v>0</v>
      </c>
      <c r="BD1458" s="48">
        <f t="shared" si="573"/>
        <v>2095</v>
      </c>
      <c r="BE1458" s="19">
        <v>1786</v>
      </c>
      <c r="BF1458" s="229">
        <f t="shared" si="578"/>
        <v>0</v>
      </c>
      <c r="BG1458" s="210">
        <f t="shared" si="574"/>
        <v>2095</v>
      </c>
      <c r="BH1458" s="210">
        <f t="shared" si="575"/>
        <v>1786</v>
      </c>
      <c r="BI1458" s="213">
        <f t="shared" si="579"/>
        <v>117.30123180291154</v>
      </c>
      <c r="BJ1458" s="141"/>
      <c r="BK1458" s="201"/>
      <c r="BL1458" s="4"/>
      <c r="BM1458" s="4"/>
    </row>
    <row r="1459" spans="1:65" ht="18" customHeight="1">
      <c r="A1459" s="114">
        <v>69</v>
      </c>
      <c r="B1459" s="24" t="s">
        <v>780</v>
      </c>
      <c r="C1459" s="25" t="s">
        <v>781</v>
      </c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229">
        <f t="shared" si="576"/>
        <v>0</v>
      </c>
      <c r="AC1459" s="228">
        <f t="shared" si="572"/>
        <v>0</v>
      </c>
      <c r="AD1459" s="19">
        <v>0</v>
      </c>
      <c r="AE1459" s="28"/>
      <c r="AF1459" s="28"/>
      <c r="AG1459" s="28"/>
      <c r="AH1459" s="28"/>
      <c r="AI1459" s="28"/>
      <c r="AJ1459" s="28">
        <f>283+57+4</f>
        <v>344</v>
      </c>
      <c r="AK1459" s="28"/>
      <c r="AL1459" s="28"/>
      <c r="AM1459" s="28"/>
      <c r="AN1459" s="28"/>
      <c r="AO1459" s="28"/>
      <c r="AP1459" s="28">
        <f>260+7+28</f>
        <v>295</v>
      </c>
      <c r="AQ1459" s="28"/>
      <c r="AR1459" s="28"/>
      <c r="AS1459" s="28"/>
      <c r="AT1459" s="28"/>
      <c r="AU1459" s="28"/>
      <c r="AV1459" s="28">
        <f>178+6</f>
        <v>184</v>
      </c>
      <c r="AW1459" s="28"/>
      <c r="AX1459" s="28"/>
      <c r="AY1459" s="28"/>
      <c r="AZ1459" s="28"/>
      <c r="BA1459" s="28"/>
      <c r="BB1459" s="28">
        <f>189+16</f>
        <v>205</v>
      </c>
      <c r="BC1459" s="229">
        <f t="shared" si="577"/>
        <v>0</v>
      </c>
      <c r="BD1459" s="48">
        <f t="shared" si="573"/>
        <v>1028</v>
      </c>
      <c r="BE1459" s="19">
        <v>1395</v>
      </c>
      <c r="BF1459" s="229">
        <f t="shared" si="578"/>
        <v>0</v>
      </c>
      <c r="BG1459" s="210">
        <f t="shared" si="574"/>
        <v>1028</v>
      </c>
      <c r="BH1459" s="210">
        <f t="shared" si="575"/>
        <v>1395</v>
      </c>
      <c r="BI1459" s="213">
        <f t="shared" si="579"/>
        <v>73.691756272401435</v>
      </c>
      <c r="BJ1459" s="141"/>
      <c r="BK1459" s="201"/>
    </row>
    <row r="1460" spans="1:65" ht="18" customHeight="1">
      <c r="A1460" s="114">
        <v>70</v>
      </c>
      <c r="B1460" s="24" t="s">
        <v>782</v>
      </c>
      <c r="C1460" s="25" t="s">
        <v>783</v>
      </c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229">
        <f t="shared" si="576"/>
        <v>0</v>
      </c>
      <c r="AC1460" s="228">
        <f t="shared" si="572"/>
        <v>0</v>
      </c>
      <c r="AD1460" s="19">
        <v>0</v>
      </c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29">
        <f t="shared" si="577"/>
        <v>0</v>
      </c>
      <c r="BD1460" s="48">
        <f t="shared" si="573"/>
        <v>0</v>
      </c>
      <c r="BE1460" s="19">
        <v>1</v>
      </c>
      <c r="BF1460" s="229">
        <f t="shared" si="578"/>
        <v>0</v>
      </c>
      <c r="BG1460" s="210">
        <f t="shared" si="574"/>
        <v>0</v>
      </c>
      <c r="BH1460" s="210">
        <f t="shared" si="575"/>
        <v>1</v>
      </c>
      <c r="BI1460" s="213">
        <f t="shared" si="579"/>
        <v>0</v>
      </c>
      <c r="BJ1460" s="141"/>
      <c r="BK1460" s="201"/>
    </row>
    <row r="1461" spans="1:65" ht="18" customHeight="1">
      <c r="A1461" s="114">
        <v>71</v>
      </c>
      <c r="B1461" s="24" t="s">
        <v>804</v>
      </c>
      <c r="C1461" s="25" t="s">
        <v>1386</v>
      </c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229">
        <f t="shared" si="576"/>
        <v>0</v>
      </c>
      <c r="AC1461" s="228">
        <f t="shared" si="572"/>
        <v>0</v>
      </c>
      <c r="AD1461" s="19">
        <v>0</v>
      </c>
      <c r="AE1461" s="28"/>
      <c r="AF1461" s="28"/>
      <c r="AG1461" s="28"/>
      <c r="AH1461" s="28"/>
      <c r="AI1461" s="28"/>
      <c r="AJ1461" s="28">
        <v>5</v>
      </c>
      <c r="AK1461" s="28"/>
      <c r="AL1461" s="28"/>
      <c r="AM1461" s="28"/>
      <c r="AN1461" s="28"/>
      <c r="AO1461" s="28"/>
      <c r="AP1461" s="28">
        <v>4</v>
      </c>
      <c r="AQ1461" s="28"/>
      <c r="AR1461" s="28"/>
      <c r="AS1461" s="28"/>
      <c r="AT1461" s="28"/>
      <c r="AU1461" s="28"/>
      <c r="AV1461" s="28">
        <v>1</v>
      </c>
      <c r="AW1461" s="28"/>
      <c r="AX1461" s="28"/>
      <c r="AY1461" s="28"/>
      <c r="AZ1461" s="28"/>
      <c r="BA1461" s="28"/>
      <c r="BB1461" s="28">
        <v>5</v>
      </c>
      <c r="BC1461" s="229">
        <f t="shared" si="577"/>
        <v>0</v>
      </c>
      <c r="BD1461" s="48">
        <f t="shared" si="573"/>
        <v>15</v>
      </c>
      <c r="BE1461" s="19">
        <v>28</v>
      </c>
      <c r="BF1461" s="229">
        <f t="shared" si="578"/>
        <v>0</v>
      </c>
      <c r="BG1461" s="210">
        <f t="shared" si="574"/>
        <v>15</v>
      </c>
      <c r="BH1461" s="210">
        <f t="shared" si="575"/>
        <v>28</v>
      </c>
      <c r="BI1461" s="213">
        <f t="shared" si="579"/>
        <v>53.571428571428569</v>
      </c>
      <c r="BJ1461" s="141"/>
      <c r="BK1461" s="201"/>
    </row>
    <row r="1462" spans="1:65" ht="18" customHeight="1">
      <c r="A1462" s="114">
        <v>72</v>
      </c>
      <c r="B1462" s="24" t="s">
        <v>903</v>
      </c>
      <c r="C1462" s="25" t="s">
        <v>1165</v>
      </c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229">
        <f t="shared" si="576"/>
        <v>0</v>
      </c>
      <c r="AC1462" s="228">
        <f t="shared" si="572"/>
        <v>0</v>
      </c>
      <c r="AD1462" s="19">
        <v>0</v>
      </c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29">
        <f t="shared" si="577"/>
        <v>0</v>
      </c>
      <c r="BD1462" s="48">
        <f t="shared" si="573"/>
        <v>0</v>
      </c>
      <c r="BE1462" s="19">
        <v>2</v>
      </c>
      <c r="BF1462" s="229">
        <f t="shared" si="578"/>
        <v>0</v>
      </c>
      <c r="BG1462" s="210">
        <f t="shared" si="574"/>
        <v>0</v>
      </c>
      <c r="BH1462" s="210">
        <f t="shared" si="575"/>
        <v>2</v>
      </c>
      <c r="BI1462" s="213">
        <f t="shared" si="579"/>
        <v>0</v>
      </c>
      <c r="BJ1462" s="141"/>
      <c r="BK1462" s="201"/>
    </row>
    <row r="1463" spans="1:65" ht="18" customHeight="1">
      <c r="A1463" s="114">
        <v>73</v>
      </c>
      <c r="B1463" s="24" t="s">
        <v>659</v>
      </c>
      <c r="C1463" s="25" t="s">
        <v>660</v>
      </c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229">
        <f t="shared" si="576"/>
        <v>0</v>
      </c>
      <c r="AC1463" s="228">
        <f t="shared" si="572"/>
        <v>0</v>
      </c>
      <c r="AD1463" s="19">
        <v>0</v>
      </c>
      <c r="AE1463" s="28"/>
      <c r="AF1463" s="28"/>
      <c r="AG1463" s="28"/>
      <c r="AH1463" s="28"/>
      <c r="AI1463" s="28"/>
      <c r="AJ1463" s="28">
        <f>117+21+5</f>
        <v>143</v>
      </c>
      <c r="AK1463" s="28"/>
      <c r="AL1463" s="28"/>
      <c r="AM1463" s="28"/>
      <c r="AN1463" s="28"/>
      <c r="AO1463" s="28"/>
      <c r="AP1463" s="28">
        <f>154+8+9</f>
        <v>171</v>
      </c>
      <c r="AQ1463" s="28"/>
      <c r="AR1463" s="28"/>
      <c r="AS1463" s="28"/>
      <c r="AT1463" s="28"/>
      <c r="AU1463" s="28"/>
      <c r="AV1463" s="28">
        <f>250+10</f>
        <v>260</v>
      </c>
      <c r="AW1463" s="28"/>
      <c r="AX1463" s="28"/>
      <c r="AY1463" s="28"/>
      <c r="AZ1463" s="28"/>
      <c r="BA1463" s="28"/>
      <c r="BB1463" s="28">
        <f>227+3</f>
        <v>230</v>
      </c>
      <c r="BC1463" s="229">
        <f t="shared" si="577"/>
        <v>0</v>
      </c>
      <c r="BD1463" s="48">
        <f t="shared" si="573"/>
        <v>804</v>
      </c>
      <c r="BE1463" s="19">
        <v>789</v>
      </c>
      <c r="BF1463" s="229">
        <f t="shared" si="578"/>
        <v>0</v>
      </c>
      <c r="BG1463" s="210">
        <f t="shared" si="574"/>
        <v>804</v>
      </c>
      <c r="BH1463" s="210">
        <f t="shared" si="575"/>
        <v>789</v>
      </c>
      <c r="BI1463" s="213">
        <f t="shared" si="579"/>
        <v>101.90114068441065</v>
      </c>
      <c r="BJ1463" s="141"/>
      <c r="BK1463" s="201"/>
    </row>
    <row r="1464" spans="1:65" s="38" customFormat="1" ht="21.95" customHeight="1">
      <c r="A1464" s="114">
        <v>74</v>
      </c>
      <c r="B1464" s="24" t="s">
        <v>661</v>
      </c>
      <c r="C1464" s="27" t="s">
        <v>743</v>
      </c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229">
        <f t="shared" si="576"/>
        <v>0</v>
      </c>
      <c r="AC1464" s="228">
        <f t="shared" si="572"/>
        <v>0</v>
      </c>
      <c r="AD1464" s="19">
        <v>0</v>
      </c>
      <c r="AE1464" s="28"/>
      <c r="AF1464" s="28"/>
      <c r="AG1464" s="28"/>
      <c r="AH1464" s="28"/>
      <c r="AI1464" s="28"/>
      <c r="AJ1464" s="28">
        <f>486+69+165+16</f>
        <v>736</v>
      </c>
      <c r="AK1464" s="28"/>
      <c r="AL1464" s="28"/>
      <c r="AM1464" s="28"/>
      <c r="AN1464" s="28"/>
      <c r="AO1464" s="28"/>
      <c r="AP1464" s="28">
        <f>522+36+316+25</f>
        <v>899</v>
      </c>
      <c r="AQ1464" s="28"/>
      <c r="AR1464" s="28"/>
      <c r="AS1464" s="28"/>
      <c r="AT1464" s="28"/>
      <c r="AU1464" s="28"/>
      <c r="AV1464" s="28">
        <f>821+56+240</f>
        <v>1117</v>
      </c>
      <c r="AW1464" s="28"/>
      <c r="AX1464" s="28"/>
      <c r="AY1464" s="28"/>
      <c r="AZ1464" s="28"/>
      <c r="BA1464" s="28"/>
      <c r="BB1464" s="28">
        <f>673+18+317</f>
        <v>1008</v>
      </c>
      <c r="BC1464" s="229">
        <f t="shared" si="577"/>
        <v>0</v>
      </c>
      <c r="BD1464" s="48">
        <f t="shared" si="573"/>
        <v>3760</v>
      </c>
      <c r="BE1464" s="19">
        <v>3189</v>
      </c>
      <c r="BF1464" s="229">
        <f t="shared" si="578"/>
        <v>0</v>
      </c>
      <c r="BG1464" s="210">
        <f t="shared" si="574"/>
        <v>3760</v>
      </c>
      <c r="BH1464" s="210">
        <f t="shared" si="575"/>
        <v>3189</v>
      </c>
      <c r="BI1464" s="213">
        <f t="shared" si="579"/>
        <v>117.90529946691753</v>
      </c>
      <c r="BJ1464" s="141"/>
      <c r="BK1464" s="201"/>
      <c r="BL1464" s="4"/>
      <c r="BM1464" s="4"/>
    </row>
    <row r="1465" spans="1:65" s="38" customFormat="1" ht="21.95" customHeight="1">
      <c r="A1465" s="114">
        <v>75</v>
      </c>
      <c r="B1465" s="24" t="s">
        <v>784</v>
      </c>
      <c r="C1465" s="27" t="s">
        <v>1369</v>
      </c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229">
        <f t="shared" si="576"/>
        <v>0</v>
      </c>
      <c r="AC1465" s="228">
        <f t="shared" ref="AC1465:AC1487" si="580">E1465+G1465+I1465+K1465+M1465+O1465+Q1465+S1465+U1465+W1465+Y1465+AA1465</f>
        <v>0</v>
      </c>
      <c r="AD1465" s="19">
        <v>0</v>
      </c>
      <c r="AE1465" s="28"/>
      <c r="AF1465" s="28"/>
      <c r="AG1465" s="28"/>
      <c r="AH1465" s="28"/>
      <c r="AI1465" s="28"/>
      <c r="AJ1465" s="28">
        <f>1+23+6</f>
        <v>30</v>
      </c>
      <c r="AK1465" s="28"/>
      <c r="AL1465" s="28"/>
      <c r="AM1465" s="28"/>
      <c r="AN1465" s="28"/>
      <c r="AO1465" s="28"/>
      <c r="AP1465" s="28">
        <f>11+26</f>
        <v>37</v>
      </c>
      <c r="AQ1465" s="28"/>
      <c r="AR1465" s="28"/>
      <c r="AS1465" s="28"/>
      <c r="AT1465" s="28"/>
      <c r="AU1465" s="28"/>
      <c r="AV1465" s="28">
        <f>22+18</f>
        <v>40</v>
      </c>
      <c r="AW1465" s="28"/>
      <c r="AX1465" s="28"/>
      <c r="AY1465" s="28"/>
      <c r="AZ1465" s="28"/>
      <c r="BA1465" s="28"/>
      <c r="BB1465" s="28">
        <f>21+23</f>
        <v>44</v>
      </c>
      <c r="BC1465" s="229">
        <f t="shared" si="577"/>
        <v>0</v>
      </c>
      <c r="BD1465" s="48">
        <f t="shared" ref="BD1465:BD1487" si="581">AF1465+AH1465+AJ1465+AL1465+AN1465+AP1465+AR1465+AT1465+AV1465+AX1465+AZ1465+BB1465</f>
        <v>151</v>
      </c>
      <c r="BE1465" s="19">
        <v>88</v>
      </c>
      <c r="BF1465" s="229">
        <f t="shared" si="578"/>
        <v>0</v>
      </c>
      <c r="BG1465" s="210">
        <f t="shared" ref="BG1465:BG1487" si="582">AC1465+BD1465</f>
        <v>151</v>
      </c>
      <c r="BH1465" s="210">
        <f t="shared" ref="BH1465:BH1487" si="583">AD1465+BE1465</f>
        <v>88</v>
      </c>
      <c r="BI1465" s="213">
        <f t="shared" si="579"/>
        <v>171.59090909090909</v>
      </c>
      <c r="BJ1465" s="141"/>
      <c r="BK1465" s="201"/>
      <c r="BL1465" s="4"/>
      <c r="BM1465" s="4"/>
    </row>
    <row r="1466" spans="1:65" s="38" customFormat="1" ht="18" customHeight="1">
      <c r="A1466" s="114">
        <v>76</v>
      </c>
      <c r="B1466" s="24" t="s">
        <v>662</v>
      </c>
      <c r="C1466" s="25" t="s">
        <v>1096</v>
      </c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229">
        <f t="shared" si="576"/>
        <v>0</v>
      </c>
      <c r="AC1466" s="228">
        <f t="shared" si="580"/>
        <v>0</v>
      </c>
      <c r="AD1466" s="19">
        <v>0</v>
      </c>
      <c r="AE1466" s="28"/>
      <c r="AF1466" s="28"/>
      <c r="AG1466" s="28"/>
      <c r="AH1466" s="28"/>
      <c r="AI1466" s="28"/>
      <c r="AJ1466" s="28">
        <v>1</v>
      </c>
      <c r="AK1466" s="28"/>
      <c r="AL1466" s="28"/>
      <c r="AM1466" s="28"/>
      <c r="AN1466" s="28"/>
      <c r="AO1466" s="28"/>
      <c r="AP1466" s="28">
        <f>17+2</f>
        <v>19</v>
      </c>
      <c r="AQ1466" s="28"/>
      <c r="AR1466" s="28"/>
      <c r="AS1466" s="28"/>
      <c r="AT1466" s="28"/>
      <c r="AU1466" s="28"/>
      <c r="AV1466" s="28">
        <v>55</v>
      </c>
      <c r="AW1466" s="28"/>
      <c r="AX1466" s="28"/>
      <c r="AY1466" s="28"/>
      <c r="AZ1466" s="28"/>
      <c r="BA1466" s="28"/>
      <c r="BB1466" s="28">
        <v>67</v>
      </c>
      <c r="BC1466" s="229">
        <f t="shared" si="577"/>
        <v>0</v>
      </c>
      <c r="BD1466" s="48">
        <f t="shared" si="581"/>
        <v>142</v>
      </c>
      <c r="BE1466" s="19">
        <v>2</v>
      </c>
      <c r="BF1466" s="229">
        <f t="shared" si="578"/>
        <v>0</v>
      </c>
      <c r="BG1466" s="210">
        <f t="shared" si="582"/>
        <v>142</v>
      </c>
      <c r="BH1466" s="210">
        <f t="shared" si="583"/>
        <v>2</v>
      </c>
      <c r="BI1466" s="213">
        <f t="shared" si="579"/>
        <v>7100</v>
      </c>
      <c r="BJ1466" s="141"/>
      <c r="BK1466" s="201"/>
      <c r="BL1466" s="4"/>
      <c r="BM1466" s="4"/>
    </row>
    <row r="1467" spans="1:65" s="38" customFormat="1" ht="18" customHeight="1">
      <c r="A1467" s="114">
        <v>77</v>
      </c>
      <c r="B1467" s="24" t="s">
        <v>663</v>
      </c>
      <c r="C1467" s="25" t="s">
        <v>1097</v>
      </c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229">
        <f t="shared" si="576"/>
        <v>0</v>
      </c>
      <c r="AC1467" s="228">
        <f t="shared" si="580"/>
        <v>0</v>
      </c>
      <c r="AD1467" s="19">
        <v>0</v>
      </c>
      <c r="AE1467" s="28"/>
      <c r="AF1467" s="28"/>
      <c r="AG1467" s="28"/>
      <c r="AH1467" s="28"/>
      <c r="AI1467" s="28"/>
      <c r="AJ1467" s="28">
        <v>36</v>
      </c>
      <c r="AK1467" s="28"/>
      <c r="AL1467" s="28"/>
      <c r="AM1467" s="28"/>
      <c r="AN1467" s="28"/>
      <c r="AO1467" s="28"/>
      <c r="AP1467" s="28">
        <v>48</v>
      </c>
      <c r="AQ1467" s="28"/>
      <c r="AR1467" s="28"/>
      <c r="AS1467" s="28"/>
      <c r="AT1467" s="28"/>
      <c r="AU1467" s="28"/>
      <c r="AV1467" s="28">
        <v>49</v>
      </c>
      <c r="AW1467" s="28"/>
      <c r="AX1467" s="28"/>
      <c r="AY1467" s="28"/>
      <c r="AZ1467" s="28"/>
      <c r="BA1467" s="28"/>
      <c r="BB1467" s="28">
        <v>34</v>
      </c>
      <c r="BC1467" s="229">
        <f t="shared" si="577"/>
        <v>0</v>
      </c>
      <c r="BD1467" s="48">
        <f t="shared" si="581"/>
        <v>167</v>
      </c>
      <c r="BE1467" s="19">
        <v>148</v>
      </c>
      <c r="BF1467" s="229">
        <f t="shared" si="578"/>
        <v>0</v>
      </c>
      <c r="BG1467" s="210">
        <f t="shared" si="582"/>
        <v>167</v>
      </c>
      <c r="BH1467" s="210">
        <f t="shared" si="583"/>
        <v>148</v>
      </c>
      <c r="BI1467" s="213">
        <f t="shared" si="579"/>
        <v>112.83783783783782</v>
      </c>
      <c r="BJ1467" s="141"/>
      <c r="BK1467" s="201"/>
      <c r="BL1467" s="4"/>
      <c r="BM1467" s="4"/>
    </row>
    <row r="1468" spans="1:65" s="38" customFormat="1" ht="18" customHeight="1">
      <c r="A1468" s="114">
        <v>78</v>
      </c>
      <c r="B1468" s="24" t="s">
        <v>1370</v>
      </c>
      <c r="C1468" s="25" t="s">
        <v>2833</v>
      </c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229">
        <f t="shared" ref="AB1468:AB1487" si="584">D1468+F1468+H1468+J1468+L1468+N1468+P1468+R1468+T1468+V1468+X1468+Z1468</f>
        <v>0</v>
      </c>
      <c r="AC1468" s="228">
        <f t="shared" si="580"/>
        <v>0</v>
      </c>
      <c r="AD1468" s="19">
        <v>0</v>
      </c>
      <c r="AE1468" s="28"/>
      <c r="AF1468" s="28"/>
      <c r="AG1468" s="28"/>
      <c r="AH1468" s="28"/>
      <c r="AI1468" s="28"/>
      <c r="AJ1468" s="28">
        <v>1</v>
      </c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29">
        <f t="shared" ref="BC1468:BC1487" si="585">AE1468+AG1468+AI1468+AK1468+AM1468+AO1468+AQ1468+AS1468+AU1468+AW1468+AY1468+BA1468</f>
        <v>0</v>
      </c>
      <c r="BD1468" s="48">
        <f t="shared" si="581"/>
        <v>1</v>
      </c>
      <c r="BE1468" s="19">
        <v>0</v>
      </c>
      <c r="BF1468" s="229">
        <f t="shared" ref="BF1468:BF1487" si="586">AB1468+BC1468</f>
        <v>0</v>
      </c>
      <c r="BG1468" s="210">
        <f t="shared" si="582"/>
        <v>1</v>
      </c>
      <c r="BH1468" s="210">
        <f t="shared" si="583"/>
        <v>0</v>
      </c>
      <c r="BI1468" s="213" t="e">
        <f t="shared" si="579"/>
        <v>#DIV/0!</v>
      </c>
      <c r="BJ1468" s="141"/>
      <c r="BK1468" s="201"/>
      <c r="BL1468" s="4"/>
      <c r="BM1468" s="4"/>
    </row>
    <row r="1469" spans="1:65" s="38" customFormat="1" ht="21.95" customHeight="1">
      <c r="A1469" s="114">
        <v>79</v>
      </c>
      <c r="B1469" s="24" t="s">
        <v>664</v>
      </c>
      <c r="C1469" s="27" t="s">
        <v>1167</v>
      </c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229">
        <f t="shared" si="584"/>
        <v>0</v>
      </c>
      <c r="AC1469" s="228">
        <f t="shared" si="580"/>
        <v>0</v>
      </c>
      <c r="AD1469" s="19">
        <v>0</v>
      </c>
      <c r="AE1469" s="28"/>
      <c r="AF1469" s="28"/>
      <c r="AG1469" s="28"/>
      <c r="AH1469" s="28"/>
      <c r="AI1469" s="28"/>
      <c r="AJ1469" s="28">
        <f>358+21+38+16</f>
        <v>433</v>
      </c>
      <c r="AK1469" s="28"/>
      <c r="AL1469" s="28"/>
      <c r="AM1469" s="28"/>
      <c r="AN1469" s="28"/>
      <c r="AO1469" s="28"/>
      <c r="AP1469" s="28">
        <f>481+5+30+19</f>
        <v>535</v>
      </c>
      <c r="AQ1469" s="28"/>
      <c r="AR1469" s="28"/>
      <c r="AS1469" s="28"/>
      <c r="AT1469" s="28"/>
      <c r="AU1469" s="28"/>
      <c r="AV1469" s="28">
        <f>556+20+46</f>
        <v>622</v>
      </c>
      <c r="AW1469" s="28"/>
      <c r="AX1469" s="28"/>
      <c r="AY1469" s="28"/>
      <c r="AZ1469" s="28"/>
      <c r="BA1469" s="28"/>
      <c r="BB1469" s="28">
        <f>444+6+26</f>
        <v>476</v>
      </c>
      <c r="BC1469" s="229">
        <f t="shared" si="585"/>
        <v>0</v>
      </c>
      <c r="BD1469" s="48">
        <f t="shared" si="581"/>
        <v>2066</v>
      </c>
      <c r="BE1469" s="19">
        <v>1598</v>
      </c>
      <c r="BF1469" s="229">
        <f t="shared" si="586"/>
        <v>0</v>
      </c>
      <c r="BG1469" s="210">
        <f t="shared" si="582"/>
        <v>2066</v>
      </c>
      <c r="BH1469" s="210">
        <f t="shared" si="583"/>
        <v>1598</v>
      </c>
      <c r="BI1469" s="213">
        <f t="shared" si="579"/>
        <v>129.28660826032541</v>
      </c>
      <c r="BJ1469" s="141"/>
      <c r="BK1469" s="201"/>
      <c r="BL1469" s="4"/>
      <c r="BM1469" s="4"/>
    </row>
    <row r="1470" spans="1:65" s="38" customFormat="1" ht="18" customHeight="1">
      <c r="A1470" s="114">
        <v>80</v>
      </c>
      <c r="B1470" s="24" t="s">
        <v>1703</v>
      </c>
      <c r="C1470" s="25" t="s">
        <v>1704</v>
      </c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229">
        <f t="shared" si="584"/>
        <v>0</v>
      </c>
      <c r="AC1470" s="228">
        <f t="shared" si="580"/>
        <v>0</v>
      </c>
      <c r="AD1470" s="19">
        <v>0</v>
      </c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29">
        <f t="shared" si="585"/>
        <v>0</v>
      </c>
      <c r="BD1470" s="48">
        <f t="shared" si="581"/>
        <v>0</v>
      </c>
      <c r="BE1470" s="19">
        <v>484</v>
      </c>
      <c r="BF1470" s="229">
        <f t="shared" si="586"/>
        <v>0</v>
      </c>
      <c r="BG1470" s="210">
        <f t="shared" si="582"/>
        <v>0</v>
      </c>
      <c r="BH1470" s="210">
        <f t="shared" si="583"/>
        <v>484</v>
      </c>
      <c r="BI1470" s="213">
        <f t="shared" si="579"/>
        <v>0</v>
      </c>
      <c r="BJ1470" s="141"/>
      <c r="BK1470" s="201"/>
      <c r="BL1470" s="4"/>
      <c r="BM1470" s="4"/>
    </row>
    <row r="1471" spans="1:65" s="38" customFormat="1" ht="21.95" customHeight="1">
      <c r="A1471" s="114">
        <v>81</v>
      </c>
      <c r="B1471" s="24" t="s">
        <v>1634</v>
      </c>
      <c r="C1471" s="27" t="s">
        <v>1705</v>
      </c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229">
        <f t="shared" si="584"/>
        <v>0</v>
      </c>
      <c r="AC1471" s="228">
        <f t="shared" si="580"/>
        <v>0</v>
      </c>
      <c r="AD1471" s="19">
        <v>0</v>
      </c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29">
        <f t="shared" si="585"/>
        <v>0</v>
      </c>
      <c r="BD1471" s="48">
        <f t="shared" si="581"/>
        <v>0</v>
      </c>
      <c r="BE1471" s="19">
        <v>18</v>
      </c>
      <c r="BF1471" s="229">
        <f t="shared" si="586"/>
        <v>0</v>
      </c>
      <c r="BG1471" s="210">
        <f t="shared" si="582"/>
        <v>0</v>
      </c>
      <c r="BH1471" s="210">
        <f t="shared" si="583"/>
        <v>18</v>
      </c>
      <c r="BI1471" s="213">
        <f t="shared" si="579"/>
        <v>0</v>
      </c>
      <c r="BJ1471" s="141"/>
      <c r="BK1471" s="201"/>
      <c r="BL1471" s="4"/>
      <c r="BM1471" s="4"/>
    </row>
    <row r="1472" spans="1:65" s="38" customFormat="1" ht="18" customHeight="1">
      <c r="A1472" s="114">
        <v>82</v>
      </c>
      <c r="B1472" s="24" t="s">
        <v>704</v>
      </c>
      <c r="C1472" s="25" t="s">
        <v>1383</v>
      </c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229">
        <f t="shared" si="584"/>
        <v>0</v>
      </c>
      <c r="AC1472" s="228">
        <f t="shared" si="580"/>
        <v>0</v>
      </c>
      <c r="AD1472" s="19">
        <v>0</v>
      </c>
      <c r="AE1472" s="28"/>
      <c r="AF1472" s="28"/>
      <c r="AG1472" s="28"/>
      <c r="AH1472" s="28"/>
      <c r="AI1472" s="28"/>
      <c r="AJ1472" s="28">
        <f>35+28+6</f>
        <v>69</v>
      </c>
      <c r="AK1472" s="28"/>
      <c r="AL1472" s="28"/>
      <c r="AM1472" s="28"/>
      <c r="AN1472" s="28"/>
      <c r="AO1472" s="28"/>
      <c r="AP1472" s="28">
        <f>24+33</f>
        <v>57</v>
      </c>
      <c r="AQ1472" s="28"/>
      <c r="AR1472" s="28"/>
      <c r="AS1472" s="28"/>
      <c r="AT1472" s="28"/>
      <c r="AU1472" s="28"/>
      <c r="AV1472" s="28">
        <v>47</v>
      </c>
      <c r="AW1472" s="28"/>
      <c r="AX1472" s="28"/>
      <c r="AY1472" s="28"/>
      <c r="AZ1472" s="28"/>
      <c r="BA1472" s="28"/>
      <c r="BB1472" s="28">
        <f>1+42</f>
        <v>43</v>
      </c>
      <c r="BC1472" s="229">
        <f t="shared" si="585"/>
        <v>0</v>
      </c>
      <c r="BD1472" s="48">
        <f t="shared" si="581"/>
        <v>216</v>
      </c>
      <c r="BE1472" s="19">
        <v>135</v>
      </c>
      <c r="BF1472" s="229">
        <f t="shared" si="586"/>
        <v>0</v>
      </c>
      <c r="BG1472" s="210">
        <f t="shared" si="582"/>
        <v>216</v>
      </c>
      <c r="BH1472" s="210">
        <f t="shared" si="583"/>
        <v>135</v>
      </c>
      <c r="BI1472" s="213">
        <f t="shared" si="579"/>
        <v>160</v>
      </c>
      <c r="BJ1472" s="141"/>
      <c r="BK1472" s="201"/>
      <c r="BL1472" s="4"/>
      <c r="BM1472" s="4"/>
    </row>
    <row r="1473" spans="1:65" s="38" customFormat="1" ht="18" customHeight="1">
      <c r="A1473" s="114">
        <v>83</v>
      </c>
      <c r="B1473" s="24" t="s">
        <v>787</v>
      </c>
      <c r="C1473" s="25" t="s">
        <v>1171</v>
      </c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229">
        <f t="shared" si="584"/>
        <v>0</v>
      </c>
      <c r="AC1473" s="228">
        <f t="shared" si="580"/>
        <v>0</v>
      </c>
      <c r="AD1473" s="19">
        <v>0</v>
      </c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29">
        <f t="shared" si="585"/>
        <v>0</v>
      </c>
      <c r="BD1473" s="48">
        <f t="shared" si="581"/>
        <v>0</v>
      </c>
      <c r="BE1473" s="19">
        <v>1</v>
      </c>
      <c r="BF1473" s="229">
        <f t="shared" si="586"/>
        <v>0</v>
      </c>
      <c r="BG1473" s="210">
        <f t="shared" si="582"/>
        <v>0</v>
      </c>
      <c r="BH1473" s="210">
        <f t="shared" si="583"/>
        <v>1</v>
      </c>
      <c r="BI1473" s="213">
        <f t="shared" si="579"/>
        <v>0</v>
      </c>
      <c r="BJ1473" s="141"/>
      <c r="BK1473" s="201"/>
      <c r="BL1473" s="4"/>
      <c r="BM1473" s="4"/>
    </row>
    <row r="1474" spans="1:65" s="38" customFormat="1" ht="18" customHeight="1">
      <c r="A1474" s="114">
        <v>84</v>
      </c>
      <c r="B1474" s="24" t="s">
        <v>788</v>
      </c>
      <c r="C1474" s="25" t="s">
        <v>1172</v>
      </c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229">
        <f t="shared" si="584"/>
        <v>0</v>
      </c>
      <c r="AC1474" s="228">
        <f t="shared" si="580"/>
        <v>0</v>
      </c>
      <c r="AD1474" s="19">
        <v>0</v>
      </c>
      <c r="AE1474" s="28"/>
      <c r="AF1474" s="28"/>
      <c r="AG1474" s="28"/>
      <c r="AH1474" s="28"/>
      <c r="AI1474" s="28"/>
      <c r="AJ1474" s="28">
        <v>112</v>
      </c>
      <c r="AK1474" s="28"/>
      <c r="AL1474" s="28"/>
      <c r="AM1474" s="28"/>
      <c r="AN1474" s="28"/>
      <c r="AO1474" s="28"/>
      <c r="AP1474" s="28">
        <f>117+1</f>
        <v>118</v>
      </c>
      <c r="AQ1474" s="28"/>
      <c r="AR1474" s="28"/>
      <c r="AS1474" s="28"/>
      <c r="AT1474" s="28"/>
      <c r="AU1474" s="28"/>
      <c r="AV1474" s="28">
        <v>193</v>
      </c>
      <c r="AW1474" s="28"/>
      <c r="AX1474" s="28"/>
      <c r="AY1474" s="28"/>
      <c r="AZ1474" s="28"/>
      <c r="BA1474" s="28"/>
      <c r="BB1474" s="28">
        <v>223</v>
      </c>
      <c r="BC1474" s="229">
        <f t="shared" si="585"/>
        <v>0</v>
      </c>
      <c r="BD1474" s="48">
        <f t="shared" si="581"/>
        <v>646</v>
      </c>
      <c r="BE1474" s="19">
        <v>1185</v>
      </c>
      <c r="BF1474" s="229">
        <f t="shared" si="586"/>
        <v>0</v>
      </c>
      <c r="BG1474" s="210">
        <f t="shared" si="582"/>
        <v>646</v>
      </c>
      <c r="BH1474" s="210">
        <f t="shared" si="583"/>
        <v>1185</v>
      </c>
      <c r="BI1474" s="213">
        <f t="shared" si="579"/>
        <v>54.514767932489448</v>
      </c>
      <c r="BJ1474" s="141"/>
      <c r="BK1474" s="201"/>
      <c r="BL1474" s="4"/>
      <c r="BM1474" s="4"/>
    </row>
    <row r="1475" spans="1:65" s="38" customFormat="1" ht="18" customHeight="1">
      <c r="A1475" s="114">
        <v>85</v>
      </c>
      <c r="B1475" s="24" t="s">
        <v>789</v>
      </c>
      <c r="C1475" s="25" t="s">
        <v>2127</v>
      </c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229">
        <f t="shared" si="584"/>
        <v>0</v>
      </c>
      <c r="AC1475" s="228">
        <f t="shared" si="580"/>
        <v>0</v>
      </c>
      <c r="AD1475" s="19">
        <v>0</v>
      </c>
      <c r="AE1475" s="28"/>
      <c r="AF1475" s="28"/>
      <c r="AG1475" s="28"/>
      <c r="AH1475" s="28"/>
      <c r="AI1475" s="28"/>
      <c r="AJ1475" s="28">
        <f>160+10</f>
        <v>170</v>
      </c>
      <c r="AK1475" s="28"/>
      <c r="AL1475" s="28"/>
      <c r="AM1475" s="28"/>
      <c r="AN1475" s="28"/>
      <c r="AO1475" s="28"/>
      <c r="AP1475" s="28">
        <v>139</v>
      </c>
      <c r="AQ1475" s="28"/>
      <c r="AR1475" s="28"/>
      <c r="AS1475" s="28"/>
      <c r="AT1475" s="28"/>
      <c r="AU1475" s="28"/>
      <c r="AV1475" s="28">
        <v>129</v>
      </c>
      <c r="AW1475" s="28"/>
      <c r="AX1475" s="28"/>
      <c r="AY1475" s="28"/>
      <c r="AZ1475" s="28"/>
      <c r="BA1475" s="28"/>
      <c r="BB1475" s="28">
        <f>97+1</f>
        <v>98</v>
      </c>
      <c r="BC1475" s="229">
        <f t="shared" si="585"/>
        <v>0</v>
      </c>
      <c r="BD1475" s="48">
        <f t="shared" si="581"/>
        <v>536</v>
      </c>
      <c r="BE1475" s="19">
        <v>588</v>
      </c>
      <c r="BF1475" s="229">
        <f t="shared" si="586"/>
        <v>0</v>
      </c>
      <c r="BG1475" s="210">
        <f t="shared" si="582"/>
        <v>536</v>
      </c>
      <c r="BH1475" s="210">
        <f t="shared" si="583"/>
        <v>588</v>
      </c>
      <c r="BI1475" s="213">
        <f t="shared" si="579"/>
        <v>91.156462585034021</v>
      </c>
      <c r="BJ1475" s="141"/>
      <c r="BK1475" s="201"/>
      <c r="BL1475" s="4"/>
      <c r="BM1475" s="4"/>
    </row>
    <row r="1476" spans="1:65" s="38" customFormat="1" ht="18" customHeight="1">
      <c r="A1476" s="114">
        <v>86</v>
      </c>
      <c r="B1476" s="24" t="s">
        <v>1173</v>
      </c>
      <c r="C1476" s="25" t="s">
        <v>1371</v>
      </c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229">
        <f t="shared" si="584"/>
        <v>0</v>
      </c>
      <c r="AC1476" s="228">
        <f t="shared" si="580"/>
        <v>0</v>
      </c>
      <c r="AD1476" s="19">
        <v>0</v>
      </c>
      <c r="AE1476" s="28"/>
      <c r="AF1476" s="28"/>
      <c r="AG1476" s="28"/>
      <c r="AH1476" s="28"/>
      <c r="AI1476" s="28"/>
      <c r="AJ1476" s="28">
        <v>1</v>
      </c>
      <c r="AK1476" s="28"/>
      <c r="AL1476" s="28"/>
      <c r="AM1476" s="28"/>
      <c r="AN1476" s="28"/>
      <c r="AO1476" s="28"/>
      <c r="AP1476" s="28">
        <v>6</v>
      </c>
      <c r="AQ1476" s="28"/>
      <c r="AR1476" s="28"/>
      <c r="AS1476" s="28"/>
      <c r="AT1476" s="28"/>
      <c r="AU1476" s="28"/>
      <c r="AV1476" s="28">
        <v>5</v>
      </c>
      <c r="AW1476" s="28"/>
      <c r="AX1476" s="28"/>
      <c r="AY1476" s="28"/>
      <c r="AZ1476" s="28"/>
      <c r="BA1476" s="28"/>
      <c r="BB1476" s="28"/>
      <c r="BC1476" s="229">
        <f t="shared" si="585"/>
        <v>0</v>
      </c>
      <c r="BD1476" s="48">
        <f t="shared" si="581"/>
        <v>12</v>
      </c>
      <c r="BE1476" s="19">
        <v>1</v>
      </c>
      <c r="BF1476" s="229">
        <f t="shared" si="586"/>
        <v>0</v>
      </c>
      <c r="BG1476" s="210">
        <f t="shared" si="582"/>
        <v>12</v>
      </c>
      <c r="BH1476" s="210">
        <f t="shared" si="583"/>
        <v>1</v>
      </c>
      <c r="BI1476" s="213">
        <f t="shared" si="579"/>
        <v>1200</v>
      </c>
      <c r="BJ1476" s="141"/>
      <c r="BK1476" s="201"/>
      <c r="BL1476" s="4"/>
      <c r="BM1476" s="4"/>
    </row>
    <row r="1477" spans="1:65" s="38" customFormat="1" ht="18" customHeight="1">
      <c r="A1477" s="114">
        <v>87</v>
      </c>
      <c r="B1477" s="24" t="s">
        <v>1174</v>
      </c>
      <c r="C1477" s="25" t="s">
        <v>1175</v>
      </c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229">
        <f t="shared" si="584"/>
        <v>0</v>
      </c>
      <c r="AC1477" s="228">
        <f t="shared" si="580"/>
        <v>0</v>
      </c>
      <c r="AD1477" s="19">
        <v>0</v>
      </c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29">
        <f t="shared" si="585"/>
        <v>0</v>
      </c>
      <c r="BD1477" s="48">
        <f t="shared" si="581"/>
        <v>0</v>
      </c>
      <c r="BE1477" s="19">
        <v>16</v>
      </c>
      <c r="BF1477" s="229">
        <f t="shared" si="586"/>
        <v>0</v>
      </c>
      <c r="BG1477" s="210">
        <f t="shared" si="582"/>
        <v>0</v>
      </c>
      <c r="BH1477" s="210">
        <f t="shared" si="583"/>
        <v>16</v>
      </c>
      <c r="BI1477" s="213">
        <f t="shared" si="579"/>
        <v>0</v>
      </c>
      <c r="BJ1477" s="141"/>
      <c r="BK1477" s="201"/>
      <c r="BL1477" s="4"/>
      <c r="BM1477" s="4"/>
    </row>
    <row r="1478" spans="1:65" s="38" customFormat="1" ht="18" customHeight="1">
      <c r="A1478" s="114">
        <v>88</v>
      </c>
      <c r="B1478" s="24" t="s">
        <v>1176</v>
      </c>
      <c r="C1478" s="25" t="s">
        <v>1388</v>
      </c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229">
        <f t="shared" si="584"/>
        <v>0</v>
      </c>
      <c r="AC1478" s="228">
        <f t="shared" si="580"/>
        <v>0</v>
      </c>
      <c r="AD1478" s="19">
        <v>0</v>
      </c>
      <c r="AE1478" s="28"/>
      <c r="AF1478" s="28"/>
      <c r="AG1478" s="28"/>
      <c r="AH1478" s="28"/>
      <c r="AI1478" s="28"/>
      <c r="AJ1478" s="28">
        <v>6</v>
      </c>
      <c r="AK1478" s="28"/>
      <c r="AL1478" s="28"/>
      <c r="AM1478" s="28"/>
      <c r="AN1478" s="28"/>
      <c r="AO1478" s="28"/>
      <c r="AP1478" s="28">
        <v>1</v>
      </c>
      <c r="AQ1478" s="28"/>
      <c r="AR1478" s="28"/>
      <c r="AS1478" s="28"/>
      <c r="AT1478" s="28"/>
      <c r="AU1478" s="28"/>
      <c r="AV1478" s="28">
        <v>4</v>
      </c>
      <c r="AW1478" s="28"/>
      <c r="AX1478" s="28"/>
      <c r="AY1478" s="28"/>
      <c r="AZ1478" s="28"/>
      <c r="BA1478" s="28"/>
      <c r="BB1478" s="28">
        <v>1</v>
      </c>
      <c r="BC1478" s="229">
        <f t="shared" si="585"/>
        <v>0</v>
      </c>
      <c r="BD1478" s="48">
        <f t="shared" si="581"/>
        <v>12</v>
      </c>
      <c r="BE1478" s="19">
        <v>71</v>
      </c>
      <c r="BF1478" s="229">
        <f t="shared" si="586"/>
        <v>0</v>
      </c>
      <c r="BG1478" s="210">
        <f t="shared" si="582"/>
        <v>12</v>
      </c>
      <c r="BH1478" s="210">
        <f t="shared" si="583"/>
        <v>71</v>
      </c>
      <c r="BI1478" s="213">
        <f t="shared" si="579"/>
        <v>16.901408450704224</v>
      </c>
      <c r="BJ1478" s="141"/>
      <c r="BK1478" s="201"/>
      <c r="BL1478" s="4"/>
      <c r="BM1478" s="4"/>
    </row>
    <row r="1479" spans="1:65" s="38" customFormat="1" ht="21.95" customHeight="1">
      <c r="A1479" s="114">
        <v>89</v>
      </c>
      <c r="B1479" s="24" t="s">
        <v>790</v>
      </c>
      <c r="C1479" s="27" t="s">
        <v>2431</v>
      </c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229">
        <f t="shared" si="584"/>
        <v>0</v>
      </c>
      <c r="AC1479" s="228">
        <f t="shared" si="580"/>
        <v>0</v>
      </c>
      <c r="AD1479" s="19">
        <v>0</v>
      </c>
      <c r="AE1479" s="28"/>
      <c r="AF1479" s="28"/>
      <c r="AG1479" s="28"/>
      <c r="AH1479" s="28"/>
      <c r="AI1479" s="28"/>
      <c r="AJ1479" s="28">
        <f>920+28+2+35</f>
        <v>985</v>
      </c>
      <c r="AK1479" s="28"/>
      <c r="AL1479" s="28"/>
      <c r="AM1479" s="28"/>
      <c r="AN1479" s="28"/>
      <c r="AO1479" s="28"/>
      <c r="AP1479" s="28">
        <f>890+16+65</f>
        <v>971</v>
      </c>
      <c r="AQ1479" s="28"/>
      <c r="AR1479" s="28"/>
      <c r="AS1479" s="28"/>
      <c r="AT1479" s="28"/>
      <c r="AU1479" s="28"/>
      <c r="AV1479" s="28">
        <f>987+20</f>
        <v>1007</v>
      </c>
      <c r="AW1479" s="28"/>
      <c r="AX1479" s="28"/>
      <c r="AY1479" s="28"/>
      <c r="AZ1479" s="28"/>
      <c r="BA1479" s="28"/>
      <c r="BB1479" s="28">
        <f>776+5+2</f>
        <v>783</v>
      </c>
      <c r="BC1479" s="229">
        <f t="shared" si="585"/>
        <v>0</v>
      </c>
      <c r="BD1479" s="48">
        <f t="shared" si="581"/>
        <v>3746</v>
      </c>
      <c r="BE1479" s="19">
        <v>3692</v>
      </c>
      <c r="BF1479" s="229">
        <f t="shared" si="586"/>
        <v>0</v>
      </c>
      <c r="BG1479" s="210">
        <f t="shared" si="582"/>
        <v>3746</v>
      </c>
      <c r="BH1479" s="210">
        <f t="shared" si="583"/>
        <v>3692</v>
      </c>
      <c r="BI1479" s="213">
        <f t="shared" si="579"/>
        <v>101.46262188515709</v>
      </c>
      <c r="BJ1479" s="141"/>
      <c r="BK1479" s="201"/>
      <c r="BL1479" s="4"/>
      <c r="BM1479" s="4"/>
    </row>
    <row r="1480" spans="1:65" s="38" customFormat="1" ht="18" customHeight="1">
      <c r="A1480" s="114">
        <v>90</v>
      </c>
      <c r="B1480" s="24" t="s">
        <v>2868</v>
      </c>
      <c r="C1480" s="25" t="s">
        <v>2869</v>
      </c>
      <c r="D1480" s="121"/>
      <c r="E1480" s="121"/>
      <c r="F1480" s="121"/>
      <c r="G1480" s="121"/>
      <c r="H1480" s="121"/>
      <c r="I1480" s="121">
        <v>1</v>
      </c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229">
        <f t="shared" si="584"/>
        <v>0</v>
      </c>
      <c r="AC1480" s="228">
        <f t="shared" si="580"/>
        <v>1</v>
      </c>
      <c r="AD1480" s="19">
        <v>0</v>
      </c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29">
        <f t="shared" si="585"/>
        <v>0</v>
      </c>
      <c r="BD1480" s="48">
        <f t="shared" si="581"/>
        <v>0</v>
      </c>
      <c r="BE1480" s="19">
        <v>0</v>
      </c>
      <c r="BF1480" s="229">
        <f t="shared" si="586"/>
        <v>0</v>
      </c>
      <c r="BG1480" s="210">
        <f t="shared" si="582"/>
        <v>1</v>
      </c>
      <c r="BH1480" s="210">
        <f t="shared" si="583"/>
        <v>0</v>
      </c>
      <c r="BI1480" s="213" t="e">
        <f t="shared" si="579"/>
        <v>#DIV/0!</v>
      </c>
      <c r="BJ1480" s="141"/>
      <c r="BK1480" s="201"/>
      <c r="BL1480" s="4"/>
      <c r="BM1480" s="4"/>
    </row>
    <row r="1481" spans="1:65" s="38" customFormat="1" ht="21.95" customHeight="1">
      <c r="A1481" s="114">
        <v>91</v>
      </c>
      <c r="B1481" s="24" t="s">
        <v>744</v>
      </c>
      <c r="C1481" s="27" t="s">
        <v>745</v>
      </c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229">
        <f t="shared" si="584"/>
        <v>0</v>
      </c>
      <c r="AC1481" s="228">
        <f t="shared" si="580"/>
        <v>0</v>
      </c>
      <c r="AD1481" s="19">
        <v>0</v>
      </c>
      <c r="AE1481" s="28"/>
      <c r="AF1481" s="28"/>
      <c r="AG1481" s="28"/>
      <c r="AH1481" s="28"/>
      <c r="AI1481" s="28"/>
      <c r="AJ1481" s="28">
        <v>2</v>
      </c>
      <c r="AK1481" s="28"/>
      <c r="AL1481" s="28"/>
      <c r="AM1481" s="28"/>
      <c r="AN1481" s="28"/>
      <c r="AO1481" s="28"/>
      <c r="AP1481" s="28">
        <f>10+1</f>
        <v>11</v>
      </c>
      <c r="AQ1481" s="28"/>
      <c r="AR1481" s="28"/>
      <c r="AS1481" s="28"/>
      <c r="AT1481" s="28"/>
      <c r="AU1481" s="28"/>
      <c r="AV1481" s="28">
        <v>16</v>
      </c>
      <c r="AW1481" s="28"/>
      <c r="AX1481" s="28"/>
      <c r="AY1481" s="28"/>
      <c r="AZ1481" s="28"/>
      <c r="BA1481" s="28"/>
      <c r="BB1481" s="28">
        <v>3</v>
      </c>
      <c r="BC1481" s="229">
        <f t="shared" si="585"/>
        <v>0</v>
      </c>
      <c r="BD1481" s="48">
        <f t="shared" si="581"/>
        <v>32</v>
      </c>
      <c r="BE1481" s="19">
        <v>30</v>
      </c>
      <c r="BF1481" s="229">
        <f t="shared" si="586"/>
        <v>0</v>
      </c>
      <c r="BG1481" s="210">
        <f t="shared" si="582"/>
        <v>32</v>
      </c>
      <c r="BH1481" s="210">
        <f t="shared" si="583"/>
        <v>30</v>
      </c>
      <c r="BI1481" s="213">
        <f t="shared" si="579"/>
        <v>106.66666666666667</v>
      </c>
      <c r="BJ1481" s="141"/>
      <c r="BK1481" s="201"/>
      <c r="BL1481" s="4"/>
      <c r="BM1481" s="4"/>
    </row>
    <row r="1482" spans="1:65" s="38" customFormat="1" ht="21.95" customHeight="1">
      <c r="A1482" s="114">
        <v>92</v>
      </c>
      <c r="B1482" s="24" t="s">
        <v>1177</v>
      </c>
      <c r="C1482" s="27" t="s">
        <v>2286</v>
      </c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229">
        <f t="shared" si="584"/>
        <v>0</v>
      </c>
      <c r="AC1482" s="228">
        <f t="shared" si="580"/>
        <v>0</v>
      </c>
      <c r="AD1482" s="19">
        <v>0</v>
      </c>
      <c r="AE1482" s="28"/>
      <c r="AF1482" s="28"/>
      <c r="AG1482" s="28"/>
      <c r="AH1482" s="28"/>
      <c r="AI1482" s="28"/>
      <c r="AJ1482" s="28">
        <v>1</v>
      </c>
      <c r="AK1482" s="28"/>
      <c r="AL1482" s="28"/>
      <c r="AM1482" s="28"/>
      <c r="AN1482" s="28"/>
      <c r="AO1482" s="28"/>
      <c r="AP1482" s="28">
        <v>1</v>
      </c>
      <c r="AQ1482" s="28"/>
      <c r="AR1482" s="28"/>
      <c r="AS1482" s="28"/>
      <c r="AT1482" s="28"/>
      <c r="AU1482" s="28"/>
      <c r="AV1482" s="28">
        <v>1</v>
      </c>
      <c r="AW1482" s="28"/>
      <c r="AX1482" s="28"/>
      <c r="AY1482" s="28"/>
      <c r="AZ1482" s="28"/>
      <c r="BA1482" s="28"/>
      <c r="BB1482" s="28"/>
      <c r="BC1482" s="229">
        <f t="shared" si="585"/>
        <v>0</v>
      </c>
      <c r="BD1482" s="48">
        <f t="shared" si="581"/>
        <v>3</v>
      </c>
      <c r="BE1482" s="19">
        <v>7</v>
      </c>
      <c r="BF1482" s="229">
        <f t="shared" si="586"/>
        <v>0</v>
      </c>
      <c r="BG1482" s="210">
        <f t="shared" si="582"/>
        <v>3</v>
      </c>
      <c r="BH1482" s="210">
        <f t="shared" si="583"/>
        <v>7</v>
      </c>
      <c r="BI1482" s="213">
        <f t="shared" si="579"/>
        <v>42.857142857142854</v>
      </c>
      <c r="BJ1482" s="141"/>
      <c r="BK1482" s="201"/>
      <c r="BL1482" s="4"/>
      <c r="BM1482" s="4"/>
    </row>
    <row r="1483" spans="1:65" s="38" customFormat="1" ht="21.95" customHeight="1">
      <c r="A1483" s="114">
        <v>93</v>
      </c>
      <c r="B1483" s="24" t="s">
        <v>824</v>
      </c>
      <c r="C1483" s="27" t="s">
        <v>825</v>
      </c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229">
        <f t="shared" si="584"/>
        <v>0</v>
      </c>
      <c r="AC1483" s="228">
        <f t="shared" si="580"/>
        <v>0</v>
      </c>
      <c r="AD1483" s="19">
        <v>0</v>
      </c>
      <c r="AE1483" s="28"/>
      <c r="AF1483" s="28"/>
      <c r="AG1483" s="28"/>
      <c r="AH1483" s="28"/>
      <c r="AI1483" s="28"/>
      <c r="AJ1483" s="28">
        <v>7</v>
      </c>
      <c r="AK1483" s="28"/>
      <c r="AL1483" s="28"/>
      <c r="AM1483" s="28"/>
      <c r="AN1483" s="28"/>
      <c r="AO1483" s="28"/>
      <c r="AP1483" s="28">
        <v>14</v>
      </c>
      <c r="AQ1483" s="28"/>
      <c r="AR1483" s="28"/>
      <c r="AS1483" s="28"/>
      <c r="AT1483" s="28"/>
      <c r="AU1483" s="28"/>
      <c r="AV1483" s="28">
        <v>3</v>
      </c>
      <c r="AW1483" s="28"/>
      <c r="AX1483" s="28"/>
      <c r="AY1483" s="28"/>
      <c r="AZ1483" s="28"/>
      <c r="BA1483" s="28"/>
      <c r="BB1483" s="28">
        <v>6</v>
      </c>
      <c r="BC1483" s="229">
        <f t="shared" si="585"/>
        <v>0</v>
      </c>
      <c r="BD1483" s="48">
        <f t="shared" si="581"/>
        <v>30</v>
      </c>
      <c r="BE1483" s="19">
        <v>45</v>
      </c>
      <c r="BF1483" s="229">
        <f t="shared" si="586"/>
        <v>0</v>
      </c>
      <c r="BG1483" s="210">
        <f t="shared" si="582"/>
        <v>30</v>
      </c>
      <c r="BH1483" s="210">
        <f t="shared" si="583"/>
        <v>45</v>
      </c>
      <c r="BI1483" s="213">
        <f t="shared" si="579"/>
        <v>66.666666666666657</v>
      </c>
      <c r="BJ1483" s="141"/>
      <c r="BK1483" s="201"/>
      <c r="BL1483" s="4"/>
      <c r="BM1483" s="4"/>
    </row>
    <row r="1484" spans="1:65" s="38" customFormat="1" ht="18" customHeight="1">
      <c r="A1484" s="114">
        <v>94</v>
      </c>
      <c r="B1484" s="24" t="s">
        <v>665</v>
      </c>
      <c r="C1484" s="25" t="s">
        <v>666</v>
      </c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229">
        <f t="shared" si="584"/>
        <v>0</v>
      </c>
      <c r="AC1484" s="228">
        <f t="shared" si="580"/>
        <v>0</v>
      </c>
      <c r="AD1484" s="19">
        <v>0</v>
      </c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29">
        <f t="shared" si="585"/>
        <v>0</v>
      </c>
      <c r="BD1484" s="48">
        <f t="shared" si="581"/>
        <v>0</v>
      </c>
      <c r="BE1484" s="19">
        <v>416</v>
      </c>
      <c r="BF1484" s="229">
        <f t="shared" si="586"/>
        <v>0</v>
      </c>
      <c r="BG1484" s="210">
        <f t="shared" si="582"/>
        <v>0</v>
      </c>
      <c r="BH1484" s="210">
        <f t="shared" si="583"/>
        <v>416</v>
      </c>
      <c r="BI1484" s="213">
        <f t="shared" si="579"/>
        <v>0</v>
      </c>
      <c r="BJ1484" s="141"/>
      <c r="BK1484" s="201"/>
      <c r="BL1484" s="4"/>
      <c r="BM1484" s="4"/>
    </row>
    <row r="1485" spans="1:65" s="38" customFormat="1" ht="27" customHeight="1">
      <c r="A1485" s="114">
        <v>95</v>
      </c>
      <c r="B1485" s="24" t="s">
        <v>667</v>
      </c>
      <c r="C1485" s="27" t="s">
        <v>792</v>
      </c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229">
        <f t="shared" si="584"/>
        <v>0</v>
      </c>
      <c r="AC1485" s="228">
        <f t="shared" si="580"/>
        <v>0</v>
      </c>
      <c r="AD1485" s="19">
        <v>0</v>
      </c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29">
        <f t="shared" si="585"/>
        <v>0</v>
      </c>
      <c r="BD1485" s="48">
        <f t="shared" si="581"/>
        <v>0</v>
      </c>
      <c r="BE1485" s="19">
        <v>1</v>
      </c>
      <c r="BF1485" s="229">
        <f t="shared" si="586"/>
        <v>0</v>
      </c>
      <c r="BG1485" s="210">
        <f t="shared" si="582"/>
        <v>0</v>
      </c>
      <c r="BH1485" s="210">
        <f t="shared" si="583"/>
        <v>1</v>
      </c>
      <c r="BI1485" s="213">
        <f t="shared" si="579"/>
        <v>0</v>
      </c>
      <c r="BJ1485" s="141"/>
      <c r="BK1485" s="201"/>
      <c r="BL1485" s="4"/>
      <c r="BM1485" s="4"/>
    </row>
    <row r="1486" spans="1:65" s="38" customFormat="1" ht="18" customHeight="1">
      <c r="A1486" s="114">
        <v>96</v>
      </c>
      <c r="B1486" s="24" t="s">
        <v>1792</v>
      </c>
      <c r="C1486" s="162" t="s">
        <v>1793</v>
      </c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229">
        <f t="shared" si="584"/>
        <v>0</v>
      </c>
      <c r="AC1486" s="228">
        <f t="shared" si="580"/>
        <v>0</v>
      </c>
      <c r="AD1486" s="19">
        <v>1</v>
      </c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29">
        <f t="shared" si="585"/>
        <v>0</v>
      </c>
      <c r="BD1486" s="48">
        <f t="shared" si="581"/>
        <v>0</v>
      </c>
      <c r="BE1486" s="19">
        <v>0</v>
      </c>
      <c r="BF1486" s="229">
        <f t="shared" si="586"/>
        <v>0</v>
      </c>
      <c r="BG1486" s="210">
        <f t="shared" si="582"/>
        <v>0</v>
      </c>
      <c r="BH1486" s="210">
        <f t="shared" si="583"/>
        <v>1</v>
      </c>
      <c r="BI1486" s="213">
        <f t="shared" si="579"/>
        <v>0</v>
      </c>
      <c r="BJ1486" s="269" t="s">
        <v>2856</v>
      </c>
      <c r="BK1486" s="201"/>
      <c r="BL1486" s="4"/>
      <c r="BM1486" s="4"/>
    </row>
    <row r="1487" spans="1:65" s="38" customFormat="1" ht="18" customHeight="1">
      <c r="A1487" s="114">
        <v>97</v>
      </c>
      <c r="B1487" s="156" t="s">
        <v>1788</v>
      </c>
      <c r="C1487" s="159" t="s">
        <v>1789</v>
      </c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229">
        <f t="shared" si="584"/>
        <v>0</v>
      </c>
      <c r="AC1487" s="228">
        <f t="shared" si="580"/>
        <v>0</v>
      </c>
      <c r="AD1487" s="19">
        <v>1</v>
      </c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29">
        <f t="shared" si="585"/>
        <v>0</v>
      </c>
      <c r="BD1487" s="48">
        <f t="shared" si="581"/>
        <v>0</v>
      </c>
      <c r="BE1487" s="19">
        <v>0</v>
      </c>
      <c r="BF1487" s="229">
        <f t="shared" si="586"/>
        <v>0</v>
      </c>
      <c r="BG1487" s="210">
        <f t="shared" si="582"/>
        <v>0</v>
      </c>
      <c r="BH1487" s="210">
        <f t="shared" si="583"/>
        <v>1</v>
      </c>
      <c r="BI1487" s="213">
        <f t="shared" ref="BI1487" si="587">BG1487/BH1487*100</f>
        <v>0</v>
      </c>
      <c r="BJ1487" s="269" t="s">
        <v>2856</v>
      </c>
      <c r="BK1487" s="201"/>
      <c r="BL1487" s="4"/>
      <c r="BM1487" s="4"/>
    </row>
    <row r="1488" spans="1:65" s="38" customFormat="1" ht="21.95" customHeight="1">
      <c r="A1488" s="375" t="s">
        <v>2763</v>
      </c>
      <c r="B1488" s="375"/>
      <c r="C1488" s="375"/>
      <c r="D1488" s="220">
        <f t="shared" ref="D1488:BE1488" si="588">SUM(D1489:D1564)</f>
        <v>0</v>
      </c>
      <c r="E1488" s="220">
        <f t="shared" si="588"/>
        <v>0</v>
      </c>
      <c r="F1488" s="220">
        <f t="shared" si="588"/>
        <v>0</v>
      </c>
      <c r="G1488" s="220">
        <f t="shared" si="588"/>
        <v>0</v>
      </c>
      <c r="H1488" s="220">
        <f t="shared" si="588"/>
        <v>0</v>
      </c>
      <c r="I1488" s="220">
        <f t="shared" si="588"/>
        <v>2057</v>
      </c>
      <c r="J1488" s="220">
        <f t="shared" si="588"/>
        <v>0</v>
      </c>
      <c r="K1488" s="220">
        <f t="shared" si="588"/>
        <v>0</v>
      </c>
      <c r="L1488" s="220">
        <f t="shared" si="588"/>
        <v>0</v>
      </c>
      <c r="M1488" s="220">
        <f t="shared" si="588"/>
        <v>0</v>
      </c>
      <c r="N1488" s="220">
        <f t="shared" si="588"/>
        <v>0</v>
      </c>
      <c r="O1488" s="220">
        <f t="shared" si="588"/>
        <v>2184</v>
      </c>
      <c r="P1488" s="220">
        <f t="shared" si="588"/>
        <v>0</v>
      </c>
      <c r="Q1488" s="220">
        <f t="shared" si="588"/>
        <v>0</v>
      </c>
      <c r="R1488" s="220">
        <f t="shared" si="588"/>
        <v>0</v>
      </c>
      <c r="S1488" s="220">
        <f t="shared" si="588"/>
        <v>0</v>
      </c>
      <c r="T1488" s="220">
        <f t="shared" si="588"/>
        <v>0</v>
      </c>
      <c r="U1488" s="220">
        <f t="shared" si="588"/>
        <v>4061</v>
      </c>
      <c r="V1488" s="220">
        <f t="shared" si="588"/>
        <v>0</v>
      </c>
      <c r="W1488" s="220">
        <f t="shared" si="588"/>
        <v>0</v>
      </c>
      <c r="X1488" s="220">
        <f t="shared" si="588"/>
        <v>0</v>
      </c>
      <c r="Y1488" s="220">
        <f t="shared" si="588"/>
        <v>0</v>
      </c>
      <c r="Z1488" s="220">
        <f t="shared" si="588"/>
        <v>0</v>
      </c>
      <c r="AA1488" s="220">
        <f t="shared" si="588"/>
        <v>2061</v>
      </c>
      <c r="AB1488" s="220">
        <f t="shared" ref="AB1488" si="589">D1488+F1488+H1488+J1488+L1488+N1488+P1488+R1488+T1488+V1488+X1488+Z1488</f>
        <v>0</v>
      </c>
      <c r="AC1488" s="220">
        <f t="shared" ref="AC1488" si="590">E1488+G1488+I1488+K1488+M1488+O1488+Q1488+S1488+U1488+W1488+Y1488+AA1488</f>
        <v>10363</v>
      </c>
      <c r="AD1488" s="274">
        <f t="shared" si="588"/>
        <v>8569</v>
      </c>
      <c r="AE1488" s="210">
        <f t="shared" si="588"/>
        <v>0</v>
      </c>
      <c r="AF1488" s="210">
        <f t="shared" si="588"/>
        <v>0</v>
      </c>
      <c r="AG1488" s="210">
        <f t="shared" si="588"/>
        <v>0</v>
      </c>
      <c r="AH1488" s="210">
        <f t="shared" si="588"/>
        <v>0</v>
      </c>
      <c r="AI1488" s="210">
        <f t="shared" si="588"/>
        <v>0</v>
      </c>
      <c r="AJ1488" s="210">
        <f t="shared" si="588"/>
        <v>6451</v>
      </c>
      <c r="AK1488" s="210">
        <f t="shared" si="588"/>
        <v>0</v>
      </c>
      <c r="AL1488" s="210">
        <f t="shared" si="588"/>
        <v>0</v>
      </c>
      <c r="AM1488" s="210">
        <f t="shared" si="588"/>
        <v>0</v>
      </c>
      <c r="AN1488" s="210">
        <f t="shared" si="588"/>
        <v>0</v>
      </c>
      <c r="AO1488" s="210">
        <f t="shared" si="588"/>
        <v>0</v>
      </c>
      <c r="AP1488" s="210">
        <f t="shared" si="588"/>
        <v>8852</v>
      </c>
      <c r="AQ1488" s="210">
        <f t="shared" si="588"/>
        <v>0</v>
      </c>
      <c r="AR1488" s="210">
        <f t="shared" si="588"/>
        <v>0</v>
      </c>
      <c r="AS1488" s="210">
        <f t="shared" si="588"/>
        <v>0</v>
      </c>
      <c r="AT1488" s="210">
        <f t="shared" si="588"/>
        <v>0</v>
      </c>
      <c r="AU1488" s="210">
        <f t="shared" si="588"/>
        <v>0</v>
      </c>
      <c r="AV1488" s="210">
        <f t="shared" si="588"/>
        <v>10054</v>
      </c>
      <c r="AW1488" s="210">
        <f t="shared" si="588"/>
        <v>0</v>
      </c>
      <c r="AX1488" s="210">
        <f t="shared" si="588"/>
        <v>0</v>
      </c>
      <c r="AY1488" s="210">
        <f t="shared" si="588"/>
        <v>0</v>
      </c>
      <c r="AZ1488" s="210">
        <f t="shared" si="588"/>
        <v>0</v>
      </c>
      <c r="BA1488" s="210">
        <f t="shared" si="588"/>
        <v>0</v>
      </c>
      <c r="BB1488" s="210">
        <f t="shared" si="588"/>
        <v>10058</v>
      </c>
      <c r="BC1488" s="220">
        <f t="shared" ref="BC1488" si="591">AE1488+AG1488+AI1488+AK1488+AM1488+AO1488+AQ1488+AS1488+AU1488+AW1488+AY1488+BA1488</f>
        <v>0</v>
      </c>
      <c r="BD1488" s="210">
        <f t="shared" ref="BD1488" si="592">AF1488+AH1488+AJ1488+AL1488+AN1488+AP1488+AR1488+AT1488+AV1488+AX1488+AZ1488+BB1488</f>
        <v>35415</v>
      </c>
      <c r="BE1488" s="210">
        <f t="shared" si="588"/>
        <v>40261</v>
      </c>
      <c r="BF1488" s="220">
        <f t="shared" ref="BF1488" si="593">AB1488+BC1488</f>
        <v>0</v>
      </c>
      <c r="BG1488" s="210">
        <f t="shared" ref="BG1488" si="594">AC1488+BD1488</f>
        <v>45778</v>
      </c>
      <c r="BH1488" s="210">
        <f t="shared" ref="BH1488" si="595">AD1488+BE1488</f>
        <v>48830</v>
      </c>
      <c r="BI1488" s="213">
        <f t="shared" ref="BI1488" si="596">BG1488/BH1488*100</f>
        <v>93.749744009830025</v>
      </c>
      <c r="BJ1488" s="140">
        <v>48830</v>
      </c>
      <c r="BK1488" s="203">
        <f>BH1488-BJ1488</f>
        <v>0</v>
      </c>
      <c r="BL1488" s="4"/>
      <c r="BM1488" s="4"/>
    </row>
    <row r="1489" spans="1:65" ht="18" customHeight="1">
      <c r="A1489" s="114">
        <v>1</v>
      </c>
      <c r="B1489" s="24" t="s">
        <v>937</v>
      </c>
      <c r="C1489" s="25" t="s">
        <v>938</v>
      </c>
      <c r="D1489" s="121"/>
      <c r="E1489" s="121"/>
      <c r="F1489" s="121"/>
      <c r="G1489" s="121"/>
      <c r="H1489" s="121"/>
      <c r="I1489" s="121">
        <v>115</v>
      </c>
      <c r="J1489" s="121"/>
      <c r="K1489" s="121"/>
      <c r="L1489" s="121"/>
      <c r="M1489" s="121"/>
      <c r="N1489" s="121"/>
      <c r="O1489" s="121">
        <v>229</v>
      </c>
      <c r="P1489" s="121"/>
      <c r="Q1489" s="121"/>
      <c r="R1489" s="121"/>
      <c r="S1489" s="121"/>
      <c r="T1489" s="121"/>
      <c r="U1489" s="121">
        <f>143+184</f>
        <v>327</v>
      </c>
      <c r="V1489" s="121"/>
      <c r="W1489" s="121"/>
      <c r="X1489" s="121"/>
      <c r="Y1489" s="121"/>
      <c r="Z1489" s="121"/>
      <c r="AA1489" s="121"/>
      <c r="AB1489" s="229">
        <f t="shared" ref="AB1489:AC1491" si="597">D1489+F1489+H1489+J1489+L1489+N1489+P1489+R1489+T1489+V1489+X1489+Z1489</f>
        <v>0</v>
      </c>
      <c r="AC1489" s="228">
        <f t="shared" si="597"/>
        <v>671</v>
      </c>
      <c r="AD1489" s="19">
        <v>516</v>
      </c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29">
        <f t="shared" ref="BC1489:BD1491" si="598">AE1489+AG1489+AI1489+AK1489+AM1489+AO1489+AQ1489+AS1489+AU1489+AW1489+AY1489+BA1489</f>
        <v>0</v>
      </c>
      <c r="BD1489" s="48">
        <f t="shared" si="598"/>
        <v>0</v>
      </c>
      <c r="BE1489" s="19">
        <v>0</v>
      </c>
      <c r="BF1489" s="229">
        <f t="shared" ref="BF1489:BH1491" si="599">AB1489+BC1489</f>
        <v>0</v>
      </c>
      <c r="BG1489" s="210">
        <f t="shared" si="599"/>
        <v>671</v>
      </c>
      <c r="BH1489" s="210">
        <f t="shared" si="599"/>
        <v>516</v>
      </c>
      <c r="BI1489" s="213">
        <f t="shared" ref="BI1489:BI1520" si="600">BG1489/BH1489*100</f>
        <v>130.0387596899225</v>
      </c>
      <c r="BJ1489" s="270" t="s">
        <v>2857</v>
      </c>
      <c r="BK1489" s="201"/>
    </row>
    <row r="1490" spans="1:65" ht="18" customHeight="1">
      <c r="A1490" s="114">
        <v>2</v>
      </c>
      <c r="B1490" s="24" t="s">
        <v>1468</v>
      </c>
      <c r="C1490" s="25" t="s">
        <v>1471</v>
      </c>
      <c r="D1490" s="121"/>
      <c r="E1490" s="121"/>
      <c r="F1490" s="121"/>
      <c r="G1490" s="121"/>
      <c r="H1490" s="121"/>
      <c r="I1490" s="121">
        <f>4+197</f>
        <v>201</v>
      </c>
      <c r="J1490" s="121"/>
      <c r="K1490" s="121"/>
      <c r="L1490" s="121"/>
      <c r="M1490" s="121"/>
      <c r="N1490" s="121"/>
      <c r="O1490" s="121">
        <f>3+130</f>
        <v>133</v>
      </c>
      <c r="P1490" s="121"/>
      <c r="Q1490" s="121"/>
      <c r="R1490" s="121"/>
      <c r="S1490" s="121"/>
      <c r="T1490" s="121"/>
      <c r="U1490" s="121">
        <f>179+187+187</f>
        <v>553</v>
      </c>
      <c r="V1490" s="121"/>
      <c r="W1490" s="121"/>
      <c r="X1490" s="121"/>
      <c r="Y1490" s="121"/>
      <c r="Z1490" s="121"/>
      <c r="AA1490" s="121"/>
      <c r="AB1490" s="229">
        <f t="shared" si="597"/>
        <v>0</v>
      </c>
      <c r="AC1490" s="228">
        <f t="shared" si="597"/>
        <v>887</v>
      </c>
      <c r="AD1490" s="19">
        <v>678</v>
      </c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29">
        <f t="shared" si="598"/>
        <v>0</v>
      </c>
      <c r="BD1490" s="48">
        <f t="shared" si="598"/>
        <v>0</v>
      </c>
      <c r="BE1490" s="19">
        <v>0</v>
      </c>
      <c r="BF1490" s="229">
        <f t="shared" si="599"/>
        <v>0</v>
      </c>
      <c r="BG1490" s="210">
        <f t="shared" si="599"/>
        <v>887</v>
      </c>
      <c r="BH1490" s="210">
        <f t="shared" si="599"/>
        <v>678</v>
      </c>
      <c r="BI1490" s="213">
        <f t="shared" si="600"/>
        <v>130.8259587020649</v>
      </c>
      <c r="BJ1490" s="270" t="s">
        <v>2857</v>
      </c>
      <c r="BK1490" s="201"/>
    </row>
    <row r="1491" spans="1:65" ht="18" customHeight="1">
      <c r="A1491" s="114">
        <v>3</v>
      </c>
      <c r="B1491" s="24" t="s">
        <v>1482</v>
      </c>
      <c r="C1491" s="25" t="s">
        <v>1483</v>
      </c>
      <c r="D1491" s="121"/>
      <c r="E1491" s="121"/>
      <c r="F1491" s="121"/>
      <c r="G1491" s="121"/>
      <c r="H1491" s="121"/>
      <c r="I1491" s="121">
        <f>1735+1</f>
        <v>1736</v>
      </c>
      <c r="J1491" s="121"/>
      <c r="K1491" s="121"/>
      <c r="L1491" s="121"/>
      <c r="M1491" s="121"/>
      <c r="N1491" s="121"/>
      <c r="O1491" s="121">
        <v>1813</v>
      </c>
      <c r="P1491" s="121"/>
      <c r="Q1491" s="121"/>
      <c r="R1491" s="121"/>
      <c r="S1491" s="121"/>
      <c r="T1491" s="121"/>
      <c r="U1491" s="121">
        <f>1489+1146+301+75+159</f>
        <v>3170</v>
      </c>
      <c r="V1491" s="121"/>
      <c r="W1491" s="121"/>
      <c r="X1491" s="121"/>
      <c r="Y1491" s="121"/>
      <c r="Z1491" s="121"/>
      <c r="AA1491" s="121">
        <f>1729+320</f>
        <v>2049</v>
      </c>
      <c r="AB1491" s="229">
        <f t="shared" si="597"/>
        <v>0</v>
      </c>
      <c r="AC1491" s="228">
        <f t="shared" si="597"/>
        <v>8768</v>
      </c>
      <c r="AD1491" s="19">
        <v>7354</v>
      </c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29">
        <f t="shared" si="598"/>
        <v>0</v>
      </c>
      <c r="BD1491" s="48">
        <f t="shared" si="598"/>
        <v>0</v>
      </c>
      <c r="BE1491" s="19">
        <v>0</v>
      </c>
      <c r="BF1491" s="229">
        <f t="shared" si="599"/>
        <v>0</v>
      </c>
      <c r="BG1491" s="210">
        <f t="shared" si="599"/>
        <v>8768</v>
      </c>
      <c r="BH1491" s="210">
        <f t="shared" si="599"/>
        <v>7354</v>
      </c>
      <c r="BI1491" s="213">
        <f t="shared" si="600"/>
        <v>119.22763122110416</v>
      </c>
      <c r="BJ1491" s="270" t="s">
        <v>2857</v>
      </c>
      <c r="BK1491" s="201"/>
    </row>
    <row r="1492" spans="1:65" ht="18" customHeight="1">
      <c r="A1492" s="114">
        <v>4</v>
      </c>
      <c r="B1492" s="24" t="s">
        <v>553</v>
      </c>
      <c r="C1492" s="25" t="s">
        <v>554</v>
      </c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>
        <v>1</v>
      </c>
      <c r="P1492" s="121"/>
      <c r="Q1492" s="121"/>
      <c r="R1492" s="121"/>
      <c r="S1492" s="121"/>
      <c r="T1492" s="121"/>
      <c r="U1492" s="121">
        <v>1</v>
      </c>
      <c r="V1492" s="121"/>
      <c r="W1492" s="121"/>
      <c r="X1492" s="121"/>
      <c r="Y1492" s="121"/>
      <c r="Z1492" s="121"/>
      <c r="AA1492" s="121">
        <v>2</v>
      </c>
      <c r="AB1492" s="229"/>
      <c r="AC1492" s="228">
        <f t="shared" ref="AC1492:AC1524" si="601">E1492+G1492+I1492+K1492+M1492+O1492+Q1492+S1492+U1492+W1492+Y1492+AA1492</f>
        <v>4</v>
      </c>
      <c r="AD1492" s="19">
        <v>0</v>
      </c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29"/>
      <c r="BD1492" s="48">
        <f t="shared" ref="BD1492:BD1524" si="602">AF1492+AH1492+AJ1492+AL1492+AN1492+AP1492+AR1492+AT1492+AV1492+AX1492+AZ1492+BB1492</f>
        <v>0</v>
      </c>
      <c r="BE1492" s="19">
        <v>0</v>
      </c>
      <c r="BF1492" s="229"/>
      <c r="BG1492" s="210">
        <f t="shared" ref="BG1492:BG1524" si="603">AC1492+BD1492</f>
        <v>4</v>
      </c>
      <c r="BH1492" s="210">
        <f t="shared" ref="BH1492:BH1524" si="604">AD1492+BE1492</f>
        <v>0</v>
      </c>
      <c r="BI1492" s="213" t="e">
        <f t="shared" si="600"/>
        <v>#DIV/0!</v>
      </c>
      <c r="BJ1492" s="141"/>
      <c r="BK1492" s="201"/>
    </row>
    <row r="1493" spans="1:65" ht="18" customHeight="1">
      <c r="A1493" s="114">
        <v>5</v>
      </c>
      <c r="B1493" s="24" t="s">
        <v>561</v>
      </c>
      <c r="C1493" s="25" t="s">
        <v>562</v>
      </c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>
        <v>3</v>
      </c>
      <c r="AB1493" s="229">
        <f t="shared" ref="AB1493:AB1507" si="605">D1493+F1493+H1493+J1493+L1493+N1493+P1493+R1493+T1493+V1493+X1493+Z1493</f>
        <v>0</v>
      </c>
      <c r="AC1493" s="228">
        <f t="shared" si="601"/>
        <v>3</v>
      </c>
      <c r="AD1493" s="19">
        <v>0</v>
      </c>
      <c r="AE1493" s="28"/>
      <c r="AF1493" s="28"/>
      <c r="AG1493" s="28"/>
      <c r="AH1493" s="28"/>
      <c r="AI1493" s="28"/>
      <c r="AJ1493" s="28">
        <f>98+7+5+4</f>
        <v>114</v>
      </c>
      <c r="AK1493" s="28"/>
      <c r="AL1493" s="28"/>
      <c r="AM1493" s="28"/>
      <c r="AN1493" s="28"/>
      <c r="AO1493" s="28"/>
      <c r="AP1493" s="28">
        <f>111+2</f>
        <v>113</v>
      </c>
      <c r="AQ1493" s="28"/>
      <c r="AR1493" s="28"/>
      <c r="AS1493" s="28"/>
      <c r="AT1493" s="28"/>
      <c r="AU1493" s="28"/>
      <c r="AV1493" s="28">
        <f>135+11+3</f>
        <v>149</v>
      </c>
      <c r="AW1493" s="28"/>
      <c r="AX1493" s="28"/>
      <c r="AY1493" s="28"/>
      <c r="AZ1493" s="28"/>
      <c r="BA1493" s="28"/>
      <c r="BB1493" s="28">
        <f>110+7+6</f>
        <v>123</v>
      </c>
      <c r="BC1493" s="229">
        <f t="shared" ref="BC1493:BC1507" si="606">AE1493+AG1493+AI1493+AK1493+AM1493+AO1493+AQ1493+AS1493+AU1493+AW1493+AY1493+BA1493</f>
        <v>0</v>
      </c>
      <c r="BD1493" s="48">
        <f t="shared" si="602"/>
        <v>499</v>
      </c>
      <c r="BE1493" s="19">
        <v>594</v>
      </c>
      <c r="BF1493" s="229">
        <f t="shared" ref="BF1493:BF1507" si="607">AB1493+BC1493</f>
        <v>0</v>
      </c>
      <c r="BG1493" s="210">
        <f t="shared" si="603"/>
        <v>502</v>
      </c>
      <c r="BH1493" s="210">
        <f t="shared" si="604"/>
        <v>594</v>
      </c>
      <c r="BI1493" s="213">
        <f t="shared" si="600"/>
        <v>84.511784511784512</v>
      </c>
      <c r="BJ1493" s="141"/>
      <c r="BK1493" s="201"/>
    </row>
    <row r="1494" spans="1:65" ht="18" customHeight="1">
      <c r="A1494" s="114">
        <v>6</v>
      </c>
      <c r="B1494" s="24" t="s">
        <v>672</v>
      </c>
      <c r="C1494" s="25" t="s">
        <v>673</v>
      </c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229">
        <f t="shared" si="605"/>
        <v>0</v>
      </c>
      <c r="AC1494" s="228">
        <f t="shared" si="601"/>
        <v>0</v>
      </c>
      <c r="AD1494" s="19">
        <v>0</v>
      </c>
      <c r="AE1494" s="28"/>
      <c r="AF1494" s="28"/>
      <c r="AG1494" s="28"/>
      <c r="AH1494" s="28"/>
      <c r="AI1494" s="28"/>
      <c r="AJ1494" s="28">
        <f>162+37+32</f>
        <v>231</v>
      </c>
      <c r="AK1494" s="28"/>
      <c r="AL1494" s="28"/>
      <c r="AM1494" s="28"/>
      <c r="AN1494" s="28"/>
      <c r="AO1494" s="28"/>
      <c r="AP1494" s="28">
        <f>83+261+19</f>
        <v>363</v>
      </c>
      <c r="AQ1494" s="28"/>
      <c r="AR1494" s="28"/>
      <c r="AS1494" s="28"/>
      <c r="AT1494" s="28"/>
      <c r="AU1494" s="28"/>
      <c r="AV1494" s="28">
        <f>135+233+27</f>
        <v>395</v>
      </c>
      <c r="AW1494" s="28"/>
      <c r="AX1494" s="28"/>
      <c r="AY1494" s="28"/>
      <c r="AZ1494" s="28"/>
      <c r="BA1494" s="28"/>
      <c r="BB1494" s="28">
        <f>78+190+23</f>
        <v>291</v>
      </c>
      <c r="BC1494" s="229">
        <f t="shared" si="606"/>
        <v>0</v>
      </c>
      <c r="BD1494" s="48">
        <f t="shared" si="602"/>
        <v>1280</v>
      </c>
      <c r="BE1494" s="19">
        <v>1284</v>
      </c>
      <c r="BF1494" s="229">
        <f t="shared" si="607"/>
        <v>0</v>
      </c>
      <c r="BG1494" s="210">
        <f t="shared" si="603"/>
        <v>1280</v>
      </c>
      <c r="BH1494" s="210">
        <f t="shared" si="604"/>
        <v>1284</v>
      </c>
      <c r="BI1494" s="213">
        <f t="shared" si="600"/>
        <v>99.688473520249218</v>
      </c>
      <c r="BJ1494" s="141"/>
      <c r="BK1494" s="201"/>
    </row>
    <row r="1495" spans="1:65" ht="18" customHeight="1">
      <c r="A1495" s="114">
        <v>7</v>
      </c>
      <c r="B1495" s="24" t="s">
        <v>563</v>
      </c>
      <c r="C1495" s="25" t="s">
        <v>564</v>
      </c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229">
        <f t="shared" si="605"/>
        <v>0</v>
      </c>
      <c r="AC1495" s="228">
        <f t="shared" si="601"/>
        <v>0</v>
      </c>
      <c r="AD1495" s="19">
        <v>0</v>
      </c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>
        <v>1</v>
      </c>
      <c r="AW1495" s="28"/>
      <c r="AX1495" s="28"/>
      <c r="AY1495" s="28"/>
      <c r="AZ1495" s="28"/>
      <c r="BA1495" s="28"/>
      <c r="BB1495" s="28">
        <v>5</v>
      </c>
      <c r="BC1495" s="229">
        <f t="shared" si="606"/>
        <v>0</v>
      </c>
      <c r="BD1495" s="48">
        <f t="shared" si="602"/>
        <v>6</v>
      </c>
      <c r="BE1495" s="19">
        <v>8</v>
      </c>
      <c r="BF1495" s="229">
        <f t="shared" si="607"/>
        <v>0</v>
      </c>
      <c r="BG1495" s="210">
        <f t="shared" si="603"/>
        <v>6</v>
      </c>
      <c r="BH1495" s="210">
        <f t="shared" si="604"/>
        <v>8</v>
      </c>
      <c r="BI1495" s="213">
        <f t="shared" si="600"/>
        <v>75</v>
      </c>
      <c r="BJ1495" s="141"/>
      <c r="BK1495" s="201"/>
    </row>
    <row r="1496" spans="1:65" ht="18" customHeight="1">
      <c r="A1496" s="114">
        <v>8</v>
      </c>
      <c r="B1496" s="24" t="s">
        <v>565</v>
      </c>
      <c r="C1496" s="25" t="s">
        <v>746</v>
      </c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229">
        <f t="shared" si="605"/>
        <v>0</v>
      </c>
      <c r="AC1496" s="228">
        <f t="shared" si="601"/>
        <v>0</v>
      </c>
      <c r="AD1496" s="19">
        <v>0</v>
      </c>
      <c r="AE1496" s="28"/>
      <c r="AF1496" s="28"/>
      <c r="AG1496" s="28"/>
      <c r="AH1496" s="28"/>
      <c r="AI1496" s="28"/>
      <c r="AJ1496" s="28">
        <f>1+4+7</f>
        <v>12</v>
      </c>
      <c r="AK1496" s="28"/>
      <c r="AL1496" s="28"/>
      <c r="AM1496" s="28"/>
      <c r="AN1496" s="28"/>
      <c r="AO1496" s="28"/>
      <c r="AP1496" s="28">
        <f>1+9</f>
        <v>10</v>
      </c>
      <c r="AQ1496" s="28"/>
      <c r="AR1496" s="28"/>
      <c r="AS1496" s="28"/>
      <c r="AT1496" s="28"/>
      <c r="AU1496" s="28"/>
      <c r="AV1496" s="28">
        <f>9+22</f>
        <v>31</v>
      </c>
      <c r="AW1496" s="28"/>
      <c r="AX1496" s="28"/>
      <c r="AY1496" s="28"/>
      <c r="AZ1496" s="28"/>
      <c r="BA1496" s="28"/>
      <c r="BB1496" s="28">
        <f>28+3</f>
        <v>31</v>
      </c>
      <c r="BC1496" s="229">
        <f t="shared" si="606"/>
        <v>0</v>
      </c>
      <c r="BD1496" s="48">
        <f t="shared" si="602"/>
        <v>84</v>
      </c>
      <c r="BE1496" s="19">
        <v>50</v>
      </c>
      <c r="BF1496" s="229">
        <f t="shared" si="607"/>
        <v>0</v>
      </c>
      <c r="BG1496" s="210">
        <f t="shared" si="603"/>
        <v>84</v>
      </c>
      <c r="BH1496" s="210">
        <f t="shared" si="604"/>
        <v>50</v>
      </c>
      <c r="BI1496" s="213">
        <f t="shared" si="600"/>
        <v>168</v>
      </c>
      <c r="BJ1496" s="141"/>
      <c r="BK1496" s="201"/>
    </row>
    <row r="1497" spans="1:65" ht="18" customHeight="1">
      <c r="A1497" s="114">
        <v>9</v>
      </c>
      <c r="B1497" s="24" t="s">
        <v>709</v>
      </c>
      <c r="C1497" s="25" t="s">
        <v>710</v>
      </c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229">
        <f t="shared" si="605"/>
        <v>0</v>
      </c>
      <c r="AC1497" s="228">
        <f t="shared" si="601"/>
        <v>0</v>
      </c>
      <c r="AD1497" s="19">
        <v>0</v>
      </c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29">
        <f t="shared" si="606"/>
        <v>0</v>
      </c>
      <c r="BD1497" s="48">
        <f t="shared" si="602"/>
        <v>0</v>
      </c>
      <c r="BE1497" s="19">
        <v>1</v>
      </c>
      <c r="BF1497" s="229">
        <f t="shared" si="607"/>
        <v>0</v>
      </c>
      <c r="BG1497" s="210">
        <f t="shared" si="603"/>
        <v>0</v>
      </c>
      <c r="BH1497" s="210">
        <f t="shared" si="604"/>
        <v>1</v>
      </c>
      <c r="BI1497" s="213">
        <f t="shared" si="600"/>
        <v>0</v>
      </c>
      <c r="BJ1497" s="141"/>
      <c r="BK1497" s="201"/>
    </row>
    <row r="1498" spans="1:65" ht="18" customHeight="1">
      <c r="A1498" s="114">
        <v>10</v>
      </c>
      <c r="B1498" s="24" t="s">
        <v>569</v>
      </c>
      <c r="C1498" s="25" t="s">
        <v>680</v>
      </c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229">
        <f t="shared" si="605"/>
        <v>0</v>
      </c>
      <c r="AC1498" s="228">
        <f t="shared" si="601"/>
        <v>0</v>
      </c>
      <c r="AD1498" s="19">
        <v>0</v>
      </c>
      <c r="AE1498" s="28"/>
      <c r="AF1498" s="28"/>
      <c r="AG1498" s="28"/>
      <c r="AH1498" s="28"/>
      <c r="AI1498" s="28"/>
      <c r="AJ1498" s="28">
        <v>4</v>
      </c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>
        <v>2</v>
      </c>
      <c r="AW1498" s="28"/>
      <c r="AX1498" s="28"/>
      <c r="AY1498" s="28"/>
      <c r="AZ1498" s="28"/>
      <c r="BA1498" s="28"/>
      <c r="BB1498" s="28">
        <v>4</v>
      </c>
      <c r="BC1498" s="229">
        <f t="shared" si="606"/>
        <v>0</v>
      </c>
      <c r="BD1498" s="48">
        <f t="shared" si="602"/>
        <v>10</v>
      </c>
      <c r="BE1498" s="19">
        <v>11</v>
      </c>
      <c r="BF1498" s="229">
        <f t="shared" si="607"/>
        <v>0</v>
      </c>
      <c r="BG1498" s="210">
        <f t="shared" si="603"/>
        <v>10</v>
      </c>
      <c r="BH1498" s="210">
        <f t="shared" si="604"/>
        <v>11</v>
      </c>
      <c r="BI1498" s="213">
        <f t="shared" si="600"/>
        <v>90.909090909090907</v>
      </c>
      <c r="BJ1498" s="141"/>
      <c r="BK1498" s="201"/>
    </row>
    <row r="1499" spans="1:65" ht="18" customHeight="1">
      <c r="A1499" s="114">
        <v>11</v>
      </c>
      <c r="B1499" s="24" t="s">
        <v>571</v>
      </c>
      <c r="C1499" s="25" t="s">
        <v>572</v>
      </c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>
        <v>1</v>
      </c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229">
        <f t="shared" si="605"/>
        <v>0</v>
      </c>
      <c r="AC1499" s="228">
        <f t="shared" si="601"/>
        <v>1</v>
      </c>
      <c r="AD1499" s="19">
        <v>8</v>
      </c>
      <c r="AE1499" s="28"/>
      <c r="AF1499" s="28"/>
      <c r="AG1499" s="28"/>
      <c r="AH1499" s="28"/>
      <c r="AI1499" s="28"/>
      <c r="AJ1499" s="28">
        <f>1438+50+15+238</f>
        <v>1741</v>
      </c>
      <c r="AK1499" s="28"/>
      <c r="AL1499" s="28"/>
      <c r="AM1499" s="28"/>
      <c r="AN1499" s="28"/>
      <c r="AO1499" s="28"/>
      <c r="AP1499" s="28">
        <f>1366+381+21+8</f>
        <v>1776</v>
      </c>
      <c r="AQ1499" s="28"/>
      <c r="AR1499" s="28"/>
      <c r="AS1499" s="28"/>
      <c r="AT1499" s="28"/>
      <c r="AU1499" s="28"/>
      <c r="AV1499" s="28">
        <f>1846+352+46+11</f>
        <v>2255</v>
      </c>
      <c r="AW1499" s="28"/>
      <c r="AX1499" s="28"/>
      <c r="AY1499" s="28"/>
      <c r="AZ1499" s="28"/>
      <c r="BA1499" s="28"/>
      <c r="BB1499" s="28">
        <f>1909+418+49+19</f>
        <v>2395</v>
      </c>
      <c r="BC1499" s="229">
        <f t="shared" si="606"/>
        <v>0</v>
      </c>
      <c r="BD1499" s="48">
        <f t="shared" si="602"/>
        <v>8167</v>
      </c>
      <c r="BE1499" s="19">
        <v>9487</v>
      </c>
      <c r="BF1499" s="229">
        <f t="shared" si="607"/>
        <v>0</v>
      </c>
      <c r="BG1499" s="210">
        <f t="shared" si="603"/>
        <v>8168</v>
      </c>
      <c r="BH1499" s="210">
        <f t="shared" si="604"/>
        <v>9495</v>
      </c>
      <c r="BI1499" s="213">
        <f t="shared" si="600"/>
        <v>86.024223275408104</v>
      </c>
      <c r="BJ1499" s="141"/>
      <c r="BK1499" s="201"/>
    </row>
    <row r="1500" spans="1:65" ht="18" customHeight="1">
      <c r="A1500" s="114">
        <v>12</v>
      </c>
      <c r="B1500" s="24" t="s">
        <v>573</v>
      </c>
      <c r="C1500" s="25" t="s">
        <v>574</v>
      </c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229">
        <f t="shared" si="605"/>
        <v>0</v>
      </c>
      <c r="AC1500" s="228">
        <f t="shared" si="601"/>
        <v>0</v>
      </c>
      <c r="AD1500" s="19">
        <v>0</v>
      </c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29">
        <f t="shared" si="606"/>
        <v>0</v>
      </c>
      <c r="BD1500" s="48">
        <f t="shared" si="602"/>
        <v>0</v>
      </c>
      <c r="BE1500" s="19">
        <v>1</v>
      </c>
      <c r="BF1500" s="229">
        <f t="shared" si="607"/>
        <v>0</v>
      </c>
      <c r="BG1500" s="210">
        <f t="shared" si="603"/>
        <v>0</v>
      </c>
      <c r="BH1500" s="210">
        <f t="shared" si="604"/>
        <v>1</v>
      </c>
      <c r="BI1500" s="213">
        <f t="shared" si="600"/>
        <v>0</v>
      </c>
      <c r="BJ1500" s="141"/>
      <c r="BK1500" s="201"/>
    </row>
    <row r="1501" spans="1:65" ht="18" customHeight="1">
      <c r="A1501" s="114">
        <v>13</v>
      </c>
      <c r="B1501" s="24" t="s">
        <v>575</v>
      </c>
      <c r="C1501" s="25" t="s">
        <v>711</v>
      </c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229">
        <f t="shared" si="605"/>
        <v>0</v>
      </c>
      <c r="AC1501" s="228">
        <f t="shared" si="601"/>
        <v>0</v>
      </c>
      <c r="AD1501" s="19">
        <v>0</v>
      </c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>
        <v>2</v>
      </c>
      <c r="AW1501" s="28"/>
      <c r="AX1501" s="28"/>
      <c r="AY1501" s="28"/>
      <c r="AZ1501" s="28"/>
      <c r="BA1501" s="28"/>
      <c r="BB1501" s="28">
        <v>1</v>
      </c>
      <c r="BC1501" s="229">
        <f t="shared" si="606"/>
        <v>0</v>
      </c>
      <c r="BD1501" s="48">
        <f t="shared" si="602"/>
        <v>3</v>
      </c>
      <c r="BE1501" s="19">
        <v>5</v>
      </c>
      <c r="BF1501" s="229">
        <f t="shared" si="607"/>
        <v>0</v>
      </c>
      <c r="BG1501" s="210">
        <f t="shared" si="603"/>
        <v>3</v>
      </c>
      <c r="BH1501" s="210">
        <f t="shared" si="604"/>
        <v>5</v>
      </c>
      <c r="BI1501" s="213">
        <f t="shared" si="600"/>
        <v>60</v>
      </c>
      <c r="BJ1501" s="141"/>
      <c r="BK1501" s="201"/>
    </row>
    <row r="1502" spans="1:65" s="38" customFormat="1" ht="21.75" customHeight="1">
      <c r="A1502" s="114">
        <v>14</v>
      </c>
      <c r="B1502" s="24" t="s">
        <v>577</v>
      </c>
      <c r="C1502" s="27" t="s">
        <v>2842</v>
      </c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229">
        <f t="shared" si="605"/>
        <v>0</v>
      </c>
      <c r="AC1502" s="228">
        <f t="shared" si="601"/>
        <v>0</v>
      </c>
      <c r="AD1502" s="19">
        <v>0</v>
      </c>
      <c r="AE1502" s="28"/>
      <c r="AF1502" s="28"/>
      <c r="AG1502" s="28"/>
      <c r="AH1502" s="28"/>
      <c r="AI1502" s="28"/>
      <c r="AJ1502" s="28">
        <v>1</v>
      </c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>
        <v>1</v>
      </c>
      <c r="BC1502" s="229">
        <f t="shared" si="606"/>
        <v>0</v>
      </c>
      <c r="BD1502" s="48">
        <f t="shared" si="602"/>
        <v>2</v>
      </c>
      <c r="BE1502" s="19">
        <v>0</v>
      </c>
      <c r="BF1502" s="229">
        <f t="shared" si="607"/>
        <v>0</v>
      </c>
      <c r="BG1502" s="210">
        <f t="shared" si="603"/>
        <v>2</v>
      </c>
      <c r="BH1502" s="210">
        <f t="shared" si="604"/>
        <v>0</v>
      </c>
      <c r="BI1502" s="213" t="e">
        <f t="shared" si="600"/>
        <v>#DIV/0!</v>
      </c>
      <c r="BJ1502" s="141"/>
      <c r="BK1502" s="201"/>
      <c r="BL1502" s="4"/>
      <c r="BM1502" s="4"/>
    </row>
    <row r="1503" spans="1:65" s="38" customFormat="1" ht="18" customHeight="1">
      <c r="A1503" s="114">
        <v>15</v>
      </c>
      <c r="B1503" s="24" t="s">
        <v>578</v>
      </c>
      <c r="C1503" s="25" t="s">
        <v>1587</v>
      </c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229">
        <f t="shared" si="605"/>
        <v>0</v>
      </c>
      <c r="AC1503" s="228">
        <f t="shared" si="601"/>
        <v>0</v>
      </c>
      <c r="AD1503" s="19">
        <v>0</v>
      </c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>
        <v>1</v>
      </c>
      <c r="AW1503" s="28"/>
      <c r="AX1503" s="28"/>
      <c r="AY1503" s="28"/>
      <c r="AZ1503" s="28"/>
      <c r="BA1503" s="28"/>
      <c r="BB1503" s="28">
        <v>1</v>
      </c>
      <c r="BC1503" s="229">
        <f t="shared" si="606"/>
        <v>0</v>
      </c>
      <c r="BD1503" s="48">
        <f t="shared" si="602"/>
        <v>2</v>
      </c>
      <c r="BE1503" s="19">
        <v>4</v>
      </c>
      <c r="BF1503" s="229">
        <f t="shared" si="607"/>
        <v>0</v>
      </c>
      <c r="BG1503" s="210">
        <f t="shared" si="603"/>
        <v>2</v>
      </c>
      <c r="BH1503" s="210">
        <f t="shared" si="604"/>
        <v>4</v>
      </c>
      <c r="BI1503" s="213">
        <f t="shared" si="600"/>
        <v>50</v>
      </c>
      <c r="BJ1503" s="141"/>
      <c r="BK1503" s="201"/>
      <c r="BL1503" s="4"/>
      <c r="BM1503" s="4"/>
    </row>
    <row r="1504" spans="1:65" s="38" customFormat="1" ht="18" customHeight="1">
      <c r="A1504" s="114">
        <v>16</v>
      </c>
      <c r="B1504" s="24" t="s">
        <v>582</v>
      </c>
      <c r="C1504" s="25" t="s">
        <v>583</v>
      </c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229">
        <f t="shared" si="605"/>
        <v>0</v>
      </c>
      <c r="AC1504" s="228">
        <f t="shared" si="601"/>
        <v>0</v>
      </c>
      <c r="AD1504" s="19">
        <v>0</v>
      </c>
      <c r="AE1504" s="28"/>
      <c r="AF1504" s="28"/>
      <c r="AG1504" s="28"/>
      <c r="AH1504" s="28"/>
      <c r="AI1504" s="28"/>
      <c r="AJ1504" s="28">
        <v>1</v>
      </c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>
        <v>4</v>
      </c>
      <c r="AW1504" s="28"/>
      <c r="AX1504" s="28"/>
      <c r="AY1504" s="28"/>
      <c r="AZ1504" s="28"/>
      <c r="BA1504" s="28"/>
      <c r="BB1504" s="28">
        <v>2</v>
      </c>
      <c r="BC1504" s="229">
        <f t="shared" si="606"/>
        <v>0</v>
      </c>
      <c r="BD1504" s="48">
        <f t="shared" si="602"/>
        <v>7</v>
      </c>
      <c r="BE1504" s="19">
        <v>7</v>
      </c>
      <c r="BF1504" s="229">
        <f t="shared" si="607"/>
        <v>0</v>
      </c>
      <c r="BG1504" s="210">
        <f t="shared" si="603"/>
        <v>7</v>
      </c>
      <c r="BH1504" s="210">
        <f t="shared" si="604"/>
        <v>7</v>
      </c>
      <c r="BI1504" s="213">
        <f t="shared" si="600"/>
        <v>100</v>
      </c>
      <c r="BJ1504" s="141"/>
      <c r="BK1504" s="201"/>
      <c r="BL1504" s="4"/>
      <c r="BM1504" s="4"/>
    </row>
    <row r="1505" spans="1:65" s="38" customFormat="1" ht="18" customHeight="1">
      <c r="A1505" s="114">
        <v>17</v>
      </c>
      <c r="B1505" s="24" t="s">
        <v>584</v>
      </c>
      <c r="C1505" s="25" t="s">
        <v>2603</v>
      </c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229">
        <f t="shared" si="605"/>
        <v>0</v>
      </c>
      <c r="AC1505" s="228">
        <f t="shared" si="601"/>
        <v>0</v>
      </c>
      <c r="AD1505" s="19">
        <v>0</v>
      </c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29">
        <f t="shared" si="606"/>
        <v>0</v>
      </c>
      <c r="BD1505" s="48">
        <f t="shared" si="602"/>
        <v>0</v>
      </c>
      <c r="BE1505" s="19">
        <v>51</v>
      </c>
      <c r="BF1505" s="229">
        <f t="shared" si="607"/>
        <v>0</v>
      </c>
      <c r="BG1505" s="210">
        <f t="shared" si="603"/>
        <v>0</v>
      </c>
      <c r="BH1505" s="210">
        <f t="shared" si="604"/>
        <v>51</v>
      </c>
      <c r="BI1505" s="213">
        <f t="shared" si="600"/>
        <v>0</v>
      </c>
      <c r="BJ1505" s="141"/>
      <c r="BK1505" s="201"/>
      <c r="BL1505" s="4"/>
      <c r="BM1505" s="4"/>
    </row>
    <row r="1506" spans="1:65" s="38" customFormat="1" ht="18" customHeight="1">
      <c r="A1506" s="114">
        <v>18</v>
      </c>
      <c r="B1506" s="24" t="s">
        <v>585</v>
      </c>
      <c r="C1506" s="25" t="s">
        <v>586</v>
      </c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229">
        <f t="shared" si="605"/>
        <v>0</v>
      </c>
      <c r="AC1506" s="228">
        <f t="shared" si="601"/>
        <v>0</v>
      </c>
      <c r="AD1506" s="19">
        <v>0</v>
      </c>
      <c r="AE1506" s="28"/>
      <c r="AF1506" s="28"/>
      <c r="AG1506" s="28"/>
      <c r="AH1506" s="28"/>
      <c r="AI1506" s="28"/>
      <c r="AJ1506" s="28">
        <f>56+4</f>
        <v>60</v>
      </c>
      <c r="AK1506" s="28"/>
      <c r="AL1506" s="28"/>
      <c r="AM1506" s="28"/>
      <c r="AN1506" s="28"/>
      <c r="AO1506" s="28"/>
      <c r="AP1506" s="28">
        <f>8+384</f>
        <v>392</v>
      </c>
      <c r="AQ1506" s="28"/>
      <c r="AR1506" s="28"/>
      <c r="AS1506" s="28"/>
      <c r="AT1506" s="28"/>
      <c r="AU1506" s="28"/>
      <c r="AV1506" s="28">
        <f>69+377+6</f>
        <v>452</v>
      </c>
      <c r="AW1506" s="28"/>
      <c r="AX1506" s="28"/>
      <c r="AY1506" s="28"/>
      <c r="AZ1506" s="28"/>
      <c r="BA1506" s="28"/>
      <c r="BB1506" s="28">
        <f>20+448+9</f>
        <v>477</v>
      </c>
      <c r="BC1506" s="229">
        <f t="shared" si="606"/>
        <v>0</v>
      </c>
      <c r="BD1506" s="48">
        <f t="shared" si="602"/>
        <v>1381</v>
      </c>
      <c r="BE1506" s="19">
        <v>682</v>
      </c>
      <c r="BF1506" s="229">
        <f t="shared" si="607"/>
        <v>0</v>
      </c>
      <c r="BG1506" s="210">
        <f t="shared" si="603"/>
        <v>1381</v>
      </c>
      <c r="BH1506" s="210">
        <f t="shared" si="604"/>
        <v>682</v>
      </c>
      <c r="BI1506" s="213">
        <f t="shared" si="600"/>
        <v>202.49266862170089</v>
      </c>
      <c r="BJ1506" s="141"/>
      <c r="BK1506" s="201"/>
      <c r="BL1506" s="4"/>
      <c r="BM1506" s="4"/>
    </row>
    <row r="1507" spans="1:65" s="38" customFormat="1" ht="18" customHeight="1">
      <c r="A1507" s="114">
        <v>19</v>
      </c>
      <c r="B1507" s="24" t="s">
        <v>1399</v>
      </c>
      <c r="C1507" s="25" t="s">
        <v>1400</v>
      </c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>
        <v>1</v>
      </c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229">
        <f t="shared" si="605"/>
        <v>0</v>
      </c>
      <c r="AC1507" s="228">
        <f t="shared" si="601"/>
        <v>1</v>
      </c>
      <c r="AD1507" s="19">
        <v>2</v>
      </c>
      <c r="AE1507" s="28"/>
      <c r="AF1507" s="28"/>
      <c r="AG1507" s="28"/>
      <c r="AH1507" s="28"/>
      <c r="AI1507" s="28"/>
      <c r="AJ1507" s="28">
        <f>2+29</f>
        <v>31</v>
      </c>
      <c r="AK1507" s="28"/>
      <c r="AL1507" s="28"/>
      <c r="AM1507" s="28"/>
      <c r="AN1507" s="28"/>
      <c r="AO1507" s="28"/>
      <c r="AP1507" s="28">
        <v>42</v>
      </c>
      <c r="AQ1507" s="28"/>
      <c r="AR1507" s="28"/>
      <c r="AS1507" s="28"/>
      <c r="AT1507" s="28"/>
      <c r="AU1507" s="28"/>
      <c r="AV1507" s="28">
        <f>1+56</f>
        <v>57</v>
      </c>
      <c r="AW1507" s="28"/>
      <c r="AX1507" s="28"/>
      <c r="AY1507" s="28"/>
      <c r="AZ1507" s="28"/>
      <c r="BA1507" s="28"/>
      <c r="BB1507" s="28">
        <f>1+64</f>
        <v>65</v>
      </c>
      <c r="BC1507" s="229">
        <f t="shared" si="606"/>
        <v>0</v>
      </c>
      <c r="BD1507" s="48">
        <f t="shared" si="602"/>
        <v>195</v>
      </c>
      <c r="BE1507" s="19">
        <v>112</v>
      </c>
      <c r="BF1507" s="229">
        <f t="shared" si="607"/>
        <v>0</v>
      </c>
      <c r="BG1507" s="210">
        <f t="shared" si="603"/>
        <v>196</v>
      </c>
      <c r="BH1507" s="210">
        <f t="shared" si="604"/>
        <v>114</v>
      </c>
      <c r="BI1507" s="213">
        <f t="shared" si="600"/>
        <v>171.92982456140351</v>
      </c>
      <c r="BJ1507" s="141"/>
      <c r="BK1507" s="201"/>
      <c r="BL1507" s="4"/>
      <c r="BM1507" s="4"/>
    </row>
    <row r="1508" spans="1:65" s="38" customFormat="1" ht="18" customHeight="1">
      <c r="A1508" s="114">
        <v>20</v>
      </c>
      <c r="B1508" s="24" t="s">
        <v>593</v>
      </c>
      <c r="C1508" s="25" t="s">
        <v>755</v>
      </c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>
        <v>2</v>
      </c>
      <c r="V1508" s="121"/>
      <c r="W1508" s="121"/>
      <c r="X1508" s="121"/>
      <c r="Y1508" s="121"/>
      <c r="Z1508" s="121"/>
      <c r="AA1508" s="121">
        <v>1</v>
      </c>
      <c r="AB1508" s="229"/>
      <c r="AC1508" s="228">
        <f t="shared" si="601"/>
        <v>3</v>
      </c>
      <c r="AD1508" s="19">
        <v>0</v>
      </c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29"/>
      <c r="BD1508" s="48">
        <f t="shared" si="602"/>
        <v>0</v>
      </c>
      <c r="BE1508" s="19">
        <v>0</v>
      </c>
      <c r="BF1508" s="229"/>
      <c r="BG1508" s="210">
        <f t="shared" si="603"/>
        <v>3</v>
      </c>
      <c r="BH1508" s="210">
        <f t="shared" si="604"/>
        <v>0</v>
      </c>
      <c r="BI1508" s="213" t="e">
        <f t="shared" si="600"/>
        <v>#DIV/0!</v>
      </c>
      <c r="BJ1508" s="141"/>
      <c r="BK1508" s="201"/>
      <c r="BL1508" s="4"/>
      <c r="BM1508" s="4"/>
    </row>
    <row r="1509" spans="1:65" s="38" customFormat="1" ht="18" customHeight="1">
      <c r="A1509" s="114">
        <v>21</v>
      </c>
      <c r="B1509" s="24" t="s">
        <v>826</v>
      </c>
      <c r="C1509" s="25" t="s">
        <v>827</v>
      </c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229">
        <f t="shared" ref="AB1509:AB1525" si="608">D1509+F1509+H1509+J1509+L1509+N1509+P1509+R1509+T1509+V1509+X1509+Z1509</f>
        <v>0</v>
      </c>
      <c r="AC1509" s="228">
        <f t="shared" si="601"/>
        <v>0</v>
      </c>
      <c r="AD1509" s="19">
        <v>0</v>
      </c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>
        <v>9</v>
      </c>
      <c r="AW1509" s="28"/>
      <c r="AX1509" s="28"/>
      <c r="AY1509" s="28"/>
      <c r="AZ1509" s="28"/>
      <c r="BA1509" s="28"/>
      <c r="BB1509" s="28">
        <v>8</v>
      </c>
      <c r="BC1509" s="229">
        <f t="shared" ref="BC1509:BC1525" si="609">AE1509+AG1509+AI1509+AK1509+AM1509+AO1509+AQ1509+AS1509+AU1509+AW1509+AY1509+BA1509</f>
        <v>0</v>
      </c>
      <c r="BD1509" s="48">
        <f t="shared" si="602"/>
        <v>17</v>
      </c>
      <c r="BE1509" s="19">
        <v>12</v>
      </c>
      <c r="BF1509" s="229">
        <f t="shared" ref="BF1509:BF1525" si="610">AB1509+BC1509</f>
        <v>0</v>
      </c>
      <c r="BG1509" s="210">
        <f t="shared" si="603"/>
        <v>17</v>
      </c>
      <c r="BH1509" s="210">
        <f t="shared" si="604"/>
        <v>12</v>
      </c>
      <c r="BI1509" s="213">
        <f t="shared" si="600"/>
        <v>141.66666666666669</v>
      </c>
      <c r="BJ1509" s="141"/>
      <c r="BK1509" s="201"/>
      <c r="BL1509" s="4"/>
      <c r="BM1509" s="4"/>
    </row>
    <row r="1510" spans="1:65" s="38" customFormat="1" ht="18" customHeight="1">
      <c r="A1510" s="114">
        <v>22</v>
      </c>
      <c r="B1510" s="24" t="s">
        <v>596</v>
      </c>
      <c r="C1510" s="25" t="s">
        <v>597</v>
      </c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229">
        <f t="shared" si="608"/>
        <v>0</v>
      </c>
      <c r="AC1510" s="228">
        <f t="shared" si="601"/>
        <v>0</v>
      </c>
      <c r="AD1510" s="19">
        <v>0</v>
      </c>
      <c r="AE1510" s="28"/>
      <c r="AF1510" s="28"/>
      <c r="AG1510" s="28"/>
      <c r="AH1510" s="28"/>
      <c r="AI1510" s="28"/>
      <c r="AJ1510" s="28">
        <f>8+9+1</f>
        <v>18</v>
      </c>
      <c r="AK1510" s="28"/>
      <c r="AL1510" s="28"/>
      <c r="AM1510" s="28"/>
      <c r="AN1510" s="28"/>
      <c r="AO1510" s="28"/>
      <c r="AP1510" s="28">
        <f>5+12+2</f>
        <v>19</v>
      </c>
      <c r="AQ1510" s="28"/>
      <c r="AR1510" s="28"/>
      <c r="AS1510" s="28"/>
      <c r="AT1510" s="28"/>
      <c r="AU1510" s="28"/>
      <c r="AV1510" s="28">
        <f>29+16+4</f>
        <v>49</v>
      </c>
      <c r="AW1510" s="28"/>
      <c r="AX1510" s="28"/>
      <c r="AY1510" s="28"/>
      <c r="AZ1510" s="28"/>
      <c r="BA1510" s="28"/>
      <c r="BB1510" s="28">
        <f>8+5+8</f>
        <v>21</v>
      </c>
      <c r="BC1510" s="229">
        <f t="shared" si="609"/>
        <v>0</v>
      </c>
      <c r="BD1510" s="48">
        <f t="shared" si="602"/>
        <v>107</v>
      </c>
      <c r="BE1510" s="19">
        <v>122</v>
      </c>
      <c r="BF1510" s="229">
        <f t="shared" si="610"/>
        <v>0</v>
      </c>
      <c r="BG1510" s="210">
        <f t="shared" si="603"/>
        <v>107</v>
      </c>
      <c r="BH1510" s="210">
        <f t="shared" si="604"/>
        <v>122</v>
      </c>
      <c r="BI1510" s="213">
        <f t="shared" si="600"/>
        <v>87.704918032786878</v>
      </c>
      <c r="BJ1510" s="141"/>
      <c r="BK1510" s="201"/>
      <c r="BL1510" s="4"/>
      <c r="BM1510" s="4"/>
    </row>
    <row r="1511" spans="1:65" s="38" customFormat="1" ht="18" customHeight="1">
      <c r="A1511" s="114">
        <v>23</v>
      </c>
      <c r="B1511" s="24" t="s">
        <v>510</v>
      </c>
      <c r="C1511" s="25" t="s">
        <v>2838</v>
      </c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229">
        <f t="shared" si="608"/>
        <v>0</v>
      </c>
      <c r="AC1511" s="228">
        <f t="shared" si="601"/>
        <v>0</v>
      </c>
      <c r="AD1511" s="19">
        <v>0</v>
      </c>
      <c r="AE1511" s="28"/>
      <c r="AF1511" s="28"/>
      <c r="AG1511" s="28"/>
      <c r="AH1511" s="28"/>
      <c r="AI1511" s="28"/>
      <c r="AJ1511" s="28">
        <v>1</v>
      </c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29">
        <f t="shared" si="609"/>
        <v>0</v>
      </c>
      <c r="BD1511" s="48">
        <f t="shared" si="602"/>
        <v>1</v>
      </c>
      <c r="BE1511" s="19">
        <v>0</v>
      </c>
      <c r="BF1511" s="229">
        <f t="shared" si="610"/>
        <v>0</v>
      </c>
      <c r="BG1511" s="210">
        <f t="shared" si="603"/>
        <v>1</v>
      </c>
      <c r="BH1511" s="210">
        <f t="shared" si="604"/>
        <v>0</v>
      </c>
      <c r="BI1511" s="213" t="e">
        <f t="shared" si="600"/>
        <v>#DIV/0!</v>
      </c>
      <c r="BJ1511" s="141"/>
      <c r="BK1511" s="201"/>
      <c r="BL1511" s="4"/>
      <c r="BM1511" s="4"/>
    </row>
    <row r="1512" spans="1:65" s="38" customFormat="1" ht="21.95" customHeight="1">
      <c r="A1512" s="114">
        <v>24</v>
      </c>
      <c r="B1512" s="24" t="s">
        <v>626</v>
      </c>
      <c r="C1512" s="25" t="s">
        <v>627</v>
      </c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229">
        <f t="shared" si="608"/>
        <v>0</v>
      </c>
      <c r="AC1512" s="228">
        <f t="shared" si="601"/>
        <v>0</v>
      </c>
      <c r="AD1512" s="19">
        <v>0</v>
      </c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29">
        <f t="shared" si="609"/>
        <v>0</v>
      </c>
      <c r="BD1512" s="48">
        <f t="shared" si="602"/>
        <v>0</v>
      </c>
      <c r="BE1512" s="19">
        <v>2</v>
      </c>
      <c r="BF1512" s="229">
        <f t="shared" si="610"/>
        <v>0</v>
      </c>
      <c r="BG1512" s="210">
        <f t="shared" si="603"/>
        <v>0</v>
      </c>
      <c r="BH1512" s="210">
        <f t="shared" si="604"/>
        <v>2</v>
      </c>
      <c r="BI1512" s="213">
        <f t="shared" si="600"/>
        <v>0</v>
      </c>
      <c r="BJ1512" s="141"/>
      <c r="BK1512" s="201"/>
      <c r="BL1512" s="4"/>
      <c r="BM1512" s="4"/>
    </row>
    <row r="1513" spans="1:65" s="38" customFormat="1" ht="18" customHeight="1">
      <c r="A1513" s="114">
        <v>25</v>
      </c>
      <c r="B1513" s="24" t="s">
        <v>628</v>
      </c>
      <c r="C1513" s="25" t="s">
        <v>629</v>
      </c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>
        <v>1</v>
      </c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229">
        <f t="shared" si="608"/>
        <v>0</v>
      </c>
      <c r="AC1513" s="228">
        <f t="shared" si="601"/>
        <v>1</v>
      </c>
      <c r="AD1513" s="19">
        <v>0</v>
      </c>
      <c r="AE1513" s="28"/>
      <c r="AF1513" s="28"/>
      <c r="AG1513" s="28"/>
      <c r="AH1513" s="28"/>
      <c r="AI1513" s="28"/>
      <c r="AJ1513" s="28">
        <f>118+3+25</f>
        <v>146</v>
      </c>
      <c r="AK1513" s="28"/>
      <c r="AL1513" s="28"/>
      <c r="AM1513" s="28"/>
      <c r="AN1513" s="28"/>
      <c r="AO1513" s="28"/>
      <c r="AP1513" s="28">
        <f>103+325+4</f>
        <v>432</v>
      </c>
      <c r="AQ1513" s="28"/>
      <c r="AR1513" s="28"/>
      <c r="AS1513" s="28"/>
      <c r="AT1513" s="28"/>
      <c r="AU1513" s="28"/>
      <c r="AV1513" s="28">
        <f>179+225+4</f>
        <v>408</v>
      </c>
      <c r="AW1513" s="28"/>
      <c r="AX1513" s="28"/>
      <c r="AY1513" s="28"/>
      <c r="AZ1513" s="28"/>
      <c r="BA1513" s="28"/>
      <c r="BB1513" s="28">
        <f>119+531+4</f>
        <v>654</v>
      </c>
      <c r="BC1513" s="229">
        <f t="shared" si="609"/>
        <v>0</v>
      </c>
      <c r="BD1513" s="48">
        <f t="shared" si="602"/>
        <v>1640</v>
      </c>
      <c r="BE1513" s="19">
        <v>1025</v>
      </c>
      <c r="BF1513" s="229">
        <f t="shared" si="610"/>
        <v>0</v>
      </c>
      <c r="BG1513" s="210">
        <f t="shared" si="603"/>
        <v>1641</v>
      </c>
      <c r="BH1513" s="210">
        <f t="shared" si="604"/>
        <v>1025</v>
      </c>
      <c r="BI1513" s="213">
        <f t="shared" si="600"/>
        <v>160.09756097560975</v>
      </c>
      <c r="BJ1513" s="141"/>
      <c r="BK1513" s="201"/>
      <c r="BL1513" s="4"/>
      <c r="BM1513" s="4"/>
    </row>
    <row r="1514" spans="1:65" s="38" customFormat="1" ht="18" customHeight="1">
      <c r="A1514" s="114">
        <v>26</v>
      </c>
      <c r="B1514" s="24" t="s">
        <v>630</v>
      </c>
      <c r="C1514" s="25" t="s">
        <v>631</v>
      </c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229">
        <f t="shared" si="608"/>
        <v>0</v>
      </c>
      <c r="AC1514" s="228">
        <f t="shared" si="601"/>
        <v>0</v>
      </c>
      <c r="AD1514" s="19">
        <v>0</v>
      </c>
      <c r="AE1514" s="28"/>
      <c r="AF1514" s="28"/>
      <c r="AG1514" s="28"/>
      <c r="AH1514" s="28"/>
      <c r="AI1514" s="28"/>
      <c r="AJ1514" s="28">
        <v>3</v>
      </c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>
        <f>1+3+3</f>
        <v>7</v>
      </c>
      <c r="AW1514" s="28"/>
      <c r="AX1514" s="28"/>
      <c r="AY1514" s="28"/>
      <c r="AZ1514" s="28"/>
      <c r="BA1514" s="28"/>
      <c r="BB1514" s="28">
        <f>3+5+4</f>
        <v>12</v>
      </c>
      <c r="BC1514" s="229">
        <f t="shared" si="609"/>
        <v>0</v>
      </c>
      <c r="BD1514" s="48">
        <f t="shared" si="602"/>
        <v>22</v>
      </c>
      <c r="BE1514" s="19">
        <v>14</v>
      </c>
      <c r="BF1514" s="229">
        <f t="shared" si="610"/>
        <v>0</v>
      </c>
      <c r="BG1514" s="210">
        <f t="shared" si="603"/>
        <v>22</v>
      </c>
      <c r="BH1514" s="210">
        <f t="shared" si="604"/>
        <v>14</v>
      </c>
      <c r="BI1514" s="213">
        <f t="shared" si="600"/>
        <v>157.14285714285714</v>
      </c>
      <c r="BJ1514" s="141"/>
      <c r="BK1514" s="201"/>
      <c r="BL1514" s="4"/>
      <c r="BM1514" s="4"/>
    </row>
    <row r="1515" spans="1:65" s="38" customFormat="1" ht="18" customHeight="1">
      <c r="A1515" s="114">
        <v>27</v>
      </c>
      <c r="B1515" s="24" t="s">
        <v>770</v>
      </c>
      <c r="C1515" s="25" t="s">
        <v>771</v>
      </c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229">
        <f t="shared" si="608"/>
        <v>0</v>
      </c>
      <c r="AC1515" s="228">
        <f t="shared" si="601"/>
        <v>0</v>
      </c>
      <c r="AD1515" s="19">
        <v>0</v>
      </c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>
        <v>9</v>
      </c>
      <c r="AQ1515" s="28"/>
      <c r="AR1515" s="28"/>
      <c r="AS1515" s="28"/>
      <c r="AT1515" s="28"/>
      <c r="AU1515" s="28"/>
      <c r="AV1515" s="28">
        <v>2</v>
      </c>
      <c r="AW1515" s="28"/>
      <c r="AX1515" s="28"/>
      <c r="AY1515" s="28"/>
      <c r="AZ1515" s="28"/>
      <c r="BA1515" s="28"/>
      <c r="BB1515" s="28">
        <v>2</v>
      </c>
      <c r="BC1515" s="229">
        <f t="shared" si="609"/>
        <v>0</v>
      </c>
      <c r="BD1515" s="48">
        <f t="shared" si="602"/>
        <v>13</v>
      </c>
      <c r="BE1515" s="19">
        <v>3</v>
      </c>
      <c r="BF1515" s="229">
        <f t="shared" si="610"/>
        <v>0</v>
      </c>
      <c r="BG1515" s="210">
        <f t="shared" si="603"/>
        <v>13</v>
      </c>
      <c r="BH1515" s="210">
        <f t="shared" si="604"/>
        <v>3</v>
      </c>
      <c r="BI1515" s="213">
        <f t="shared" si="600"/>
        <v>433.33333333333331</v>
      </c>
      <c r="BJ1515" s="141"/>
      <c r="BK1515" s="201"/>
      <c r="BL1515" s="4"/>
      <c r="BM1515" s="4"/>
    </row>
    <row r="1516" spans="1:65" s="38" customFormat="1" ht="18" customHeight="1">
      <c r="A1516" s="114">
        <v>28</v>
      </c>
      <c r="B1516" s="24" t="s">
        <v>632</v>
      </c>
      <c r="C1516" s="25" t="s">
        <v>633</v>
      </c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229">
        <f t="shared" si="608"/>
        <v>0</v>
      </c>
      <c r="AC1516" s="228">
        <f t="shared" si="601"/>
        <v>0</v>
      </c>
      <c r="AD1516" s="19">
        <v>0</v>
      </c>
      <c r="AE1516" s="28"/>
      <c r="AF1516" s="28"/>
      <c r="AG1516" s="28"/>
      <c r="AH1516" s="28"/>
      <c r="AI1516" s="28"/>
      <c r="AJ1516" s="28">
        <f>67+13</f>
        <v>80</v>
      </c>
      <c r="AK1516" s="28"/>
      <c r="AL1516" s="28"/>
      <c r="AM1516" s="28"/>
      <c r="AN1516" s="28"/>
      <c r="AO1516" s="28"/>
      <c r="AP1516" s="28">
        <f>24+5+1</f>
        <v>30</v>
      </c>
      <c r="AQ1516" s="28"/>
      <c r="AR1516" s="28"/>
      <c r="AS1516" s="28"/>
      <c r="AT1516" s="28"/>
      <c r="AU1516" s="28"/>
      <c r="AV1516" s="28">
        <f>17+19</f>
        <v>36</v>
      </c>
      <c r="AW1516" s="28"/>
      <c r="AX1516" s="28"/>
      <c r="AY1516" s="28"/>
      <c r="AZ1516" s="28"/>
      <c r="BA1516" s="28"/>
      <c r="BB1516" s="28">
        <f>30+7</f>
        <v>37</v>
      </c>
      <c r="BC1516" s="229">
        <f t="shared" si="609"/>
        <v>0</v>
      </c>
      <c r="BD1516" s="48">
        <f t="shared" si="602"/>
        <v>183</v>
      </c>
      <c r="BE1516" s="19">
        <v>137</v>
      </c>
      <c r="BF1516" s="229">
        <f t="shared" si="610"/>
        <v>0</v>
      </c>
      <c r="BG1516" s="210">
        <f t="shared" si="603"/>
        <v>183</v>
      </c>
      <c r="BH1516" s="210">
        <f t="shared" si="604"/>
        <v>137</v>
      </c>
      <c r="BI1516" s="213">
        <f t="shared" si="600"/>
        <v>133.57664233576642</v>
      </c>
      <c r="BJ1516" s="141"/>
      <c r="BK1516" s="201"/>
      <c r="BL1516" s="4"/>
      <c r="BM1516" s="4"/>
    </row>
    <row r="1517" spans="1:65" s="38" customFormat="1" ht="18" customHeight="1">
      <c r="A1517" s="114">
        <v>29</v>
      </c>
      <c r="B1517" s="24" t="s">
        <v>634</v>
      </c>
      <c r="C1517" s="25" t="s">
        <v>696</v>
      </c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229">
        <f t="shared" si="608"/>
        <v>0</v>
      </c>
      <c r="AC1517" s="228">
        <f t="shared" si="601"/>
        <v>0</v>
      </c>
      <c r="AD1517" s="19">
        <v>0</v>
      </c>
      <c r="AE1517" s="28"/>
      <c r="AF1517" s="28"/>
      <c r="AG1517" s="28"/>
      <c r="AH1517" s="28"/>
      <c r="AI1517" s="28"/>
      <c r="AJ1517" s="28">
        <v>47</v>
      </c>
      <c r="AK1517" s="28"/>
      <c r="AL1517" s="28"/>
      <c r="AM1517" s="28"/>
      <c r="AN1517" s="28"/>
      <c r="AO1517" s="28"/>
      <c r="AP1517" s="28">
        <f>22+12</f>
        <v>34</v>
      </c>
      <c r="AQ1517" s="28"/>
      <c r="AR1517" s="28"/>
      <c r="AS1517" s="28"/>
      <c r="AT1517" s="28"/>
      <c r="AU1517" s="28"/>
      <c r="AV1517" s="28">
        <f>3+3+28</f>
        <v>34</v>
      </c>
      <c r="AW1517" s="28"/>
      <c r="AX1517" s="28"/>
      <c r="AY1517" s="28"/>
      <c r="AZ1517" s="28"/>
      <c r="BA1517" s="28"/>
      <c r="BB1517" s="28">
        <f>5+24</f>
        <v>29</v>
      </c>
      <c r="BC1517" s="229">
        <f t="shared" si="609"/>
        <v>0</v>
      </c>
      <c r="BD1517" s="48">
        <f t="shared" si="602"/>
        <v>144</v>
      </c>
      <c r="BE1517" s="19">
        <v>115</v>
      </c>
      <c r="BF1517" s="229">
        <f t="shared" si="610"/>
        <v>0</v>
      </c>
      <c r="BG1517" s="210">
        <f t="shared" si="603"/>
        <v>144</v>
      </c>
      <c r="BH1517" s="210">
        <f t="shared" si="604"/>
        <v>115</v>
      </c>
      <c r="BI1517" s="213">
        <f t="shared" si="600"/>
        <v>125.21739130434784</v>
      </c>
      <c r="BJ1517" s="141"/>
      <c r="BK1517" s="201"/>
      <c r="BL1517" s="4"/>
      <c r="BM1517" s="4"/>
    </row>
    <row r="1518" spans="1:65" s="38" customFormat="1" ht="18" customHeight="1">
      <c r="A1518" s="114">
        <v>30</v>
      </c>
      <c r="B1518" s="24" t="s">
        <v>636</v>
      </c>
      <c r="C1518" s="25" t="s">
        <v>1058</v>
      </c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229">
        <f t="shared" si="608"/>
        <v>0</v>
      </c>
      <c r="AC1518" s="228">
        <f t="shared" si="601"/>
        <v>0</v>
      </c>
      <c r="AD1518" s="19">
        <v>0</v>
      </c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>
        <v>2</v>
      </c>
      <c r="AQ1518" s="28"/>
      <c r="AR1518" s="28"/>
      <c r="AS1518" s="28"/>
      <c r="AT1518" s="28"/>
      <c r="AU1518" s="28"/>
      <c r="AV1518" s="28">
        <f>2+1+2</f>
        <v>5</v>
      </c>
      <c r="AW1518" s="28"/>
      <c r="AX1518" s="28"/>
      <c r="AY1518" s="28"/>
      <c r="AZ1518" s="28"/>
      <c r="BA1518" s="28"/>
      <c r="BB1518" s="28">
        <f>1+6</f>
        <v>7</v>
      </c>
      <c r="BC1518" s="229">
        <f t="shared" si="609"/>
        <v>0</v>
      </c>
      <c r="BD1518" s="48">
        <f t="shared" si="602"/>
        <v>14</v>
      </c>
      <c r="BE1518" s="19">
        <v>9</v>
      </c>
      <c r="BF1518" s="229">
        <f t="shared" si="610"/>
        <v>0</v>
      </c>
      <c r="BG1518" s="210">
        <f t="shared" si="603"/>
        <v>14</v>
      </c>
      <c r="BH1518" s="210">
        <f t="shared" si="604"/>
        <v>9</v>
      </c>
      <c r="BI1518" s="213">
        <f t="shared" si="600"/>
        <v>155.55555555555557</v>
      </c>
      <c r="BJ1518" s="141"/>
      <c r="BK1518" s="201"/>
      <c r="BL1518" s="4"/>
      <c r="BM1518" s="4"/>
    </row>
    <row r="1519" spans="1:65" s="38" customFormat="1" ht="18" customHeight="1">
      <c r="A1519" s="114">
        <v>31</v>
      </c>
      <c r="B1519" s="24" t="s">
        <v>643</v>
      </c>
      <c r="C1519" s="25" t="s">
        <v>722</v>
      </c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229">
        <f t="shared" si="608"/>
        <v>0</v>
      </c>
      <c r="AC1519" s="228">
        <f t="shared" si="601"/>
        <v>0</v>
      </c>
      <c r="AD1519" s="19">
        <v>0</v>
      </c>
      <c r="AE1519" s="28"/>
      <c r="AF1519" s="28"/>
      <c r="AG1519" s="28"/>
      <c r="AH1519" s="28"/>
      <c r="AI1519" s="28"/>
      <c r="AJ1519" s="28">
        <f>20+6</f>
        <v>26</v>
      </c>
      <c r="AK1519" s="28"/>
      <c r="AL1519" s="28"/>
      <c r="AM1519" s="28"/>
      <c r="AN1519" s="28"/>
      <c r="AO1519" s="28"/>
      <c r="AP1519" s="28">
        <f>86+1</f>
        <v>87</v>
      </c>
      <c r="AQ1519" s="28"/>
      <c r="AR1519" s="28"/>
      <c r="AS1519" s="28"/>
      <c r="AT1519" s="28"/>
      <c r="AU1519" s="28"/>
      <c r="AV1519" s="28">
        <f>72+18</f>
        <v>90</v>
      </c>
      <c r="AW1519" s="28"/>
      <c r="AX1519" s="28"/>
      <c r="AY1519" s="28"/>
      <c r="AZ1519" s="28"/>
      <c r="BA1519" s="28"/>
      <c r="BB1519" s="28">
        <f>24+14</f>
        <v>38</v>
      </c>
      <c r="BC1519" s="229">
        <f t="shared" si="609"/>
        <v>0</v>
      </c>
      <c r="BD1519" s="48">
        <f t="shared" si="602"/>
        <v>241</v>
      </c>
      <c r="BE1519" s="19">
        <v>104</v>
      </c>
      <c r="BF1519" s="229">
        <f t="shared" si="610"/>
        <v>0</v>
      </c>
      <c r="BG1519" s="210">
        <f t="shared" si="603"/>
        <v>241</v>
      </c>
      <c r="BH1519" s="210">
        <f t="shared" si="604"/>
        <v>104</v>
      </c>
      <c r="BI1519" s="213">
        <f t="shared" si="600"/>
        <v>231.73076923076925</v>
      </c>
      <c r="BJ1519" s="141"/>
      <c r="BK1519" s="201"/>
      <c r="BL1519" s="4"/>
      <c r="BM1519" s="4"/>
    </row>
    <row r="1520" spans="1:65" s="38" customFormat="1" ht="18" customHeight="1">
      <c r="A1520" s="114">
        <v>32</v>
      </c>
      <c r="B1520" s="24" t="s">
        <v>644</v>
      </c>
      <c r="C1520" s="25" t="s">
        <v>645</v>
      </c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229">
        <f t="shared" si="608"/>
        <v>0</v>
      </c>
      <c r="AC1520" s="228">
        <f t="shared" si="601"/>
        <v>0</v>
      </c>
      <c r="AD1520" s="19">
        <v>0</v>
      </c>
      <c r="AE1520" s="28"/>
      <c r="AF1520" s="28"/>
      <c r="AG1520" s="28"/>
      <c r="AH1520" s="28"/>
      <c r="AI1520" s="28"/>
      <c r="AJ1520" s="28">
        <f>9+5</f>
        <v>14</v>
      </c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29">
        <f t="shared" si="609"/>
        <v>0</v>
      </c>
      <c r="BD1520" s="48">
        <f t="shared" si="602"/>
        <v>14</v>
      </c>
      <c r="BE1520" s="19">
        <v>39</v>
      </c>
      <c r="BF1520" s="229">
        <f t="shared" si="610"/>
        <v>0</v>
      </c>
      <c r="BG1520" s="210">
        <f t="shared" si="603"/>
        <v>14</v>
      </c>
      <c r="BH1520" s="210">
        <f t="shared" si="604"/>
        <v>39</v>
      </c>
      <c r="BI1520" s="213">
        <f t="shared" si="600"/>
        <v>35.897435897435898</v>
      </c>
      <c r="BJ1520" s="141"/>
      <c r="BK1520" s="201"/>
      <c r="BL1520" s="4"/>
      <c r="BM1520" s="4"/>
    </row>
    <row r="1521" spans="1:65" s="38" customFormat="1" ht="18" customHeight="1">
      <c r="A1521" s="114">
        <v>33</v>
      </c>
      <c r="B1521" s="24" t="s">
        <v>698</v>
      </c>
      <c r="C1521" s="25" t="s">
        <v>699</v>
      </c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229">
        <f t="shared" si="608"/>
        <v>0</v>
      </c>
      <c r="AC1521" s="228">
        <f t="shared" si="601"/>
        <v>0</v>
      </c>
      <c r="AD1521" s="19">
        <v>0</v>
      </c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>
        <v>8</v>
      </c>
      <c r="AQ1521" s="28"/>
      <c r="AR1521" s="28"/>
      <c r="AS1521" s="28"/>
      <c r="AT1521" s="28"/>
      <c r="AU1521" s="28"/>
      <c r="AV1521" s="28">
        <f>10+3</f>
        <v>13</v>
      </c>
      <c r="AW1521" s="28"/>
      <c r="AX1521" s="28"/>
      <c r="AY1521" s="28"/>
      <c r="AZ1521" s="28"/>
      <c r="BA1521" s="28"/>
      <c r="BB1521" s="28">
        <v>5</v>
      </c>
      <c r="BC1521" s="229">
        <f t="shared" si="609"/>
        <v>0</v>
      </c>
      <c r="BD1521" s="48">
        <f t="shared" si="602"/>
        <v>26</v>
      </c>
      <c r="BE1521" s="19">
        <v>38</v>
      </c>
      <c r="BF1521" s="229">
        <f t="shared" si="610"/>
        <v>0</v>
      </c>
      <c r="BG1521" s="210">
        <f t="shared" si="603"/>
        <v>26</v>
      </c>
      <c r="BH1521" s="210">
        <f t="shared" si="604"/>
        <v>38</v>
      </c>
      <c r="BI1521" s="213">
        <f t="shared" ref="BI1521:BI1553" si="611">BG1521/BH1521*100</f>
        <v>68.421052631578945</v>
      </c>
      <c r="BJ1521" s="141"/>
      <c r="BK1521" s="201"/>
      <c r="BL1521" s="4"/>
      <c r="BM1521" s="4"/>
    </row>
    <row r="1522" spans="1:65" s="38" customFormat="1" ht="18" customHeight="1">
      <c r="A1522" s="330"/>
      <c r="B1522" s="331" t="s">
        <v>648</v>
      </c>
      <c r="C1522" s="332" t="s">
        <v>649</v>
      </c>
      <c r="D1522" s="333"/>
      <c r="E1522" s="333"/>
      <c r="F1522" s="333"/>
      <c r="G1522" s="333"/>
      <c r="H1522" s="333"/>
      <c r="I1522" s="333"/>
      <c r="J1522" s="333"/>
      <c r="K1522" s="333"/>
      <c r="L1522" s="333"/>
      <c r="M1522" s="333"/>
      <c r="N1522" s="333"/>
      <c r="O1522" s="333"/>
      <c r="P1522" s="333"/>
      <c r="Q1522" s="333"/>
      <c r="R1522" s="333"/>
      <c r="S1522" s="333"/>
      <c r="T1522" s="333"/>
      <c r="U1522" s="333"/>
      <c r="V1522" s="333"/>
      <c r="W1522" s="333"/>
      <c r="X1522" s="333"/>
      <c r="Y1522" s="333"/>
      <c r="Z1522" s="333"/>
      <c r="AA1522" s="333"/>
      <c r="AB1522" s="323"/>
      <c r="AC1522" s="228">
        <f t="shared" si="601"/>
        <v>0</v>
      </c>
      <c r="AD1522" s="326">
        <v>0</v>
      </c>
      <c r="AE1522" s="334"/>
      <c r="AF1522" s="334"/>
      <c r="AG1522" s="334"/>
      <c r="AH1522" s="334"/>
      <c r="AI1522" s="334"/>
      <c r="AJ1522" s="334"/>
      <c r="AK1522" s="334"/>
      <c r="AL1522" s="334"/>
      <c r="AM1522" s="334"/>
      <c r="AN1522" s="334"/>
      <c r="AO1522" s="334"/>
      <c r="AP1522" s="334"/>
      <c r="AQ1522" s="334"/>
      <c r="AR1522" s="334"/>
      <c r="AS1522" s="334"/>
      <c r="AT1522" s="334"/>
      <c r="AU1522" s="334"/>
      <c r="AV1522" s="334"/>
      <c r="AW1522" s="334"/>
      <c r="AX1522" s="334"/>
      <c r="AY1522" s="334"/>
      <c r="AZ1522" s="334"/>
      <c r="BA1522" s="334"/>
      <c r="BB1522" s="334">
        <v>1</v>
      </c>
      <c r="BC1522" s="323"/>
      <c r="BD1522" s="48">
        <f t="shared" si="602"/>
        <v>1</v>
      </c>
      <c r="BE1522" s="326">
        <v>0</v>
      </c>
      <c r="BF1522" s="323"/>
      <c r="BG1522" s="210">
        <f t="shared" ref="BG1522" si="612">AC1522+BD1522</f>
        <v>1</v>
      </c>
      <c r="BH1522" s="210">
        <f t="shared" ref="BH1522" si="613">AD1522+BE1522</f>
        <v>0</v>
      </c>
      <c r="BI1522" s="213" t="e">
        <f t="shared" ref="BI1522" si="614">BG1522/BH1522*100</f>
        <v>#DIV/0!</v>
      </c>
      <c r="BJ1522" s="141"/>
      <c r="BK1522" s="201"/>
      <c r="BL1522" s="4"/>
      <c r="BM1522" s="4"/>
    </row>
    <row r="1523" spans="1:65" s="38" customFormat="1" ht="18" customHeight="1">
      <c r="A1523" s="114">
        <v>34</v>
      </c>
      <c r="B1523" s="24" t="s">
        <v>700</v>
      </c>
      <c r="C1523" s="25" t="s">
        <v>845</v>
      </c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229">
        <f t="shared" si="608"/>
        <v>0</v>
      </c>
      <c r="AC1523" s="228">
        <f t="shared" si="601"/>
        <v>0</v>
      </c>
      <c r="AD1523" s="19">
        <v>0</v>
      </c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29">
        <f t="shared" si="609"/>
        <v>0</v>
      </c>
      <c r="BD1523" s="48">
        <f t="shared" si="602"/>
        <v>0</v>
      </c>
      <c r="BE1523" s="19">
        <v>4</v>
      </c>
      <c r="BF1523" s="229">
        <f t="shared" si="610"/>
        <v>0</v>
      </c>
      <c r="BG1523" s="210">
        <f t="shared" si="603"/>
        <v>0</v>
      </c>
      <c r="BH1523" s="210">
        <f t="shared" si="604"/>
        <v>4</v>
      </c>
      <c r="BI1523" s="213">
        <f t="shared" si="611"/>
        <v>0</v>
      </c>
      <c r="BJ1523" s="141"/>
      <c r="BK1523" s="201"/>
      <c r="BL1523" s="4"/>
      <c r="BM1523" s="4"/>
    </row>
    <row r="1524" spans="1:65" s="38" customFormat="1" ht="18" customHeight="1">
      <c r="A1524" s="114">
        <v>35</v>
      </c>
      <c r="B1524" s="24" t="s">
        <v>835</v>
      </c>
      <c r="C1524" s="25" t="s">
        <v>1962</v>
      </c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229">
        <f t="shared" si="608"/>
        <v>0</v>
      </c>
      <c r="AC1524" s="228">
        <f t="shared" si="601"/>
        <v>0</v>
      </c>
      <c r="AD1524" s="19">
        <v>0</v>
      </c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>
        <v>12</v>
      </c>
      <c r="AQ1524" s="28"/>
      <c r="AR1524" s="28"/>
      <c r="AS1524" s="28"/>
      <c r="AT1524" s="28"/>
      <c r="AU1524" s="28"/>
      <c r="AV1524" s="28">
        <v>22</v>
      </c>
      <c r="AW1524" s="28"/>
      <c r="AX1524" s="28"/>
      <c r="AY1524" s="28"/>
      <c r="AZ1524" s="28"/>
      <c r="BA1524" s="28"/>
      <c r="BB1524" s="28">
        <v>18</v>
      </c>
      <c r="BC1524" s="229">
        <f t="shared" si="609"/>
        <v>0</v>
      </c>
      <c r="BD1524" s="48">
        <f t="shared" si="602"/>
        <v>52</v>
      </c>
      <c r="BE1524" s="19">
        <v>11</v>
      </c>
      <c r="BF1524" s="229">
        <f t="shared" si="610"/>
        <v>0</v>
      </c>
      <c r="BG1524" s="210">
        <f t="shared" si="603"/>
        <v>52</v>
      </c>
      <c r="BH1524" s="210">
        <f t="shared" si="604"/>
        <v>11</v>
      </c>
      <c r="BI1524" s="213">
        <f t="shared" si="611"/>
        <v>472.72727272727275</v>
      </c>
      <c r="BJ1524" s="141"/>
      <c r="BK1524" s="201"/>
      <c r="BL1524" s="4"/>
      <c r="BM1524" s="4"/>
    </row>
    <row r="1525" spans="1:65" s="38" customFormat="1" ht="18" customHeight="1">
      <c r="A1525" s="114">
        <v>36</v>
      </c>
      <c r="B1525" s="24" t="s">
        <v>1395</v>
      </c>
      <c r="C1525" s="25" t="s">
        <v>1404</v>
      </c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229">
        <f t="shared" si="608"/>
        <v>0</v>
      </c>
      <c r="AC1525" s="228">
        <f t="shared" ref="AC1525:AC1556" si="615">E1525+G1525+I1525+K1525+M1525+O1525+Q1525+S1525+U1525+W1525+Y1525+AA1525</f>
        <v>0</v>
      </c>
      <c r="AD1525" s="19">
        <v>0</v>
      </c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>
        <v>21</v>
      </c>
      <c r="AQ1525" s="28"/>
      <c r="AR1525" s="28"/>
      <c r="AS1525" s="28"/>
      <c r="AT1525" s="28"/>
      <c r="AU1525" s="28"/>
      <c r="AV1525" s="28">
        <v>15</v>
      </c>
      <c r="AW1525" s="28"/>
      <c r="AX1525" s="28"/>
      <c r="AY1525" s="28"/>
      <c r="AZ1525" s="28"/>
      <c r="BA1525" s="28"/>
      <c r="BB1525" s="28">
        <v>32</v>
      </c>
      <c r="BC1525" s="229">
        <f t="shared" si="609"/>
        <v>0</v>
      </c>
      <c r="BD1525" s="48">
        <f t="shared" ref="BD1525:BD1556" si="616">AF1525+AH1525+AJ1525+AL1525+AN1525+AP1525+AR1525+AT1525+AV1525+AX1525+AZ1525+BB1525</f>
        <v>68</v>
      </c>
      <c r="BE1525" s="19">
        <v>52</v>
      </c>
      <c r="BF1525" s="229">
        <f t="shared" si="610"/>
        <v>0</v>
      </c>
      <c r="BG1525" s="210">
        <f t="shared" ref="BG1525:BG1556" si="617">AC1525+BD1525</f>
        <v>68</v>
      </c>
      <c r="BH1525" s="210">
        <f t="shared" ref="BH1525:BH1556" si="618">AD1525+BE1525</f>
        <v>52</v>
      </c>
      <c r="BI1525" s="213">
        <f t="shared" si="611"/>
        <v>130.76923076923077</v>
      </c>
      <c r="BJ1525" s="141"/>
      <c r="BK1525" s="201"/>
      <c r="BL1525" s="4"/>
      <c r="BM1525" s="4"/>
    </row>
    <row r="1526" spans="1:65" s="38" customFormat="1" ht="18" customHeight="1">
      <c r="A1526" s="114">
        <v>37</v>
      </c>
      <c r="B1526" s="24" t="s">
        <v>892</v>
      </c>
      <c r="C1526" s="25" t="s">
        <v>893</v>
      </c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229"/>
      <c r="AC1526" s="228">
        <f t="shared" si="615"/>
        <v>0</v>
      </c>
      <c r="AD1526" s="19">
        <v>0</v>
      </c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>
        <v>2</v>
      </c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29"/>
      <c r="BD1526" s="48">
        <f t="shared" si="616"/>
        <v>2</v>
      </c>
      <c r="BE1526" s="19">
        <v>0</v>
      </c>
      <c r="BF1526" s="229"/>
      <c r="BG1526" s="210">
        <f t="shared" si="617"/>
        <v>2</v>
      </c>
      <c r="BH1526" s="210">
        <f t="shared" si="618"/>
        <v>0</v>
      </c>
      <c r="BI1526" s="213" t="e">
        <f t="shared" si="611"/>
        <v>#DIV/0!</v>
      </c>
      <c r="BJ1526" s="141"/>
      <c r="BK1526" s="201"/>
      <c r="BL1526" s="4"/>
      <c r="BM1526" s="4"/>
    </row>
    <row r="1527" spans="1:65" s="38" customFormat="1" ht="18" customHeight="1">
      <c r="A1527" s="114">
        <v>38</v>
      </c>
      <c r="B1527" s="24" t="s">
        <v>650</v>
      </c>
      <c r="C1527" s="25" t="s">
        <v>2445</v>
      </c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229">
        <f t="shared" ref="AB1527:AB1547" si="619">D1527+F1527+H1527+J1527+L1527+N1527+P1527+R1527+T1527+V1527+X1527+Z1527</f>
        <v>0</v>
      </c>
      <c r="AC1527" s="228">
        <f t="shared" si="615"/>
        <v>0</v>
      </c>
      <c r="AD1527" s="19">
        <v>0</v>
      </c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29">
        <f t="shared" ref="BC1527:BC1547" si="620">AE1527+AG1527+AI1527+AK1527+AM1527+AO1527+AQ1527+AS1527+AU1527+AW1527+AY1527+BA1527</f>
        <v>0</v>
      </c>
      <c r="BD1527" s="48">
        <f t="shared" si="616"/>
        <v>0</v>
      </c>
      <c r="BE1527" s="19">
        <v>6</v>
      </c>
      <c r="BF1527" s="229">
        <f t="shared" ref="BF1527:BF1547" si="621">AB1527+BC1527</f>
        <v>0</v>
      </c>
      <c r="BG1527" s="210">
        <f t="shared" si="617"/>
        <v>0</v>
      </c>
      <c r="BH1527" s="210">
        <f t="shared" si="618"/>
        <v>6</v>
      </c>
      <c r="BI1527" s="213">
        <f t="shared" si="611"/>
        <v>0</v>
      </c>
      <c r="BJ1527" s="141"/>
      <c r="BK1527" s="201"/>
      <c r="BL1527" s="4"/>
      <c r="BM1527" s="4"/>
    </row>
    <row r="1528" spans="1:65" s="38" customFormat="1" ht="18" customHeight="1">
      <c r="A1528" s="114">
        <v>39</v>
      </c>
      <c r="B1528" s="24" t="s">
        <v>702</v>
      </c>
      <c r="C1528" s="25" t="s">
        <v>2443</v>
      </c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229">
        <f t="shared" si="619"/>
        <v>0</v>
      </c>
      <c r="AC1528" s="228">
        <f t="shared" si="615"/>
        <v>0</v>
      </c>
      <c r="AD1528" s="19">
        <v>0</v>
      </c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29">
        <f t="shared" si="620"/>
        <v>0</v>
      </c>
      <c r="BD1528" s="48">
        <f t="shared" si="616"/>
        <v>0</v>
      </c>
      <c r="BE1528" s="19">
        <v>1</v>
      </c>
      <c r="BF1528" s="229">
        <f t="shared" si="621"/>
        <v>0</v>
      </c>
      <c r="BG1528" s="210">
        <f t="shared" si="617"/>
        <v>0</v>
      </c>
      <c r="BH1528" s="210">
        <f t="shared" si="618"/>
        <v>1</v>
      </c>
      <c r="BI1528" s="213">
        <f t="shared" si="611"/>
        <v>0</v>
      </c>
      <c r="BJ1528" s="141"/>
      <c r="BK1528" s="201"/>
      <c r="BL1528" s="4"/>
      <c r="BM1528" s="4"/>
    </row>
    <row r="1529" spans="1:65" s="38" customFormat="1" ht="18" customHeight="1">
      <c r="A1529" s="114">
        <v>40</v>
      </c>
      <c r="B1529" s="24" t="s">
        <v>651</v>
      </c>
      <c r="C1529" s="25" t="s">
        <v>1453</v>
      </c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229">
        <f t="shared" si="619"/>
        <v>0</v>
      </c>
      <c r="AC1529" s="228">
        <f t="shared" si="615"/>
        <v>0</v>
      </c>
      <c r="AD1529" s="19">
        <v>0</v>
      </c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29">
        <f t="shared" si="620"/>
        <v>0</v>
      </c>
      <c r="BD1529" s="48">
        <f t="shared" si="616"/>
        <v>0</v>
      </c>
      <c r="BE1529" s="19">
        <v>1</v>
      </c>
      <c r="BF1529" s="229">
        <f t="shared" si="621"/>
        <v>0</v>
      </c>
      <c r="BG1529" s="210">
        <f t="shared" si="617"/>
        <v>0</v>
      </c>
      <c r="BH1529" s="210">
        <f t="shared" si="618"/>
        <v>1</v>
      </c>
      <c r="BI1529" s="213">
        <f t="shared" si="611"/>
        <v>0</v>
      </c>
      <c r="BJ1529" s="141"/>
      <c r="BK1529" s="201"/>
      <c r="BL1529" s="4"/>
      <c r="BM1529" s="4"/>
    </row>
    <row r="1530" spans="1:65" s="38" customFormat="1" ht="18" customHeight="1">
      <c r="A1530" s="114">
        <v>41</v>
      </c>
      <c r="B1530" s="24" t="s">
        <v>814</v>
      </c>
      <c r="C1530" s="25" t="s">
        <v>815</v>
      </c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229">
        <f t="shared" si="619"/>
        <v>0</v>
      </c>
      <c r="AC1530" s="228">
        <f t="shared" si="615"/>
        <v>0</v>
      </c>
      <c r="AD1530" s="19">
        <v>0</v>
      </c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29">
        <f t="shared" si="620"/>
        <v>0</v>
      </c>
      <c r="BD1530" s="48">
        <f t="shared" si="616"/>
        <v>0</v>
      </c>
      <c r="BE1530" s="19">
        <v>1</v>
      </c>
      <c r="BF1530" s="229">
        <f t="shared" si="621"/>
        <v>0</v>
      </c>
      <c r="BG1530" s="210">
        <f t="shared" si="617"/>
        <v>0</v>
      </c>
      <c r="BH1530" s="210">
        <f t="shared" si="618"/>
        <v>1</v>
      </c>
      <c r="BI1530" s="213">
        <f t="shared" si="611"/>
        <v>0</v>
      </c>
      <c r="BJ1530" s="141"/>
      <c r="BK1530" s="201"/>
      <c r="BL1530" s="4"/>
      <c r="BM1530" s="4"/>
    </row>
    <row r="1531" spans="1:65" s="38" customFormat="1" ht="18" customHeight="1">
      <c r="A1531" s="114">
        <v>42</v>
      </c>
      <c r="B1531" s="24" t="s">
        <v>703</v>
      </c>
      <c r="C1531" s="25" t="s">
        <v>774</v>
      </c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229">
        <f t="shared" si="619"/>
        <v>0</v>
      </c>
      <c r="AC1531" s="228">
        <f t="shared" si="615"/>
        <v>0</v>
      </c>
      <c r="AD1531" s="19">
        <v>0</v>
      </c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29">
        <f t="shared" si="620"/>
        <v>0</v>
      </c>
      <c r="BD1531" s="48">
        <f t="shared" si="616"/>
        <v>0</v>
      </c>
      <c r="BE1531" s="19">
        <v>1</v>
      </c>
      <c r="BF1531" s="229">
        <f t="shared" si="621"/>
        <v>0</v>
      </c>
      <c r="BG1531" s="210">
        <f t="shared" si="617"/>
        <v>0</v>
      </c>
      <c r="BH1531" s="210">
        <f t="shared" si="618"/>
        <v>1</v>
      </c>
      <c r="BI1531" s="213">
        <f t="shared" si="611"/>
        <v>0</v>
      </c>
      <c r="BJ1531" s="141"/>
      <c r="BK1531" s="201"/>
      <c r="BL1531" s="4"/>
      <c r="BM1531" s="4"/>
    </row>
    <row r="1532" spans="1:65" s="38" customFormat="1" ht="18" customHeight="1">
      <c r="A1532" s="114">
        <v>43</v>
      </c>
      <c r="B1532" s="24" t="s">
        <v>819</v>
      </c>
      <c r="C1532" s="25" t="s">
        <v>993</v>
      </c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229">
        <f t="shared" si="619"/>
        <v>0</v>
      </c>
      <c r="AC1532" s="228">
        <f t="shared" si="615"/>
        <v>0</v>
      </c>
      <c r="AD1532" s="19">
        <v>0</v>
      </c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29">
        <f t="shared" si="620"/>
        <v>0</v>
      </c>
      <c r="BD1532" s="48">
        <f t="shared" si="616"/>
        <v>0</v>
      </c>
      <c r="BE1532" s="19">
        <v>1</v>
      </c>
      <c r="BF1532" s="229">
        <f t="shared" si="621"/>
        <v>0</v>
      </c>
      <c r="BG1532" s="210">
        <f t="shared" si="617"/>
        <v>0</v>
      </c>
      <c r="BH1532" s="210">
        <f t="shared" si="618"/>
        <v>1</v>
      </c>
      <c r="BI1532" s="213">
        <f t="shared" si="611"/>
        <v>0</v>
      </c>
      <c r="BJ1532" s="141"/>
      <c r="BK1532" s="201"/>
      <c r="BL1532" s="4"/>
      <c r="BM1532" s="4"/>
    </row>
    <row r="1533" spans="1:65" s="38" customFormat="1" ht="18" customHeight="1">
      <c r="A1533" s="114">
        <v>44</v>
      </c>
      <c r="B1533" s="24" t="s">
        <v>734</v>
      </c>
      <c r="C1533" s="25" t="s">
        <v>735</v>
      </c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229">
        <f t="shared" si="619"/>
        <v>0</v>
      </c>
      <c r="AC1533" s="228">
        <f t="shared" si="615"/>
        <v>0</v>
      </c>
      <c r="AD1533" s="19">
        <v>0</v>
      </c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29">
        <f t="shared" si="620"/>
        <v>0</v>
      </c>
      <c r="BD1533" s="48">
        <f t="shared" si="616"/>
        <v>0</v>
      </c>
      <c r="BE1533" s="19">
        <v>1</v>
      </c>
      <c r="BF1533" s="229">
        <f t="shared" si="621"/>
        <v>0</v>
      </c>
      <c r="BG1533" s="210">
        <f t="shared" si="617"/>
        <v>0</v>
      </c>
      <c r="BH1533" s="210">
        <f t="shared" si="618"/>
        <v>1</v>
      </c>
      <c r="BI1533" s="213">
        <f t="shared" si="611"/>
        <v>0</v>
      </c>
      <c r="BJ1533" s="141"/>
      <c r="BK1533" s="201"/>
      <c r="BL1533" s="4"/>
      <c r="BM1533" s="4"/>
    </row>
    <row r="1534" spans="1:65" s="38" customFormat="1" ht="18" customHeight="1">
      <c r="A1534" s="114">
        <v>45</v>
      </c>
      <c r="B1534" s="24" t="s">
        <v>736</v>
      </c>
      <c r="C1534" s="25" t="s">
        <v>1027</v>
      </c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229">
        <f t="shared" si="619"/>
        <v>0</v>
      </c>
      <c r="AC1534" s="228">
        <f t="shared" si="615"/>
        <v>0</v>
      </c>
      <c r="AD1534" s="19">
        <v>0</v>
      </c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>
        <v>11</v>
      </c>
      <c r="AW1534" s="28"/>
      <c r="AX1534" s="28"/>
      <c r="AY1534" s="28"/>
      <c r="AZ1534" s="28"/>
      <c r="BA1534" s="28"/>
      <c r="BB1534" s="28">
        <v>3</v>
      </c>
      <c r="BC1534" s="229">
        <f t="shared" si="620"/>
        <v>0</v>
      </c>
      <c r="BD1534" s="48">
        <f t="shared" si="616"/>
        <v>14</v>
      </c>
      <c r="BE1534" s="19">
        <v>16</v>
      </c>
      <c r="BF1534" s="229">
        <f t="shared" si="621"/>
        <v>0</v>
      </c>
      <c r="BG1534" s="210">
        <f t="shared" si="617"/>
        <v>14</v>
      </c>
      <c r="BH1534" s="210">
        <f t="shared" si="618"/>
        <v>16</v>
      </c>
      <c r="BI1534" s="213">
        <f t="shared" si="611"/>
        <v>87.5</v>
      </c>
      <c r="BJ1534" s="141"/>
      <c r="BK1534" s="201"/>
      <c r="BL1534" s="4"/>
      <c r="BM1534" s="4"/>
    </row>
    <row r="1535" spans="1:65" s="38" customFormat="1" ht="18" customHeight="1">
      <c r="A1535" s="114">
        <v>46</v>
      </c>
      <c r="B1535" s="24" t="s">
        <v>797</v>
      </c>
      <c r="C1535" s="25" t="s">
        <v>798</v>
      </c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229">
        <f t="shared" si="619"/>
        <v>0</v>
      </c>
      <c r="AC1535" s="228">
        <f t="shared" si="615"/>
        <v>0</v>
      </c>
      <c r="AD1535" s="19">
        <v>0</v>
      </c>
      <c r="AE1535" s="28"/>
      <c r="AF1535" s="28"/>
      <c r="AG1535" s="28"/>
      <c r="AH1535" s="28"/>
      <c r="AI1535" s="28"/>
      <c r="AJ1535" s="28">
        <v>6</v>
      </c>
      <c r="AK1535" s="28"/>
      <c r="AL1535" s="28"/>
      <c r="AM1535" s="28"/>
      <c r="AN1535" s="28"/>
      <c r="AO1535" s="28"/>
      <c r="AP1535" s="28">
        <v>6</v>
      </c>
      <c r="AQ1535" s="28"/>
      <c r="AR1535" s="28"/>
      <c r="AS1535" s="28"/>
      <c r="AT1535" s="28"/>
      <c r="AU1535" s="28"/>
      <c r="AV1535" s="28">
        <v>5</v>
      </c>
      <c r="AW1535" s="28"/>
      <c r="AX1535" s="28"/>
      <c r="AY1535" s="28"/>
      <c r="AZ1535" s="28"/>
      <c r="BA1535" s="28"/>
      <c r="BB1535" s="28">
        <v>7</v>
      </c>
      <c r="BC1535" s="229">
        <f t="shared" si="620"/>
        <v>0</v>
      </c>
      <c r="BD1535" s="48">
        <f t="shared" si="616"/>
        <v>24</v>
      </c>
      <c r="BE1535" s="19">
        <v>158</v>
      </c>
      <c r="BF1535" s="229">
        <f t="shared" si="621"/>
        <v>0</v>
      </c>
      <c r="BG1535" s="210">
        <f t="shared" si="617"/>
        <v>24</v>
      </c>
      <c r="BH1535" s="210">
        <f t="shared" si="618"/>
        <v>158</v>
      </c>
      <c r="BI1535" s="213">
        <f t="shared" si="611"/>
        <v>15.18987341772152</v>
      </c>
      <c r="BJ1535" s="141"/>
      <c r="BK1535" s="201"/>
      <c r="BL1535" s="4"/>
      <c r="BM1535" s="4"/>
    </row>
    <row r="1536" spans="1:65" s="38" customFormat="1" ht="18" customHeight="1">
      <c r="A1536" s="114">
        <v>47</v>
      </c>
      <c r="B1536" s="24" t="s">
        <v>653</v>
      </c>
      <c r="C1536" s="25" t="s">
        <v>654</v>
      </c>
      <c r="D1536" s="121"/>
      <c r="E1536" s="121"/>
      <c r="F1536" s="121"/>
      <c r="G1536" s="121"/>
      <c r="H1536" s="121"/>
      <c r="I1536" s="121">
        <v>5</v>
      </c>
      <c r="J1536" s="121"/>
      <c r="K1536" s="121"/>
      <c r="L1536" s="121"/>
      <c r="M1536" s="121"/>
      <c r="N1536" s="121"/>
      <c r="O1536" s="121">
        <v>2</v>
      </c>
      <c r="P1536" s="121"/>
      <c r="Q1536" s="121"/>
      <c r="R1536" s="121"/>
      <c r="S1536" s="121"/>
      <c r="T1536" s="121"/>
      <c r="U1536" s="121">
        <v>8</v>
      </c>
      <c r="V1536" s="121"/>
      <c r="W1536" s="121"/>
      <c r="X1536" s="121"/>
      <c r="Y1536" s="121"/>
      <c r="Z1536" s="121"/>
      <c r="AA1536" s="121">
        <v>6</v>
      </c>
      <c r="AB1536" s="229">
        <f t="shared" si="619"/>
        <v>0</v>
      </c>
      <c r="AC1536" s="228">
        <f t="shared" si="615"/>
        <v>21</v>
      </c>
      <c r="AD1536" s="19">
        <v>8</v>
      </c>
      <c r="AE1536" s="28"/>
      <c r="AF1536" s="28"/>
      <c r="AG1536" s="28"/>
      <c r="AH1536" s="28"/>
      <c r="AI1536" s="28"/>
      <c r="AJ1536" s="28">
        <v>106</v>
      </c>
      <c r="AK1536" s="28"/>
      <c r="AL1536" s="28"/>
      <c r="AM1536" s="28"/>
      <c r="AN1536" s="28"/>
      <c r="AO1536" s="28"/>
      <c r="AP1536" s="28">
        <v>87</v>
      </c>
      <c r="AQ1536" s="28"/>
      <c r="AR1536" s="28"/>
      <c r="AS1536" s="28"/>
      <c r="AT1536" s="28"/>
      <c r="AU1536" s="28"/>
      <c r="AV1536" s="28">
        <v>125</v>
      </c>
      <c r="AW1536" s="28"/>
      <c r="AX1536" s="28"/>
      <c r="AY1536" s="28"/>
      <c r="AZ1536" s="28"/>
      <c r="BA1536" s="28"/>
      <c r="BB1536" s="28">
        <v>116</v>
      </c>
      <c r="BC1536" s="229">
        <f t="shared" si="620"/>
        <v>0</v>
      </c>
      <c r="BD1536" s="48">
        <f t="shared" si="616"/>
        <v>434</v>
      </c>
      <c r="BE1536" s="19">
        <v>485</v>
      </c>
      <c r="BF1536" s="229">
        <f t="shared" si="621"/>
        <v>0</v>
      </c>
      <c r="BG1536" s="210">
        <f t="shared" si="617"/>
        <v>455</v>
      </c>
      <c r="BH1536" s="210">
        <f t="shared" si="618"/>
        <v>493</v>
      </c>
      <c r="BI1536" s="213">
        <f t="shared" si="611"/>
        <v>92.292089249492903</v>
      </c>
      <c r="BJ1536" s="141"/>
      <c r="BK1536" s="201"/>
      <c r="BL1536" s="4"/>
      <c r="BM1536" s="4"/>
    </row>
    <row r="1537" spans="1:65" s="38" customFormat="1" ht="18" customHeight="1">
      <c r="A1537" s="114">
        <v>48</v>
      </c>
      <c r="B1537" s="24" t="s">
        <v>655</v>
      </c>
      <c r="C1537" s="25" t="s">
        <v>997</v>
      </c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229">
        <f t="shared" si="619"/>
        <v>0</v>
      </c>
      <c r="AC1537" s="228">
        <f t="shared" si="615"/>
        <v>0</v>
      </c>
      <c r="AD1537" s="19">
        <v>0</v>
      </c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29">
        <f t="shared" si="620"/>
        <v>0</v>
      </c>
      <c r="BD1537" s="48">
        <f t="shared" si="616"/>
        <v>0</v>
      </c>
      <c r="BE1537" s="19">
        <v>1</v>
      </c>
      <c r="BF1537" s="229">
        <f t="shared" si="621"/>
        <v>0</v>
      </c>
      <c r="BG1537" s="210">
        <f t="shared" si="617"/>
        <v>0</v>
      </c>
      <c r="BH1537" s="210">
        <f t="shared" si="618"/>
        <v>1</v>
      </c>
      <c r="BI1537" s="213">
        <f t="shared" si="611"/>
        <v>0</v>
      </c>
      <c r="BJ1537" s="141"/>
      <c r="BK1537" s="201"/>
      <c r="BL1537" s="4"/>
      <c r="BM1537" s="4"/>
    </row>
    <row r="1538" spans="1:65" s="38" customFormat="1" ht="18" customHeight="1">
      <c r="A1538" s="114">
        <v>49</v>
      </c>
      <c r="B1538" s="24" t="s">
        <v>822</v>
      </c>
      <c r="C1538" s="25" t="s">
        <v>1405</v>
      </c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229">
        <f t="shared" si="619"/>
        <v>0</v>
      </c>
      <c r="AC1538" s="228">
        <f t="shared" si="615"/>
        <v>0</v>
      </c>
      <c r="AD1538" s="19">
        <v>0</v>
      </c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29">
        <f t="shared" si="620"/>
        <v>0</v>
      </c>
      <c r="BD1538" s="48">
        <f t="shared" si="616"/>
        <v>0</v>
      </c>
      <c r="BE1538" s="19">
        <v>1</v>
      </c>
      <c r="BF1538" s="229">
        <f t="shared" si="621"/>
        <v>0</v>
      </c>
      <c r="BG1538" s="210">
        <f t="shared" si="617"/>
        <v>0</v>
      </c>
      <c r="BH1538" s="210">
        <f t="shared" si="618"/>
        <v>1</v>
      </c>
      <c r="BI1538" s="213">
        <f t="shared" si="611"/>
        <v>0</v>
      </c>
      <c r="BJ1538" s="141"/>
      <c r="BK1538" s="201"/>
      <c r="BL1538" s="4"/>
      <c r="BM1538" s="4"/>
    </row>
    <row r="1539" spans="1:65" s="38" customFormat="1" ht="18" customHeight="1">
      <c r="A1539" s="114">
        <v>50</v>
      </c>
      <c r="B1539" s="24" t="s">
        <v>800</v>
      </c>
      <c r="C1539" s="25" t="s">
        <v>2319</v>
      </c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229">
        <f t="shared" si="619"/>
        <v>0</v>
      </c>
      <c r="AC1539" s="228">
        <f t="shared" si="615"/>
        <v>0</v>
      </c>
      <c r="AD1539" s="19">
        <v>0</v>
      </c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>
        <v>8</v>
      </c>
      <c r="AQ1539" s="28"/>
      <c r="AR1539" s="28"/>
      <c r="AS1539" s="28"/>
      <c r="AT1539" s="28"/>
      <c r="AU1539" s="28"/>
      <c r="AV1539" s="28">
        <v>17</v>
      </c>
      <c r="AW1539" s="28"/>
      <c r="AX1539" s="28"/>
      <c r="AY1539" s="28"/>
      <c r="AZ1539" s="28"/>
      <c r="BA1539" s="28"/>
      <c r="BB1539" s="28">
        <v>8</v>
      </c>
      <c r="BC1539" s="229">
        <f t="shared" si="620"/>
        <v>0</v>
      </c>
      <c r="BD1539" s="48">
        <f t="shared" si="616"/>
        <v>33</v>
      </c>
      <c r="BE1539" s="19">
        <v>32</v>
      </c>
      <c r="BF1539" s="229">
        <f t="shared" si="621"/>
        <v>0</v>
      </c>
      <c r="BG1539" s="210">
        <f t="shared" si="617"/>
        <v>33</v>
      </c>
      <c r="BH1539" s="210">
        <f t="shared" si="618"/>
        <v>32</v>
      </c>
      <c r="BI1539" s="213">
        <f t="shared" si="611"/>
        <v>103.125</v>
      </c>
      <c r="BJ1539" s="141"/>
      <c r="BK1539" s="201"/>
      <c r="BL1539" s="4"/>
      <c r="BM1539" s="4"/>
    </row>
    <row r="1540" spans="1:65" s="38" customFormat="1" ht="21.95" customHeight="1">
      <c r="A1540" s="114">
        <v>51</v>
      </c>
      <c r="B1540" s="24" t="s">
        <v>657</v>
      </c>
      <c r="C1540" s="27" t="s">
        <v>1401</v>
      </c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>
        <v>1</v>
      </c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229">
        <f t="shared" si="619"/>
        <v>0</v>
      </c>
      <c r="AC1540" s="228">
        <f t="shared" si="615"/>
        <v>1</v>
      </c>
      <c r="AD1540" s="19">
        <v>0</v>
      </c>
      <c r="AE1540" s="28"/>
      <c r="AF1540" s="28"/>
      <c r="AG1540" s="28"/>
      <c r="AH1540" s="28"/>
      <c r="AI1540" s="28"/>
      <c r="AJ1540" s="28">
        <v>28</v>
      </c>
      <c r="AK1540" s="28"/>
      <c r="AL1540" s="28"/>
      <c r="AM1540" s="28"/>
      <c r="AN1540" s="28"/>
      <c r="AO1540" s="28"/>
      <c r="AP1540" s="28">
        <f>11+2</f>
        <v>13</v>
      </c>
      <c r="AQ1540" s="28"/>
      <c r="AR1540" s="28"/>
      <c r="AS1540" s="28"/>
      <c r="AT1540" s="28"/>
      <c r="AU1540" s="28"/>
      <c r="AV1540" s="28">
        <f>28+2</f>
        <v>30</v>
      </c>
      <c r="AW1540" s="28"/>
      <c r="AX1540" s="28"/>
      <c r="AY1540" s="28"/>
      <c r="AZ1540" s="28"/>
      <c r="BA1540" s="28"/>
      <c r="BB1540" s="28">
        <f>37+3+6</f>
        <v>46</v>
      </c>
      <c r="BC1540" s="229">
        <f t="shared" si="620"/>
        <v>0</v>
      </c>
      <c r="BD1540" s="48">
        <f t="shared" si="616"/>
        <v>117</v>
      </c>
      <c r="BE1540" s="19">
        <v>104</v>
      </c>
      <c r="BF1540" s="229">
        <f t="shared" si="621"/>
        <v>0</v>
      </c>
      <c r="BG1540" s="210">
        <f t="shared" si="617"/>
        <v>118</v>
      </c>
      <c r="BH1540" s="210">
        <f t="shared" si="618"/>
        <v>104</v>
      </c>
      <c r="BI1540" s="213">
        <f t="shared" si="611"/>
        <v>113.46153846153845</v>
      </c>
      <c r="BJ1540" s="141"/>
      <c r="BK1540" s="201"/>
      <c r="BL1540" s="4"/>
      <c r="BM1540" s="4"/>
    </row>
    <row r="1541" spans="1:65" s="38" customFormat="1" ht="21.95" customHeight="1">
      <c r="A1541" s="114">
        <v>52</v>
      </c>
      <c r="B1541" s="24" t="s">
        <v>658</v>
      </c>
      <c r="C1541" s="25" t="s">
        <v>779</v>
      </c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229">
        <f t="shared" si="619"/>
        <v>0</v>
      </c>
      <c r="AC1541" s="228">
        <f t="shared" si="615"/>
        <v>0</v>
      </c>
      <c r="AD1541" s="19">
        <v>0</v>
      </c>
      <c r="AE1541" s="28"/>
      <c r="AF1541" s="28"/>
      <c r="AG1541" s="28"/>
      <c r="AH1541" s="28"/>
      <c r="AI1541" s="28"/>
      <c r="AJ1541" s="28">
        <f>304+40</f>
        <v>344</v>
      </c>
      <c r="AK1541" s="28"/>
      <c r="AL1541" s="28"/>
      <c r="AM1541" s="28"/>
      <c r="AN1541" s="28"/>
      <c r="AO1541" s="28"/>
      <c r="AP1541" s="28">
        <f>159+1</f>
        <v>160</v>
      </c>
      <c r="AQ1541" s="28"/>
      <c r="AR1541" s="28"/>
      <c r="AS1541" s="28"/>
      <c r="AT1541" s="28"/>
      <c r="AU1541" s="28"/>
      <c r="AV1541" s="28">
        <v>209</v>
      </c>
      <c r="AW1541" s="28"/>
      <c r="AX1541" s="28"/>
      <c r="AY1541" s="28"/>
      <c r="AZ1541" s="28"/>
      <c r="BA1541" s="28"/>
      <c r="BB1541" s="28">
        <v>175</v>
      </c>
      <c r="BC1541" s="229">
        <f t="shared" si="620"/>
        <v>0</v>
      </c>
      <c r="BD1541" s="48">
        <f t="shared" si="616"/>
        <v>888</v>
      </c>
      <c r="BE1541" s="19">
        <v>1734</v>
      </c>
      <c r="BF1541" s="229">
        <f t="shared" si="621"/>
        <v>0</v>
      </c>
      <c r="BG1541" s="210">
        <f t="shared" si="617"/>
        <v>888</v>
      </c>
      <c r="BH1541" s="210">
        <f t="shared" si="618"/>
        <v>1734</v>
      </c>
      <c r="BI1541" s="213">
        <f t="shared" si="611"/>
        <v>51.211072664359861</v>
      </c>
      <c r="BJ1541" s="141"/>
      <c r="BK1541" s="201"/>
      <c r="BL1541" s="4"/>
      <c r="BM1541" s="4"/>
    </row>
    <row r="1542" spans="1:65" s="38" customFormat="1" ht="18" customHeight="1">
      <c r="A1542" s="114">
        <v>53</v>
      </c>
      <c r="B1542" s="24" t="s">
        <v>780</v>
      </c>
      <c r="C1542" s="25" t="s">
        <v>781</v>
      </c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229">
        <f t="shared" si="619"/>
        <v>0</v>
      </c>
      <c r="AC1542" s="228">
        <f t="shared" si="615"/>
        <v>0</v>
      </c>
      <c r="AD1542" s="19">
        <v>0</v>
      </c>
      <c r="AE1542" s="28"/>
      <c r="AF1542" s="28"/>
      <c r="AG1542" s="28"/>
      <c r="AH1542" s="28"/>
      <c r="AI1542" s="28"/>
      <c r="AJ1542" s="28">
        <f>36+1</f>
        <v>37</v>
      </c>
      <c r="AK1542" s="28"/>
      <c r="AL1542" s="28"/>
      <c r="AM1542" s="28"/>
      <c r="AN1542" s="28"/>
      <c r="AO1542" s="28"/>
      <c r="AP1542" s="28">
        <v>17</v>
      </c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29">
        <f t="shared" si="620"/>
        <v>0</v>
      </c>
      <c r="BD1542" s="48">
        <f t="shared" si="616"/>
        <v>54</v>
      </c>
      <c r="BE1542" s="19">
        <v>62</v>
      </c>
      <c r="BF1542" s="229">
        <f t="shared" si="621"/>
        <v>0</v>
      </c>
      <c r="BG1542" s="210">
        <f t="shared" si="617"/>
        <v>54</v>
      </c>
      <c r="BH1542" s="210">
        <f t="shared" si="618"/>
        <v>62</v>
      </c>
      <c r="BI1542" s="213">
        <f t="shared" si="611"/>
        <v>87.096774193548384</v>
      </c>
      <c r="BJ1542" s="141"/>
      <c r="BK1542" s="201"/>
      <c r="BL1542" s="4"/>
      <c r="BM1542" s="4"/>
    </row>
    <row r="1543" spans="1:65" s="38" customFormat="1" ht="18" customHeight="1">
      <c r="A1543" s="114">
        <v>54</v>
      </c>
      <c r="B1543" s="24" t="s">
        <v>782</v>
      </c>
      <c r="C1543" s="25" t="s">
        <v>783</v>
      </c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229">
        <f t="shared" si="619"/>
        <v>0</v>
      </c>
      <c r="AC1543" s="228">
        <f t="shared" si="615"/>
        <v>0</v>
      </c>
      <c r="AD1543" s="19">
        <v>0</v>
      </c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29">
        <f t="shared" si="620"/>
        <v>0</v>
      </c>
      <c r="BD1543" s="48">
        <f t="shared" si="616"/>
        <v>0</v>
      </c>
      <c r="BE1543" s="19">
        <v>1</v>
      </c>
      <c r="BF1543" s="229">
        <f t="shared" si="621"/>
        <v>0</v>
      </c>
      <c r="BG1543" s="210">
        <f t="shared" si="617"/>
        <v>0</v>
      </c>
      <c r="BH1543" s="210">
        <f t="shared" si="618"/>
        <v>1</v>
      </c>
      <c r="BI1543" s="213">
        <f t="shared" si="611"/>
        <v>0</v>
      </c>
      <c r="BJ1543" s="141"/>
      <c r="BK1543" s="201"/>
      <c r="BL1543" s="4"/>
      <c r="BM1543" s="4"/>
    </row>
    <row r="1544" spans="1:65" s="38" customFormat="1" ht="18" customHeight="1">
      <c r="A1544" s="114">
        <v>55</v>
      </c>
      <c r="B1544" s="24" t="s">
        <v>804</v>
      </c>
      <c r="C1544" s="25" t="s">
        <v>1386</v>
      </c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229">
        <f t="shared" si="619"/>
        <v>0</v>
      </c>
      <c r="AC1544" s="228">
        <f t="shared" si="615"/>
        <v>0</v>
      </c>
      <c r="AD1544" s="19">
        <v>0</v>
      </c>
      <c r="AE1544" s="28"/>
      <c r="AF1544" s="28"/>
      <c r="AG1544" s="28"/>
      <c r="AH1544" s="28"/>
      <c r="AI1544" s="28"/>
      <c r="AJ1544" s="28">
        <v>5</v>
      </c>
      <c r="AK1544" s="28"/>
      <c r="AL1544" s="28"/>
      <c r="AM1544" s="28"/>
      <c r="AN1544" s="28"/>
      <c r="AO1544" s="28"/>
      <c r="AP1544" s="28">
        <v>2</v>
      </c>
      <c r="AQ1544" s="28"/>
      <c r="AR1544" s="28"/>
      <c r="AS1544" s="28"/>
      <c r="AT1544" s="28"/>
      <c r="AU1544" s="28"/>
      <c r="AV1544" s="28">
        <v>22</v>
      </c>
      <c r="AW1544" s="28"/>
      <c r="AX1544" s="28"/>
      <c r="AY1544" s="28"/>
      <c r="AZ1544" s="28"/>
      <c r="BA1544" s="28"/>
      <c r="BB1544" s="28">
        <v>5</v>
      </c>
      <c r="BC1544" s="229">
        <f t="shared" si="620"/>
        <v>0</v>
      </c>
      <c r="BD1544" s="48">
        <f t="shared" si="616"/>
        <v>34</v>
      </c>
      <c r="BE1544" s="19">
        <v>341</v>
      </c>
      <c r="BF1544" s="229">
        <f t="shared" si="621"/>
        <v>0</v>
      </c>
      <c r="BG1544" s="210">
        <f t="shared" si="617"/>
        <v>34</v>
      </c>
      <c r="BH1544" s="210">
        <f t="shared" si="618"/>
        <v>341</v>
      </c>
      <c r="BI1544" s="213">
        <f t="shared" si="611"/>
        <v>9.9706744868035191</v>
      </c>
      <c r="BJ1544" s="141"/>
      <c r="BK1544" s="201"/>
      <c r="BL1544" s="4"/>
      <c r="BM1544" s="4"/>
    </row>
    <row r="1545" spans="1:65" s="38" customFormat="1" ht="18" customHeight="1">
      <c r="A1545" s="114">
        <v>56</v>
      </c>
      <c r="B1545" s="24" t="s">
        <v>903</v>
      </c>
      <c r="C1545" s="25" t="s">
        <v>1165</v>
      </c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229">
        <f t="shared" si="619"/>
        <v>0</v>
      </c>
      <c r="AC1545" s="228">
        <f t="shared" si="615"/>
        <v>0</v>
      </c>
      <c r="AD1545" s="19">
        <v>0</v>
      </c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29">
        <f t="shared" si="620"/>
        <v>0</v>
      </c>
      <c r="BD1545" s="48">
        <f t="shared" si="616"/>
        <v>0</v>
      </c>
      <c r="BE1545" s="19">
        <v>2</v>
      </c>
      <c r="BF1545" s="229">
        <f t="shared" si="621"/>
        <v>0</v>
      </c>
      <c r="BG1545" s="210">
        <f t="shared" si="617"/>
        <v>0</v>
      </c>
      <c r="BH1545" s="210">
        <f t="shared" si="618"/>
        <v>2</v>
      </c>
      <c r="BI1545" s="213">
        <f t="shared" si="611"/>
        <v>0</v>
      </c>
      <c r="BJ1545" s="141"/>
      <c r="BK1545" s="201"/>
      <c r="BL1545" s="4"/>
      <c r="BM1545" s="4"/>
    </row>
    <row r="1546" spans="1:65" s="38" customFormat="1" ht="18" customHeight="1">
      <c r="A1546" s="114">
        <v>57</v>
      </c>
      <c r="B1546" s="24" t="s">
        <v>659</v>
      </c>
      <c r="C1546" s="25" t="s">
        <v>660</v>
      </c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>
        <v>1</v>
      </c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229">
        <f t="shared" si="619"/>
        <v>0</v>
      </c>
      <c r="AC1546" s="228">
        <f t="shared" si="615"/>
        <v>1</v>
      </c>
      <c r="AD1546" s="19">
        <v>0</v>
      </c>
      <c r="AE1546" s="28"/>
      <c r="AF1546" s="28"/>
      <c r="AG1546" s="28"/>
      <c r="AH1546" s="28"/>
      <c r="AI1546" s="28"/>
      <c r="AJ1546" s="28">
        <f>359+38+4+47</f>
        <v>448</v>
      </c>
      <c r="AK1546" s="28"/>
      <c r="AL1546" s="28"/>
      <c r="AM1546" s="28"/>
      <c r="AN1546" s="28"/>
      <c r="AO1546" s="28"/>
      <c r="AP1546" s="28">
        <f>253+562+17+8</f>
        <v>840</v>
      </c>
      <c r="AQ1546" s="28"/>
      <c r="AR1546" s="28"/>
      <c r="AS1546" s="28"/>
      <c r="AT1546" s="28"/>
      <c r="AU1546" s="28"/>
      <c r="AV1546" s="28">
        <f>438+535+37</f>
        <v>1010</v>
      </c>
      <c r="AW1546" s="28"/>
      <c r="AX1546" s="28"/>
      <c r="AY1546" s="28"/>
      <c r="AZ1546" s="28"/>
      <c r="BA1546" s="28"/>
      <c r="BB1546" s="28">
        <f>268+547+34+1+5</f>
        <v>855</v>
      </c>
      <c r="BC1546" s="229">
        <f t="shared" si="620"/>
        <v>0</v>
      </c>
      <c r="BD1546" s="48">
        <f t="shared" si="616"/>
        <v>3153</v>
      </c>
      <c r="BE1546" s="19">
        <v>3495</v>
      </c>
      <c r="BF1546" s="229">
        <f t="shared" si="621"/>
        <v>0</v>
      </c>
      <c r="BG1546" s="210">
        <f t="shared" si="617"/>
        <v>3154</v>
      </c>
      <c r="BH1546" s="210">
        <f t="shared" si="618"/>
        <v>3495</v>
      </c>
      <c r="BI1546" s="213">
        <f t="shared" si="611"/>
        <v>90.243204577968527</v>
      </c>
      <c r="BJ1546" s="141"/>
      <c r="BK1546" s="201"/>
      <c r="BL1546" s="4"/>
      <c r="BM1546" s="4"/>
    </row>
    <row r="1547" spans="1:65" s="38" customFormat="1" ht="21.95" customHeight="1">
      <c r="A1547" s="114">
        <v>58</v>
      </c>
      <c r="B1547" s="24" t="s">
        <v>661</v>
      </c>
      <c r="C1547" s="27" t="s">
        <v>743</v>
      </c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>
        <v>1</v>
      </c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229">
        <f t="shared" si="619"/>
        <v>0</v>
      </c>
      <c r="AC1547" s="228">
        <f t="shared" si="615"/>
        <v>1</v>
      </c>
      <c r="AD1547" s="19">
        <v>0</v>
      </c>
      <c r="AE1547" s="28"/>
      <c r="AF1547" s="28"/>
      <c r="AG1547" s="28"/>
      <c r="AH1547" s="28"/>
      <c r="AI1547" s="28"/>
      <c r="AJ1547" s="28">
        <f>228+111+3+41</f>
        <v>383</v>
      </c>
      <c r="AK1547" s="28"/>
      <c r="AL1547" s="28"/>
      <c r="AM1547" s="28"/>
      <c r="AN1547" s="28"/>
      <c r="AO1547" s="28"/>
      <c r="AP1547" s="28">
        <f>166+920+47+2</f>
        <v>1135</v>
      </c>
      <c r="AQ1547" s="28"/>
      <c r="AR1547" s="28"/>
      <c r="AS1547" s="28"/>
      <c r="AT1547" s="28"/>
      <c r="AU1547" s="28"/>
      <c r="AV1547" s="28">
        <f>247+1029+118</f>
        <v>1394</v>
      </c>
      <c r="AW1547" s="28"/>
      <c r="AX1547" s="28"/>
      <c r="AY1547" s="28"/>
      <c r="AZ1547" s="28"/>
      <c r="BA1547" s="28"/>
      <c r="BB1547" s="28">
        <f>213+701+113+3</f>
        <v>1030</v>
      </c>
      <c r="BC1547" s="229">
        <f t="shared" si="620"/>
        <v>0</v>
      </c>
      <c r="BD1547" s="48">
        <f t="shared" si="616"/>
        <v>3942</v>
      </c>
      <c r="BE1547" s="19">
        <v>2392</v>
      </c>
      <c r="BF1547" s="229">
        <f t="shared" si="621"/>
        <v>0</v>
      </c>
      <c r="BG1547" s="210">
        <f t="shared" si="617"/>
        <v>3943</v>
      </c>
      <c r="BH1547" s="210">
        <f t="shared" si="618"/>
        <v>2392</v>
      </c>
      <c r="BI1547" s="213">
        <f t="shared" si="611"/>
        <v>164.84113712374582</v>
      </c>
      <c r="BJ1547" s="141"/>
      <c r="BK1547" s="201"/>
      <c r="BL1547" s="4"/>
      <c r="BM1547" s="4"/>
    </row>
    <row r="1548" spans="1:65" s="38" customFormat="1" ht="21.95" customHeight="1">
      <c r="A1548" s="114">
        <v>59</v>
      </c>
      <c r="B1548" s="24" t="s">
        <v>784</v>
      </c>
      <c r="C1548" s="27" t="s">
        <v>3179</v>
      </c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229"/>
      <c r="AC1548" s="228">
        <f t="shared" si="615"/>
        <v>0</v>
      </c>
      <c r="AD1548" s="19">
        <v>0</v>
      </c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>
        <v>1</v>
      </c>
      <c r="AW1548" s="28"/>
      <c r="AX1548" s="28"/>
      <c r="AY1548" s="28"/>
      <c r="AZ1548" s="28"/>
      <c r="BA1548" s="28"/>
      <c r="BB1548" s="28"/>
      <c r="BC1548" s="229"/>
      <c r="BD1548" s="48">
        <f t="shared" si="616"/>
        <v>1</v>
      </c>
      <c r="BE1548" s="19">
        <v>0</v>
      </c>
      <c r="BF1548" s="229"/>
      <c r="BG1548" s="210">
        <f t="shared" si="617"/>
        <v>1</v>
      </c>
      <c r="BH1548" s="210">
        <f t="shared" si="618"/>
        <v>0</v>
      </c>
      <c r="BI1548" s="213" t="e">
        <f t="shared" si="611"/>
        <v>#DIV/0!</v>
      </c>
      <c r="BJ1548" s="141"/>
      <c r="BK1548" s="201"/>
      <c r="BL1548" s="4"/>
      <c r="BM1548" s="4"/>
    </row>
    <row r="1549" spans="1:65" s="38" customFormat="1" ht="18" customHeight="1">
      <c r="A1549" s="114">
        <v>60</v>
      </c>
      <c r="B1549" s="24" t="s">
        <v>662</v>
      </c>
      <c r="C1549" s="25" t="s">
        <v>1096</v>
      </c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229">
        <f t="shared" ref="AB1549:AB1564" si="622">D1549+F1549+H1549+J1549+L1549+N1549+P1549+R1549+T1549+V1549+X1549+Z1549</f>
        <v>0</v>
      </c>
      <c r="AC1549" s="228">
        <f t="shared" si="615"/>
        <v>0</v>
      </c>
      <c r="AD1549" s="19">
        <v>0</v>
      </c>
      <c r="AE1549" s="28"/>
      <c r="AF1549" s="28"/>
      <c r="AG1549" s="28"/>
      <c r="AH1549" s="28"/>
      <c r="AI1549" s="28"/>
      <c r="AJ1549" s="28">
        <f>152+39</f>
        <v>191</v>
      </c>
      <c r="AK1549" s="28"/>
      <c r="AL1549" s="28"/>
      <c r="AM1549" s="28"/>
      <c r="AN1549" s="28"/>
      <c r="AO1549" s="28"/>
      <c r="AP1549" s="28">
        <f>95+377</f>
        <v>472</v>
      </c>
      <c r="AQ1549" s="28"/>
      <c r="AR1549" s="28"/>
      <c r="AS1549" s="28"/>
      <c r="AT1549" s="28"/>
      <c r="AU1549" s="28"/>
      <c r="AV1549" s="28">
        <f>149+351</f>
        <v>500</v>
      </c>
      <c r="AW1549" s="28"/>
      <c r="AX1549" s="28"/>
      <c r="AY1549" s="28"/>
      <c r="AZ1549" s="28"/>
      <c r="BA1549" s="28"/>
      <c r="BB1549" s="28">
        <f>114+468</f>
        <v>582</v>
      </c>
      <c r="BC1549" s="229">
        <f t="shared" ref="BC1549:BC1564" si="623">AE1549+AG1549+AI1549+AK1549+AM1549+AO1549+AQ1549+AS1549+AU1549+AW1549+AY1549+BA1549</f>
        <v>0</v>
      </c>
      <c r="BD1549" s="48">
        <f t="shared" si="616"/>
        <v>1745</v>
      </c>
      <c r="BE1549" s="19">
        <v>1522</v>
      </c>
      <c r="BF1549" s="229">
        <f t="shared" ref="BF1549:BF1564" si="624">AB1549+BC1549</f>
        <v>0</v>
      </c>
      <c r="BG1549" s="210">
        <f t="shared" si="617"/>
        <v>1745</v>
      </c>
      <c r="BH1549" s="210">
        <f t="shared" si="618"/>
        <v>1522</v>
      </c>
      <c r="BI1549" s="213">
        <f t="shared" si="611"/>
        <v>114.65177398160316</v>
      </c>
      <c r="BJ1549" s="141"/>
      <c r="BK1549" s="201"/>
      <c r="BL1549" s="4"/>
      <c r="BM1549" s="4"/>
    </row>
    <row r="1550" spans="1:65" s="38" customFormat="1" ht="21.95" customHeight="1">
      <c r="A1550" s="114">
        <v>61</v>
      </c>
      <c r="B1550" s="24" t="s">
        <v>929</v>
      </c>
      <c r="C1550" s="25" t="s">
        <v>2432</v>
      </c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229">
        <f t="shared" si="622"/>
        <v>0</v>
      </c>
      <c r="AC1550" s="228">
        <f t="shared" si="615"/>
        <v>0</v>
      </c>
      <c r="AD1550" s="19">
        <v>0</v>
      </c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29">
        <f t="shared" si="623"/>
        <v>0</v>
      </c>
      <c r="BD1550" s="48">
        <f t="shared" si="616"/>
        <v>0</v>
      </c>
      <c r="BE1550" s="19">
        <v>1</v>
      </c>
      <c r="BF1550" s="229">
        <f t="shared" si="624"/>
        <v>0</v>
      </c>
      <c r="BG1550" s="210">
        <f t="shared" si="617"/>
        <v>0</v>
      </c>
      <c r="BH1550" s="210">
        <f t="shared" si="618"/>
        <v>1</v>
      </c>
      <c r="BI1550" s="213">
        <f t="shared" si="611"/>
        <v>0</v>
      </c>
      <c r="BJ1550" s="141"/>
      <c r="BK1550" s="201"/>
      <c r="BL1550" s="4"/>
      <c r="BM1550" s="4"/>
    </row>
    <row r="1551" spans="1:65" s="38" customFormat="1" ht="18" customHeight="1">
      <c r="A1551" s="114">
        <v>62</v>
      </c>
      <c r="B1551" s="24" t="s">
        <v>663</v>
      </c>
      <c r="C1551" s="25" t="s">
        <v>1097</v>
      </c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229">
        <f t="shared" si="622"/>
        <v>0</v>
      </c>
      <c r="AC1551" s="228">
        <f t="shared" si="615"/>
        <v>0</v>
      </c>
      <c r="AD1551" s="19">
        <v>0</v>
      </c>
      <c r="AE1551" s="28"/>
      <c r="AF1551" s="28"/>
      <c r="AG1551" s="28"/>
      <c r="AH1551" s="28"/>
      <c r="AI1551" s="28"/>
      <c r="AJ1551" s="28">
        <f>1149+47</f>
        <v>1196</v>
      </c>
      <c r="AK1551" s="28"/>
      <c r="AL1551" s="28"/>
      <c r="AM1551" s="28"/>
      <c r="AN1551" s="28"/>
      <c r="AO1551" s="28"/>
      <c r="AP1551" s="28">
        <v>1107</v>
      </c>
      <c r="AQ1551" s="28"/>
      <c r="AR1551" s="28"/>
      <c r="AS1551" s="28"/>
      <c r="AT1551" s="28"/>
      <c r="AU1551" s="28"/>
      <c r="AV1551" s="28">
        <v>1334</v>
      </c>
      <c r="AW1551" s="28"/>
      <c r="AX1551" s="28"/>
      <c r="AY1551" s="28"/>
      <c r="AZ1551" s="28"/>
      <c r="BA1551" s="28"/>
      <c r="BB1551" s="28">
        <v>1392</v>
      </c>
      <c r="BC1551" s="229">
        <f t="shared" si="623"/>
        <v>0</v>
      </c>
      <c r="BD1551" s="48">
        <f t="shared" si="616"/>
        <v>5029</v>
      </c>
      <c r="BE1551" s="19">
        <v>6998</v>
      </c>
      <c r="BF1551" s="229">
        <f t="shared" si="624"/>
        <v>0</v>
      </c>
      <c r="BG1551" s="210">
        <f t="shared" si="617"/>
        <v>5029</v>
      </c>
      <c r="BH1551" s="210">
        <f t="shared" si="618"/>
        <v>6998</v>
      </c>
      <c r="BI1551" s="213">
        <f t="shared" si="611"/>
        <v>71.863389539868535</v>
      </c>
      <c r="BJ1551" s="141"/>
      <c r="BK1551" s="201"/>
      <c r="BL1551" s="4"/>
      <c r="BM1551" s="4"/>
    </row>
    <row r="1552" spans="1:65" s="38" customFormat="1" ht="21.95" customHeight="1">
      <c r="A1552" s="114">
        <v>63</v>
      </c>
      <c r="B1552" s="24" t="s">
        <v>664</v>
      </c>
      <c r="C1552" s="27" t="s">
        <v>1167</v>
      </c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229">
        <f t="shared" si="622"/>
        <v>0</v>
      </c>
      <c r="AC1552" s="228">
        <f t="shared" si="615"/>
        <v>0</v>
      </c>
      <c r="AD1552" s="19">
        <v>0</v>
      </c>
      <c r="AE1552" s="28"/>
      <c r="AF1552" s="28"/>
      <c r="AG1552" s="28"/>
      <c r="AH1552" s="28"/>
      <c r="AI1552" s="28"/>
      <c r="AJ1552" s="28">
        <f>2+48</f>
        <v>50</v>
      </c>
      <c r="AK1552" s="28"/>
      <c r="AL1552" s="28"/>
      <c r="AM1552" s="28"/>
      <c r="AN1552" s="28"/>
      <c r="AO1552" s="28"/>
      <c r="AP1552" s="28">
        <v>21</v>
      </c>
      <c r="AQ1552" s="28"/>
      <c r="AR1552" s="28"/>
      <c r="AS1552" s="28"/>
      <c r="AT1552" s="28"/>
      <c r="AU1552" s="28"/>
      <c r="AV1552" s="28">
        <f>1+47</f>
        <v>48</v>
      </c>
      <c r="AW1552" s="28"/>
      <c r="AX1552" s="28"/>
      <c r="AY1552" s="28"/>
      <c r="AZ1552" s="28"/>
      <c r="BA1552" s="28"/>
      <c r="BB1552" s="28">
        <v>41</v>
      </c>
      <c r="BC1552" s="229">
        <f t="shared" si="623"/>
        <v>0</v>
      </c>
      <c r="BD1552" s="48">
        <f t="shared" si="616"/>
        <v>160</v>
      </c>
      <c r="BE1552" s="19">
        <v>154</v>
      </c>
      <c r="BF1552" s="229">
        <f t="shared" si="624"/>
        <v>0</v>
      </c>
      <c r="BG1552" s="210">
        <f t="shared" si="617"/>
        <v>160</v>
      </c>
      <c r="BH1552" s="210">
        <f t="shared" si="618"/>
        <v>154</v>
      </c>
      <c r="BI1552" s="213">
        <f t="shared" si="611"/>
        <v>103.89610389610388</v>
      </c>
      <c r="BJ1552" s="141"/>
      <c r="BK1552" s="201"/>
      <c r="BL1552" s="4"/>
      <c r="BM1552" s="4"/>
    </row>
    <row r="1553" spans="1:65" s="38" customFormat="1" ht="18" customHeight="1">
      <c r="A1553" s="114">
        <v>64</v>
      </c>
      <c r="B1553" s="24" t="s">
        <v>704</v>
      </c>
      <c r="C1553" s="25" t="s">
        <v>1383</v>
      </c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229">
        <f t="shared" si="622"/>
        <v>0</v>
      </c>
      <c r="AC1553" s="228">
        <f t="shared" si="615"/>
        <v>0</v>
      </c>
      <c r="AD1553" s="19">
        <v>0</v>
      </c>
      <c r="AE1553" s="28"/>
      <c r="AF1553" s="28"/>
      <c r="AG1553" s="28"/>
      <c r="AH1553" s="28"/>
      <c r="AI1553" s="28"/>
      <c r="AJ1553" s="28">
        <v>2</v>
      </c>
      <c r="AK1553" s="28"/>
      <c r="AL1553" s="28"/>
      <c r="AM1553" s="28"/>
      <c r="AN1553" s="28"/>
      <c r="AO1553" s="28"/>
      <c r="AP1553" s="28">
        <v>137</v>
      </c>
      <c r="AQ1553" s="28"/>
      <c r="AR1553" s="28"/>
      <c r="AS1553" s="28"/>
      <c r="AT1553" s="28"/>
      <c r="AU1553" s="28"/>
      <c r="AV1553" s="28">
        <v>118</v>
      </c>
      <c r="AW1553" s="28"/>
      <c r="AX1553" s="28"/>
      <c r="AY1553" s="28"/>
      <c r="AZ1553" s="28"/>
      <c r="BA1553" s="28"/>
      <c r="BB1553" s="28">
        <f>8+43</f>
        <v>51</v>
      </c>
      <c r="BC1553" s="229">
        <f t="shared" si="623"/>
        <v>0</v>
      </c>
      <c r="BD1553" s="48">
        <f t="shared" si="616"/>
        <v>308</v>
      </c>
      <c r="BE1553" s="19">
        <v>262</v>
      </c>
      <c r="BF1553" s="229">
        <f t="shared" si="624"/>
        <v>0</v>
      </c>
      <c r="BG1553" s="210">
        <f t="shared" si="617"/>
        <v>308</v>
      </c>
      <c r="BH1553" s="210">
        <f t="shared" si="618"/>
        <v>262</v>
      </c>
      <c r="BI1553" s="213">
        <f t="shared" si="611"/>
        <v>117.55725190839695</v>
      </c>
      <c r="BJ1553" s="141"/>
      <c r="BK1553" s="201"/>
      <c r="BL1553" s="4"/>
      <c r="BM1553" s="4"/>
    </row>
    <row r="1554" spans="1:65" s="38" customFormat="1" ht="18" customHeight="1">
      <c r="A1554" s="114">
        <v>65</v>
      </c>
      <c r="B1554" s="24" t="s">
        <v>787</v>
      </c>
      <c r="C1554" s="25" t="s">
        <v>1171</v>
      </c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229">
        <f t="shared" si="622"/>
        <v>0</v>
      </c>
      <c r="AC1554" s="228">
        <f t="shared" si="615"/>
        <v>0</v>
      </c>
      <c r="AD1554" s="19">
        <v>0</v>
      </c>
      <c r="AE1554" s="28"/>
      <c r="AF1554" s="28"/>
      <c r="AG1554" s="28"/>
      <c r="AH1554" s="28"/>
      <c r="AI1554" s="28"/>
      <c r="AJ1554" s="28">
        <v>5</v>
      </c>
      <c r="AK1554" s="28"/>
      <c r="AL1554" s="28"/>
      <c r="AM1554" s="28"/>
      <c r="AN1554" s="28"/>
      <c r="AO1554" s="28"/>
      <c r="AP1554" s="28">
        <v>4</v>
      </c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29">
        <f t="shared" si="623"/>
        <v>0</v>
      </c>
      <c r="BD1554" s="48">
        <f t="shared" si="616"/>
        <v>9</v>
      </c>
      <c r="BE1554" s="19">
        <v>65</v>
      </c>
      <c r="BF1554" s="229">
        <f t="shared" si="624"/>
        <v>0</v>
      </c>
      <c r="BG1554" s="210">
        <f t="shared" si="617"/>
        <v>9</v>
      </c>
      <c r="BH1554" s="210">
        <f t="shared" si="618"/>
        <v>65</v>
      </c>
      <c r="BI1554" s="213">
        <f t="shared" ref="BI1554:BI1564" si="625">BG1554/BH1554*100</f>
        <v>13.846153846153847</v>
      </c>
      <c r="BJ1554" s="141"/>
      <c r="BK1554" s="201"/>
      <c r="BL1554" s="4"/>
      <c r="BM1554" s="4"/>
    </row>
    <row r="1555" spans="1:65" s="38" customFormat="1" ht="18" customHeight="1">
      <c r="A1555" s="114">
        <v>66</v>
      </c>
      <c r="B1555" s="24" t="s">
        <v>788</v>
      </c>
      <c r="C1555" s="25" t="s">
        <v>1172</v>
      </c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229">
        <f t="shared" si="622"/>
        <v>0</v>
      </c>
      <c r="AC1555" s="228">
        <f t="shared" si="615"/>
        <v>0</v>
      </c>
      <c r="AD1555" s="19">
        <v>0</v>
      </c>
      <c r="AE1555" s="28"/>
      <c r="AF1555" s="28"/>
      <c r="AG1555" s="28"/>
      <c r="AH1555" s="28"/>
      <c r="AI1555" s="28"/>
      <c r="AJ1555" s="28">
        <f>123+4+24</f>
        <v>151</v>
      </c>
      <c r="AK1555" s="28"/>
      <c r="AL1555" s="28"/>
      <c r="AM1555" s="28"/>
      <c r="AN1555" s="28"/>
      <c r="AO1555" s="28"/>
      <c r="AP1555" s="28">
        <f>85+1</f>
        <v>86</v>
      </c>
      <c r="AQ1555" s="28"/>
      <c r="AR1555" s="28"/>
      <c r="AS1555" s="28"/>
      <c r="AT1555" s="28"/>
      <c r="AU1555" s="28"/>
      <c r="AV1555" s="28">
        <v>57</v>
      </c>
      <c r="AW1555" s="28"/>
      <c r="AX1555" s="28"/>
      <c r="AY1555" s="28"/>
      <c r="AZ1555" s="28"/>
      <c r="BA1555" s="28"/>
      <c r="BB1555" s="28">
        <v>84</v>
      </c>
      <c r="BC1555" s="229">
        <f t="shared" si="623"/>
        <v>0</v>
      </c>
      <c r="BD1555" s="48">
        <f t="shared" si="616"/>
        <v>378</v>
      </c>
      <c r="BE1555" s="19">
        <v>610</v>
      </c>
      <c r="BF1555" s="229">
        <f t="shared" si="624"/>
        <v>0</v>
      </c>
      <c r="BG1555" s="210">
        <f t="shared" si="617"/>
        <v>378</v>
      </c>
      <c r="BH1555" s="210">
        <f t="shared" si="618"/>
        <v>610</v>
      </c>
      <c r="BI1555" s="213">
        <f t="shared" si="625"/>
        <v>61.967213114754095</v>
      </c>
      <c r="BJ1555" s="141"/>
      <c r="BK1555" s="201"/>
      <c r="BL1555" s="4"/>
      <c r="BM1555" s="4"/>
    </row>
    <row r="1556" spans="1:65" s="38" customFormat="1" ht="18" customHeight="1">
      <c r="A1556" s="114">
        <v>67</v>
      </c>
      <c r="B1556" s="24" t="s">
        <v>789</v>
      </c>
      <c r="C1556" s="25" t="s">
        <v>2127</v>
      </c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229">
        <f t="shared" si="622"/>
        <v>0</v>
      </c>
      <c r="AC1556" s="228">
        <f t="shared" si="615"/>
        <v>0</v>
      </c>
      <c r="AD1556" s="19">
        <v>0</v>
      </c>
      <c r="AE1556" s="28"/>
      <c r="AF1556" s="28"/>
      <c r="AG1556" s="28"/>
      <c r="AH1556" s="28"/>
      <c r="AI1556" s="28"/>
      <c r="AJ1556" s="28">
        <v>38</v>
      </c>
      <c r="AK1556" s="28"/>
      <c r="AL1556" s="28"/>
      <c r="AM1556" s="28"/>
      <c r="AN1556" s="28"/>
      <c r="AO1556" s="28"/>
      <c r="AP1556" s="28">
        <v>6</v>
      </c>
      <c r="AQ1556" s="28"/>
      <c r="AR1556" s="28"/>
      <c r="AS1556" s="28"/>
      <c r="AT1556" s="28"/>
      <c r="AU1556" s="28"/>
      <c r="AV1556" s="28">
        <v>28</v>
      </c>
      <c r="AW1556" s="28"/>
      <c r="AX1556" s="28"/>
      <c r="AY1556" s="28"/>
      <c r="AZ1556" s="28"/>
      <c r="BA1556" s="28"/>
      <c r="BB1556" s="28">
        <v>18</v>
      </c>
      <c r="BC1556" s="229">
        <f t="shared" si="623"/>
        <v>0</v>
      </c>
      <c r="BD1556" s="48">
        <f t="shared" si="616"/>
        <v>90</v>
      </c>
      <c r="BE1556" s="19">
        <v>54</v>
      </c>
      <c r="BF1556" s="229">
        <f t="shared" si="624"/>
        <v>0</v>
      </c>
      <c r="BG1556" s="210">
        <f t="shared" si="617"/>
        <v>90</v>
      </c>
      <c r="BH1556" s="210">
        <f t="shared" si="618"/>
        <v>54</v>
      </c>
      <c r="BI1556" s="213">
        <f t="shared" si="625"/>
        <v>166.66666666666669</v>
      </c>
      <c r="BJ1556" s="141"/>
      <c r="BK1556" s="201"/>
      <c r="BL1556" s="4"/>
      <c r="BM1556" s="4"/>
    </row>
    <row r="1557" spans="1:65" s="38" customFormat="1" ht="18" customHeight="1">
      <c r="A1557" s="114">
        <v>68</v>
      </c>
      <c r="B1557" s="24" t="s">
        <v>1173</v>
      </c>
      <c r="C1557" s="25" t="s">
        <v>1371</v>
      </c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229">
        <f t="shared" si="622"/>
        <v>0</v>
      </c>
      <c r="AC1557" s="228">
        <f t="shared" ref="AC1557:AC1564" si="626">E1557+G1557+I1557+K1557+M1557+O1557+Q1557+S1557+U1557+W1557+Y1557+AA1557</f>
        <v>0</v>
      </c>
      <c r="AD1557" s="19">
        <v>0</v>
      </c>
      <c r="AE1557" s="28"/>
      <c r="AF1557" s="28"/>
      <c r="AG1557" s="28"/>
      <c r="AH1557" s="28"/>
      <c r="AI1557" s="28"/>
      <c r="AJ1557" s="28">
        <f>285+16</f>
        <v>301</v>
      </c>
      <c r="AK1557" s="28"/>
      <c r="AL1557" s="28"/>
      <c r="AM1557" s="28"/>
      <c r="AN1557" s="28"/>
      <c r="AO1557" s="28"/>
      <c r="AP1557" s="28">
        <v>380</v>
      </c>
      <c r="AQ1557" s="28"/>
      <c r="AR1557" s="28"/>
      <c r="AS1557" s="28"/>
      <c r="AT1557" s="28"/>
      <c r="AU1557" s="28"/>
      <c r="AV1557" s="28">
        <v>252</v>
      </c>
      <c r="AW1557" s="28"/>
      <c r="AX1557" s="28"/>
      <c r="AY1557" s="28"/>
      <c r="AZ1557" s="28"/>
      <c r="BA1557" s="28"/>
      <c r="BB1557" s="28">
        <v>385</v>
      </c>
      <c r="BC1557" s="229">
        <f t="shared" si="623"/>
        <v>0</v>
      </c>
      <c r="BD1557" s="48">
        <f t="shared" ref="BD1557:BD1564" si="627">AF1557+AH1557+AJ1557+AL1557+AN1557+AP1557+AR1557+AT1557+AV1557+AX1557+AZ1557+BB1557</f>
        <v>1318</v>
      </c>
      <c r="BE1557" s="19">
        <v>3498</v>
      </c>
      <c r="BF1557" s="229">
        <f t="shared" si="624"/>
        <v>0</v>
      </c>
      <c r="BG1557" s="210">
        <f t="shared" ref="BG1557:BG1564" si="628">AC1557+BD1557</f>
        <v>1318</v>
      </c>
      <c r="BH1557" s="210">
        <f t="shared" ref="BH1557:BH1564" si="629">AD1557+BE1557</f>
        <v>3498</v>
      </c>
      <c r="BI1557" s="213">
        <f t="shared" si="625"/>
        <v>37.678673527730133</v>
      </c>
      <c r="BJ1557" s="141"/>
      <c r="BK1557" s="201"/>
      <c r="BL1557" s="4"/>
      <c r="BM1557" s="4"/>
    </row>
    <row r="1558" spans="1:65" s="38" customFormat="1" ht="18" customHeight="1">
      <c r="A1558" s="114">
        <v>69</v>
      </c>
      <c r="B1558" s="24" t="s">
        <v>1174</v>
      </c>
      <c r="C1558" s="25" t="s">
        <v>1175</v>
      </c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229">
        <f t="shared" si="622"/>
        <v>0</v>
      </c>
      <c r="AC1558" s="228">
        <f t="shared" si="626"/>
        <v>0</v>
      </c>
      <c r="AD1558" s="19">
        <v>0</v>
      </c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29">
        <f t="shared" si="623"/>
        <v>0</v>
      </c>
      <c r="BD1558" s="48">
        <f t="shared" si="627"/>
        <v>0</v>
      </c>
      <c r="BE1558" s="19">
        <v>5</v>
      </c>
      <c r="BF1558" s="229">
        <f t="shared" si="624"/>
        <v>0</v>
      </c>
      <c r="BG1558" s="210">
        <f t="shared" si="628"/>
        <v>0</v>
      </c>
      <c r="BH1558" s="210">
        <f t="shared" si="629"/>
        <v>5</v>
      </c>
      <c r="BI1558" s="213">
        <f t="shared" si="625"/>
        <v>0</v>
      </c>
      <c r="BJ1558" s="141"/>
      <c r="BK1558" s="201"/>
      <c r="BL1558" s="4"/>
      <c r="BM1558" s="4"/>
    </row>
    <row r="1559" spans="1:65" s="38" customFormat="1" ht="18" customHeight="1">
      <c r="A1559" s="114">
        <v>70</v>
      </c>
      <c r="B1559" s="24" t="s">
        <v>1176</v>
      </c>
      <c r="C1559" s="25" t="s">
        <v>1388</v>
      </c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229">
        <f t="shared" si="622"/>
        <v>0</v>
      </c>
      <c r="AC1559" s="228">
        <f t="shared" si="626"/>
        <v>0</v>
      </c>
      <c r="AD1559" s="19">
        <v>0</v>
      </c>
      <c r="AE1559" s="28"/>
      <c r="AF1559" s="28"/>
      <c r="AG1559" s="28"/>
      <c r="AH1559" s="28"/>
      <c r="AI1559" s="28"/>
      <c r="AJ1559" s="28">
        <v>13</v>
      </c>
      <c r="AK1559" s="28"/>
      <c r="AL1559" s="28"/>
      <c r="AM1559" s="28"/>
      <c r="AN1559" s="28"/>
      <c r="AO1559" s="28"/>
      <c r="AP1559" s="28">
        <v>46</v>
      </c>
      <c r="AQ1559" s="28"/>
      <c r="AR1559" s="28"/>
      <c r="AS1559" s="28"/>
      <c r="AT1559" s="28"/>
      <c r="AU1559" s="28"/>
      <c r="AV1559" s="28">
        <v>66</v>
      </c>
      <c r="AW1559" s="28"/>
      <c r="AX1559" s="28"/>
      <c r="AY1559" s="28"/>
      <c r="AZ1559" s="28"/>
      <c r="BA1559" s="28"/>
      <c r="BB1559" s="28">
        <v>21</v>
      </c>
      <c r="BC1559" s="229">
        <f t="shared" si="623"/>
        <v>0</v>
      </c>
      <c r="BD1559" s="48">
        <f t="shared" si="627"/>
        <v>146</v>
      </c>
      <c r="BE1559" s="19">
        <v>254</v>
      </c>
      <c r="BF1559" s="229">
        <f t="shared" si="624"/>
        <v>0</v>
      </c>
      <c r="BG1559" s="210">
        <f t="shared" si="628"/>
        <v>146</v>
      </c>
      <c r="BH1559" s="210">
        <f t="shared" si="629"/>
        <v>254</v>
      </c>
      <c r="BI1559" s="213">
        <f t="shared" si="625"/>
        <v>57.480314960629919</v>
      </c>
      <c r="BJ1559" s="141"/>
      <c r="BK1559" s="201"/>
      <c r="BL1559" s="4"/>
      <c r="BM1559" s="4"/>
    </row>
    <row r="1560" spans="1:65" s="38" customFormat="1" ht="21.95" customHeight="1">
      <c r="A1560" s="114">
        <v>71</v>
      </c>
      <c r="B1560" s="24" t="s">
        <v>790</v>
      </c>
      <c r="C1560" s="27" t="s">
        <v>2431</v>
      </c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229">
        <f t="shared" si="622"/>
        <v>0</v>
      </c>
      <c r="AC1560" s="228">
        <f t="shared" si="626"/>
        <v>0</v>
      </c>
      <c r="AD1560" s="19">
        <v>0</v>
      </c>
      <c r="AE1560" s="28"/>
      <c r="AF1560" s="28"/>
      <c r="AG1560" s="28"/>
      <c r="AH1560" s="28"/>
      <c r="AI1560" s="28"/>
      <c r="AJ1560" s="28">
        <f>492+49+2+74</f>
        <v>617</v>
      </c>
      <c r="AK1560" s="28"/>
      <c r="AL1560" s="28"/>
      <c r="AM1560" s="28"/>
      <c r="AN1560" s="28"/>
      <c r="AO1560" s="28"/>
      <c r="AP1560" s="28">
        <f>630+315+21</f>
        <v>966</v>
      </c>
      <c r="AQ1560" s="28"/>
      <c r="AR1560" s="28"/>
      <c r="AS1560" s="28"/>
      <c r="AT1560" s="28"/>
      <c r="AU1560" s="28"/>
      <c r="AV1560" s="28">
        <f>523+222+43</f>
        <v>788</v>
      </c>
      <c r="AW1560" s="28"/>
      <c r="AX1560" s="28"/>
      <c r="AY1560" s="28"/>
      <c r="AZ1560" s="28"/>
      <c r="BA1560" s="28"/>
      <c r="BB1560" s="28">
        <f>504+435+40</f>
        <v>979</v>
      </c>
      <c r="BC1560" s="229">
        <f t="shared" si="623"/>
        <v>0</v>
      </c>
      <c r="BD1560" s="48">
        <f t="shared" si="627"/>
        <v>3350</v>
      </c>
      <c r="BE1560" s="19">
        <v>3984</v>
      </c>
      <c r="BF1560" s="229">
        <f t="shared" si="624"/>
        <v>0</v>
      </c>
      <c r="BG1560" s="210">
        <f t="shared" si="628"/>
        <v>3350</v>
      </c>
      <c r="BH1560" s="210">
        <f t="shared" si="629"/>
        <v>3984</v>
      </c>
      <c r="BI1560" s="213">
        <f t="shared" si="625"/>
        <v>84.086345381526101</v>
      </c>
      <c r="BJ1560" s="141"/>
      <c r="BK1560" s="201"/>
      <c r="BL1560" s="4"/>
      <c r="BM1560" s="4"/>
    </row>
    <row r="1561" spans="1:65" s="38" customFormat="1" ht="21.95" customHeight="1">
      <c r="A1561" s="114">
        <v>72</v>
      </c>
      <c r="B1561" s="24" t="s">
        <v>744</v>
      </c>
      <c r="C1561" s="27" t="s">
        <v>745</v>
      </c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229">
        <f t="shared" si="622"/>
        <v>0</v>
      </c>
      <c r="AC1561" s="228">
        <f t="shared" si="626"/>
        <v>0</v>
      </c>
      <c r="AD1561" s="19">
        <v>0</v>
      </c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>
        <v>7</v>
      </c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29">
        <f t="shared" si="623"/>
        <v>0</v>
      </c>
      <c r="BD1561" s="48">
        <f t="shared" si="627"/>
        <v>7</v>
      </c>
      <c r="BE1561" s="19">
        <v>34</v>
      </c>
      <c r="BF1561" s="229">
        <f t="shared" si="624"/>
        <v>0</v>
      </c>
      <c r="BG1561" s="210">
        <f t="shared" si="628"/>
        <v>7</v>
      </c>
      <c r="BH1561" s="210">
        <f t="shared" si="629"/>
        <v>34</v>
      </c>
      <c r="BI1561" s="213">
        <f t="shared" si="625"/>
        <v>20.588235294117645</v>
      </c>
      <c r="BJ1561" s="141"/>
      <c r="BK1561" s="201"/>
      <c r="BL1561" s="4"/>
      <c r="BM1561" s="4"/>
    </row>
    <row r="1562" spans="1:65" s="38" customFormat="1" ht="18" customHeight="1">
      <c r="A1562" s="114">
        <v>73</v>
      </c>
      <c r="B1562" s="156" t="s">
        <v>1794</v>
      </c>
      <c r="C1562" s="159" t="s">
        <v>1795</v>
      </c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229">
        <f t="shared" si="622"/>
        <v>0</v>
      </c>
      <c r="AC1562" s="228">
        <f t="shared" si="626"/>
        <v>0</v>
      </c>
      <c r="AD1562" s="19">
        <v>1</v>
      </c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29">
        <f t="shared" si="623"/>
        <v>0</v>
      </c>
      <c r="BD1562" s="48">
        <f t="shared" si="627"/>
        <v>0</v>
      </c>
      <c r="BE1562" s="19">
        <v>0</v>
      </c>
      <c r="BF1562" s="229">
        <f t="shared" si="624"/>
        <v>0</v>
      </c>
      <c r="BG1562" s="210">
        <f t="shared" si="628"/>
        <v>0</v>
      </c>
      <c r="BH1562" s="210">
        <f t="shared" si="629"/>
        <v>1</v>
      </c>
      <c r="BI1562" s="213">
        <f t="shared" si="625"/>
        <v>0</v>
      </c>
      <c r="BJ1562" s="269" t="s">
        <v>2856</v>
      </c>
      <c r="BK1562" s="201"/>
      <c r="BL1562" s="4"/>
      <c r="BM1562" s="4"/>
    </row>
    <row r="1563" spans="1:65" s="38" customFormat="1" ht="18" customHeight="1">
      <c r="A1563" s="114">
        <v>74</v>
      </c>
      <c r="B1563" s="156" t="s">
        <v>1788</v>
      </c>
      <c r="C1563" s="159" t="s">
        <v>1789</v>
      </c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229">
        <f t="shared" si="622"/>
        <v>0</v>
      </c>
      <c r="AC1563" s="228">
        <f t="shared" si="626"/>
        <v>0</v>
      </c>
      <c r="AD1563" s="19">
        <v>1</v>
      </c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29">
        <f t="shared" si="623"/>
        <v>0</v>
      </c>
      <c r="BD1563" s="48">
        <f t="shared" si="627"/>
        <v>0</v>
      </c>
      <c r="BE1563" s="19">
        <v>0</v>
      </c>
      <c r="BF1563" s="229">
        <f t="shared" si="624"/>
        <v>0</v>
      </c>
      <c r="BG1563" s="210">
        <f t="shared" si="628"/>
        <v>0</v>
      </c>
      <c r="BH1563" s="210">
        <f t="shared" si="629"/>
        <v>1</v>
      </c>
      <c r="BI1563" s="213">
        <f t="shared" si="625"/>
        <v>0</v>
      </c>
      <c r="BJ1563" s="269" t="s">
        <v>2856</v>
      </c>
      <c r="BK1563" s="201"/>
      <c r="BL1563" s="4"/>
      <c r="BM1563" s="4"/>
    </row>
    <row r="1564" spans="1:65" s="38" customFormat="1" ht="18" customHeight="1">
      <c r="A1564" s="114">
        <v>75</v>
      </c>
      <c r="B1564" s="156" t="s">
        <v>1796</v>
      </c>
      <c r="C1564" s="159" t="s">
        <v>1797</v>
      </c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229">
        <f t="shared" si="622"/>
        <v>0</v>
      </c>
      <c r="AC1564" s="228">
        <f t="shared" si="626"/>
        <v>0</v>
      </c>
      <c r="AD1564" s="19">
        <v>1</v>
      </c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29">
        <f t="shared" si="623"/>
        <v>0</v>
      </c>
      <c r="BD1564" s="48">
        <f t="shared" si="627"/>
        <v>0</v>
      </c>
      <c r="BE1564" s="19">
        <v>0</v>
      </c>
      <c r="BF1564" s="229">
        <f t="shared" si="624"/>
        <v>0</v>
      </c>
      <c r="BG1564" s="210">
        <f t="shared" si="628"/>
        <v>0</v>
      </c>
      <c r="BH1564" s="210">
        <f t="shared" si="629"/>
        <v>1</v>
      </c>
      <c r="BI1564" s="213">
        <f t="shared" si="625"/>
        <v>0</v>
      </c>
      <c r="BJ1564" s="269" t="s">
        <v>2856</v>
      </c>
      <c r="BK1564" s="201"/>
      <c r="BL1564" s="4"/>
      <c r="BM1564" s="4"/>
    </row>
    <row r="1565" spans="1:65" s="38" customFormat="1" ht="21.95" customHeight="1">
      <c r="A1565" s="277"/>
      <c r="B1565" s="375" t="s">
        <v>2764</v>
      </c>
      <c r="C1565" s="375"/>
      <c r="D1565" s="220">
        <f t="shared" ref="D1565:AA1565" si="630">SUM(D1566:D1655)</f>
        <v>0</v>
      </c>
      <c r="E1565" s="220">
        <f t="shared" si="630"/>
        <v>0</v>
      </c>
      <c r="F1565" s="220">
        <f t="shared" si="630"/>
        <v>0</v>
      </c>
      <c r="G1565" s="220">
        <f t="shared" si="630"/>
        <v>0</v>
      </c>
      <c r="H1565" s="220">
        <f t="shared" si="630"/>
        <v>0</v>
      </c>
      <c r="I1565" s="220">
        <f t="shared" si="630"/>
        <v>6407</v>
      </c>
      <c r="J1565" s="220">
        <f t="shared" si="630"/>
        <v>0</v>
      </c>
      <c r="K1565" s="220">
        <f t="shared" si="630"/>
        <v>0</v>
      </c>
      <c r="L1565" s="220">
        <f t="shared" si="630"/>
        <v>0</v>
      </c>
      <c r="M1565" s="220">
        <f t="shared" si="630"/>
        <v>0</v>
      </c>
      <c r="N1565" s="220">
        <f t="shared" si="630"/>
        <v>0</v>
      </c>
      <c r="O1565" s="220">
        <f t="shared" si="630"/>
        <v>6161</v>
      </c>
      <c r="P1565" s="220">
        <f t="shared" si="630"/>
        <v>0</v>
      </c>
      <c r="Q1565" s="220">
        <f t="shared" si="630"/>
        <v>0</v>
      </c>
      <c r="R1565" s="220">
        <f t="shared" si="630"/>
        <v>0</v>
      </c>
      <c r="S1565" s="220">
        <f t="shared" si="630"/>
        <v>0</v>
      </c>
      <c r="T1565" s="220">
        <f t="shared" si="630"/>
        <v>0</v>
      </c>
      <c r="U1565" s="220">
        <f t="shared" si="630"/>
        <v>11384</v>
      </c>
      <c r="V1565" s="220">
        <f t="shared" si="630"/>
        <v>0</v>
      </c>
      <c r="W1565" s="220">
        <f t="shared" si="630"/>
        <v>0</v>
      </c>
      <c r="X1565" s="220">
        <f t="shared" si="630"/>
        <v>0</v>
      </c>
      <c r="Y1565" s="220">
        <f t="shared" si="630"/>
        <v>0</v>
      </c>
      <c r="Z1565" s="220">
        <f t="shared" si="630"/>
        <v>0</v>
      </c>
      <c r="AA1565" s="220">
        <f t="shared" si="630"/>
        <v>2090</v>
      </c>
      <c r="AB1565" s="220">
        <f t="shared" ref="AB1565" si="631">D1565+F1565+H1565+J1565+L1565+N1565+P1565+R1565+T1565+V1565+X1565+Z1565</f>
        <v>0</v>
      </c>
      <c r="AC1565" s="220">
        <f t="shared" ref="AC1565" si="632">E1565+G1565+I1565+K1565+M1565+O1565+Q1565+S1565+U1565+W1565+Y1565+AA1565</f>
        <v>26042</v>
      </c>
      <c r="AD1565" s="274">
        <f t="shared" ref="AD1565:BB1565" si="633">SUM(AD1566:AD1655)</f>
        <v>29769</v>
      </c>
      <c r="AE1565" s="210">
        <f t="shared" si="633"/>
        <v>0</v>
      </c>
      <c r="AF1565" s="210">
        <f t="shared" si="633"/>
        <v>0</v>
      </c>
      <c r="AG1565" s="210">
        <f t="shared" si="633"/>
        <v>0</v>
      </c>
      <c r="AH1565" s="210">
        <f t="shared" si="633"/>
        <v>0</v>
      </c>
      <c r="AI1565" s="210">
        <f t="shared" si="633"/>
        <v>0</v>
      </c>
      <c r="AJ1565" s="210">
        <f t="shared" si="633"/>
        <v>15034</v>
      </c>
      <c r="AK1565" s="210">
        <f t="shared" si="633"/>
        <v>0</v>
      </c>
      <c r="AL1565" s="210">
        <f t="shared" si="633"/>
        <v>0</v>
      </c>
      <c r="AM1565" s="210">
        <f t="shared" si="633"/>
        <v>0</v>
      </c>
      <c r="AN1565" s="210">
        <f t="shared" si="633"/>
        <v>0</v>
      </c>
      <c r="AO1565" s="210">
        <f t="shared" si="633"/>
        <v>0</v>
      </c>
      <c r="AP1565" s="210">
        <f t="shared" si="633"/>
        <v>15181</v>
      </c>
      <c r="AQ1565" s="210">
        <f t="shared" si="633"/>
        <v>0</v>
      </c>
      <c r="AR1565" s="210">
        <f t="shared" si="633"/>
        <v>0</v>
      </c>
      <c r="AS1565" s="210">
        <f t="shared" si="633"/>
        <v>0</v>
      </c>
      <c r="AT1565" s="210">
        <f t="shared" si="633"/>
        <v>0</v>
      </c>
      <c r="AU1565" s="210">
        <f t="shared" si="633"/>
        <v>0</v>
      </c>
      <c r="AV1565" s="210">
        <f t="shared" si="633"/>
        <v>15060</v>
      </c>
      <c r="AW1565" s="210">
        <f t="shared" si="633"/>
        <v>0</v>
      </c>
      <c r="AX1565" s="210">
        <f t="shared" si="633"/>
        <v>0</v>
      </c>
      <c r="AY1565" s="210">
        <f t="shared" si="633"/>
        <v>0</v>
      </c>
      <c r="AZ1565" s="210">
        <f t="shared" si="633"/>
        <v>0</v>
      </c>
      <c r="BA1565" s="210">
        <f t="shared" si="633"/>
        <v>0</v>
      </c>
      <c r="BB1565" s="210">
        <f t="shared" si="633"/>
        <v>15399</v>
      </c>
      <c r="BC1565" s="220">
        <f t="shared" ref="BC1565" si="634">AE1565+AG1565+AI1565+AK1565+AM1565+AO1565+AQ1565+AS1565+AU1565+AW1565+AY1565+BA1565</f>
        <v>0</v>
      </c>
      <c r="BD1565" s="210">
        <f t="shared" ref="BD1565" si="635">AF1565+AH1565+AJ1565+AL1565+AN1565+AP1565+AR1565+AT1565+AV1565+AX1565+AZ1565+BB1565</f>
        <v>60674</v>
      </c>
      <c r="BE1565" s="210">
        <f>SUM(BE1566:BE1655)</f>
        <v>64192</v>
      </c>
      <c r="BF1565" s="220">
        <f t="shared" ref="BF1565" si="636">AB1565+BC1565</f>
        <v>0</v>
      </c>
      <c r="BG1565" s="210">
        <f t="shared" ref="BG1565" si="637">AC1565+BD1565</f>
        <v>86716</v>
      </c>
      <c r="BH1565" s="210">
        <f t="shared" ref="BH1565" si="638">AD1565+BE1565</f>
        <v>93961</v>
      </c>
      <c r="BI1565" s="213">
        <f t="shared" ref="BI1565" si="639">BG1565/BH1565*100</f>
        <v>92.289354093719737</v>
      </c>
      <c r="BJ1565" s="140">
        <v>93961</v>
      </c>
      <c r="BK1565" s="203">
        <f>BH1565-BJ1565</f>
        <v>0</v>
      </c>
      <c r="BL1565" s="198">
        <v>94596</v>
      </c>
      <c r="BM1565" s="199">
        <f>BG1565-BL1565</f>
        <v>-7880</v>
      </c>
    </row>
    <row r="1566" spans="1:65" s="38" customFormat="1" ht="18" customHeight="1">
      <c r="A1566" s="114">
        <v>1</v>
      </c>
      <c r="B1566" s="24" t="s">
        <v>549</v>
      </c>
      <c r="C1566" s="25" t="s">
        <v>1393</v>
      </c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229">
        <f t="shared" ref="AB1566:AC1571" si="640">D1566+F1566+H1566+J1566+L1566+N1566+P1566+R1566+T1566+V1566+X1566+Z1566</f>
        <v>0</v>
      </c>
      <c r="AC1566" s="228">
        <f t="shared" si="640"/>
        <v>0</v>
      </c>
      <c r="AD1566" s="19">
        <v>1</v>
      </c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29">
        <f t="shared" ref="BC1566:BD1571" si="641">AE1566+AG1566+AI1566+AK1566+AM1566+AO1566+AQ1566+AS1566+AU1566+AW1566+AY1566+BA1566</f>
        <v>0</v>
      </c>
      <c r="BD1566" s="48">
        <f t="shared" si="641"/>
        <v>0</v>
      </c>
      <c r="BE1566" s="19">
        <v>0</v>
      </c>
      <c r="BF1566" s="229">
        <f t="shared" ref="BF1566:BH1571" si="642">AB1566+BC1566</f>
        <v>0</v>
      </c>
      <c r="BG1566" s="210">
        <f t="shared" si="642"/>
        <v>0</v>
      </c>
      <c r="BH1566" s="210">
        <f t="shared" si="642"/>
        <v>1</v>
      </c>
      <c r="BI1566" s="213">
        <f t="shared" ref="BI1566:BI1597" si="643">BG1566/BH1566*100</f>
        <v>0</v>
      </c>
      <c r="BJ1566" s="270" t="s">
        <v>2857</v>
      </c>
      <c r="BK1566" s="201"/>
      <c r="BL1566" s="4"/>
      <c r="BM1566" s="4"/>
    </row>
    <row r="1567" spans="1:65" s="38" customFormat="1" ht="18" customHeight="1">
      <c r="A1567" s="114">
        <v>2</v>
      </c>
      <c r="B1567" s="24" t="s">
        <v>937</v>
      </c>
      <c r="C1567" s="25" t="s">
        <v>938</v>
      </c>
      <c r="D1567" s="121"/>
      <c r="E1567" s="121"/>
      <c r="F1567" s="121"/>
      <c r="G1567" s="121"/>
      <c r="H1567" s="121"/>
      <c r="I1567" s="121">
        <v>2</v>
      </c>
      <c r="J1567" s="121"/>
      <c r="K1567" s="121"/>
      <c r="L1567" s="121"/>
      <c r="M1567" s="121"/>
      <c r="N1567" s="121"/>
      <c r="O1567" s="121">
        <v>5</v>
      </c>
      <c r="P1567" s="121"/>
      <c r="Q1567" s="121"/>
      <c r="R1567" s="121"/>
      <c r="S1567" s="121"/>
      <c r="T1567" s="121"/>
      <c r="U1567" s="121">
        <f>1+3+3</f>
        <v>7</v>
      </c>
      <c r="V1567" s="121"/>
      <c r="W1567" s="121"/>
      <c r="X1567" s="121"/>
      <c r="Y1567" s="121"/>
      <c r="Z1567" s="121"/>
      <c r="AA1567" s="121"/>
      <c r="AB1567" s="229">
        <f t="shared" si="640"/>
        <v>0</v>
      </c>
      <c r="AC1567" s="228">
        <f t="shared" si="640"/>
        <v>14</v>
      </c>
      <c r="AD1567" s="19">
        <v>22</v>
      </c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29">
        <f t="shared" si="641"/>
        <v>0</v>
      </c>
      <c r="BD1567" s="48">
        <f t="shared" si="641"/>
        <v>0</v>
      </c>
      <c r="BE1567" s="19">
        <v>0</v>
      </c>
      <c r="BF1567" s="229">
        <f t="shared" si="642"/>
        <v>0</v>
      </c>
      <c r="BG1567" s="210">
        <f t="shared" si="642"/>
        <v>14</v>
      </c>
      <c r="BH1567" s="210">
        <f t="shared" si="642"/>
        <v>22</v>
      </c>
      <c r="BI1567" s="213">
        <f t="shared" si="643"/>
        <v>63.636363636363633</v>
      </c>
      <c r="BJ1567" s="270" t="s">
        <v>2857</v>
      </c>
      <c r="BK1567" s="201"/>
      <c r="BL1567" s="4"/>
      <c r="BM1567" s="4"/>
    </row>
    <row r="1568" spans="1:65" s="38" customFormat="1" ht="18" customHeight="1">
      <c r="A1568" s="114">
        <v>3</v>
      </c>
      <c r="B1568" s="24" t="s">
        <v>1468</v>
      </c>
      <c r="C1568" s="25" t="s">
        <v>1471</v>
      </c>
      <c r="D1568" s="121"/>
      <c r="E1568" s="121"/>
      <c r="F1568" s="121"/>
      <c r="G1568" s="121"/>
      <c r="H1568" s="121"/>
      <c r="I1568" s="121">
        <f>89+34+16+4240</f>
        <v>4379</v>
      </c>
      <c r="J1568" s="121"/>
      <c r="K1568" s="121"/>
      <c r="L1568" s="121"/>
      <c r="M1568" s="121"/>
      <c r="N1568" s="121"/>
      <c r="O1568" s="121">
        <f>94+24+16+100+3572</f>
        <v>3806</v>
      </c>
      <c r="P1568" s="121"/>
      <c r="Q1568" s="121"/>
      <c r="R1568" s="121"/>
      <c r="S1568" s="121"/>
      <c r="T1568" s="121"/>
      <c r="U1568" s="121">
        <f>85+51+14+3893+4155</f>
        <v>8198</v>
      </c>
      <c r="V1568" s="121"/>
      <c r="W1568" s="121"/>
      <c r="X1568" s="121"/>
      <c r="Y1568" s="121"/>
      <c r="Z1568" s="121"/>
      <c r="AA1568" s="121">
        <f>25+37+17</f>
        <v>79</v>
      </c>
      <c r="AB1568" s="229">
        <f t="shared" si="640"/>
        <v>0</v>
      </c>
      <c r="AC1568" s="228">
        <f t="shared" si="640"/>
        <v>16462</v>
      </c>
      <c r="AD1568" s="19">
        <v>20992</v>
      </c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29">
        <f t="shared" si="641"/>
        <v>0</v>
      </c>
      <c r="BD1568" s="48">
        <f t="shared" si="641"/>
        <v>0</v>
      </c>
      <c r="BE1568" s="19">
        <v>0</v>
      </c>
      <c r="BF1568" s="229">
        <f t="shared" si="642"/>
        <v>0</v>
      </c>
      <c r="BG1568" s="210">
        <f t="shared" si="642"/>
        <v>16462</v>
      </c>
      <c r="BH1568" s="210">
        <f t="shared" si="642"/>
        <v>20992</v>
      </c>
      <c r="BI1568" s="213">
        <f t="shared" si="643"/>
        <v>78.420350609756099</v>
      </c>
      <c r="BJ1568" s="270" t="s">
        <v>2857</v>
      </c>
      <c r="BK1568" s="201"/>
      <c r="BL1568" s="4"/>
      <c r="BM1568" s="4"/>
    </row>
    <row r="1569" spans="1:65" s="38" customFormat="1" ht="18" customHeight="1">
      <c r="A1569" s="114">
        <v>4</v>
      </c>
      <c r="B1569" s="24" t="s">
        <v>1482</v>
      </c>
      <c r="C1569" s="25" t="s">
        <v>1483</v>
      </c>
      <c r="D1569" s="121"/>
      <c r="E1569" s="121"/>
      <c r="F1569" s="121"/>
      <c r="G1569" s="121"/>
      <c r="H1569" s="121"/>
      <c r="I1569" s="121">
        <v>1107</v>
      </c>
      <c r="J1569" s="121"/>
      <c r="K1569" s="121"/>
      <c r="L1569" s="121"/>
      <c r="M1569" s="121"/>
      <c r="N1569" s="121"/>
      <c r="O1569" s="121">
        <f>1232+100</f>
        <v>1332</v>
      </c>
      <c r="P1569" s="121"/>
      <c r="Q1569" s="121"/>
      <c r="R1569" s="121"/>
      <c r="S1569" s="121"/>
      <c r="T1569" s="121"/>
      <c r="U1569" s="121">
        <f>1198+992+1+1+1</f>
        <v>2193</v>
      </c>
      <c r="V1569" s="121"/>
      <c r="W1569" s="121"/>
      <c r="X1569" s="121"/>
      <c r="Y1569" s="121"/>
      <c r="Z1569" s="121"/>
      <c r="AA1569" s="121">
        <v>1453</v>
      </c>
      <c r="AB1569" s="229">
        <f t="shared" si="640"/>
        <v>0</v>
      </c>
      <c r="AC1569" s="228">
        <f t="shared" si="640"/>
        <v>6085</v>
      </c>
      <c r="AD1569" s="19">
        <v>4784</v>
      </c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29">
        <f t="shared" si="641"/>
        <v>0</v>
      </c>
      <c r="BD1569" s="48">
        <f t="shared" si="641"/>
        <v>0</v>
      </c>
      <c r="BE1569" s="19">
        <v>0</v>
      </c>
      <c r="BF1569" s="229">
        <f t="shared" si="642"/>
        <v>0</v>
      </c>
      <c r="BG1569" s="210">
        <f t="shared" si="642"/>
        <v>6085</v>
      </c>
      <c r="BH1569" s="210">
        <f t="shared" si="642"/>
        <v>4784</v>
      </c>
      <c r="BI1569" s="213">
        <f t="shared" si="643"/>
        <v>127.1948160535117</v>
      </c>
      <c r="BJ1569" s="270" t="s">
        <v>2857</v>
      </c>
      <c r="BK1569" s="201"/>
      <c r="BL1569" s="4"/>
      <c r="BM1569" s="4"/>
    </row>
    <row r="1570" spans="1:65" s="38" customFormat="1" ht="18" customHeight="1">
      <c r="A1570" s="114">
        <v>5</v>
      </c>
      <c r="B1570" s="24" t="s">
        <v>670</v>
      </c>
      <c r="C1570" s="25" t="s">
        <v>671</v>
      </c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229">
        <f t="shared" si="640"/>
        <v>0</v>
      </c>
      <c r="AC1570" s="228">
        <f t="shared" si="640"/>
        <v>0</v>
      </c>
      <c r="AD1570" s="19">
        <v>0</v>
      </c>
      <c r="AE1570" s="28"/>
      <c r="AF1570" s="28"/>
      <c r="AG1570" s="28"/>
      <c r="AH1570" s="28"/>
      <c r="AI1570" s="28"/>
      <c r="AJ1570" s="28">
        <v>77</v>
      </c>
      <c r="AK1570" s="28"/>
      <c r="AL1570" s="28"/>
      <c r="AM1570" s="28"/>
      <c r="AN1570" s="28"/>
      <c r="AO1570" s="28"/>
      <c r="AP1570" s="28">
        <v>110</v>
      </c>
      <c r="AQ1570" s="28"/>
      <c r="AR1570" s="28"/>
      <c r="AS1570" s="28"/>
      <c r="AT1570" s="28"/>
      <c r="AU1570" s="28"/>
      <c r="AV1570" s="28">
        <v>133</v>
      </c>
      <c r="AW1570" s="28"/>
      <c r="AX1570" s="28"/>
      <c r="AY1570" s="28"/>
      <c r="AZ1570" s="28"/>
      <c r="BA1570" s="28"/>
      <c r="BB1570" s="28">
        <v>111</v>
      </c>
      <c r="BC1570" s="229">
        <f t="shared" si="641"/>
        <v>0</v>
      </c>
      <c r="BD1570" s="48">
        <f t="shared" si="641"/>
        <v>431</v>
      </c>
      <c r="BE1570" s="19">
        <v>178</v>
      </c>
      <c r="BF1570" s="229">
        <f t="shared" si="642"/>
        <v>0</v>
      </c>
      <c r="BG1570" s="210">
        <f t="shared" si="642"/>
        <v>431</v>
      </c>
      <c r="BH1570" s="210">
        <f t="shared" si="642"/>
        <v>178</v>
      </c>
      <c r="BI1570" s="213">
        <f t="shared" si="643"/>
        <v>242.13483146067415</v>
      </c>
      <c r="BJ1570" s="141"/>
      <c r="BK1570" s="201"/>
      <c r="BL1570" s="4"/>
      <c r="BM1570" s="4"/>
    </row>
    <row r="1571" spans="1:65" s="38" customFormat="1" ht="18" customHeight="1">
      <c r="A1571" s="114">
        <v>6</v>
      </c>
      <c r="B1571" s="24" t="s">
        <v>551</v>
      </c>
      <c r="C1571" s="25" t="s">
        <v>552</v>
      </c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229">
        <f t="shared" si="640"/>
        <v>0</v>
      </c>
      <c r="AC1571" s="228">
        <f t="shared" si="640"/>
        <v>0</v>
      </c>
      <c r="AD1571" s="19">
        <v>0</v>
      </c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29">
        <f t="shared" si="641"/>
        <v>0</v>
      </c>
      <c r="BD1571" s="48">
        <f t="shared" si="641"/>
        <v>0</v>
      </c>
      <c r="BE1571" s="19">
        <v>1</v>
      </c>
      <c r="BF1571" s="229">
        <f t="shared" si="642"/>
        <v>0</v>
      </c>
      <c r="BG1571" s="210">
        <f t="shared" si="642"/>
        <v>0</v>
      </c>
      <c r="BH1571" s="210">
        <f t="shared" si="642"/>
        <v>1</v>
      </c>
      <c r="BI1571" s="213">
        <f t="shared" si="643"/>
        <v>0</v>
      </c>
      <c r="BJ1571" s="141"/>
      <c r="BK1571" s="201"/>
      <c r="BL1571" s="4"/>
      <c r="BM1571" s="4"/>
    </row>
    <row r="1572" spans="1:65" s="38" customFormat="1" ht="18" customHeight="1">
      <c r="A1572" s="114">
        <v>7</v>
      </c>
      <c r="B1572" s="24" t="s">
        <v>553</v>
      </c>
      <c r="C1572" s="25" t="s">
        <v>554</v>
      </c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>
        <v>2</v>
      </c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>
        <v>39</v>
      </c>
      <c r="AB1572" s="229"/>
      <c r="AC1572" s="228">
        <f t="shared" ref="AC1572:AC1603" si="644">E1572+G1572+I1572+K1572+M1572+O1572+Q1572+S1572+U1572+W1572+Y1572+AA1572</f>
        <v>41</v>
      </c>
      <c r="AD1572" s="19">
        <v>0</v>
      </c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29"/>
      <c r="BD1572" s="48">
        <f t="shared" ref="BD1572:BD1603" si="645">AF1572+AH1572+AJ1572+AL1572+AN1572+AP1572+AR1572+AT1572+AV1572+AX1572+AZ1572+BB1572</f>
        <v>0</v>
      </c>
      <c r="BE1572" s="19">
        <v>0</v>
      </c>
      <c r="BF1572" s="229"/>
      <c r="BG1572" s="210">
        <f t="shared" ref="BG1572:BG1603" si="646">AC1572+BD1572</f>
        <v>41</v>
      </c>
      <c r="BH1572" s="210">
        <f t="shared" ref="BH1572:BH1603" si="647">AD1572+BE1572</f>
        <v>0</v>
      </c>
      <c r="BI1572" s="213" t="e">
        <f t="shared" si="643"/>
        <v>#DIV/0!</v>
      </c>
      <c r="BJ1572" s="141"/>
      <c r="BK1572" s="201"/>
      <c r="BL1572" s="4"/>
      <c r="BM1572" s="4"/>
    </row>
    <row r="1573" spans="1:65" s="38" customFormat="1" ht="18" customHeight="1">
      <c r="A1573" s="114">
        <v>8</v>
      </c>
      <c r="B1573" s="24" t="s">
        <v>561</v>
      </c>
      <c r="C1573" s="25" t="s">
        <v>562</v>
      </c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229">
        <f t="shared" ref="AB1573:AB1604" si="648">D1573+F1573+H1573+J1573+L1573+N1573+P1573+R1573+T1573+V1573+X1573+Z1573</f>
        <v>0</v>
      </c>
      <c r="AC1573" s="228">
        <f t="shared" si="644"/>
        <v>0</v>
      </c>
      <c r="AD1573" s="19">
        <v>0</v>
      </c>
      <c r="AE1573" s="28"/>
      <c r="AF1573" s="28"/>
      <c r="AG1573" s="28"/>
      <c r="AH1573" s="28"/>
      <c r="AI1573" s="28"/>
      <c r="AJ1573" s="28">
        <f>7+12</f>
        <v>19</v>
      </c>
      <c r="AK1573" s="28"/>
      <c r="AL1573" s="28"/>
      <c r="AM1573" s="28"/>
      <c r="AN1573" s="28"/>
      <c r="AO1573" s="28"/>
      <c r="AP1573" s="28">
        <v>7</v>
      </c>
      <c r="AQ1573" s="28"/>
      <c r="AR1573" s="28"/>
      <c r="AS1573" s="28"/>
      <c r="AT1573" s="28"/>
      <c r="AU1573" s="28"/>
      <c r="AV1573" s="28">
        <v>20</v>
      </c>
      <c r="AW1573" s="28"/>
      <c r="AX1573" s="28"/>
      <c r="AY1573" s="28"/>
      <c r="AZ1573" s="28"/>
      <c r="BA1573" s="28"/>
      <c r="BB1573" s="28">
        <v>4</v>
      </c>
      <c r="BC1573" s="229">
        <f t="shared" ref="BC1573:BC1604" si="649">AE1573+AG1573+AI1573+AK1573+AM1573+AO1573+AQ1573+AS1573+AU1573+AW1573+AY1573+BA1573</f>
        <v>0</v>
      </c>
      <c r="BD1573" s="48">
        <f t="shared" si="645"/>
        <v>50</v>
      </c>
      <c r="BE1573" s="19">
        <v>58</v>
      </c>
      <c r="BF1573" s="229">
        <f t="shared" ref="BF1573:BF1604" si="650">AB1573+BC1573</f>
        <v>0</v>
      </c>
      <c r="BG1573" s="210">
        <f t="shared" si="646"/>
        <v>50</v>
      </c>
      <c r="BH1573" s="210">
        <f t="shared" si="647"/>
        <v>58</v>
      </c>
      <c r="BI1573" s="213">
        <f t="shared" si="643"/>
        <v>86.206896551724128</v>
      </c>
      <c r="BJ1573" s="141"/>
      <c r="BK1573" s="201"/>
      <c r="BL1573" s="4"/>
      <c r="BM1573" s="4"/>
    </row>
    <row r="1574" spans="1:65" s="38" customFormat="1" ht="18" customHeight="1">
      <c r="A1574" s="114">
        <v>9</v>
      </c>
      <c r="B1574" s="24" t="s">
        <v>672</v>
      </c>
      <c r="C1574" s="25" t="s">
        <v>673</v>
      </c>
      <c r="D1574" s="121"/>
      <c r="E1574" s="121"/>
      <c r="F1574" s="121"/>
      <c r="G1574" s="121"/>
      <c r="H1574" s="121"/>
      <c r="I1574" s="121">
        <f>70+3</f>
        <v>73</v>
      </c>
      <c r="J1574" s="121"/>
      <c r="K1574" s="121"/>
      <c r="L1574" s="121"/>
      <c r="M1574" s="121"/>
      <c r="N1574" s="121"/>
      <c r="O1574" s="121">
        <v>72</v>
      </c>
      <c r="P1574" s="121"/>
      <c r="Q1574" s="121"/>
      <c r="R1574" s="121"/>
      <c r="S1574" s="121"/>
      <c r="T1574" s="121"/>
      <c r="U1574" s="121">
        <v>66</v>
      </c>
      <c r="V1574" s="121"/>
      <c r="W1574" s="121"/>
      <c r="X1574" s="121"/>
      <c r="Y1574" s="121"/>
      <c r="Z1574" s="121"/>
      <c r="AA1574" s="121">
        <f>21+1</f>
        <v>22</v>
      </c>
      <c r="AB1574" s="229">
        <f t="shared" si="648"/>
        <v>0</v>
      </c>
      <c r="AC1574" s="228">
        <f t="shared" si="644"/>
        <v>233</v>
      </c>
      <c r="AD1574" s="19">
        <v>158</v>
      </c>
      <c r="AE1574" s="28"/>
      <c r="AF1574" s="28"/>
      <c r="AG1574" s="28"/>
      <c r="AH1574" s="28"/>
      <c r="AI1574" s="28"/>
      <c r="AJ1574" s="28">
        <f>349+51+1+30</f>
        <v>431</v>
      </c>
      <c r="AK1574" s="28"/>
      <c r="AL1574" s="28"/>
      <c r="AM1574" s="28"/>
      <c r="AN1574" s="28"/>
      <c r="AO1574" s="28"/>
      <c r="AP1574" s="28">
        <f>444+4+64+11</f>
        <v>523</v>
      </c>
      <c r="AQ1574" s="28"/>
      <c r="AR1574" s="28"/>
      <c r="AS1574" s="28"/>
      <c r="AT1574" s="28"/>
      <c r="AU1574" s="28"/>
      <c r="AV1574" s="28">
        <f>503+63</f>
        <v>566</v>
      </c>
      <c r="AW1574" s="28"/>
      <c r="AX1574" s="28"/>
      <c r="AY1574" s="28"/>
      <c r="AZ1574" s="28"/>
      <c r="BA1574" s="28"/>
      <c r="BB1574" s="28">
        <f>457+31+53</f>
        <v>541</v>
      </c>
      <c r="BC1574" s="229">
        <f t="shared" si="649"/>
        <v>0</v>
      </c>
      <c r="BD1574" s="48">
        <f t="shared" si="645"/>
        <v>2061</v>
      </c>
      <c r="BE1574" s="19">
        <v>1894</v>
      </c>
      <c r="BF1574" s="229">
        <f t="shared" si="650"/>
        <v>0</v>
      </c>
      <c r="BG1574" s="210">
        <f t="shared" si="646"/>
        <v>2294</v>
      </c>
      <c r="BH1574" s="210">
        <f t="shared" si="647"/>
        <v>2052</v>
      </c>
      <c r="BI1574" s="213">
        <f t="shared" si="643"/>
        <v>111.79337231968812</v>
      </c>
      <c r="BJ1574" s="141"/>
      <c r="BK1574" s="201"/>
      <c r="BL1574" s="4"/>
      <c r="BM1574" s="4"/>
    </row>
    <row r="1575" spans="1:65" s="38" customFormat="1" ht="18" customHeight="1">
      <c r="A1575" s="114">
        <v>10</v>
      </c>
      <c r="B1575" s="24" t="s">
        <v>2908</v>
      </c>
      <c r="C1575" s="25" t="s">
        <v>2909</v>
      </c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229">
        <f t="shared" si="648"/>
        <v>0</v>
      </c>
      <c r="AC1575" s="228">
        <f t="shared" si="644"/>
        <v>0</v>
      </c>
      <c r="AD1575" s="19">
        <v>0</v>
      </c>
      <c r="AE1575" s="28"/>
      <c r="AF1575" s="28"/>
      <c r="AG1575" s="28"/>
      <c r="AH1575" s="28"/>
      <c r="AI1575" s="28"/>
      <c r="AJ1575" s="28">
        <v>1</v>
      </c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29">
        <f t="shared" si="649"/>
        <v>0</v>
      </c>
      <c r="BD1575" s="48">
        <f t="shared" si="645"/>
        <v>1</v>
      </c>
      <c r="BE1575" s="19">
        <v>0</v>
      </c>
      <c r="BF1575" s="229">
        <f t="shared" si="650"/>
        <v>0</v>
      </c>
      <c r="BG1575" s="210">
        <f t="shared" si="646"/>
        <v>1</v>
      </c>
      <c r="BH1575" s="210">
        <f t="shared" si="647"/>
        <v>0</v>
      </c>
      <c r="BI1575" s="213" t="e">
        <f t="shared" si="643"/>
        <v>#DIV/0!</v>
      </c>
      <c r="BJ1575" s="141"/>
      <c r="BK1575" s="201"/>
      <c r="BL1575" s="4"/>
      <c r="BM1575" s="4"/>
    </row>
    <row r="1576" spans="1:65" s="38" customFormat="1" ht="21.95" customHeight="1">
      <c r="A1576" s="114">
        <v>11</v>
      </c>
      <c r="B1576" s="24" t="s">
        <v>480</v>
      </c>
      <c r="C1576" s="27" t="s">
        <v>1418</v>
      </c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229">
        <f t="shared" si="648"/>
        <v>0</v>
      </c>
      <c r="AC1576" s="228">
        <f t="shared" si="644"/>
        <v>0</v>
      </c>
      <c r="AD1576" s="19">
        <v>3</v>
      </c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>
        <v>2</v>
      </c>
      <c r="AQ1576" s="28"/>
      <c r="AR1576" s="28"/>
      <c r="AS1576" s="28"/>
      <c r="AT1576" s="28"/>
      <c r="AU1576" s="28"/>
      <c r="AV1576" s="28">
        <v>2</v>
      </c>
      <c r="AW1576" s="28"/>
      <c r="AX1576" s="28"/>
      <c r="AY1576" s="28"/>
      <c r="AZ1576" s="28"/>
      <c r="BA1576" s="28"/>
      <c r="BB1576" s="28">
        <v>1</v>
      </c>
      <c r="BC1576" s="229">
        <f t="shared" si="649"/>
        <v>0</v>
      </c>
      <c r="BD1576" s="48">
        <f t="shared" si="645"/>
        <v>5</v>
      </c>
      <c r="BE1576" s="19">
        <v>1</v>
      </c>
      <c r="BF1576" s="229">
        <f t="shared" si="650"/>
        <v>0</v>
      </c>
      <c r="BG1576" s="210">
        <f t="shared" si="646"/>
        <v>5</v>
      </c>
      <c r="BH1576" s="210">
        <f t="shared" si="647"/>
        <v>4</v>
      </c>
      <c r="BI1576" s="213">
        <f t="shared" si="643"/>
        <v>125</v>
      </c>
      <c r="BJ1576" s="141"/>
      <c r="BK1576" s="201"/>
      <c r="BL1576" s="4"/>
      <c r="BM1576" s="4"/>
    </row>
    <row r="1577" spans="1:65" s="38" customFormat="1" ht="21.95" customHeight="1">
      <c r="A1577" s="114">
        <v>12</v>
      </c>
      <c r="B1577" s="24" t="s">
        <v>1518</v>
      </c>
      <c r="C1577" s="27" t="s">
        <v>1519</v>
      </c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229">
        <f t="shared" si="648"/>
        <v>0</v>
      </c>
      <c r="AC1577" s="228">
        <f t="shared" si="644"/>
        <v>0</v>
      </c>
      <c r="AD1577" s="19">
        <v>0</v>
      </c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29">
        <f t="shared" si="649"/>
        <v>0</v>
      </c>
      <c r="BD1577" s="48">
        <f t="shared" si="645"/>
        <v>0</v>
      </c>
      <c r="BE1577" s="19">
        <v>1</v>
      </c>
      <c r="BF1577" s="229">
        <f t="shared" si="650"/>
        <v>0</v>
      </c>
      <c r="BG1577" s="210">
        <f t="shared" si="646"/>
        <v>0</v>
      </c>
      <c r="BH1577" s="210">
        <f t="shared" si="647"/>
        <v>1</v>
      </c>
      <c r="BI1577" s="213">
        <f t="shared" si="643"/>
        <v>0</v>
      </c>
      <c r="BJ1577" s="141"/>
      <c r="BK1577" s="201"/>
      <c r="BL1577" s="4"/>
      <c r="BM1577" s="4"/>
    </row>
    <row r="1578" spans="1:65" ht="18" customHeight="1">
      <c r="A1578" s="114">
        <v>13</v>
      </c>
      <c r="B1578" s="24" t="s">
        <v>563</v>
      </c>
      <c r="C1578" s="25" t="s">
        <v>564</v>
      </c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229">
        <f t="shared" si="648"/>
        <v>0</v>
      </c>
      <c r="AC1578" s="228">
        <f t="shared" si="644"/>
        <v>0</v>
      </c>
      <c r="AD1578" s="19">
        <v>0</v>
      </c>
      <c r="AE1578" s="28"/>
      <c r="AF1578" s="28"/>
      <c r="AG1578" s="28"/>
      <c r="AH1578" s="28"/>
      <c r="AI1578" s="28"/>
      <c r="AJ1578" s="28">
        <v>3</v>
      </c>
      <c r="AK1578" s="28"/>
      <c r="AL1578" s="28"/>
      <c r="AM1578" s="28"/>
      <c r="AN1578" s="28"/>
      <c r="AO1578" s="28"/>
      <c r="AP1578" s="28">
        <v>4</v>
      </c>
      <c r="AQ1578" s="28"/>
      <c r="AR1578" s="28"/>
      <c r="AS1578" s="28"/>
      <c r="AT1578" s="28"/>
      <c r="AU1578" s="28"/>
      <c r="AV1578" s="28">
        <v>5</v>
      </c>
      <c r="AW1578" s="28"/>
      <c r="AX1578" s="28"/>
      <c r="AY1578" s="28"/>
      <c r="AZ1578" s="28"/>
      <c r="BA1578" s="28"/>
      <c r="BB1578" s="28">
        <v>7</v>
      </c>
      <c r="BC1578" s="229">
        <f t="shared" si="649"/>
        <v>0</v>
      </c>
      <c r="BD1578" s="48">
        <f t="shared" si="645"/>
        <v>19</v>
      </c>
      <c r="BE1578" s="19">
        <v>32</v>
      </c>
      <c r="BF1578" s="229">
        <f t="shared" si="650"/>
        <v>0</v>
      </c>
      <c r="BG1578" s="210">
        <f t="shared" si="646"/>
        <v>19</v>
      </c>
      <c r="BH1578" s="210">
        <f t="shared" si="647"/>
        <v>32</v>
      </c>
      <c r="BI1578" s="213">
        <f t="shared" si="643"/>
        <v>59.375</v>
      </c>
      <c r="BJ1578" s="141"/>
      <c r="BK1578" s="201"/>
    </row>
    <row r="1579" spans="1:65" ht="18" customHeight="1">
      <c r="A1579" s="114">
        <v>14</v>
      </c>
      <c r="B1579" s="24" t="s">
        <v>565</v>
      </c>
      <c r="C1579" s="25" t="s">
        <v>566</v>
      </c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229">
        <f t="shared" si="648"/>
        <v>0</v>
      </c>
      <c r="AC1579" s="228">
        <f t="shared" si="644"/>
        <v>0</v>
      </c>
      <c r="AD1579" s="19">
        <v>5</v>
      </c>
      <c r="AE1579" s="28"/>
      <c r="AF1579" s="28"/>
      <c r="AG1579" s="28"/>
      <c r="AH1579" s="28"/>
      <c r="AI1579" s="28"/>
      <c r="AJ1579" s="28">
        <f>96+8+18+33+15+5</f>
        <v>175</v>
      </c>
      <c r="AK1579" s="28"/>
      <c r="AL1579" s="28"/>
      <c r="AM1579" s="28"/>
      <c r="AN1579" s="28"/>
      <c r="AO1579" s="28"/>
      <c r="AP1579" s="28">
        <f>50+3+21+8+16</f>
        <v>98</v>
      </c>
      <c r="AQ1579" s="28"/>
      <c r="AR1579" s="28"/>
      <c r="AS1579" s="28"/>
      <c r="AT1579" s="28"/>
      <c r="AU1579" s="28"/>
      <c r="AV1579" s="28">
        <f>55+18+15+5+11</f>
        <v>104</v>
      </c>
      <c r="AW1579" s="28"/>
      <c r="AX1579" s="28"/>
      <c r="AY1579" s="28"/>
      <c r="AZ1579" s="28"/>
      <c r="BA1579" s="28"/>
      <c r="BB1579" s="28">
        <f>53+1+12+5+1+11</f>
        <v>83</v>
      </c>
      <c r="BC1579" s="229">
        <f t="shared" si="649"/>
        <v>0</v>
      </c>
      <c r="BD1579" s="48">
        <f t="shared" si="645"/>
        <v>460</v>
      </c>
      <c r="BE1579" s="19">
        <v>425</v>
      </c>
      <c r="BF1579" s="229">
        <f t="shared" si="650"/>
        <v>0</v>
      </c>
      <c r="BG1579" s="210">
        <f t="shared" si="646"/>
        <v>460</v>
      </c>
      <c r="BH1579" s="210">
        <f t="shared" si="647"/>
        <v>430</v>
      </c>
      <c r="BI1579" s="213">
        <f t="shared" si="643"/>
        <v>106.9767441860465</v>
      </c>
      <c r="BJ1579" s="141"/>
      <c r="BK1579" s="201"/>
    </row>
    <row r="1580" spans="1:65" ht="18" customHeight="1">
      <c r="A1580" s="114">
        <v>15</v>
      </c>
      <c r="B1580" s="24" t="s">
        <v>707</v>
      </c>
      <c r="C1580" s="25" t="s">
        <v>708</v>
      </c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229">
        <f t="shared" si="648"/>
        <v>0</v>
      </c>
      <c r="AC1580" s="228">
        <f t="shared" si="644"/>
        <v>0</v>
      </c>
      <c r="AD1580" s="19">
        <v>0</v>
      </c>
      <c r="AE1580" s="28"/>
      <c r="AF1580" s="28"/>
      <c r="AG1580" s="28"/>
      <c r="AH1580" s="28"/>
      <c r="AI1580" s="28"/>
      <c r="AJ1580" s="28">
        <v>1</v>
      </c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29">
        <f t="shared" si="649"/>
        <v>0</v>
      </c>
      <c r="BD1580" s="48">
        <f t="shared" si="645"/>
        <v>1</v>
      </c>
      <c r="BE1580" s="19">
        <v>27</v>
      </c>
      <c r="BF1580" s="229">
        <f t="shared" si="650"/>
        <v>0</v>
      </c>
      <c r="BG1580" s="210">
        <f t="shared" si="646"/>
        <v>1</v>
      </c>
      <c r="BH1580" s="210">
        <f t="shared" si="647"/>
        <v>27</v>
      </c>
      <c r="BI1580" s="213">
        <f t="shared" si="643"/>
        <v>3.7037037037037033</v>
      </c>
      <c r="BJ1580" s="141"/>
      <c r="BK1580" s="201"/>
    </row>
    <row r="1581" spans="1:65" ht="18" customHeight="1">
      <c r="A1581" s="114">
        <v>16</v>
      </c>
      <c r="B1581" s="30" t="s">
        <v>709</v>
      </c>
      <c r="C1581" s="31" t="s">
        <v>710</v>
      </c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229">
        <f t="shared" si="648"/>
        <v>0</v>
      </c>
      <c r="AC1581" s="228">
        <f t="shared" si="644"/>
        <v>0</v>
      </c>
      <c r="AD1581" s="19">
        <v>0</v>
      </c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29">
        <f t="shared" si="649"/>
        <v>0</v>
      </c>
      <c r="BD1581" s="48">
        <f t="shared" si="645"/>
        <v>0</v>
      </c>
      <c r="BE1581" s="19">
        <v>1</v>
      </c>
      <c r="BF1581" s="229">
        <f t="shared" si="650"/>
        <v>0</v>
      </c>
      <c r="BG1581" s="210">
        <f t="shared" si="646"/>
        <v>0</v>
      </c>
      <c r="BH1581" s="210">
        <f t="shared" si="647"/>
        <v>1</v>
      </c>
      <c r="BI1581" s="213">
        <f t="shared" si="643"/>
        <v>0</v>
      </c>
      <c r="BJ1581" s="141"/>
      <c r="BK1581" s="201"/>
    </row>
    <row r="1582" spans="1:65" ht="18" customHeight="1">
      <c r="A1582" s="114">
        <v>17</v>
      </c>
      <c r="B1582" s="24" t="s">
        <v>567</v>
      </c>
      <c r="C1582" s="25" t="s">
        <v>568</v>
      </c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229">
        <f t="shared" si="648"/>
        <v>0</v>
      </c>
      <c r="AC1582" s="228">
        <f t="shared" si="644"/>
        <v>0</v>
      </c>
      <c r="AD1582" s="19">
        <v>0</v>
      </c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>
        <v>4</v>
      </c>
      <c r="AW1582" s="28"/>
      <c r="AX1582" s="28"/>
      <c r="AY1582" s="28"/>
      <c r="AZ1582" s="28"/>
      <c r="BA1582" s="28"/>
      <c r="BB1582" s="28">
        <v>1</v>
      </c>
      <c r="BC1582" s="229">
        <f t="shared" si="649"/>
        <v>0</v>
      </c>
      <c r="BD1582" s="48">
        <f t="shared" si="645"/>
        <v>5</v>
      </c>
      <c r="BE1582" s="19">
        <v>10</v>
      </c>
      <c r="BF1582" s="229">
        <f t="shared" si="650"/>
        <v>0</v>
      </c>
      <c r="BG1582" s="210">
        <f t="shared" si="646"/>
        <v>5</v>
      </c>
      <c r="BH1582" s="210">
        <f t="shared" si="647"/>
        <v>10</v>
      </c>
      <c r="BI1582" s="213">
        <f t="shared" si="643"/>
        <v>50</v>
      </c>
      <c r="BJ1582" s="141"/>
      <c r="BK1582" s="201"/>
    </row>
    <row r="1583" spans="1:65" ht="18" customHeight="1">
      <c r="A1583" s="114">
        <v>18</v>
      </c>
      <c r="B1583" s="30" t="s">
        <v>569</v>
      </c>
      <c r="C1583" s="31" t="s">
        <v>680</v>
      </c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229">
        <f t="shared" si="648"/>
        <v>0</v>
      </c>
      <c r="AC1583" s="228">
        <f t="shared" si="644"/>
        <v>0</v>
      </c>
      <c r="AD1583" s="19">
        <v>3</v>
      </c>
      <c r="AE1583" s="28"/>
      <c r="AF1583" s="28"/>
      <c r="AG1583" s="28"/>
      <c r="AH1583" s="28"/>
      <c r="AI1583" s="28"/>
      <c r="AJ1583" s="28">
        <v>6</v>
      </c>
      <c r="AK1583" s="28"/>
      <c r="AL1583" s="28"/>
      <c r="AM1583" s="28"/>
      <c r="AN1583" s="28"/>
      <c r="AO1583" s="28"/>
      <c r="AP1583" s="28">
        <v>8</v>
      </c>
      <c r="AQ1583" s="28"/>
      <c r="AR1583" s="28"/>
      <c r="AS1583" s="28"/>
      <c r="AT1583" s="28"/>
      <c r="AU1583" s="28"/>
      <c r="AV1583" s="28">
        <v>7</v>
      </c>
      <c r="AW1583" s="28"/>
      <c r="AX1583" s="28"/>
      <c r="AY1583" s="28"/>
      <c r="AZ1583" s="28"/>
      <c r="BA1583" s="28"/>
      <c r="BB1583" s="28">
        <v>4</v>
      </c>
      <c r="BC1583" s="229">
        <f t="shared" si="649"/>
        <v>0</v>
      </c>
      <c r="BD1583" s="48">
        <f t="shared" si="645"/>
        <v>25</v>
      </c>
      <c r="BE1583" s="19">
        <v>71</v>
      </c>
      <c r="BF1583" s="229">
        <f t="shared" si="650"/>
        <v>0</v>
      </c>
      <c r="BG1583" s="210">
        <f t="shared" si="646"/>
        <v>25</v>
      </c>
      <c r="BH1583" s="210">
        <f t="shared" si="647"/>
        <v>74</v>
      </c>
      <c r="BI1583" s="213">
        <f t="shared" si="643"/>
        <v>33.783783783783782</v>
      </c>
      <c r="BJ1583" s="141"/>
      <c r="BK1583" s="201"/>
    </row>
    <row r="1584" spans="1:65" ht="18" customHeight="1">
      <c r="A1584" s="114">
        <v>19</v>
      </c>
      <c r="B1584" s="24" t="s">
        <v>571</v>
      </c>
      <c r="C1584" s="25" t="s">
        <v>572</v>
      </c>
      <c r="D1584" s="121"/>
      <c r="E1584" s="121"/>
      <c r="F1584" s="121"/>
      <c r="G1584" s="121"/>
      <c r="H1584" s="121"/>
      <c r="I1584" s="121">
        <f>113+259</f>
        <v>372</v>
      </c>
      <c r="J1584" s="121"/>
      <c r="K1584" s="121"/>
      <c r="L1584" s="121"/>
      <c r="M1584" s="121"/>
      <c r="N1584" s="121"/>
      <c r="O1584" s="121">
        <f>129+227+2+2</f>
        <v>360</v>
      </c>
      <c r="P1584" s="121"/>
      <c r="Q1584" s="121"/>
      <c r="R1584" s="121"/>
      <c r="S1584" s="121"/>
      <c r="T1584" s="121"/>
      <c r="U1584" s="121">
        <f>131+285+2</f>
        <v>418</v>
      </c>
      <c r="V1584" s="121"/>
      <c r="W1584" s="121"/>
      <c r="X1584" s="121"/>
      <c r="Y1584" s="121"/>
      <c r="Z1584" s="121"/>
      <c r="AA1584" s="121">
        <f>43+222</f>
        <v>265</v>
      </c>
      <c r="AB1584" s="229">
        <f t="shared" si="648"/>
        <v>0</v>
      </c>
      <c r="AC1584" s="228">
        <f t="shared" si="644"/>
        <v>1415</v>
      </c>
      <c r="AD1584" s="19">
        <v>1696</v>
      </c>
      <c r="AE1584" s="28"/>
      <c r="AF1584" s="28"/>
      <c r="AG1584" s="28"/>
      <c r="AH1584" s="28"/>
      <c r="AI1584" s="28"/>
      <c r="AJ1584" s="28">
        <f>568+1+62+30+776+14+40</f>
        <v>1491</v>
      </c>
      <c r="AK1584" s="28"/>
      <c r="AL1584" s="28"/>
      <c r="AM1584" s="28"/>
      <c r="AN1584" s="28"/>
      <c r="AO1584" s="28"/>
      <c r="AP1584" s="28">
        <f>555+4+4+76+36+584+4+37</f>
        <v>1300</v>
      </c>
      <c r="AQ1584" s="28"/>
      <c r="AR1584" s="28"/>
      <c r="AS1584" s="28"/>
      <c r="AT1584" s="28"/>
      <c r="AU1584" s="28"/>
      <c r="AV1584" s="28">
        <f>581+1+99+20+502+2</f>
        <v>1205</v>
      </c>
      <c r="AW1584" s="28"/>
      <c r="AX1584" s="28"/>
      <c r="AY1584" s="28"/>
      <c r="AZ1584" s="28"/>
      <c r="BA1584" s="28"/>
      <c r="BB1584" s="28">
        <f>613+40+10+523+88+5+2</f>
        <v>1281</v>
      </c>
      <c r="BC1584" s="229">
        <f t="shared" si="649"/>
        <v>0</v>
      </c>
      <c r="BD1584" s="48">
        <f t="shared" si="645"/>
        <v>5277</v>
      </c>
      <c r="BE1584" s="19">
        <v>5788</v>
      </c>
      <c r="BF1584" s="229">
        <f t="shared" si="650"/>
        <v>0</v>
      </c>
      <c r="BG1584" s="210">
        <f t="shared" si="646"/>
        <v>6692</v>
      </c>
      <c r="BH1584" s="210">
        <f t="shared" si="647"/>
        <v>7484</v>
      </c>
      <c r="BI1584" s="213">
        <f t="shared" si="643"/>
        <v>89.417423837520033</v>
      </c>
      <c r="BJ1584" s="141"/>
      <c r="BK1584" s="201"/>
    </row>
    <row r="1585" spans="1:65" ht="18" customHeight="1">
      <c r="A1585" s="114">
        <v>20</v>
      </c>
      <c r="B1585" s="24" t="s">
        <v>573</v>
      </c>
      <c r="C1585" s="25" t="s">
        <v>574</v>
      </c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229">
        <f t="shared" si="648"/>
        <v>0</v>
      </c>
      <c r="AC1585" s="228">
        <f t="shared" si="644"/>
        <v>0</v>
      </c>
      <c r="AD1585" s="19">
        <v>0</v>
      </c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29">
        <f t="shared" si="649"/>
        <v>0</v>
      </c>
      <c r="BD1585" s="48">
        <f t="shared" si="645"/>
        <v>0</v>
      </c>
      <c r="BE1585" s="19">
        <v>57</v>
      </c>
      <c r="BF1585" s="229">
        <f t="shared" si="650"/>
        <v>0</v>
      </c>
      <c r="BG1585" s="210">
        <f t="shared" si="646"/>
        <v>0</v>
      </c>
      <c r="BH1585" s="210">
        <f t="shared" si="647"/>
        <v>57</v>
      </c>
      <c r="BI1585" s="213">
        <f t="shared" si="643"/>
        <v>0</v>
      </c>
      <c r="BJ1585" s="141"/>
      <c r="BK1585" s="201"/>
    </row>
    <row r="1586" spans="1:65" ht="18" customHeight="1">
      <c r="A1586" s="114">
        <v>21</v>
      </c>
      <c r="B1586" s="24" t="s">
        <v>575</v>
      </c>
      <c r="C1586" s="25" t="s">
        <v>711</v>
      </c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229">
        <f t="shared" si="648"/>
        <v>0</v>
      </c>
      <c r="AC1586" s="228">
        <f t="shared" si="644"/>
        <v>0</v>
      </c>
      <c r="AD1586" s="19">
        <v>0</v>
      </c>
      <c r="AE1586" s="28"/>
      <c r="AF1586" s="28"/>
      <c r="AG1586" s="28"/>
      <c r="AH1586" s="28"/>
      <c r="AI1586" s="28"/>
      <c r="AJ1586" s="28">
        <v>1</v>
      </c>
      <c r="AK1586" s="28"/>
      <c r="AL1586" s="28"/>
      <c r="AM1586" s="28"/>
      <c r="AN1586" s="28"/>
      <c r="AO1586" s="28"/>
      <c r="AP1586" s="28">
        <v>2</v>
      </c>
      <c r="AQ1586" s="28"/>
      <c r="AR1586" s="28"/>
      <c r="AS1586" s="28"/>
      <c r="AT1586" s="28"/>
      <c r="AU1586" s="28"/>
      <c r="AV1586" s="28">
        <v>2</v>
      </c>
      <c r="AW1586" s="28"/>
      <c r="AX1586" s="28"/>
      <c r="AY1586" s="28"/>
      <c r="AZ1586" s="28"/>
      <c r="BA1586" s="28"/>
      <c r="BB1586" s="28">
        <v>2</v>
      </c>
      <c r="BC1586" s="229">
        <f t="shared" si="649"/>
        <v>0</v>
      </c>
      <c r="BD1586" s="48">
        <f t="shared" si="645"/>
        <v>7</v>
      </c>
      <c r="BE1586" s="19">
        <v>14</v>
      </c>
      <c r="BF1586" s="229">
        <f t="shared" si="650"/>
        <v>0</v>
      </c>
      <c r="BG1586" s="210">
        <f t="shared" si="646"/>
        <v>7</v>
      </c>
      <c r="BH1586" s="210">
        <f t="shared" si="647"/>
        <v>14</v>
      </c>
      <c r="BI1586" s="213">
        <f t="shared" si="643"/>
        <v>50</v>
      </c>
      <c r="BJ1586" s="141"/>
      <c r="BK1586" s="201"/>
    </row>
    <row r="1587" spans="1:65" s="38" customFormat="1" ht="21.95" customHeight="1">
      <c r="A1587" s="114">
        <v>22</v>
      </c>
      <c r="B1587" s="24" t="s">
        <v>577</v>
      </c>
      <c r="C1587" s="27" t="s">
        <v>1630</v>
      </c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229">
        <f t="shared" si="648"/>
        <v>0</v>
      </c>
      <c r="AC1587" s="228">
        <f t="shared" si="644"/>
        <v>0</v>
      </c>
      <c r="AD1587" s="19">
        <v>0</v>
      </c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>
        <v>2</v>
      </c>
      <c r="AW1587" s="28"/>
      <c r="AX1587" s="28"/>
      <c r="AY1587" s="28"/>
      <c r="AZ1587" s="28"/>
      <c r="BA1587" s="28"/>
      <c r="BB1587" s="28"/>
      <c r="BC1587" s="229">
        <f t="shared" si="649"/>
        <v>0</v>
      </c>
      <c r="BD1587" s="48">
        <f t="shared" si="645"/>
        <v>2</v>
      </c>
      <c r="BE1587" s="19">
        <v>8</v>
      </c>
      <c r="BF1587" s="229">
        <f t="shared" si="650"/>
        <v>0</v>
      </c>
      <c r="BG1587" s="210">
        <f t="shared" si="646"/>
        <v>2</v>
      </c>
      <c r="BH1587" s="210">
        <f t="shared" si="647"/>
        <v>8</v>
      </c>
      <c r="BI1587" s="213">
        <f t="shared" si="643"/>
        <v>25</v>
      </c>
      <c r="BJ1587" s="141"/>
      <c r="BK1587" s="201"/>
      <c r="BL1587" s="4"/>
      <c r="BM1587" s="4"/>
    </row>
    <row r="1588" spans="1:65" s="38" customFormat="1" ht="18" customHeight="1">
      <c r="A1588" s="114">
        <v>23</v>
      </c>
      <c r="B1588" s="24" t="s">
        <v>578</v>
      </c>
      <c r="C1588" s="25" t="s">
        <v>1587</v>
      </c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229">
        <f t="shared" si="648"/>
        <v>0</v>
      </c>
      <c r="AC1588" s="228">
        <f t="shared" si="644"/>
        <v>0</v>
      </c>
      <c r="AD1588" s="19">
        <v>0</v>
      </c>
      <c r="AE1588" s="28"/>
      <c r="AF1588" s="28"/>
      <c r="AG1588" s="28"/>
      <c r="AH1588" s="28"/>
      <c r="AI1588" s="28"/>
      <c r="AJ1588" s="28">
        <f>1+1</f>
        <v>2</v>
      </c>
      <c r="AK1588" s="28"/>
      <c r="AL1588" s="28"/>
      <c r="AM1588" s="28"/>
      <c r="AN1588" s="28"/>
      <c r="AO1588" s="28"/>
      <c r="AP1588" s="28">
        <v>3</v>
      </c>
      <c r="AQ1588" s="28"/>
      <c r="AR1588" s="28"/>
      <c r="AS1588" s="28"/>
      <c r="AT1588" s="28"/>
      <c r="AU1588" s="28"/>
      <c r="AV1588" s="28">
        <v>3</v>
      </c>
      <c r="AW1588" s="28"/>
      <c r="AX1588" s="28"/>
      <c r="AY1588" s="28"/>
      <c r="AZ1588" s="28"/>
      <c r="BA1588" s="28"/>
      <c r="BB1588" s="28">
        <v>1</v>
      </c>
      <c r="BC1588" s="229">
        <f t="shared" si="649"/>
        <v>0</v>
      </c>
      <c r="BD1588" s="48">
        <f t="shared" si="645"/>
        <v>9</v>
      </c>
      <c r="BE1588" s="19">
        <v>18</v>
      </c>
      <c r="BF1588" s="229">
        <f t="shared" si="650"/>
        <v>0</v>
      </c>
      <c r="BG1588" s="210">
        <f t="shared" si="646"/>
        <v>9</v>
      </c>
      <c r="BH1588" s="210">
        <f t="shared" si="647"/>
        <v>18</v>
      </c>
      <c r="BI1588" s="213">
        <f t="shared" si="643"/>
        <v>50</v>
      </c>
      <c r="BJ1588" s="141"/>
      <c r="BK1588" s="201"/>
      <c r="BL1588" s="4"/>
      <c r="BM1588" s="4"/>
    </row>
    <row r="1589" spans="1:65" s="38" customFormat="1" ht="18" customHeight="1">
      <c r="A1589" s="114">
        <v>24</v>
      </c>
      <c r="B1589" s="24" t="s">
        <v>2118</v>
      </c>
      <c r="C1589" s="25" t="s">
        <v>2119</v>
      </c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229">
        <f t="shared" si="648"/>
        <v>0</v>
      </c>
      <c r="AC1589" s="228">
        <f t="shared" si="644"/>
        <v>0</v>
      </c>
      <c r="AD1589" s="19">
        <v>0</v>
      </c>
      <c r="AE1589" s="28"/>
      <c r="AF1589" s="28"/>
      <c r="AG1589" s="28"/>
      <c r="AH1589" s="28"/>
      <c r="AI1589" s="28"/>
      <c r="AJ1589" s="28">
        <v>12</v>
      </c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>
        <v>18</v>
      </c>
      <c r="BC1589" s="229">
        <f t="shared" si="649"/>
        <v>0</v>
      </c>
      <c r="BD1589" s="48">
        <f t="shared" si="645"/>
        <v>30</v>
      </c>
      <c r="BE1589" s="19">
        <v>262</v>
      </c>
      <c r="BF1589" s="229">
        <f t="shared" si="650"/>
        <v>0</v>
      </c>
      <c r="BG1589" s="210">
        <f t="shared" si="646"/>
        <v>30</v>
      </c>
      <c r="BH1589" s="210">
        <f t="shared" si="647"/>
        <v>262</v>
      </c>
      <c r="BI1589" s="213">
        <f t="shared" si="643"/>
        <v>11.450381679389313</v>
      </c>
      <c r="BJ1589" s="141"/>
      <c r="BK1589" s="201"/>
      <c r="BL1589" s="4"/>
      <c r="BM1589" s="4"/>
    </row>
    <row r="1590" spans="1:65" s="38" customFormat="1" ht="18" customHeight="1">
      <c r="A1590" s="114">
        <v>25</v>
      </c>
      <c r="B1590" s="24" t="s">
        <v>579</v>
      </c>
      <c r="C1590" s="25" t="s">
        <v>580</v>
      </c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229">
        <f t="shared" si="648"/>
        <v>0</v>
      </c>
      <c r="AC1590" s="228">
        <f t="shared" si="644"/>
        <v>0</v>
      </c>
      <c r="AD1590" s="19">
        <v>0</v>
      </c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29">
        <f t="shared" si="649"/>
        <v>0</v>
      </c>
      <c r="BD1590" s="48">
        <f t="shared" si="645"/>
        <v>0</v>
      </c>
      <c r="BE1590" s="19">
        <v>22</v>
      </c>
      <c r="BF1590" s="229">
        <f t="shared" si="650"/>
        <v>0</v>
      </c>
      <c r="BG1590" s="210">
        <f t="shared" si="646"/>
        <v>0</v>
      </c>
      <c r="BH1590" s="210">
        <f t="shared" si="647"/>
        <v>22</v>
      </c>
      <c r="BI1590" s="213">
        <f t="shared" si="643"/>
        <v>0</v>
      </c>
      <c r="BJ1590" s="141"/>
      <c r="BK1590" s="201"/>
      <c r="BL1590" s="4"/>
      <c r="BM1590" s="4"/>
    </row>
    <row r="1591" spans="1:65" s="38" customFormat="1" ht="18" customHeight="1">
      <c r="A1591" s="114">
        <v>26</v>
      </c>
      <c r="B1591" s="24" t="s">
        <v>582</v>
      </c>
      <c r="C1591" s="25" t="s">
        <v>583</v>
      </c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229">
        <f t="shared" si="648"/>
        <v>0</v>
      </c>
      <c r="AC1591" s="228">
        <f t="shared" si="644"/>
        <v>0</v>
      </c>
      <c r="AD1591" s="19">
        <v>0</v>
      </c>
      <c r="AE1591" s="28"/>
      <c r="AF1591" s="28"/>
      <c r="AG1591" s="28"/>
      <c r="AH1591" s="28"/>
      <c r="AI1591" s="28"/>
      <c r="AJ1591" s="28">
        <v>3</v>
      </c>
      <c r="AK1591" s="28"/>
      <c r="AL1591" s="28"/>
      <c r="AM1591" s="28"/>
      <c r="AN1591" s="28"/>
      <c r="AO1591" s="28"/>
      <c r="AP1591" s="28">
        <v>4</v>
      </c>
      <c r="AQ1591" s="28"/>
      <c r="AR1591" s="28"/>
      <c r="AS1591" s="28"/>
      <c r="AT1591" s="28"/>
      <c r="AU1591" s="28"/>
      <c r="AV1591" s="28">
        <v>8</v>
      </c>
      <c r="AW1591" s="28"/>
      <c r="AX1591" s="28"/>
      <c r="AY1591" s="28"/>
      <c r="AZ1591" s="28"/>
      <c r="BA1591" s="28"/>
      <c r="BB1591" s="28">
        <v>3</v>
      </c>
      <c r="BC1591" s="229">
        <f t="shared" si="649"/>
        <v>0</v>
      </c>
      <c r="BD1591" s="48">
        <f t="shared" si="645"/>
        <v>18</v>
      </c>
      <c r="BE1591" s="19">
        <v>37</v>
      </c>
      <c r="BF1591" s="229">
        <f t="shared" si="650"/>
        <v>0</v>
      </c>
      <c r="BG1591" s="210">
        <f t="shared" si="646"/>
        <v>18</v>
      </c>
      <c r="BH1591" s="210">
        <f t="shared" si="647"/>
        <v>37</v>
      </c>
      <c r="BI1591" s="213">
        <f t="shared" si="643"/>
        <v>48.648648648648653</v>
      </c>
      <c r="BJ1591" s="141"/>
      <c r="BK1591" s="201"/>
      <c r="BL1591" s="4"/>
      <c r="BM1591" s="4"/>
    </row>
    <row r="1592" spans="1:65" s="38" customFormat="1" ht="18" customHeight="1">
      <c r="A1592" s="114">
        <v>27</v>
      </c>
      <c r="B1592" s="24" t="s">
        <v>584</v>
      </c>
      <c r="C1592" s="25" t="s">
        <v>2603</v>
      </c>
      <c r="D1592" s="207"/>
      <c r="E1592" s="207"/>
      <c r="F1592" s="207"/>
      <c r="G1592" s="207"/>
      <c r="H1592" s="207"/>
      <c r="I1592" s="207"/>
      <c r="J1592" s="207"/>
      <c r="K1592" s="207"/>
      <c r="L1592" s="207"/>
      <c r="M1592" s="207"/>
      <c r="N1592" s="207"/>
      <c r="O1592" s="207"/>
      <c r="P1592" s="207"/>
      <c r="Q1592" s="207"/>
      <c r="R1592" s="207"/>
      <c r="S1592" s="207"/>
      <c r="T1592" s="207"/>
      <c r="U1592" s="207"/>
      <c r="V1592" s="227"/>
      <c r="W1592" s="227"/>
      <c r="X1592" s="227"/>
      <c r="Y1592" s="227"/>
      <c r="Z1592" s="207"/>
      <c r="AA1592" s="207"/>
      <c r="AB1592" s="229">
        <f t="shared" si="648"/>
        <v>0</v>
      </c>
      <c r="AC1592" s="228">
        <f t="shared" si="644"/>
        <v>0</v>
      </c>
      <c r="AD1592" s="19">
        <v>0</v>
      </c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29">
        <f t="shared" si="649"/>
        <v>0</v>
      </c>
      <c r="BD1592" s="48">
        <f t="shared" si="645"/>
        <v>0</v>
      </c>
      <c r="BE1592" s="19">
        <v>257</v>
      </c>
      <c r="BF1592" s="229">
        <f t="shared" si="650"/>
        <v>0</v>
      </c>
      <c r="BG1592" s="210">
        <f t="shared" si="646"/>
        <v>0</v>
      </c>
      <c r="BH1592" s="210">
        <f t="shared" si="647"/>
        <v>257</v>
      </c>
      <c r="BI1592" s="213">
        <f t="shared" si="643"/>
        <v>0</v>
      </c>
      <c r="BJ1592" s="141"/>
      <c r="BK1592" s="201"/>
      <c r="BL1592" s="4"/>
      <c r="BM1592" s="4"/>
    </row>
    <row r="1593" spans="1:65" s="38" customFormat="1" ht="18" customHeight="1">
      <c r="A1593" s="114">
        <v>28</v>
      </c>
      <c r="B1593" s="24" t="s">
        <v>585</v>
      </c>
      <c r="C1593" s="25" t="s">
        <v>586</v>
      </c>
      <c r="D1593" s="121"/>
      <c r="E1593" s="121"/>
      <c r="F1593" s="121"/>
      <c r="G1593" s="121"/>
      <c r="H1593" s="121"/>
      <c r="I1593" s="121">
        <f>136+25</f>
        <v>161</v>
      </c>
      <c r="J1593" s="121"/>
      <c r="K1593" s="121"/>
      <c r="L1593" s="121"/>
      <c r="M1593" s="121"/>
      <c r="N1593" s="121"/>
      <c r="O1593" s="121">
        <f>100+5+34</f>
        <v>139</v>
      </c>
      <c r="P1593" s="121"/>
      <c r="Q1593" s="121"/>
      <c r="R1593" s="121"/>
      <c r="S1593" s="121"/>
      <c r="T1593" s="121"/>
      <c r="U1593" s="121">
        <f>89+26</f>
        <v>115</v>
      </c>
      <c r="V1593" s="121"/>
      <c r="W1593" s="121"/>
      <c r="X1593" s="121"/>
      <c r="Y1593" s="121"/>
      <c r="Z1593" s="121"/>
      <c r="AA1593" s="121">
        <f>13+29</f>
        <v>42</v>
      </c>
      <c r="AB1593" s="229">
        <f t="shared" si="648"/>
        <v>0</v>
      </c>
      <c r="AC1593" s="228">
        <f t="shared" si="644"/>
        <v>457</v>
      </c>
      <c r="AD1593" s="19">
        <v>598</v>
      </c>
      <c r="AE1593" s="28"/>
      <c r="AF1593" s="28"/>
      <c r="AG1593" s="28"/>
      <c r="AH1593" s="28"/>
      <c r="AI1593" s="28"/>
      <c r="AJ1593" s="28">
        <f>37+8+2+3057+602</f>
        <v>3706</v>
      </c>
      <c r="AK1593" s="28"/>
      <c r="AL1593" s="28"/>
      <c r="AM1593" s="28"/>
      <c r="AN1593" s="28"/>
      <c r="AO1593" s="28"/>
      <c r="AP1593" s="28">
        <f>21+4+18+3530+581</f>
        <v>4154</v>
      </c>
      <c r="AQ1593" s="28"/>
      <c r="AR1593" s="28"/>
      <c r="AS1593" s="28"/>
      <c r="AT1593" s="28"/>
      <c r="AU1593" s="28"/>
      <c r="AV1593" s="28">
        <f>54+26+3616+584</f>
        <v>4280</v>
      </c>
      <c r="AW1593" s="28"/>
      <c r="AX1593" s="28"/>
      <c r="AY1593" s="28"/>
      <c r="AZ1593" s="28"/>
      <c r="BA1593" s="28"/>
      <c r="BB1593" s="28">
        <f>26+10+3791+74+690</f>
        <v>4591</v>
      </c>
      <c r="BC1593" s="229">
        <f t="shared" si="649"/>
        <v>0</v>
      </c>
      <c r="BD1593" s="48">
        <f t="shared" si="645"/>
        <v>16731</v>
      </c>
      <c r="BE1593" s="19">
        <v>15998</v>
      </c>
      <c r="BF1593" s="229">
        <f t="shared" si="650"/>
        <v>0</v>
      </c>
      <c r="BG1593" s="210">
        <f t="shared" si="646"/>
        <v>17188</v>
      </c>
      <c r="BH1593" s="210">
        <f t="shared" si="647"/>
        <v>16596</v>
      </c>
      <c r="BI1593" s="213">
        <f t="shared" si="643"/>
        <v>103.56712460833937</v>
      </c>
      <c r="BJ1593" s="141"/>
      <c r="BK1593" s="201"/>
      <c r="BL1593" s="4"/>
      <c r="BM1593" s="4"/>
    </row>
    <row r="1594" spans="1:65" s="38" customFormat="1" ht="18" customHeight="1">
      <c r="A1594" s="114">
        <v>29</v>
      </c>
      <c r="B1594" s="24" t="s">
        <v>682</v>
      </c>
      <c r="C1594" s="25" t="s">
        <v>683</v>
      </c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229">
        <f t="shared" si="648"/>
        <v>0</v>
      </c>
      <c r="AC1594" s="228">
        <f t="shared" si="644"/>
        <v>0</v>
      </c>
      <c r="AD1594" s="19">
        <v>0</v>
      </c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29">
        <f t="shared" si="649"/>
        <v>0</v>
      </c>
      <c r="BD1594" s="48">
        <f t="shared" si="645"/>
        <v>0</v>
      </c>
      <c r="BE1594" s="19">
        <v>1</v>
      </c>
      <c r="BF1594" s="229">
        <f t="shared" si="650"/>
        <v>0</v>
      </c>
      <c r="BG1594" s="210">
        <f t="shared" si="646"/>
        <v>0</v>
      </c>
      <c r="BH1594" s="210">
        <f t="shared" si="647"/>
        <v>1</v>
      </c>
      <c r="BI1594" s="213">
        <f t="shared" si="643"/>
        <v>0</v>
      </c>
      <c r="BJ1594" s="141"/>
      <c r="BK1594" s="201"/>
      <c r="BL1594" s="4"/>
      <c r="BM1594" s="4"/>
    </row>
    <row r="1595" spans="1:65" s="38" customFormat="1" ht="18" customHeight="1">
      <c r="A1595" s="114">
        <v>30</v>
      </c>
      <c r="B1595" s="24" t="s">
        <v>684</v>
      </c>
      <c r="C1595" s="25" t="s">
        <v>685</v>
      </c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229">
        <f t="shared" si="648"/>
        <v>0</v>
      </c>
      <c r="AC1595" s="228">
        <f t="shared" si="644"/>
        <v>0</v>
      </c>
      <c r="AD1595" s="19">
        <v>0</v>
      </c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29">
        <f t="shared" si="649"/>
        <v>0</v>
      </c>
      <c r="BD1595" s="48">
        <f t="shared" si="645"/>
        <v>0</v>
      </c>
      <c r="BE1595" s="19">
        <v>1</v>
      </c>
      <c r="BF1595" s="229">
        <f t="shared" si="650"/>
        <v>0</v>
      </c>
      <c r="BG1595" s="210">
        <f t="shared" si="646"/>
        <v>0</v>
      </c>
      <c r="BH1595" s="210">
        <f t="shared" si="647"/>
        <v>1</v>
      </c>
      <c r="BI1595" s="213">
        <f t="shared" si="643"/>
        <v>0</v>
      </c>
      <c r="BJ1595" s="141"/>
      <c r="BK1595" s="201"/>
      <c r="BL1595" s="4"/>
      <c r="BM1595" s="4"/>
    </row>
    <row r="1596" spans="1:65" s="38" customFormat="1" ht="18" customHeight="1">
      <c r="A1596" s="114">
        <v>31</v>
      </c>
      <c r="B1596" s="24" t="s">
        <v>826</v>
      </c>
      <c r="C1596" s="25" t="s">
        <v>827</v>
      </c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229">
        <f t="shared" si="648"/>
        <v>0</v>
      </c>
      <c r="AC1596" s="228">
        <f t="shared" si="644"/>
        <v>0</v>
      </c>
      <c r="AD1596" s="19">
        <v>0</v>
      </c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29">
        <f t="shared" si="649"/>
        <v>0</v>
      </c>
      <c r="BD1596" s="48">
        <f t="shared" si="645"/>
        <v>0</v>
      </c>
      <c r="BE1596" s="19">
        <v>1</v>
      </c>
      <c r="BF1596" s="229">
        <f t="shared" si="650"/>
        <v>0</v>
      </c>
      <c r="BG1596" s="210">
        <f t="shared" si="646"/>
        <v>0</v>
      </c>
      <c r="BH1596" s="210">
        <f t="shared" si="647"/>
        <v>1</v>
      </c>
      <c r="BI1596" s="213">
        <f t="shared" si="643"/>
        <v>0</v>
      </c>
      <c r="BJ1596" s="141"/>
      <c r="BK1596" s="201"/>
      <c r="BL1596" s="4"/>
      <c r="BM1596" s="4"/>
    </row>
    <row r="1597" spans="1:65" s="38" customFormat="1" ht="18" customHeight="1">
      <c r="A1597" s="114">
        <v>32</v>
      </c>
      <c r="B1597" s="24" t="s">
        <v>596</v>
      </c>
      <c r="C1597" s="25" t="s">
        <v>597</v>
      </c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229">
        <f t="shared" si="648"/>
        <v>0</v>
      </c>
      <c r="AC1597" s="228">
        <f t="shared" si="644"/>
        <v>0</v>
      </c>
      <c r="AD1597" s="19">
        <v>0</v>
      </c>
      <c r="AE1597" s="28"/>
      <c r="AF1597" s="28"/>
      <c r="AG1597" s="28"/>
      <c r="AH1597" s="28"/>
      <c r="AI1597" s="28"/>
      <c r="AJ1597" s="28">
        <f>36+3</f>
        <v>39</v>
      </c>
      <c r="AK1597" s="28"/>
      <c r="AL1597" s="28"/>
      <c r="AM1597" s="28"/>
      <c r="AN1597" s="28"/>
      <c r="AO1597" s="28"/>
      <c r="AP1597" s="28">
        <f>23+6</f>
        <v>29</v>
      </c>
      <c r="AQ1597" s="28"/>
      <c r="AR1597" s="28"/>
      <c r="AS1597" s="28"/>
      <c r="AT1597" s="28"/>
      <c r="AU1597" s="28"/>
      <c r="AV1597" s="28">
        <f>50+4</f>
        <v>54</v>
      </c>
      <c r="AW1597" s="28"/>
      <c r="AX1597" s="28"/>
      <c r="AY1597" s="28"/>
      <c r="AZ1597" s="28"/>
      <c r="BA1597" s="28"/>
      <c r="BB1597" s="28">
        <f>64+1</f>
        <v>65</v>
      </c>
      <c r="BC1597" s="229">
        <f t="shared" si="649"/>
        <v>0</v>
      </c>
      <c r="BD1597" s="48">
        <f t="shared" si="645"/>
        <v>187</v>
      </c>
      <c r="BE1597" s="19">
        <v>197</v>
      </c>
      <c r="BF1597" s="229">
        <f t="shared" si="650"/>
        <v>0</v>
      </c>
      <c r="BG1597" s="210">
        <f t="shared" si="646"/>
        <v>187</v>
      </c>
      <c r="BH1597" s="210">
        <f t="shared" si="647"/>
        <v>197</v>
      </c>
      <c r="BI1597" s="213">
        <f t="shared" si="643"/>
        <v>94.923857868020306</v>
      </c>
      <c r="BJ1597" s="141"/>
      <c r="BK1597" s="201"/>
      <c r="BL1597" s="4"/>
      <c r="BM1597" s="4"/>
    </row>
    <row r="1598" spans="1:65" s="38" customFormat="1" ht="18" customHeight="1">
      <c r="A1598" s="114">
        <v>33</v>
      </c>
      <c r="B1598" s="24" t="s">
        <v>756</v>
      </c>
      <c r="C1598" s="25" t="s">
        <v>2507</v>
      </c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229">
        <f t="shared" si="648"/>
        <v>0</v>
      </c>
      <c r="AC1598" s="228">
        <f t="shared" si="644"/>
        <v>0</v>
      </c>
      <c r="AD1598" s="19">
        <v>0</v>
      </c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>
        <v>1</v>
      </c>
      <c r="BC1598" s="229">
        <f t="shared" si="649"/>
        <v>0</v>
      </c>
      <c r="BD1598" s="48">
        <f t="shared" si="645"/>
        <v>1</v>
      </c>
      <c r="BE1598" s="19">
        <v>8</v>
      </c>
      <c r="BF1598" s="229">
        <f t="shared" si="650"/>
        <v>0</v>
      </c>
      <c r="BG1598" s="210">
        <f t="shared" si="646"/>
        <v>1</v>
      </c>
      <c r="BH1598" s="210">
        <f t="shared" si="647"/>
        <v>8</v>
      </c>
      <c r="BI1598" s="213">
        <f t="shared" ref="BI1598:BI1629" si="651">BG1598/BH1598*100</f>
        <v>12.5</v>
      </c>
      <c r="BJ1598" s="141"/>
      <c r="BK1598" s="201"/>
      <c r="BL1598" s="4"/>
      <c r="BM1598" s="4"/>
    </row>
    <row r="1599" spans="1:65" s="38" customFormat="1" ht="18" customHeight="1">
      <c r="A1599" s="114">
        <v>34</v>
      </c>
      <c r="B1599" s="24" t="s">
        <v>868</v>
      </c>
      <c r="C1599" s="25" t="s">
        <v>869</v>
      </c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229">
        <f t="shared" si="648"/>
        <v>0</v>
      </c>
      <c r="AC1599" s="228">
        <f t="shared" si="644"/>
        <v>0</v>
      </c>
      <c r="AD1599" s="19">
        <v>0</v>
      </c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29">
        <f t="shared" si="649"/>
        <v>0</v>
      </c>
      <c r="BD1599" s="48">
        <f t="shared" si="645"/>
        <v>0</v>
      </c>
      <c r="BE1599" s="19">
        <v>1</v>
      </c>
      <c r="BF1599" s="229">
        <f t="shared" si="650"/>
        <v>0</v>
      </c>
      <c r="BG1599" s="210">
        <f t="shared" si="646"/>
        <v>0</v>
      </c>
      <c r="BH1599" s="210">
        <f t="shared" si="647"/>
        <v>1</v>
      </c>
      <c r="BI1599" s="213">
        <f t="shared" si="651"/>
        <v>0</v>
      </c>
      <c r="BJ1599" s="141"/>
      <c r="BK1599" s="201"/>
      <c r="BL1599" s="4"/>
      <c r="BM1599" s="4"/>
    </row>
    <row r="1600" spans="1:65" s="38" customFormat="1" ht="18" customHeight="1">
      <c r="A1600" s="114">
        <v>35</v>
      </c>
      <c r="B1600" s="24" t="s">
        <v>1112</v>
      </c>
      <c r="C1600" s="25" t="s">
        <v>1113</v>
      </c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229">
        <f t="shared" si="648"/>
        <v>0</v>
      </c>
      <c r="AC1600" s="228">
        <f t="shared" si="644"/>
        <v>0</v>
      </c>
      <c r="AD1600" s="19">
        <v>0</v>
      </c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29">
        <f t="shared" si="649"/>
        <v>0</v>
      </c>
      <c r="BD1600" s="48">
        <f t="shared" si="645"/>
        <v>0</v>
      </c>
      <c r="BE1600" s="19">
        <v>1</v>
      </c>
      <c r="BF1600" s="229">
        <f t="shared" si="650"/>
        <v>0</v>
      </c>
      <c r="BG1600" s="210">
        <f t="shared" si="646"/>
        <v>0</v>
      </c>
      <c r="BH1600" s="210">
        <f t="shared" si="647"/>
        <v>1</v>
      </c>
      <c r="BI1600" s="213">
        <f t="shared" si="651"/>
        <v>0</v>
      </c>
      <c r="BJ1600" s="141"/>
      <c r="BK1600" s="201"/>
      <c r="BL1600" s="4"/>
      <c r="BM1600" s="4"/>
    </row>
    <row r="1601" spans="1:65" s="38" customFormat="1" ht="21.95" customHeight="1">
      <c r="A1601" s="114">
        <v>36</v>
      </c>
      <c r="B1601" s="24" t="s">
        <v>626</v>
      </c>
      <c r="C1601" s="25" t="s">
        <v>627</v>
      </c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229">
        <f t="shared" si="648"/>
        <v>0</v>
      </c>
      <c r="AC1601" s="228">
        <f t="shared" si="644"/>
        <v>0</v>
      </c>
      <c r="AD1601" s="19">
        <v>0</v>
      </c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29">
        <f t="shared" si="649"/>
        <v>0</v>
      </c>
      <c r="BD1601" s="48">
        <f t="shared" si="645"/>
        <v>0</v>
      </c>
      <c r="BE1601" s="19">
        <v>1</v>
      </c>
      <c r="BF1601" s="229">
        <f t="shared" si="650"/>
        <v>0</v>
      </c>
      <c r="BG1601" s="210">
        <f t="shared" si="646"/>
        <v>0</v>
      </c>
      <c r="BH1601" s="210">
        <f t="shared" si="647"/>
        <v>1</v>
      </c>
      <c r="BI1601" s="213">
        <f t="shared" si="651"/>
        <v>0</v>
      </c>
      <c r="BJ1601" s="141"/>
      <c r="BK1601" s="201"/>
      <c r="BL1601" s="4"/>
      <c r="BM1601" s="4"/>
    </row>
    <row r="1602" spans="1:65" s="38" customFormat="1" ht="18" customHeight="1">
      <c r="A1602" s="114">
        <v>37</v>
      </c>
      <c r="B1602" s="24" t="s">
        <v>695</v>
      </c>
      <c r="C1602" s="25" t="s">
        <v>1856</v>
      </c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229">
        <f t="shared" si="648"/>
        <v>0</v>
      </c>
      <c r="AC1602" s="228">
        <f t="shared" si="644"/>
        <v>0</v>
      </c>
      <c r="AD1602" s="19">
        <v>0</v>
      </c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29">
        <f t="shared" si="649"/>
        <v>0</v>
      </c>
      <c r="BD1602" s="48">
        <f t="shared" si="645"/>
        <v>0</v>
      </c>
      <c r="BE1602" s="19">
        <v>1</v>
      </c>
      <c r="BF1602" s="229">
        <f t="shared" si="650"/>
        <v>0</v>
      </c>
      <c r="BG1602" s="210">
        <f t="shared" si="646"/>
        <v>0</v>
      </c>
      <c r="BH1602" s="210">
        <f t="shared" si="647"/>
        <v>1</v>
      </c>
      <c r="BI1602" s="213">
        <f t="shared" si="651"/>
        <v>0</v>
      </c>
      <c r="BJ1602" s="141"/>
      <c r="BK1602" s="201"/>
      <c r="BL1602" s="4"/>
      <c r="BM1602" s="4"/>
    </row>
    <row r="1603" spans="1:65" s="38" customFormat="1" ht="18" customHeight="1">
      <c r="A1603" s="114">
        <v>38</v>
      </c>
      <c r="B1603" s="24" t="s">
        <v>628</v>
      </c>
      <c r="C1603" s="25" t="s">
        <v>629</v>
      </c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>
        <v>2</v>
      </c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229">
        <f t="shared" si="648"/>
        <v>0</v>
      </c>
      <c r="AC1603" s="228">
        <f t="shared" si="644"/>
        <v>2</v>
      </c>
      <c r="AD1603" s="19">
        <v>0</v>
      </c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29">
        <f t="shared" si="649"/>
        <v>0</v>
      </c>
      <c r="BD1603" s="48">
        <f t="shared" si="645"/>
        <v>0</v>
      </c>
      <c r="BE1603" s="19">
        <v>1</v>
      </c>
      <c r="BF1603" s="229">
        <f t="shared" si="650"/>
        <v>0</v>
      </c>
      <c r="BG1603" s="210">
        <f t="shared" si="646"/>
        <v>2</v>
      </c>
      <c r="BH1603" s="210">
        <f t="shared" si="647"/>
        <v>1</v>
      </c>
      <c r="BI1603" s="213">
        <f t="shared" si="651"/>
        <v>200</v>
      </c>
      <c r="BJ1603" s="141"/>
      <c r="BK1603" s="201"/>
      <c r="BL1603" s="4"/>
      <c r="BM1603" s="4"/>
    </row>
    <row r="1604" spans="1:65" s="38" customFormat="1" ht="18" customHeight="1">
      <c r="A1604" s="114">
        <v>39</v>
      </c>
      <c r="B1604" s="24" t="s">
        <v>829</v>
      </c>
      <c r="C1604" s="25" t="s">
        <v>830</v>
      </c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229">
        <f t="shared" si="648"/>
        <v>0</v>
      </c>
      <c r="AC1604" s="228">
        <f t="shared" ref="AC1604:AC1636" si="652">E1604+G1604+I1604+K1604+M1604+O1604+Q1604+S1604+U1604+W1604+Y1604+AA1604</f>
        <v>0</v>
      </c>
      <c r="AD1604" s="19">
        <v>0</v>
      </c>
      <c r="AE1604" s="28"/>
      <c r="AF1604" s="28"/>
      <c r="AG1604" s="28"/>
      <c r="AH1604" s="28"/>
      <c r="AI1604" s="28"/>
      <c r="AJ1604" s="28">
        <v>1</v>
      </c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29">
        <f t="shared" si="649"/>
        <v>0</v>
      </c>
      <c r="BD1604" s="48">
        <f t="shared" ref="BD1604:BD1636" si="653">AF1604+AH1604+AJ1604+AL1604+AN1604+AP1604+AR1604+AT1604+AV1604+AX1604+AZ1604+BB1604</f>
        <v>1</v>
      </c>
      <c r="BE1604" s="19">
        <v>8</v>
      </c>
      <c r="BF1604" s="229">
        <f t="shared" si="650"/>
        <v>0</v>
      </c>
      <c r="BG1604" s="210">
        <f t="shared" ref="BG1604:BG1636" si="654">AC1604+BD1604</f>
        <v>1</v>
      </c>
      <c r="BH1604" s="210">
        <f t="shared" ref="BH1604:BH1636" si="655">AD1604+BE1604</f>
        <v>8</v>
      </c>
      <c r="BI1604" s="213">
        <f t="shared" si="651"/>
        <v>12.5</v>
      </c>
      <c r="BJ1604" s="141"/>
      <c r="BK1604" s="201"/>
      <c r="BL1604" s="4"/>
      <c r="BM1604" s="4"/>
    </row>
    <row r="1605" spans="1:65" s="38" customFormat="1" ht="18" customHeight="1">
      <c r="A1605" s="114">
        <v>40</v>
      </c>
      <c r="B1605" s="24" t="s">
        <v>1723</v>
      </c>
      <c r="C1605" s="25" t="s">
        <v>1423</v>
      </c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229">
        <f t="shared" ref="AB1605:AB1637" si="656">D1605+F1605+H1605+J1605+L1605+N1605+P1605+R1605+T1605+V1605+X1605+Z1605</f>
        <v>0</v>
      </c>
      <c r="AC1605" s="228">
        <f t="shared" si="652"/>
        <v>0</v>
      </c>
      <c r="AD1605" s="19">
        <v>0</v>
      </c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29">
        <f t="shared" ref="BC1605:BC1637" si="657">AE1605+AG1605+AI1605+AK1605+AM1605+AO1605+AQ1605+AS1605+AU1605+AW1605+AY1605+BA1605</f>
        <v>0</v>
      </c>
      <c r="BD1605" s="48">
        <f t="shared" si="653"/>
        <v>0</v>
      </c>
      <c r="BE1605" s="19">
        <v>3</v>
      </c>
      <c r="BF1605" s="229">
        <f t="shared" ref="BF1605:BF1637" si="658">AB1605+BC1605</f>
        <v>0</v>
      </c>
      <c r="BG1605" s="210">
        <f t="shared" si="654"/>
        <v>0</v>
      </c>
      <c r="BH1605" s="210">
        <f t="shared" si="655"/>
        <v>3</v>
      </c>
      <c r="BI1605" s="213">
        <f t="shared" si="651"/>
        <v>0</v>
      </c>
      <c r="BJ1605" s="141"/>
      <c r="BK1605" s="201"/>
      <c r="BL1605" s="4"/>
      <c r="BM1605" s="4"/>
    </row>
    <row r="1606" spans="1:65" s="38" customFormat="1" ht="18" customHeight="1">
      <c r="A1606" s="114">
        <v>41</v>
      </c>
      <c r="B1606" s="24" t="s">
        <v>630</v>
      </c>
      <c r="C1606" s="25" t="s">
        <v>631</v>
      </c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229">
        <f t="shared" si="656"/>
        <v>0</v>
      </c>
      <c r="AC1606" s="228">
        <f t="shared" si="652"/>
        <v>0</v>
      </c>
      <c r="AD1606" s="19">
        <v>0</v>
      </c>
      <c r="AE1606" s="28"/>
      <c r="AF1606" s="28"/>
      <c r="AG1606" s="28"/>
      <c r="AH1606" s="28"/>
      <c r="AI1606" s="28"/>
      <c r="AJ1606" s="28">
        <f>4+3</f>
        <v>7</v>
      </c>
      <c r="AK1606" s="28"/>
      <c r="AL1606" s="28"/>
      <c r="AM1606" s="28"/>
      <c r="AN1606" s="28"/>
      <c r="AO1606" s="28"/>
      <c r="AP1606" s="28">
        <v>4</v>
      </c>
      <c r="AQ1606" s="28"/>
      <c r="AR1606" s="28"/>
      <c r="AS1606" s="28"/>
      <c r="AT1606" s="28"/>
      <c r="AU1606" s="28"/>
      <c r="AV1606" s="28">
        <v>8</v>
      </c>
      <c r="AW1606" s="28"/>
      <c r="AX1606" s="28"/>
      <c r="AY1606" s="28"/>
      <c r="AZ1606" s="28"/>
      <c r="BA1606" s="28"/>
      <c r="BB1606" s="28">
        <f>4+3</f>
        <v>7</v>
      </c>
      <c r="BC1606" s="229">
        <f t="shared" si="657"/>
        <v>0</v>
      </c>
      <c r="BD1606" s="48">
        <f t="shared" si="653"/>
        <v>26</v>
      </c>
      <c r="BE1606" s="19">
        <v>42</v>
      </c>
      <c r="BF1606" s="229">
        <f t="shared" si="658"/>
        <v>0</v>
      </c>
      <c r="BG1606" s="210">
        <f t="shared" si="654"/>
        <v>26</v>
      </c>
      <c r="BH1606" s="210">
        <f t="shared" si="655"/>
        <v>42</v>
      </c>
      <c r="BI1606" s="213">
        <f t="shared" si="651"/>
        <v>61.904761904761905</v>
      </c>
      <c r="BJ1606" s="141"/>
      <c r="BK1606" s="201"/>
      <c r="BL1606" s="4"/>
      <c r="BM1606" s="4"/>
    </row>
    <row r="1607" spans="1:65" s="38" customFormat="1" ht="18" customHeight="1">
      <c r="A1607" s="114">
        <v>42</v>
      </c>
      <c r="B1607" s="24" t="s">
        <v>770</v>
      </c>
      <c r="C1607" s="25" t="s">
        <v>771</v>
      </c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229">
        <f t="shared" si="656"/>
        <v>0</v>
      </c>
      <c r="AC1607" s="228">
        <f t="shared" si="652"/>
        <v>0</v>
      </c>
      <c r="AD1607" s="19">
        <v>0</v>
      </c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>
        <v>230</v>
      </c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29">
        <f t="shared" si="657"/>
        <v>0</v>
      </c>
      <c r="BD1607" s="48">
        <f t="shared" si="653"/>
        <v>230</v>
      </c>
      <c r="BE1607" s="19">
        <v>7</v>
      </c>
      <c r="BF1607" s="229">
        <f t="shared" si="658"/>
        <v>0</v>
      </c>
      <c r="BG1607" s="210">
        <f t="shared" si="654"/>
        <v>230</v>
      </c>
      <c r="BH1607" s="210">
        <f t="shared" si="655"/>
        <v>7</v>
      </c>
      <c r="BI1607" s="213">
        <f t="shared" si="651"/>
        <v>3285.7142857142853</v>
      </c>
      <c r="BJ1607" s="141"/>
      <c r="BK1607" s="201"/>
      <c r="BL1607" s="4"/>
      <c r="BM1607" s="4"/>
    </row>
    <row r="1608" spans="1:65" s="38" customFormat="1" ht="18" customHeight="1">
      <c r="A1608" s="114">
        <v>43</v>
      </c>
      <c r="B1608" s="24" t="s">
        <v>1009</v>
      </c>
      <c r="C1608" s="183" t="s">
        <v>2423</v>
      </c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229">
        <f t="shared" si="656"/>
        <v>0</v>
      </c>
      <c r="AC1608" s="228">
        <f t="shared" si="652"/>
        <v>0</v>
      </c>
      <c r="AD1608" s="19">
        <v>0</v>
      </c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29">
        <f t="shared" si="657"/>
        <v>0</v>
      </c>
      <c r="BD1608" s="48">
        <f t="shared" si="653"/>
        <v>0</v>
      </c>
      <c r="BE1608" s="19">
        <v>1</v>
      </c>
      <c r="BF1608" s="229">
        <f t="shared" si="658"/>
        <v>0</v>
      </c>
      <c r="BG1608" s="210">
        <f t="shared" si="654"/>
        <v>0</v>
      </c>
      <c r="BH1608" s="210">
        <f t="shared" si="655"/>
        <v>1</v>
      </c>
      <c r="BI1608" s="213">
        <f t="shared" si="651"/>
        <v>0</v>
      </c>
      <c r="BJ1608" s="141"/>
      <c r="BK1608" s="201"/>
      <c r="BL1608" s="4"/>
      <c r="BM1608" s="4"/>
    </row>
    <row r="1609" spans="1:65" s="38" customFormat="1" ht="18" customHeight="1">
      <c r="A1609" s="114">
        <v>44</v>
      </c>
      <c r="B1609" s="24" t="s">
        <v>1181</v>
      </c>
      <c r="C1609" s="25" t="s">
        <v>1417</v>
      </c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229">
        <f t="shared" si="656"/>
        <v>0</v>
      </c>
      <c r="AC1609" s="228">
        <f t="shared" si="652"/>
        <v>0</v>
      </c>
      <c r="AD1609" s="19">
        <v>0</v>
      </c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>
        <v>1</v>
      </c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29">
        <f t="shared" si="657"/>
        <v>0</v>
      </c>
      <c r="BD1609" s="48">
        <f t="shared" si="653"/>
        <v>1</v>
      </c>
      <c r="BE1609" s="19">
        <v>3</v>
      </c>
      <c r="BF1609" s="229">
        <f t="shared" si="658"/>
        <v>0</v>
      </c>
      <c r="BG1609" s="210">
        <f t="shared" si="654"/>
        <v>1</v>
      </c>
      <c r="BH1609" s="210">
        <f t="shared" si="655"/>
        <v>3</v>
      </c>
      <c r="BI1609" s="213">
        <f t="shared" si="651"/>
        <v>33.333333333333329</v>
      </c>
      <c r="BJ1609" s="141"/>
      <c r="BK1609" s="201"/>
      <c r="BL1609" s="4"/>
      <c r="BM1609" s="4"/>
    </row>
    <row r="1610" spans="1:65" s="38" customFormat="1" ht="18" customHeight="1">
      <c r="A1610" s="114">
        <v>45</v>
      </c>
      <c r="B1610" s="24" t="s">
        <v>632</v>
      </c>
      <c r="C1610" s="25" t="s">
        <v>633</v>
      </c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229">
        <f t="shared" si="656"/>
        <v>0</v>
      </c>
      <c r="AC1610" s="228">
        <f t="shared" si="652"/>
        <v>0</v>
      </c>
      <c r="AD1610" s="19">
        <v>0</v>
      </c>
      <c r="AE1610" s="28"/>
      <c r="AF1610" s="28"/>
      <c r="AG1610" s="28"/>
      <c r="AH1610" s="28"/>
      <c r="AI1610" s="28"/>
      <c r="AJ1610" s="28">
        <f>9+29</f>
        <v>38</v>
      </c>
      <c r="AK1610" s="28"/>
      <c r="AL1610" s="28"/>
      <c r="AM1610" s="28"/>
      <c r="AN1610" s="28"/>
      <c r="AO1610" s="28"/>
      <c r="AP1610" s="28">
        <f>1+21</f>
        <v>22</v>
      </c>
      <c r="AQ1610" s="28"/>
      <c r="AR1610" s="28"/>
      <c r="AS1610" s="28"/>
      <c r="AT1610" s="28"/>
      <c r="AU1610" s="28"/>
      <c r="AV1610" s="28">
        <f>1+44</f>
        <v>45</v>
      </c>
      <c r="AW1610" s="28"/>
      <c r="AX1610" s="28"/>
      <c r="AY1610" s="28"/>
      <c r="AZ1610" s="28"/>
      <c r="BA1610" s="28"/>
      <c r="BB1610" s="28">
        <f>9+28</f>
        <v>37</v>
      </c>
      <c r="BC1610" s="229">
        <f t="shared" si="657"/>
        <v>0</v>
      </c>
      <c r="BD1610" s="48">
        <f t="shared" si="653"/>
        <v>142</v>
      </c>
      <c r="BE1610" s="19">
        <v>298</v>
      </c>
      <c r="BF1610" s="229">
        <f t="shared" si="658"/>
        <v>0</v>
      </c>
      <c r="BG1610" s="210">
        <f t="shared" si="654"/>
        <v>142</v>
      </c>
      <c r="BH1610" s="210">
        <f t="shared" si="655"/>
        <v>298</v>
      </c>
      <c r="BI1610" s="213">
        <f t="shared" si="651"/>
        <v>47.651006711409394</v>
      </c>
      <c r="BJ1610" s="141"/>
      <c r="BK1610" s="201"/>
      <c r="BL1610" s="4"/>
      <c r="BM1610" s="4"/>
    </row>
    <row r="1611" spans="1:65" s="38" customFormat="1" ht="18" customHeight="1">
      <c r="A1611" s="114">
        <v>46</v>
      </c>
      <c r="B1611" s="24" t="s">
        <v>634</v>
      </c>
      <c r="C1611" s="25" t="s">
        <v>696</v>
      </c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>
        <v>1</v>
      </c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229">
        <f t="shared" si="656"/>
        <v>0</v>
      </c>
      <c r="AC1611" s="228">
        <f t="shared" si="652"/>
        <v>1</v>
      </c>
      <c r="AD1611" s="19">
        <v>4</v>
      </c>
      <c r="AE1611" s="28"/>
      <c r="AF1611" s="28"/>
      <c r="AG1611" s="28"/>
      <c r="AH1611" s="28"/>
      <c r="AI1611" s="28"/>
      <c r="AJ1611" s="28">
        <f>9+60+12+7</f>
        <v>88</v>
      </c>
      <c r="AK1611" s="28"/>
      <c r="AL1611" s="28"/>
      <c r="AM1611" s="28"/>
      <c r="AN1611" s="28"/>
      <c r="AO1611" s="28"/>
      <c r="AP1611" s="28">
        <f>4+64+1+6</f>
        <v>75</v>
      </c>
      <c r="AQ1611" s="28"/>
      <c r="AR1611" s="28"/>
      <c r="AS1611" s="28"/>
      <c r="AT1611" s="28"/>
      <c r="AU1611" s="28"/>
      <c r="AV1611" s="28">
        <f>5+69+12+3</f>
        <v>89</v>
      </c>
      <c r="AW1611" s="28"/>
      <c r="AX1611" s="28"/>
      <c r="AY1611" s="28"/>
      <c r="AZ1611" s="28"/>
      <c r="BA1611" s="28"/>
      <c r="BB1611" s="28">
        <f>26+30+4+10</f>
        <v>70</v>
      </c>
      <c r="BC1611" s="229">
        <f t="shared" si="657"/>
        <v>0</v>
      </c>
      <c r="BD1611" s="48">
        <f t="shared" si="653"/>
        <v>322</v>
      </c>
      <c r="BE1611" s="19">
        <v>548</v>
      </c>
      <c r="BF1611" s="229">
        <f t="shared" si="658"/>
        <v>0</v>
      </c>
      <c r="BG1611" s="210">
        <f t="shared" si="654"/>
        <v>323</v>
      </c>
      <c r="BH1611" s="210">
        <f t="shared" si="655"/>
        <v>552</v>
      </c>
      <c r="BI1611" s="213">
        <f t="shared" si="651"/>
        <v>58.514492753623195</v>
      </c>
      <c r="BJ1611" s="141"/>
      <c r="BK1611" s="201"/>
      <c r="BL1611" s="4"/>
      <c r="BM1611" s="4"/>
    </row>
    <row r="1612" spans="1:65" s="38" customFormat="1" ht="18" customHeight="1">
      <c r="A1612" s="114">
        <v>47</v>
      </c>
      <c r="B1612" s="24" t="s">
        <v>636</v>
      </c>
      <c r="C1612" s="25" t="s">
        <v>637</v>
      </c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229">
        <f t="shared" si="656"/>
        <v>0</v>
      </c>
      <c r="AC1612" s="228">
        <f t="shared" si="652"/>
        <v>0</v>
      </c>
      <c r="AD1612" s="19">
        <v>0</v>
      </c>
      <c r="AE1612" s="28"/>
      <c r="AF1612" s="28"/>
      <c r="AG1612" s="28"/>
      <c r="AH1612" s="28"/>
      <c r="AI1612" s="28"/>
      <c r="AJ1612" s="28">
        <v>3</v>
      </c>
      <c r="AK1612" s="28"/>
      <c r="AL1612" s="28"/>
      <c r="AM1612" s="28"/>
      <c r="AN1612" s="28"/>
      <c r="AO1612" s="28"/>
      <c r="AP1612" s="28">
        <v>6</v>
      </c>
      <c r="AQ1612" s="28"/>
      <c r="AR1612" s="28"/>
      <c r="AS1612" s="28"/>
      <c r="AT1612" s="28"/>
      <c r="AU1612" s="28"/>
      <c r="AV1612" s="28">
        <f>1+7+1</f>
        <v>9</v>
      </c>
      <c r="AW1612" s="28"/>
      <c r="AX1612" s="28"/>
      <c r="AY1612" s="28"/>
      <c r="AZ1612" s="28"/>
      <c r="BA1612" s="28"/>
      <c r="BB1612" s="28">
        <f>7+1</f>
        <v>8</v>
      </c>
      <c r="BC1612" s="229">
        <f t="shared" si="657"/>
        <v>0</v>
      </c>
      <c r="BD1612" s="48">
        <f t="shared" si="653"/>
        <v>26</v>
      </c>
      <c r="BE1612" s="19">
        <v>28</v>
      </c>
      <c r="BF1612" s="229">
        <f t="shared" si="658"/>
        <v>0</v>
      </c>
      <c r="BG1612" s="210">
        <f t="shared" si="654"/>
        <v>26</v>
      </c>
      <c r="BH1612" s="210">
        <f t="shared" si="655"/>
        <v>28</v>
      </c>
      <c r="BI1612" s="213">
        <f t="shared" si="651"/>
        <v>92.857142857142861</v>
      </c>
      <c r="BJ1612" s="141"/>
      <c r="BK1612" s="201"/>
      <c r="BL1612" s="4"/>
      <c r="BM1612" s="4"/>
    </row>
    <row r="1613" spans="1:65" s="38" customFormat="1" ht="18" customHeight="1">
      <c r="A1613" s="114">
        <v>48</v>
      </c>
      <c r="B1613" s="24" t="s">
        <v>643</v>
      </c>
      <c r="C1613" s="25" t="s">
        <v>722</v>
      </c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229">
        <f t="shared" si="656"/>
        <v>0</v>
      </c>
      <c r="AC1613" s="228">
        <f t="shared" si="652"/>
        <v>0</v>
      </c>
      <c r="AD1613" s="19">
        <v>0</v>
      </c>
      <c r="AE1613" s="28"/>
      <c r="AF1613" s="28"/>
      <c r="AG1613" s="28"/>
      <c r="AH1613" s="28"/>
      <c r="AI1613" s="28"/>
      <c r="AJ1613" s="28">
        <v>41</v>
      </c>
      <c r="AK1613" s="28"/>
      <c r="AL1613" s="28"/>
      <c r="AM1613" s="28"/>
      <c r="AN1613" s="28"/>
      <c r="AO1613" s="28"/>
      <c r="AP1613" s="28">
        <v>54</v>
      </c>
      <c r="AQ1613" s="28"/>
      <c r="AR1613" s="28"/>
      <c r="AS1613" s="28"/>
      <c r="AT1613" s="28"/>
      <c r="AU1613" s="28"/>
      <c r="AV1613" s="28">
        <v>52</v>
      </c>
      <c r="AW1613" s="28"/>
      <c r="AX1613" s="28"/>
      <c r="AY1613" s="28"/>
      <c r="AZ1613" s="28"/>
      <c r="BA1613" s="28"/>
      <c r="BB1613" s="28">
        <v>29</v>
      </c>
      <c r="BC1613" s="229">
        <f t="shared" si="657"/>
        <v>0</v>
      </c>
      <c r="BD1613" s="48">
        <f t="shared" si="653"/>
        <v>176</v>
      </c>
      <c r="BE1613" s="19">
        <v>310</v>
      </c>
      <c r="BF1613" s="229">
        <f t="shared" si="658"/>
        <v>0</v>
      </c>
      <c r="BG1613" s="210">
        <f t="shared" si="654"/>
        <v>176</v>
      </c>
      <c r="BH1613" s="210">
        <f t="shared" si="655"/>
        <v>310</v>
      </c>
      <c r="BI1613" s="213">
        <f t="shared" si="651"/>
        <v>56.774193548387096</v>
      </c>
      <c r="BJ1613" s="141"/>
      <c r="BK1613" s="201"/>
      <c r="BL1613" s="4"/>
      <c r="BM1613" s="4"/>
    </row>
    <row r="1614" spans="1:65" s="38" customFormat="1" ht="18" customHeight="1">
      <c r="A1614" s="114">
        <v>49</v>
      </c>
      <c r="B1614" s="24" t="s">
        <v>773</v>
      </c>
      <c r="C1614" s="25" t="s">
        <v>1159</v>
      </c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229">
        <f t="shared" si="656"/>
        <v>0</v>
      </c>
      <c r="AC1614" s="228">
        <f t="shared" si="652"/>
        <v>0</v>
      </c>
      <c r="AD1614" s="19">
        <v>0</v>
      </c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29">
        <f t="shared" si="657"/>
        <v>0</v>
      </c>
      <c r="BD1614" s="48">
        <f t="shared" si="653"/>
        <v>0</v>
      </c>
      <c r="BE1614" s="19">
        <v>3</v>
      </c>
      <c r="BF1614" s="229">
        <f t="shared" si="658"/>
        <v>0</v>
      </c>
      <c r="BG1614" s="210">
        <f t="shared" si="654"/>
        <v>0</v>
      </c>
      <c r="BH1614" s="210">
        <f t="shared" si="655"/>
        <v>3</v>
      </c>
      <c r="BI1614" s="213">
        <f t="shared" si="651"/>
        <v>0</v>
      </c>
      <c r="BJ1614" s="141"/>
      <c r="BK1614" s="201"/>
      <c r="BL1614" s="4"/>
      <c r="BM1614" s="4"/>
    </row>
    <row r="1615" spans="1:65" s="38" customFormat="1" ht="18" customHeight="1">
      <c r="A1615" s="114">
        <v>50</v>
      </c>
      <c r="B1615" s="24" t="s">
        <v>644</v>
      </c>
      <c r="C1615" s="25" t="s">
        <v>645</v>
      </c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229">
        <f t="shared" si="656"/>
        <v>0</v>
      </c>
      <c r="AC1615" s="228">
        <f t="shared" si="652"/>
        <v>0</v>
      </c>
      <c r="AD1615" s="19">
        <v>1</v>
      </c>
      <c r="AE1615" s="28"/>
      <c r="AF1615" s="28"/>
      <c r="AG1615" s="28"/>
      <c r="AH1615" s="28"/>
      <c r="AI1615" s="28"/>
      <c r="AJ1615" s="28">
        <f>59+3</f>
        <v>62</v>
      </c>
      <c r="AK1615" s="28"/>
      <c r="AL1615" s="28"/>
      <c r="AM1615" s="28"/>
      <c r="AN1615" s="28"/>
      <c r="AO1615" s="28"/>
      <c r="AP1615" s="28">
        <f>28+3</f>
        <v>31</v>
      </c>
      <c r="AQ1615" s="28"/>
      <c r="AR1615" s="28"/>
      <c r="AS1615" s="28"/>
      <c r="AT1615" s="28"/>
      <c r="AU1615" s="28"/>
      <c r="AV1615" s="28">
        <f>17+9</f>
        <v>26</v>
      </c>
      <c r="AW1615" s="28"/>
      <c r="AX1615" s="28"/>
      <c r="AY1615" s="28"/>
      <c r="AZ1615" s="28"/>
      <c r="BA1615" s="28"/>
      <c r="BB1615" s="28">
        <v>4</v>
      </c>
      <c r="BC1615" s="229">
        <f t="shared" si="657"/>
        <v>0</v>
      </c>
      <c r="BD1615" s="48">
        <f t="shared" si="653"/>
        <v>123</v>
      </c>
      <c r="BE1615" s="19">
        <v>254</v>
      </c>
      <c r="BF1615" s="229">
        <f t="shared" si="658"/>
        <v>0</v>
      </c>
      <c r="BG1615" s="210">
        <f t="shared" si="654"/>
        <v>123</v>
      </c>
      <c r="BH1615" s="210">
        <f t="shared" si="655"/>
        <v>255</v>
      </c>
      <c r="BI1615" s="213">
        <f t="shared" si="651"/>
        <v>48.235294117647058</v>
      </c>
      <c r="BJ1615" s="141"/>
      <c r="BK1615" s="201"/>
      <c r="BL1615" s="4"/>
      <c r="BM1615" s="4"/>
    </row>
    <row r="1616" spans="1:65" s="38" customFormat="1" ht="18" customHeight="1">
      <c r="A1616" s="114">
        <v>51</v>
      </c>
      <c r="B1616" s="24" t="s">
        <v>698</v>
      </c>
      <c r="C1616" s="25" t="s">
        <v>699</v>
      </c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229">
        <f t="shared" si="656"/>
        <v>0</v>
      </c>
      <c r="AC1616" s="228">
        <f t="shared" si="652"/>
        <v>0</v>
      </c>
      <c r="AD1616" s="19">
        <v>0</v>
      </c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29">
        <f t="shared" si="657"/>
        <v>0</v>
      </c>
      <c r="BD1616" s="48">
        <f t="shared" si="653"/>
        <v>0</v>
      </c>
      <c r="BE1616" s="19">
        <v>3</v>
      </c>
      <c r="BF1616" s="229">
        <f t="shared" si="658"/>
        <v>0</v>
      </c>
      <c r="BG1616" s="210">
        <f t="shared" si="654"/>
        <v>0</v>
      </c>
      <c r="BH1616" s="210">
        <f t="shared" si="655"/>
        <v>3</v>
      </c>
      <c r="BI1616" s="213">
        <f t="shared" si="651"/>
        <v>0</v>
      </c>
      <c r="BJ1616" s="141"/>
      <c r="BK1616" s="201"/>
      <c r="BL1616" s="4"/>
      <c r="BM1616" s="4"/>
    </row>
    <row r="1617" spans="1:65" s="38" customFormat="1" ht="18" customHeight="1">
      <c r="A1617" s="114">
        <v>52</v>
      </c>
      <c r="B1617" s="24" t="s">
        <v>892</v>
      </c>
      <c r="C1617" s="25" t="s">
        <v>893</v>
      </c>
      <c r="D1617" s="121"/>
      <c r="E1617" s="121"/>
      <c r="F1617" s="121"/>
      <c r="G1617" s="121"/>
      <c r="H1617" s="121"/>
      <c r="I1617" s="121">
        <v>3</v>
      </c>
      <c r="J1617" s="121"/>
      <c r="K1617" s="121"/>
      <c r="L1617" s="121"/>
      <c r="M1617" s="121"/>
      <c r="N1617" s="121"/>
      <c r="O1617" s="121">
        <v>3</v>
      </c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>
        <v>1</v>
      </c>
      <c r="AB1617" s="229">
        <f t="shared" si="656"/>
        <v>0</v>
      </c>
      <c r="AC1617" s="228">
        <f t="shared" si="652"/>
        <v>7</v>
      </c>
      <c r="AD1617" s="19">
        <v>64</v>
      </c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>
        <v>1</v>
      </c>
      <c r="AW1617" s="28"/>
      <c r="AX1617" s="28"/>
      <c r="AY1617" s="28"/>
      <c r="AZ1617" s="28"/>
      <c r="BA1617" s="28"/>
      <c r="BB1617" s="28">
        <v>1</v>
      </c>
      <c r="BC1617" s="229">
        <f t="shared" si="657"/>
        <v>0</v>
      </c>
      <c r="BD1617" s="48">
        <f t="shared" si="653"/>
        <v>2</v>
      </c>
      <c r="BE1617" s="19">
        <v>6</v>
      </c>
      <c r="BF1617" s="229">
        <f t="shared" si="658"/>
        <v>0</v>
      </c>
      <c r="BG1617" s="210">
        <f t="shared" si="654"/>
        <v>9</v>
      </c>
      <c r="BH1617" s="210">
        <f t="shared" si="655"/>
        <v>70</v>
      </c>
      <c r="BI1617" s="213">
        <f t="shared" si="651"/>
        <v>12.857142857142856</v>
      </c>
      <c r="BJ1617" s="141"/>
      <c r="BK1617" s="201"/>
      <c r="BL1617" s="4"/>
      <c r="BM1617" s="4"/>
    </row>
    <row r="1618" spans="1:65" s="38" customFormat="1" ht="18" customHeight="1">
      <c r="A1618" s="114">
        <v>53</v>
      </c>
      <c r="B1618" s="24" t="s">
        <v>650</v>
      </c>
      <c r="C1618" s="25" t="s">
        <v>2445</v>
      </c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229">
        <f t="shared" si="656"/>
        <v>0</v>
      </c>
      <c r="AC1618" s="228">
        <f t="shared" si="652"/>
        <v>0</v>
      </c>
      <c r="AD1618" s="19">
        <v>0</v>
      </c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>
        <v>3</v>
      </c>
      <c r="AQ1618" s="28"/>
      <c r="AR1618" s="28"/>
      <c r="AS1618" s="28"/>
      <c r="AT1618" s="28"/>
      <c r="AU1618" s="28"/>
      <c r="AV1618" s="28">
        <v>2</v>
      </c>
      <c r="AW1618" s="28"/>
      <c r="AX1618" s="28"/>
      <c r="AY1618" s="28"/>
      <c r="AZ1618" s="28"/>
      <c r="BA1618" s="28"/>
      <c r="BB1618" s="28">
        <v>1</v>
      </c>
      <c r="BC1618" s="229">
        <f t="shared" si="657"/>
        <v>0</v>
      </c>
      <c r="BD1618" s="48">
        <f t="shared" si="653"/>
        <v>6</v>
      </c>
      <c r="BE1618" s="19">
        <f>5+1</f>
        <v>6</v>
      </c>
      <c r="BF1618" s="229">
        <f t="shared" si="658"/>
        <v>0</v>
      </c>
      <c r="BG1618" s="210">
        <f t="shared" si="654"/>
        <v>6</v>
      </c>
      <c r="BH1618" s="210">
        <f t="shared" si="655"/>
        <v>6</v>
      </c>
      <c r="BI1618" s="213">
        <f t="shared" si="651"/>
        <v>100</v>
      </c>
      <c r="BJ1618" s="141"/>
      <c r="BK1618" s="201"/>
      <c r="BL1618" s="4"/>
      <c r="BM1618" s="4"/>
    </row>
    <row r="1619" spans="1:65" s="38" customFormat="1" ht="23.25" customHeight="1">
      <c r="A1619" s="114">
        <v>54</v>
      </c>
      <c r="B1619" s="24" t="s">
        <v>701</v>
      </c>
      <c r="C1619" s="27" t="s">
        <v>2444</v>
      </c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229">
        <f t="shared" si="656"/>
        <v>0</v>
      </c>
      <c r="AC1619" s="228">
        <f t="shared" si="652"/>
        <v>0</v>
      </c>
      <c r="AD1619" s="19">
        <v>0</v>
      </c>
      <c r="AE1619" s="28"/>
      <c r="AF1619" s="28"/>
      <c r="AG1619" s="28"/>
      <c r="AH1619" s="28"/>
      <c r="AI1619" s="28"/>
      <c r="AJ1619" s="28">
        <v>1</v>
      </c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29">
        <f t="shared" si="657"/>
        <v>0</v>
      </c>
      <c r="BD1619" s="48">
        <f t="shared" si="653"/>
        <v>1</v>
      </c>
      <c r="BE1619" s="19">
        <v>7</v>
      </c>
      <c r="BF1619" s="229">
        <f t="shared" si="658"/>
        <v>0</v>
      </c>
      <c r="BG1619" s="210">
        <f t="shared" si="654"/>
        <v>1</v>
      </c>
      <c r="BH1619" s="210">
        <f t="shared" si="655"/>
        <v>7</v>
      </c>
      <c r="BI1619" s="213">
        <f t="shared" si="651"/>
        <v>14.285714285714285</v>
      </c>
      <c r="BJ1619" s="141"/>
      <c r="BK1619" s="201"/>
      <c r="BL1619" s="4"/>
      <c r="BM1619" s="4"/>
    </row>
    <row r="1620" spans="1:65" s="38" customFormat="1" ht="18" customHeight="1">
      <c r="A1620" s="114">
        <v>55</v>
      </c>
      <c r="B1620" s="24" t="s">
        <v>702</v>
      </c>
      <c r="C1620" s="25" t="s">
        <v>2443</v>
      </c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229">
        <f t="shared" si="656"/>
        <v>0</v>
      </c>
      <c r="AC1620" s="228">
        <f t="shared" si="652"/>
        <v>0</v>
      </c>
      <c r="AD1620" s="19">
        <v>0</v>
      </c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>
        <v>1</v>
      </c>
      <c r="AQ1620" s="28"/>
      <c r="AR1620" s="28"/>
      <c r="AS1620" s="28"/>
      <c r="AT1620" s="28"/>
      <c r="AU1620" s="28"/>
      <c r="AV1620" s="28">
        <v>1</v>
      </c>
      <c r="AW1620" s="28"/>
      <c r="AX1620" s="28"/>
      <c r="AY1620" s="28"/>
      <c r="AZ1620" s="28"/>
      <c r="BA1620" s="28"/>
      <c r="BB1620" s="28">
        <v>1</v>
      </c>
      <c r="BC1620" s="229">
        <f t="shared" si="657"/>
        <v>0</v>
      </c>
      <c r="BD1620" s="48">
        <f t="shared" si="653"/>
        <v>3</v>
      </c>
      <c r="BE1620" s="19">
        <v>7</v>
      </c>
      <c r="BF1620" s="229">
        <f t="shared" si="658"/>
        <v>0</v>
      </c>
      <c r="BG1620" s="210">
        <f t="shared" si="654"/>
        <v>3</v>
      </c>
      <c r="BH1620" s="210">
        <f t="shared" si="655"/>
        <v>7</v>
      </c>
      <c r="BI1620" s="213">
        <f t="shared" si="651"/>
        <v>42.857142857142854</v>
      </c>
      <c r="BJ1620" s="141"/>
      <c r="BK1620" s="201"/>
      <c r="BL1620" s="4"/>
      <c r="BM1620" s="4"/>
    </row>
    <row r="1621" spans="1:65" s="38" customFormat="1" ht="18" customHeight="1">
      <c r="A1621" s="114">
        <v>56</v>
      </c>
      <c r="B1621" s="24" t="s">
        <v>651</v>
      </c>
      <c r="C1621" s="25" t="s">
        <v>1453</v>
      </c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229">
        <f t="shared" si="656"/>
        <v>0</v>
      </c>
      <c r="AC1621" s="228">
        <f t="shared" si="652"/>
        <v>0</v>
      </c>
      <c r="AD1621" s="19">
        <v>0</v>
      </c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29">
        <f t="shared" si="657"/>
        <v>0</v>
      </c>
      <c r="BD1621" s="48">
        <f t="shared" si="653"/>
        <v>0</v>
      </c>
      <c r="BE1621" s="19">
        <v>1</v>
      </c>
      <c r="BF1621" s="229">
        <f t="shared" si="658"/>
        <v>0</v>
      </c>
      <c r="BG1621" s="210">
        <f t="shared" si="654"/>
        <v>0</v>
      </c>
      <c r="BH1621" s="210">
        <f t="shared" si="655"/>
        <v>1</v>
      </c>
      <c r="BI1621" s="213">
        <f t="shared" si="651"/>
        <v>0</v>
      </c>
      <c r="BJ1621" s="141"/>
      <c r="BK1621" s="201"/>
      <c r="BL1621" s="4"/>
      <c r="BM1621" s="4"/>
    </row>
    <row r="1622" spans="1:65" s="38" customFormat="1" ht="18" customHeight="1">
      <c r="A1622" s="114">
        <v>57</v>
      </c>
      <c r="B1622" s="24" t="s">
        <v>814</v>
      </c>
      <c r="C1622" s="25" t="s">
        <v>815</v>
      </c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229">
        <f t="shared" si="656"/>
        <v>0</v>
      </c>
      <c r="AC1622" s="228">
        <f t="shared" si="652"/>
        <v>0</v>
      </c>
      <c r="AD1622" s="19">
        <v>0</v>
      </c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29">
        <f t="shared" si="657"/>
        <v>0</v>
      </c>
      <c r="BD1622" s="48">
        <f t="shared" si="653"/>
        <v>0</v>
      </c>
      <c r="BE1622" s="19">
        <v>1</v>
      </c>
      <c r="BF1622" s="229">
        <f t="shared" si="658"/>
        <v>0</v>
      </c>
      <c r="BG1622" s="210">
        <f t="shared" si="654"/>
        <v>0</v>
      </c>
      <c r="BH1622" s="210">
        <f t="shared" si="655"/>
        <v>1</v>
      </c>
      <c r="BI1622" s="213">
        <f t="shared" si="651"/>
        <v>0</v>
      </c>
      <c r="BJ1622" s="141"/>
      <c r="BK1622" s="201"/>
      <c r="BL1622" s="4"/>
      <c r="BM1622" s="4"/>
    </row>
    <row r="1623" spans="1:65" s="38" customFormat="1" ht="18" customHeight="1">
      <c r="A1623" s="114">
        <v>58</v>
      </c>
      <c r="B1623" s="24" t="s">
        <v>703</v>
      </c>
      <c r="C1623" s="25" t="s">
        <v>774</v>
      </c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229">
        <f t="shared" si="656"/>
        <v>0</v>
      </c>
      <c r="AC1623" s="228">
        <f t="shared" si="652"/>
        <v>0</v>
      </c>
      <c r="AD1623" s="19">
        <v>0</v>
      </c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29">
        <f t="shared" si="657"/>
        <v>0</v>
      </c>
      <c r="BD1623" s="48">
        <f t="shared" si="653"/>
        <v>0</v>
      </c>
      <c r="BE1623" s="19">
        <v>1</v>
      </c>
      <c r="BF1623" s="229">
        <f t="shared" si="658"/>
        <v>0</v>
      </c>
      <c r="BG1623" s="210">
        <f t="shared" si="654"/>
        <v>0</v>
      </c>
      <c r="BH1623" s="210">
        <f t="shared" si="655"/>
        <v>1</v>
      </c>
      <c r="BI1623" s="213">
        <f t="shared" si="651"/>
        <v>0</v>
      </c>
      <c r="BJ1623" s="141"/>
      <c r="BK1623" s="201"/>
      <c r="BL1623" s="4"/>
      <c r="BM1623" s="4"/>
    </row>
    <row r="1624" spans="1:65" s="38" customFormat="1" ht="18" customHeight="1">
      <c r="A1624" s="114">
        <v>59</v>
      </c>
      <c r="B1624" s="24" t="s">
        <v>819</v>
      </c>
      <c r="C1624" s="25" t="s">
        <v>993</v>
      </c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229">
        <f t="shared" si="656"/>
        <v>0</v>
      </c>
      <c r="AC1624" s="228">
        <f t="shared" si="652"/>
        <v>0</v>
      </c>
      <c r="AD1624" s="19">
        <v>0</v>
      </c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29">
        <f t="shared" si="657"/>
        <v>0</v>
      </c>
      <c r="BD1624" s="48">
        <f t="shared" si="653"/>
        <v>0</v>
      </c>
      <c r="BE1624" s="19">
        <v>1</v>
      </c>
      <c r="BF1624" s="229">
        <f t="shared" si="658"/>
        <v>0</v>
      </c>
      <c r="BG1624" s="210">
        <f t="shared" si="654"/>
        <v>0</v>
      </c>
      <c r="BH1624" s="210">
        <f t="shared" si="655"/>
        <v>1</v>
      </c>
      <c r="BI1624" s="213">
        <f t="shared" si="651"/>
        <v>0</v>
      </c>
      <c r="BJ1624" s="141"/>
      <c r="BK1624" s="201"/>
      <c r="BL1624" s="4"/>
      <c r="BM1624" s="4"/>
    </row>
    <row r="1625" spans="1:65" s="38" customFormat="1" ht="18" customHeight="1">
      <c r="A1625" s="114">
        <v>60</v>
      </c>
      <c r="B1625" s="24" t="s">
        <v>1503</v>
      </c>
      <c r="C1625" s="25" t="s">
        <v>1504</v>
      </c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229">
        <f t="shared" si="656"/>
        <v>0</v>
      </c>
      <c r="AC1625" s="228">
        <f t="shared" si="652"/>
        <v>0</v>
      </c>
      <c r="AD1625" s="19">
        <v>0</v>
      </c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29">
        <f t="shared" si="657"/>
        <v>0</v>
      </c>
      <c r="BD1625" s="48">
        <f t="shared" si="653"/>
        <v>0</v>
      </c>
      <c r="BE1625" s="19">
        <v>1</v>
      </c>
      <c r="BF1625" s="229">
        <f t="shared" si="658"/>
        <v>0</v>
      </c>
      <c r="BG1625" s="210">
        <f t="shared" si="654"/>
        <v>0</v>
      </c>
      <c r="BH1625" s="210">
        <f t="shared" si="655"/>
        <v>1</v>
      </c>
      <c r="BI1625" s="213">
        <f t="shared" si="651"/>
        <v>0</v>
      </c>
      <c r="BJ1625" s="141"/>
      <c r="BK1625" s="201"/>
      <c r="BL1625" s="4"/>
      <c r="BM1625" s="4"/>
    </row>
    <row r="1626" spans="1:65" s="38" customFormat="1" ht="18" customHeight="1">
      <c r="A1626" s="114">
        <v>61</v>
      </c>
      <c r="B1626" s="24" t="s">
        <v>736</v>
      </c>
      <c r="C1626" s="25" t="s">
        <v>1027</v>
      </c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229">
        <f t="shared" si="656"/>
        <v>0</v>
      </c>
      <c r="AC1626" s="228">
        <f t="shared" si="652"/>
        <v>0</v>
      </c>
      <c r="AD1626" s="19">
        <v>0</v>
      </c>
      <c r="AE1626" s="28"/>
      <c r="AF1626" s="28"/>
      <c r="AG1626" s="28"/>
      <c r="AH1626" s="28"/>
      <c r="AI1626" s="28"/>
      <c r="AJ1626" s="28">
        <f>17+6</f>
        <v>23</v>
      </c>
      <c r="AK1626" s="28"/>
      <c r="AL1626" s="28"/>
      <c r="AM1626" s="28"/>
      <c r="AN1626" s="28"/>
      <c r="AO1626" s="28"/>
      <c r="AP1626" s="28">
        <v>13</v>
      </c>
      <c r="AQ1626" s="28"/>
      <c r="AR1626" s="28"/>
      <c r="AS1626" s="28"/>
      <c r="AT1626" s="28"/>
      <c r="AU1626" s="28"/>
      <c r="AV1626" s="28">
        <v>12</v>
      </c>
      <c r="AW1626" s="28"/>
      <c r="AX1626" s="28"/>
      <c r="AY1626" s="28"/>
      <c r="AZ1626" s="28"/>
      <c r="BA1626" s="28"/>
      <c r="BB1626" s="28">
        <v>5</v>
      </c>
      <c r="BC1626" s="229">
        <f t="shared" si="657"/>
        <v>0</v>
      </c>
      <c r="BD1626" s="48">
        <f t="shared" si="653"/>
        <v>53</v>
      </c>
      <c r="BE1626" s="19">
        <v>97</v>
      </c>
      <c r="BF1626" s="229">
        <f t="shared" si="658"/>
        <v>0</v>
      </c>
      <c r="BG1626" s="210">
        <f t="shared" si="654"/>
        <v>53</v>
      </c>
      <c r="BH1626" s="210">
        <f t="shared" si="655"/>
        <v>97</v>
      </c>
      <c r="BI1626" s="213">
        <f t="shared" si="651"/>
        <v>54.639175257731956</v>
      </c>
      <c r="BJ1626" s="141"/>
      <c r="BK1626" s="201"/>
      <c r="BL1626" s="4"/>
      <c r="BM1626" s="4"/>
    </row>
    <row r="1627" spans="1:65" s="38" customFormat="1" ht="18" customHeight="1">
      <c r="A1627" s="114">
        <v>62</v>
      </c>
      <c r="B1627" s="24" t="s">
        <v>653</v>
      </c>
      <c r="C1627" s="25" t="s">
        <v>654</v>
      </c>
      <c r="D1627" s="121"/>
      <c r="E1627" s="121"/>
      <c r="F1627" s="121"/>
      <c r="G1627" s="121"/>
      <c r="H1627" s="121"/>
      <c r="I1627" s="121">
        <v>6</v>
      </c>
      <c r="J1627" s="121"/>
      <c r="K1627" s="121"/>
      <c r="L1627" s="121"/>
      <c r="M1627" s="121"/>
      <c r="N1627" s="121"/>
      <c r="O1627" s="121">
        <v>3</v>
      </c>
      <c r="P1627" s="121"/>
      <c r="Q1627" s="121"/>
      <c r="R1627" s="121"/>
      <c r="S1627" s="121"/>
      <c r="T1627" s="121"/>
      <c r="U1627" s="121">
        <v>5</v>
      </c>
      <c r="V1627" s="121"/>
      <c r="W1627" s="121"/>
      <c r="X1627" s="121"/>
      <c r="Y1627" s="121"/>
      <c r="Z1627" s="121"/>
      <c r="AA1627" s="121">
        <v>3</v>
      </c>
      <c r="AB1627" s="229">
        <f t="shared" si="656"/>
        <v>0</v>
      </c>
      <c r="AC1627" s="228">
        <f t="shared" si="652"/>
        <v>17</v>
      </c>
      <c r="AD1627" s="19">
        <v>12</v>
      </c>
      <c r="AE1627" s="28"/>
      <c r="AF1627" s="28"/>
      <c r="AG1627" s="28"/>
      <c r="AH1627" s="28"/>
      <c r="AI1627" s="28"/>
      <c r="AJ1627" s="28">
        <v>234</v>
      </c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>
        <v>240</v>
      </c>
      <c r="AW1627" s="28"/>
      <c r="AX1627" s="28"/>
      <c r="AY1627" s="28"/>
      <c r="AZ1627" s="28"/>
      <c r="BA1627" s="28"/>
      <c r="BB1627" s="28">
        <v>214</v>
      </c>
      <c r="BC1627" s="229">
        <f t="shared" si="657"/>
        <v>0</v>
      </c>
      <c r="BD1627" s="48">
        <f t="shared" si="653"/>
        <v>688</v>
      </c>
      <c r="BE1627" s="19">
        <v>628</v>
      </c>
      <c r="BF1627" s="229">
        <f t="shared" si="658"/>
        <v>0</v>
      </c>
      <c r="BG1627" s="210">
        <f t="shared" si="654"/>
        <v>705</v>
      </c>
      <c r="BH1627" s="210">
        <f t="shared" si="655"/>
        <v>640</v>
      </c>
      <c r="BI1627" s="213">
        <f t="shared" si="651"/>
        <v>110.15625</v>
      </c>
      <c r="BJ1627" s="141"/>
      <c r="BK1627" s="201"/>
      <c r="BL1627" s="4"/>
      <c r="BM1627" s="4"/>
    </row>
    <row r="1628" spans="1:65" s="38" customFormat="1" ht="18" customHeight="1">
      <c r="A1628" s="114">
        <v>63</v>
      </c>
      <c r="B1628" s="24" t="s">
        <v>655</v>
      </c>
      <c r="C1628" s="25" t="s">
        <v>997</v>
      </c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229">
        <f t="shared" si="656"/>
        <v>0</v>
      </c>
      <c r="AC1628" s="228">
        <f t="shared" si="652"/>
        <v>0</v>
      </c>
      <c r="AD1628" s="19">
        <v>0</v>
      </c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29">
        <f t="shared" si="657"/>
        <v>0</v>
      </c>
      <c r="BD1628" s="48">
        <f t="shared" si="653"/>
        <v>0</v>
      </c>
      <c r="BE1628" s="19">
        <v>1</v>
      </c>
      <c r="BF1628" s="229">
        <f t="shared" si="658"/>
        <v>0</v>
      </c>
      <c r="BG1628" s="210">
        <f t="shared" si="654"/>
        <v>0</v>
      </c>
      <c r="BH1628" s="210">
        <f t="shared" si="655"/>
        <v>1</v>
      </c>
      <c r="BI1628" s="213">
        <f t="shared" si="651"/>
        <v>0</v>
      </c>
      <c r="BJ1628" s="141"/>
      <c r="BK1628" s="201"/>
      <c r="BL1628" s="4"/>
      <c r="BM1628" s="4"/>
    </row>
    <row r="1629" spans="1:65" s="38" customFormat="1" ht="18" customHeight="1">
      <c r="A1629" s="114">
        <v>64</v>
      </c>
      <c r="B1629" s="24" t="s">
        <v>822</v>
      </c>
      <c r="C1629" s="25" t="s">
        <v>823</v>
      </c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229">
        <f t="shared" si="656"/>
        <v>0</v>
      </c>
      <c r="AC1629" s="228">
        <f t="shared" si="652"/>
        <v>0</v>
      </c>
      <c r="AD1629" s="19">
        <v>0</v>
      </c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29">
        <f t="shared" si="657"/>
        <v>0</v>
      </c>
      <c r="BD1629" s="48">
        <f t="shared" si="653"/>
        <v>0</v>
      </c>
      <c r="BE1629" s="19">
        <v>1</v>
      </c>
      <c r="BF1629" s="229">
        <f t="shared" si="658"/>
        <v>0</v>
      </c>
      <c r="BG1629" s="210">
        <f t="shared" si="654"/>
        <v>0</v>
      </c>
      <c r="BH1629" s="210">
        <f t="shared" si="655"/>
        <v>1</v>
      </c>
      <c r="BI1629" s="213">
        <f t="shared" si="651"/>
        <v>0</v>
      </c>
      <c r="BJ1629" s="141"/>
      <c r="BK1629" s="201"/>
      <c r="BL1629" s="4"/>
      <c r="BM1629" s="4"/>
    </row>
    <row r="1630" spans="1:65" s="38" customFormat="1" ht="18" customHeight="1">
      <c r="A1630" s="330"/>
      <c r="B1630" s="331" t="s">
        <v>900</v>
      </c>
      <c r="C1630" s="332" t="s">
        <v>1983</v>
      </c>
      <c r="D1630" s="333"/>
      <c r="E1630" s="333"/>
      <c r="F1630" s="333"/>
      <c r="G1630" s="333"/>
      <c r="H1630" s="333"/>
      <c r="I1630" s="333"/>
      <c r="J1630" s="333"/>
      <c r="K1630" s="333"/>
      <c r="L1630" s="333"/>
      <c r="M1630" s="333"/>
      <c r="N1630" s="333"/>
      <c r="O1630" s="333"/>
      <c r="P1630" s="333"/>
      <c r="Q1630" s="333"/>
      <c r="R1630" s="333"/>
      <c r="S1630" s="333"/>
      <c r="T1630" s="333"/>
      <c r="U1630" s="333"/>
      <c r="V1630" s="333"/>
      <c r="W1630" s="333"/>
      <c r="X1630" s="333"/>
      <c r="Y1630" s="333"/>
      <c r="Z1630" s="333"/>
      <c r="AA1630" s="333"/>
      <c r="AB1630" s="323"/>
      <c r="AC1630" s="228">
        <f t="shared" si="652"/>
        <v>0</v>
      </c>
      <c r="AD1630" s="326">
        <v>0</v>
      </c>
      <c r="AE1630" s="334"/>
      <c r="AF1630" s="334"/>
      <c r="AG1630" s="334"/>
      <c r="AH1630" s="334"/>
      <c r="AI1630" s="334"/>
      <c r="AJ1630" s="334"/>
      <c r="AK1630" s="334"/>
      <c r="AL1630" s="334"/>
      <c r="AM1630" s="334"/>
      <c r="AN1630" s="334"/>
      <c r="AO1630" s="334"/>
      <c r="AP1630" s="334"/>
      <c r="AQ1630" s="334"/>
      <c r="AR1630" s="334"/>
      <c r="AS1630" s="334"/>
      <c r="AT1630" s="334"/>
      <c r="AU1630" s="334"/>
      <c r="AV1630" s="334"/>
      <c r="AW1630" s="334"/>
      <c r="AX1630" s="334"/>
      <c r="AY1630" s="334"/>
      <c r="AZ1630" s="334"/>
      <c r="BA1630" s="334"/>
      <c r="BB1630" s="334">
        <v>1</v>
      </c>
      <c r="BC1630" s="323"/>
      <c r="BD1630" s="48">
        <f t="shared" si="653"/>
        <v>1</v>
      </c>
      <c r="BE1630" s="326">
        <v>0</v>
      </c>
      <c r="BF1630" s="323"/>
      <c r="BG1630" s="210">
        <f t="shared" ref="BG1630" si="659">AC1630+BD1630</f>
        <v>1</v>
      </c>
      <c r="BH1630" s="210">
        <f t="shared" ref="BH1630" si="660">AD1630+BE1630</f>
        <v>0</v>
      </c>
      <c r="BI1630" s="213" t="e">
        <f t="shared" ref="BI1630" si="661">BG1630/BH1630*100</f>
        <v>#DIV/0!</v>
      </c>
      <c r="BJ1630" s="141"/>
      <c r="BK1630" s="201"/>
      <c r="BL1630" s="4"/>
      <c r="BM1630" s="4"/>
    </row>
    <row r="1631" spans="1:65" s="38" customFormat="1" ht="21.95" customHeight="1">
      <c r="A1631" s="114">
        <v>65</v>
      </c>
      <c r="B1631" s="24" t="s">
        <v>741</v>
      </c>
      <c r="C1631" s="27" t="s">
        <v>947</v>
      </c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229">
        <f t="shared" si="656"/>
        <v>0</v>
      </c>
      <c r="AC1631" s="228">
        <f t="shared" si="652"/>
        <v>0</v>
      </c>
      <c r="AD1631" s="19">
        <v>0</v>
      </c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29">
        <f t="shared" si="657"/>
        <v>0</v>
      </c>
      <c r="BD1631" s="48">
        <f t="shared" si="653"/>
        <v>0</v>
      </c>
      <c r="BE1631" s="19">
        <v>1</v>
      </c>
      <c r="BF1631" s="229">
        <f t="shared" si="658"/>
        <v>0</v>
      </c>
      <c r="BG1631" s="210">
        <f t="shared" si="654"/>
        <v>0</v>
      </c>
      <c r="BH1631" s="210">
        <f t="shared" si="655"/>
        <v>1</v>
      </c>
      <c r="BI1631" s="213">
        <f t="shared" ref="BI1631:BI1655" si="662">BG1631/BH1631*100</f>
        <v>0</v>
      </c>
      <c r="BJ1631" s="141"/>
      <c r="BK1631" s="201"/>
      <c r="BL1631" s="4"/>
      <c r="BM1631" s="4"/>
    </row>
    <row r="1632" spans="1:65" s="38" customFormat="1" ht="21.95" customHeight="1">
      <c r="A1632" s="114">
        <v>66</v>
      </c>
      <c r="B1632" s="24" t="s">
        <v>657</v>
      </c>
      <c r="C1632" s="27" t="s">
        <v>1401</v>
      </c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>
        <v>2</v>
      </c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229">
        <f t="shared" si="656"/>
        <v>0</v>
      </c>
      <c r="AC1632" s="228">
        <f t="shared" si="652"/>
        <v>2</v>
      </c>
      <c r="AD1632" s="19">
        <v>8</v>
      </c>
      <c r="AE1632" s="28"/>
      <c r="AF1632" s="28"/>
      <c r="AG1632" s="28"/>
      <c r="AH1632" s="28"/>
      <c r="AI1632" s="28"/>
      <c r="AJ1632" s="28">
        <f>1+1</f>
        <v>2</v>
      </c>
      <c r="AK1632" s="28"/>
      <c r="AL1632" s="28"/>
      <c r="AM1632" s="28"/>
      <c r="AN1632" s="28"/>
      <c r="AO1632" s="28"/>
      <c r="AP1632" s="28">
        <v>1</v>
      </c>
      <c r="AQ1632" s="28"/>
      <c r="AR1632" s="28"/>
      <c r="AS1632" s="28"/>
      <c r="AT1632" s="28"/>
      <c r="AU1632" s="28"/>
      <c r="AV1632" s="28">
        <v>4</v>
      </c>
      <c r="AW1632" s="28"/>
      <c r="AX1632" s="28"/>
      <c r="AY1632" s="28"/>
      <c r="AZ1632" s="28"/>
      <c r="BA1632" s="28"/>
      <c r="BB1632" s="28"/>
      <c r="BC1632" s="229">
        <f t="shared" si="657"/>
        <v>0</v>
      </c>
      <c r="BD1632" s="48">
        <f t="shared" si="653"/>
        <v>7</v>
      </c>
      <c r="BE1632" s="19">
        <v>142</v>
      </c>
      <c r="BF1632" s="229">
        <f t="shared" si="658"/>
        <v>0</v>
      </c>
      <c r="BG1632" s="210">
        <f t="shared" si="654"/>
        <v>9</v>
      </c>
      <c r="BH1632" s="210">
        <f t="shared" si="655"/>
        <v>150</v>
      </c>
      <c r="BI1632" s="213">
        <f t="shared" si="662"/>
        <v>6</v>
      </c>
      <c r="BJ1632" s="141"/>
      <c r="BK1632" s="201"/>
      <c r="BL1632" s="4"/>
      <c r="BM1632" s="4"/>
    </row>
    <row r="1633" spans="1:65" s="38" customFormat="1" ht="21.95" customHeight="1">
      <c r="A1633" s="114">
        <v>67</v>
      </c>
      <c r="B1633" s="24" t="s">
        <v>742</v>
      </c>
      <c r="C1633" s="27" t="s">
        <v>778</v>
      </c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229">
        <f t="shared" si="656"/>
        <v>0</v>
      </c>
      <c r="AC1633" s="228">
        <f t="shared" si="652"/>
        <v>0</v>
      </c>
      <c r="AD1633" s="19">
        <v>0</v>
      </c>
      <c r="AE1633" s="28"/>
      <c r="AF1633" s="28"/>
      <c r="AG1633" s="28"/>
      <c r="AH1633" s="28"/>
      <c r="AI1633" s="28"/>
      <c r="AJ1633" s="28">
        <f>407+4+14</f>
        <v>425</v>
      </c>
      <c r="AK1633" s="28"/>
      <c r="AL1633" s="28"/>
      <c r="AM1633" s="28"/>
      <c r="AN1633" s="28"/>
      <c r="AO1633" s="28"/>
      <c r="AP1633" s="28">
        <f>445+5+13</f>
        <v>463</v>
      </c>
      <c r="AQ1633" s="28"/>
      <c r="AR1633" s="28"/>
      <c r="AS1633" s="28"/>
      <c r="AT1633" s="28"/>
      <c r="AU1633" s="28"/>
      <c r="AV1633" s="28">
        <f>284+2</f>
        <v>286</v>
      </c>
      <c r="AW1633" s="28"/>
      <c r="AX1633" s="28"/>
      <c r="AY1633" s="28"/>
      <c r="AZ1633" s="28"/>
      <c r="BA1633" s="28"/>
      <c r="BB1633" s="28">
        <f>445+3</f>
        <v>448</v>
      </c>
      <c r="BC1633" s="229">
        <f t="shared" si="657"/>
        <v>0</v>
      </c>
      <c r="BD1633" s="48">
        <f t="shared" si="653"/>
        <v>1622</v>
      </c>
      <c r="BE1633" s="19">
        <v>1697</v>
      </c>
      <c r="BF1633" s="229">
        <f t="shared" si="658"/>
        <v>0</v>
      </c>
      <c r="BG1633" s="210">
        <f t="shared" si="654"/>
        <v>1622</v>
      </c>
      <c r="BH1633" s="210">
        <f t="shared" si="655"/>
        <v>1697</v>
      </c>
      <c r="BI1633" s="213">
        <f t="shared" si="662"/>
        <v>95.580436063641713</v>
      </c>
      <c r="BJ1633" s="141"/>
      <c r="BK1633" s="201"/>
      <c r="BL1633" s="4"/>
      <c r="BM1633" s="4"/>
    </row>
    <row r="1634" spans="1:65" s="38" customFormat="1" ht="21.95" customHeight="1">
      <c r="A1634" s="114">
        <v>68</v>
      </c>
      <c r="B1634" s="24" t="s">
        <v>802</v>
      </c>
      <c r="C1634" s="25" t="s">
        <v>803</v>
      </c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229">
        <f t="shared" si="656"/>
        <v>0</v>
      </c>
      <c r="AC1634" s="228">
        <f t="shared" si="652"/>
        <v>0</v>
      </c>
      <c r="AD1634" s="19">
        <v>0</v>
      </c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29">
        <f t="shared" si="657"/>
        <v>0</v>
      </c>
      <c r="BD1634" s="48">
        <f t="shared" si="653"/>
        <v>0</v>
      </c>
      <c r="BE1634" s="19">
        <v>18</v>
      </c>
      <c r="BF1634" s="229">
        <f t="shared" si="658"/>
        <v>0</v>
      </c>
      <c r="BG1634" s="210">
        <f t="shared" si="654"/>
        <v>0</v>
      </c>
      <c r="BH1634" s="210">
        <f t="shared" si="655"/>
        <v>18</v>
      </c>
      <c r="BI1634" s="213">
        <f t="shared" si="662"/>
        <v>0</v>
      </c>
      <c r="BJ1634" s="141"/>
      <c r="BK1634" s="201"/>
      <c r="BL1634" s="4"/>
      <c r="BM1634" s="4"/>
    </row>
    <row r="1635" spans="1:65" s="38" customFormat="1" ht="21.95" customHeight="1">
      <c r="A1635" s="114">
        <v>69</v>
      </c>
      <c r="B1635" s="24" t="s">
        <v>658</v>
      </c>
      <c r="C1635" s="25" t="s">
        <v>779</v>
      </c>
      <c r="D1635" s="121"/>
      <c r="E1635" s="121"/>
      <c r="F1635" s="121"/>
      <c r="G1635" s="121"/>
      <c r="H1635" s="121"/>
      <c r="I1635" s="121">
        <v>30</v>
      </c>
      <c r="J1635" s="121"/>
      <c r="K1635" s="121"/>
      <c r="L1635" s="121"/>
      <c r="M1635" s="121"/>
      <c r="N1635" s="121"/>
      <c r="O1635" s="121">
        <v>21</v>
      </c>
      <c r="P1635" s="121"/>
      <c r="Q1635" s="121"/>
      <c r="R1635" s="121"/>
      <c r="S1635" s="121"/>
      <c r="T1635" s="121"/>
      <c r="U1635" s="121">
        <v>22</v>
      </c>
      <c r="V1635" s="121"/>
      <c r="W1635" s="121"/>
      <c r="X1635" s="121"/>
      <c r="Y1635" s="121"/>
      <c r="Z1635" s="121"/>
      <c r="AA1635" s="121">
        <v>6</v>
      </c>
      <c r="AB1635" s="229">
        <f t="shared" si="656"/>
        <v>0</v>
      </c>
      <c r="AC1635" s="228">
        <f t="shared" si="652"/>
        <v>79</v>
      </c>
      <c r="AD1635" s="19">
        <v>68</v>
      </c>
      <c r="AE1635" s="28"/>
      <c r="AF1635" s="28"/>
      <c r="AG1635" s="28"/>
      <c r="AH1635" s="28"/>
      <c r="AI1635" s="28"/>
      <c r="AJ1635" s="28">
        <f>513+22+4+50</f>
        <v>589</v>
      </c>
      <c r="AK1635" s="28"/>
      <c r="AL1635" s="28"/>
      <c r="AM1635" s="28"/>
      <c r="AN1635" s="28"/>
      <c r="AO1635" s="28"/>
      <c r="AP1635" s="28">
        <f>628+38+1+39</f>
        <v>706</v>
      </c>
      <c r="AQ1635" s="28"/>
      <c r="AR1635" s="28"/>
      <c r="AS1635" s="28"/>
      <c r="AT1635" s="28"/>
      <c r="AU1635" s="28"/>
      <c r="AV1635" s="28">
        <f>542+71</f>
        <v>613</v>
      </c>
      <c r="AW1635" s="28"/>
      <c r="AX1635" s="28"/>
      <c r="AY1635" s="28"/>
      <c r="AZ1635" s="28"/>
      <c r="BA1635" s="28"/>
      <c r="BB1635" s="28">
        <f>500+49+1+22</f>
        <v>572</v>
      </c>
      <c r="BC1635" s="229">
        <f t="shared" si="657"/>
        <v>0</v>
      </c>
      <c r="BD1635" s="48">
        <f t="shared" si="653"/>
        <v>2480</v>
      </c>
      <c r="BE1635" s="19">
        <v>2591</v>
      </c>
      <c r="BF1635" s="229">
        <f t="shared" si="658"/>
        <v>0</v>
      </c>
      <c r="BG1635" s="210">
        <f t="shared" si="654"/>
        <v>2559</v>
      </c>
      <c r="BH1635" s="210">
        <f t="shared" si="655"/>
        <v>2659</v>
      </c>
      <c r="BI1635" s="213">
        <f t="shared" si="662"/>
        <v>96.239187664535535</v>
      </c>
      <c r="BJ1635" s="141"/>
      <c r="BK1635" s="201"/>
      <c r="BL1635" s="4"/>
      <c r="BM1635" s="4"/>
    </row>
    <row r="1636" spans="1:65" s="38" customFormat="1" ht="18" customHeight="1">
      <c r="A1636" s="114">
        <v>70</v>
      </c>
      <c r="B1636" s="24" t="s">
        <v>780</v>
      </c>
      <c r="C1636" s="25" t="s">
        <v>781</v>
      </c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229">
        <f t="shared" si="656"/>
        <v>0</v>
      </c>
      <c r="AC1636" s="228">
        <f t="shared" si="652"/>
        <v>0</v>
      </c>
      <c r="AD1636" s="19">
        <v>0</v>
      </c>
      <c r="AE1636" s="28"/>
      <c r="AF1636" s="28"/>
      <c r="AG1636" s="28"/>
      <c r="AH1636" s="28"/>
      <c r="AI1636" s="28"/>
      <c r="AJ1636" s="28">
        <v>1</v>
      </c>
      <c r="AK1636" s="28"/>
      <c r="AL1636" s="28"/>
      <c r="AM1636" s="28"/>
      <c r="AN1636" s="28"/>
      <c r="AO1636" s="28"/>
      <c r="AP1636" s="28">
        <v>1</v>
      </c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>
        <v>1</v>
      </c>
      <c r="BC1636" s="229">
        <f t="shared" si="657"/>
        <v>0</v>
      </c>
      <c r="BD1636" s="48">
        <f t="shared" si="653"/>
        <v>3</v>
      </c>
      <c r="BE1636" s="19">
        <v>32</v>
      </c>
      <c r="BF1636" s="229">
        <f t="shared" si="658"/>
        <v>0</v>
      </c>
      <c r="BG1636" s="210">
        <f t="shared" si="654"/>
        <v>3</v>
      </c>
      <c r="BH1636" s="210">
        <f t="shared" si="655"/>
        <v>32</v>
      </c>
      <c r="BI1636" s="213">
        <f t="shared" si="662"/>
        <v>9.375</v>
      </c>
      <c r="BJ1636" s="141"/>
      <c r="BK1636" s="201"/>
      <c r="BL1636" s="4"/>
      <c r="BM1636" s="4"/>
    </row>
    <row r="1637" spans="1:65" s="38" customFormat="1" ht="18" customHeight="1">
      <c r="A1637" s="114">
        <v>71</v>
      </c>
      <c r="B1637" s="24" t="s">
        <v>804</v>
      </c>
      <c r="C1637" s="25" t="s">
        <v>1386</v>
      </c>
      <c r="D1637" s="121"/>
      <c r="E1637" s="121"/>
      <c r="F1637" s="121"/>
      <c r="G1637" s="121"/>
      <c r="H1637" s="121"/>
      <c r="I1637" s="121">
        <v>1</v>
      </c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229">
        <f t="shared" si="656"/>
        <v>0</v>
      </c>
      <c r="AC1637" s="228">
        <f t="shared" ref="AC1637:AC1655" si="663">E1637+G1637+I1637+K1637+M1637+O1637+Q1637+S1637+U1637+W1637+Y1637+AA1637</f>
        <v>1</v>
      </c>
      <c r="AD1637" s="19">
        <v>1</v>
      </c>
      <c r="AE1637" s="28"/>
      <c r="AF1637" s="28"/>
      <c r="AG1637" s="28"/>
      <c r="AH1637" s="28"/>
      <c r="AI1637" s="28"/>
      <c r="AJ1637" s="28">
        <v>6</v>
      </c>
      <c r="AK1637" s="28"/>
      <c r="AL1637" s="28"/>
      <c r="AM1637" s="28"/>
      <c r="AN1637" s="28"/>
      <c r="AO1637" s="28"/>
      <c r="AP1637" s="28">
        <v>1</v>
      </c>
      <c r="AQ1637" s="28"/>
      <c r="AR1637" s="28"/>
      <c r="AS1637" s="28"/>
      <c r="AT1637" s="28"/>
      <c r="AU1637" s="28"/>
      <c r="AV1637" s="28">
        <v>1</v>
      </c>
      <c r="AW1637" s="28"/>
      <c r="AX1637" s="28"/>
      <c r="AY1637" s="28"/>
      <c r="AZ1637" s="28"/>
      <c r="BA1637" s="28"/>
      <c r="BB1637" s="28">
        <v>3</v>
      </c>
      <c r="BC1637" s="229">
        <f t="shared" si="657"/>
        <v>0</v>
      </c>
      <c r="BD1637" s="48">
        <f t="shared" ref="BD1637:BD1655" si="664">AF1637+AH1637+AJ1637+AL1637+AN1637+AP1637+AR1637+AT1637+AV1637+AX1637+AZ1637+BB1637</f>
        <v>11</v>
      </c>
      <c r="BE1637" s="19">
        <v>9</v>
      </c>
      <c r="BF1637" s="229">
        <f t="shared" si="658"/>
        <v>0</v>
      </c>
      <c r="BG1637" s="210">
        <f t="shared" ref="BG1637:BG1655" si="665">AC1637+BD1637</f>
        <v>12</v>
      </c>
      <c r="BH1637" s="210">
        <f t="shared" ref="BH1637:BH1655" si="666">AD1637+BE1637</f>
        <v>10</v>
      </c>
      <c r="BI1637" s="213">
        <f t="shared" si="662"/>
        <v>120</v>
      </c>
      <c r="BJ1637" s="141"/>
      <c r="BK1637" s="201"/>
      <c r="BL1637" s="4"/>
      <c r="BM1637" s="4"/>
    </row>
    <row r="1638" spans="1:65" s="38" customFormat="1" ht="18" customHeight="1">
      <c r="A1638" s="114">
        <v>72</v>
      </c>
      <c r="B1638" s="24" t="s">
        <v>903</v>
      </c>
      <c r="C1638" s="25" t="s">
        <v>1165</v>
      </c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229">
        <f t="shared" ref="AB1638:AB1643" si="667">D1638+F1638+H1638+J1638+L1638+N1638+P1638+R1638+T1638+V1638+X1638+Z1638</f>
        <v>0</v>
      </c>
      <c r="AC1638" s="228">
        <f t="shared" si="663"/>
        <v>0</v>
      </c>
      <c r="AD1638" s="19">
        <v>0</v>
      </c>
      <c r="AE1638" s="28"/>
      <c r="AF1638" s="28"/>
      <c r="AG1638" s="28"/>
      <c r="AH1638" s="28"/>
      <c r="AI1638" s="28"/>
      <c r="AJ1638" s="28">
        <v>4</v>
      </c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>
        <v>6</v>
      </c>
      <c r="BC1638" s="229">
        <f t="shared" ref="BC1638:BC1643" si="668">AE1638+AG1638+AI1638+AK1638+AM1638+AO1638+AQ1638+AS1638+AU1638+AW1638+AY1638+BA1638</f>
        <v>0</v>
      </c>
      <c r="BD1638" s="48">
        <f t="shared" si="664"/>
        <v>10</v>
      </c>
      <c r="BE1638" s="19">
        <v>15</v>
      </c>
      <c r="BF1638" s="229">
        <f t="shared" ref="BF1638:BF1643" si="669">AB1638+BC1638</f>
        <v>0</v>
      </c>
      <c r="BG1638" s="210">
        <f t="shared" si="665"/>
        <v>10</v>
      </c>
      <c r="BH1638" s="210">
        <f t="shared" si="666"/>
        <v>15</v>
      </c>
      <c r="BI1638" s="213">
        <f t="shared" si="662"/>
        <v>66.666666666666657</v>
      </c>
      <c r="BJ1638" s="141"/>
      <c r="BK1638" s="201"/>
      <c r="BL1638" s="4"/>
      <c r="BM1638" s="4"/>
    </row>
    <row r="1639" spans="1:65" s="38" customFormat="1" ht="18" customHeight="1">
      <c r="A1639" s="114">
        <v>73</v>
      </c>
      <c r="B1639" s="24" t="s">
        <v>659</v>
      </c>
      <c r="C1639" s="25" t="s">
        <v>660</v>
      </c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>
        <v>2</v>
      </c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229">
        <f t="shared" si="667"/>
        <v>0</v>
      </c>
      <c r="AC1639" s="228">
        <f t="shared" si="663"/>
        <v>2</v>
      </c>
      <c r="AD1639" s="19">
        <v>0</v>
      </c>
      <c r="AE1639" s="28"/>
      <c r="AF1639" s="28"/>
      <c r="AG1639" s="28"/>
      <c r="AH1639" s="28"/>
      <c r="AI1639" s="28"/>
      <c r="AJ1639" s="28">
        <f>12+45+5</f>
        <v>62</v>
      </c>
      <c r="AK1639" s="28"/>
      <c r="AL1639" s="28"/>
      <c r="AM1639" s="28"/>
      <c r="AN1639" s="28"/>
      <c r="AO1639" s="28"/>
      <c r="AP1639" s="28">
        <f>9+57+1</f>
        <v>67</v>
      </c>
      <c r="AQ1639" s="28"/>
      <c r="AR1639" s="28"/>
      <c r="AS1639" s="28"/>
      <c r="AT1639" s="28"/>
      <c r="AU1639" s="28"/>
      <c r="AV1639" s="28">
        <f>67+1</f>
        <v>68</v>
      </c>
      <c r="AW1639" s="28"/>
      <c r="AX1639" s="28"/>
      <c r="AY1639" s="28"/>
      <c r="AZ1639" s="28"/>
      <c r="BA1639" s="28"/>
      <c r="BB1639" s="28">
        <v>23</v>
      </c>
      <c r="BC1639" s="229">
        <f t="shared" si="668"/>
        <v>0</v>
      </c>
      <c r="BD1639" s="48">
        <f t="shared" si="664"/>
        <v>220</v>
      </c>
      <c r="BE1639" s="19">
        <v>358</v>
      </c>
      <c r="BF1639" s="229">
        <f t="shared" si="669"/>
        <v>0</v>
      </c>
      <c r="BG1639" s="210">
        <f t="shared" si="665"/>
        <v>222</v>
      </c>
      <c r="BH1639" s="210">
        <f t="shared" si="666"/>
        <v>358</v>
      </c>
      <c r="BI1639" s="213">
        <f t="shared" si="662"/>
        <v>62.011173184357538</v>
      </c>
      <c r="BJ1639" s="141"/>
      <c r="BK1639" s="201"/>
      <c r="BL1639" s="4"/>
      <c r="BM1639" s="4"/>
    </row>
    <row r="1640" spans="1:65" s="38" customFormat="1" ht="21.95" customHeight="1">
      <c r="A1640" s="114">
        <v>74</v>
      </c>
      <c r="B1640" s="24" t="s">
        <v>661</v>
      </c>
      <c r="C1640" s="27" t="s">
        <v>743</v>
      </c>
      <c r="D1640" s="121"/>
      <c r="E1640" s="121"/>
      <c r="F1640" s="121"/>
      <c r="G1640" s="121"/>
      <c r="H1640" s="121"/>
      <c r="I1640" s="121">
        <f>169+7+4</f>
        <v>180</v>
      </c>
      <c r="J1640" s="121"/>
      <c r="K1640" s="121"/>
      <c r="L1640" s="121"/>
      <c r="M1640" s="121"/>
      <c r="N1640" s="121"/>
      <c r="O1640" s="121">
        <f>181+4+2+9+100</f>
        <v>296</v>
      </c>
      <c r="P1640" s="121"/>
      <c r="Q1640" s="121"/>
      <c r="R1640" s="121"/>
      <c r="S1640" s="121"/>
      <c r="T1640" s="121"/>
      <c r="U1640" s="121">
        <f>204+3+14</f>
        <v>221</v>
      </c>
      <c r="V1640" s="121"/>
      <c r="W1640" s="121"/>
      <c r="X1640" s="121"/>
      <c r="Y1640" s="121"/>
      <c r="Z1640" s="121"/>
      <c r="AA1640" s="121">
        <f>42+4+8</f>
        <v>54</v>
      </c>
      <c r="AB1640" s="229">
        <f t="shared" si="667"/>
        <v>0</v>
      </c>
      <c r="AC1640" s="228">
        <f t="shared" si="663"/>
        <v>751</v>
      </c>
      <c r="AD1640" s="19">
        <v>995</v>
      </c>
      <c r="AE1640" s="28"/>
      <c r="AF1640" s="28"/>
      <c r="AG1640" s="28"/>
      <c r="AH1640" s="28"/>
      <c r="AI1640" s="28"/>
      <c r="AJ1640" s="28">
        <f>158+160+39+5160+49+20</f>
        <v>5586</v>
      </c>
      <c r="AK1640" s="28"/>
      <c r="AL1640" s="28"/>
      <c r="AM1640" s="28"/>
      <c r="AN1640" s="28"/>
      <c r="AO1640" s="28"/>
      <c r="AP1640" s="28">
        <f>156+216+48+5018+26+22</f>
        <v>5486</v>
      </c>
      <c r="AQ1640" s="28"/>
      <c r="AR1640" s="28"/>
      <c r="AS1640" s="28"/>
      <c r="AT1640" s="28"/>
      <c r="AU1640" s="28"/>
      <c r="AV1640" s="28">
        <f>297+1+242+35+4776+57</f>
        <v>5408</v>
      </c>
      <c r="AW1640" s="28"/>
      <c r="AX1640" s="28"/>
      <c r="AY1640" s="28"/>
      <c r="AZ1640" s="28"/>
      <c r="BA1640" s="28"/>
      <c r="BB1640" s="28">
        <f>176+2+103+37+5119+109+42+21</f>
        <v>5609</v>
      </c>
      <c r="BC1640" s="229">
        <f t="shared" si="668"/>
        <v>0</v>
      </c>
      <c r="BD1640" s="48">
        <f t="shared" si="664"/>
        <v>22089</v>
      </c>
      <c r="BE1640" s="19">
        <v>23995</v>
      </c>
      <c r="BF1640" s="229">
        <f t="shared" si="669"/>
        <v>0</v>
      </c>
      <c r="BG1640" s="210">
        <f t="shared" si="665"/>
        <v>22840</v>
      </c>
      <c r="BH1640" s="210">
        <f t="shared" si="666"/>
        <v>24990</v>
      </c>
      <c r="BI1640" s="213">
        <f t="shared" si="662"/>
        <v>91.39655862344938</v>
      </c>
      <c r="BJ1640" s="141"/>
      <c r="BK1640" s="201"/>
      <c r="BL1640" s="4"/>
      <c r="BM1640" s="4"/>
    </row>
    <row r="1641" spans="1:65" s="38" customFormat="1" ht="21.95" customHeight="1">
      <c r="A1641" s="114">
        <v>75</v>
      </c>
      <c r="B1641" s="24" t="s">
        <v>784</v>
      </c>
      <c r="C1641" s="27" t="s">
        <v>1369</v>
      </c>
      <c r="D1641" s="121"/>
      <c r="E1641" s="121"/>
      <c r="F1641" s="121"/>
      <c r="G1641" s="121"/>
      <c r="H1641" s="121"/>
      <c r="I1641" s="121">
        <v>68</v>
      </c>
      <c r="J1641" s="121"/>
      <c r="K1641" s="121"/>
      <c r="L1641" s="121"/>
      <c r="M1641" s="121"/>
      <c r="N1641" s="121"/>
      <c r="O1641" s="121">
        <v>1</v>
      </c>
      <c r="P1641" s="121"/>
      <c r="Q1641" s="121"/>
      <c r="R1641" s="121"/>
      <c r="S1641" s="121"/>
      <c r="T1641" s="121"/>
      <c r="U1641" s="121">
        <v>2</v>
      </c>
      <c r="V1641" s="121"/>
      <c r="W1641" s="121"/>
      <c r="X1641" s="121"/>
      <c r="Y1641" s="121"/>
      <c r="Z1641" s="121"/>
      <c r="AA1641" s="121"/>
      <c r="AB1641" s="229">
        <f t="shared" si="667"/>
        <v>0</v>
      </c>
      <c r="AC1641" s="228">
        <f t="shared" si="663"/>
        <v>71</v>
      </c>
      <c r="AD1641" s="19">
        <v>1</v>
      </c>
      <c r="AE1641" s="28"/>
      <c r="AF1641" s="28"/>
      <c r="AG1641" s="28"/>
      <c r="AH1641" s="28"/>
      <c r="AI1641" s="28"/>
      <c r="AJ1641" s="28">
        <v>39</v>
      </c>
      <c r="AK1641" s="28"/>
      <c r="AL1641" s="28"/>
      <c r="AM1641" s="28"/>
      <c r="AN1641" s="28"/>
      <c r="AO1641" s="28"/>
      <c r="AP1641" s="28">
        <f>42+7</f>
        <v>49</v>
      </c>
      <c r="AQ1641" s="28"/>
      <c r="AR1641" s="28"/>
      <c r="AS1641" s="28"/>
      <c r="AT1641" s="28"/>
      <c r="AU1641" s="28"/>
      <c r="AV1641" s="28">
        <v>9</v>
      </c>
      <c r="AW1641" s="28"/>
      <c r="AX1641" s="28"/>
      <c r="AY1641" s="28"/>
      <c r="AZ1641" s="28"/>
      <c r="BA1641" s="28"/>
      <c r="BB1641" s="28">
        <f>4+1+35</f>
        <v>40</v>
      </c>
      <c r="BC1641" s="229">
        <f t="shared" si="668"/>
        <v>0</v>
      </c>
      <c r="BD1641" s="48">
        <f t="shared" si="664"/>
        <v>137</v>
      </c>
      <c r="BE1641" s="19">
        <v>610</v>
      </c>
      <c r="BF1641" s="229">
        <f t="shared" si="669"/>
        <v>0</v>
      </c>
      <c r="BG1641" s="210">
        <f t="shared" si="665"/>
        <v>208</v>
      </c>
      <c r="BH1641" s="210">
        <f t="shared" si="666"/>
        <v>611</v>
      </c>
      <c r="BI1641" s="213">
        <f t="shared" si="662"/>
        <v>34.042553191489361</v>
      </c>
      <c r="BJ1641" s="141"/>
      <c r="BK1641" s="201"/>
      <c r="BL1641" s="4"/>
      <c r="BM1641" s="4"/>
    </row>
    <row r="1642" spans="1:65" s="38" customFormat="1" ht="18" customHeight="1">
      <c r="A1642" s="114">
        <v>76</v>
      </c>
      <c r="B1642" s="24" t="s">
        <v>662</v>
      </c>
      <c r="C1642" s="25" t="s">
        <v>1096</v>
      </c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229">
        <f t="shared" si="667"/>
        <v>0</v>
      </c>
      <c r="AC1642" s="228">
        <f t="shared" si="663"/>
        <v>0</v>
      </c>
      <c r="AD1642" s="19">
        <v>0</v>
      </c>
      <c r="AE1642" s="28"/>
      <c r="AF1642" s="28"/>
      <c r="AG1642" s="28"/>
      <c r="AH1642" s="28"/>
      <c r="AI1642" s="28"/>
      <c r="AJ1642" s="28">
        <f>371+41</f>
        <v>412</v>
      </c>
      <c r="AK1642" s="28"/>
      <c r="AL1642" s="28"/>
      <c r="AM1642" s="28"/>
      <c r="AN1642" s="28"/>
      <c r="AO1642" s="28"/>
      <c r="AP1642" s="28">
        <f>413+11</f>
        <v>424</v>
      </c>
      <c r="AQ1642" s="28"/>
      <c r="AR1642" s="28"/>
      <c r="AS1642" s="28"/>
      <c r="AT1642" s="28"/>
      <c r="AU1642" s="28"/>
      <c r="AV1642" s="28">
        <f>446+1</f>
        <v>447</v>
      </c>
      <c r="AW1642" s="28"/>
      <c r="AX1642" s="28"/>
      <c r="AY1642" s="28"/>
      <c r="AZ1642" s="28"/>
      <c r="BA1642" s="28"/>
      <c r="BB1642" s="28">
        <v>462</v>
      </c>
      <c r="BC1642" s="229">
        <f t="shared" si="668"/>
        <v>0</v>
      </c>
      <c r="BD1642" s="48">
        <f t="shared" si="664"/>
        <v>1745</v>
      </c>
      <c r="BE1642" s="19">
        <v>1497</v>
      </c>
      <c r="BF1642" s="229">
        <f t="shared" si="669"/>
        <v>0</v>
      </c>
      <c r="BG1642" s="210">
        <f t="shared" si="665"/>
        <v>1745</v>
      </c>
      <c r="BH1642" s="210">
        <f t="shared" si="666"/>
        <v>1497</v>
      </c>
      <c r="BI1642" s="213">
        <f t="shared" si="662"/>
        <v>116.56646626586506</v>
      </c>
      <c r="BJ1642" s="141"/>
      <c r="BK1642" s="201"/>
      <c r="BL1642" s="4"/>
      <c r="BM1642" s="4"/>
    </row>
    <row r="1643" spans="1:65" s="38" customFormat="1" ht="21.95" customHeight="1">
      <c r="A1643" s="114">
        <v>77</v>
      </c>
      <c r="B1643" s="24" t="s">
        <v>929</v>
      </c>
      <c r="C1643" s="25" t="s">
        <v>2432</v>
      </c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>
        <v>3</v>
      </c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229">
        <f t="shared" si="667"/>
        <v>0</v>
      </c>
      <c r="AC1643" s="228">
        <f t="shared" si="663"/>
        <v>3</v>
      </c>
      <c r="AD1643" s="19">
        <v>5</v>
      </c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>
        <v>1</v>
      </c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>
        <v>29</v>
      </c>
      <c r="BC1643" s="229">
        <f t="shared" si="668"/>
        <v>0</v>
      </c>
      <c r="BD1643" s="48">
        <f t="shared" si="664"/>
        <v>30</v>
      </c>
      <c r="BE1643" s="19">
        <v>12</v>
      </c>
      <c r="BF1643" s="229">
        <f t="shared" si="669"/>
        <v>0</v>
      </c>
      <c r="BG1643" s="210">
        <f t="shared" si="665"/>
        <v>33</v>
      </c>
      <c r="BH1643" s="210">
        <f t="shared" si="666"/>
        <v>17</v>
      </c>
      <c r="BI1643" s="213">
        <f t="shared" si="662"/>
        <v>194.11764705882354</v>
      </c>
      <c r="BJ1643" s="141"/>
      <c r="BK1643" s="201"/>
      <c r="BL1643" s="4"/>
      <c r="BM1643" s="4"/>
    </row>
    <row r="1644" spans="1:65" s="38" customFormat="1" ht="18" customHeight="1">
      <c r="A1644" s="114">
        <v>78</v>
      </c>
      <c r="B1644" s="24" t="s">
        <v>1373</v>
      </c>
      <c r="C1644" s="25" t="s">
        <v>3176</v>
      </c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>
        <v>2</v>
      </c>
      <c r="V1644" s="121"/>
      <c r="W1644" s="121"/>
      <c r="X1644" s="121"/>
      <c r="Y1644" s="121"/>
      <c r="Z1644" s="121"/>
      <c r="AA1644" s="121"/>
      <c r="AB1644" s="229"/>
      <c r="AC1644" s="228">
        <f t="shared" si="663"/>
        <v>2</v>
      </c>
      <c r="AD1644" s="19">
        <v>0</v>
      </c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29"/>
      <c r="BD1644" s="48">
        <f t="shared" si="664"/>
        <v>0</v>
      </c>
      <c r="BE1644" s="19">
        <v>0</v>
      </c>
      <c r="BF1644" s="229"/>
      <c r="BG1644" s="210">
        <f t="shared" si="665"/>
        <v>2</v>
      </c>
      <c r="BH1644" s="210">
        <f t="shared" si="666"/>
        <v>0</v>
      </c>
      <c r="BI1644" s="213" t="e">
        <f t="shared" si="662"/>
        <v>#DIV/0!</v>
      </c>
      <c r="BJ1644" s="141"/>
      <c r="BK1644" s="201"/>
      <c r="BL1644" s="4"/>
      <c r="BM1644" s="4"/>
    </row>
    <row r="1645" spans="1:65" s="38" customFormat="1" ht="18" customHeight="1">
      <c r="A1645" s="114">
        <v>79</v>
      </c>
      <c r="B1645" s="24" t="s">
        <v>663</v>
      </c>
      <c r="C1645" s="25" t="s">
        <v>1097</v>
      </c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229">
        <f t="shared" ref="AB1645:AB1655" si="670">D1645+F1645+H1645+J1645+L1645+N1645+P1645+R1645+T1645+V1645+X1645+Z1645</f>
        <v>0</v>
      </c>
      <c r="AC1645" s="228">
        <f t="shared" si="663"/>
        <v>0</v>
      </c>
      <c r="AD1645" s="19">
        <v>0</v>
      </c>
      <c r="AE1645" s="28"/>
      <c r="AF1645" s="28"/>
      <c r="AG1645" s="28"/>
      <c r="AH1645" s="28"/>
      <c r="AI1645" s="28"/>
      <c r="AJ1645" s="28">
        <v>37</v>
      </c>
      <c r="AK1645" s="28"/>
      <c r="AL1645" s="28"/>
      <c r="AM1645" s="28"/>
      <c r="AN1645" s="28"/>
      <c r="AO1645" s="28"/>
      <c r="AP1645" s="28">
        <v>74</v>
      </c>
      <c r="AQ1645" s="28"/>
      <c r="AR1645" s="28"/>
      <c r="AS1645" s="28"/>
      <c r="AT1645" s="28"/>
      <c r="AU1645" s="28"/>
      <c r="AV1645" s="28">
        <v>35</v>
      </c>
      <c r="AW1645" s="28"/>
      <c r="AX1645" s="28"/>
      <c r="AY1645" s="28"/>
      <c r="AZ1645" s="28"/>
      <c r="BA1645" s="28"/>
      <c r="BB1645" s="28">
        <v>32</v>
      </c>
      <c r="BC1645" s="229">
        <f t="shared" ref="BC1645:BC1655" si="671">AE1645+AG1645+AI1645+AK1645+AM1645+AO1645+AQ1645+AS1645+AU1645+AW1645+AY1645+BA1645</f>
        <v>0</v>
      </c>
      <c r="BD1645" s="48">
        <f t="shared" si="664"/>
        <v>178</v>
      </c>
      <c r="BE1645" s="19">
        <v>242</v>
      </c>
      <c r="BF1645" s="229">
        <f t="shared" ref="BF1645:BF1655" si="672">AB1645+BC1645</f>
        <v>0</v>
      </c>
      <c r="BG1645" s="210">
        <f t="shared" si="665"/>
        <v>178</v>
      </c>
      <c r="BH1645" s="210">
        <f t="shared" si="666"/>
        <v>242</v>
      </c>
      <c r="BI1645" s="213">
        <f t="shared" si="662"/>
        <v>73.553719008264466</v>
      </c>
      <c r="BJ1645" s="141"/>
      <c r="BK1645" s="201"/>
      <c r="BL1645" s="4"/>
      <c r="BM1645" s="4"/>
    </row>
    <row r="1646" spans="1:65" s="38" customFormat="1" ht="21.95" customHeight="1">
      <c r="A1646" s="114">
        <v>80</v>
      </c>
      <c r="B1646" s="24" t="s">
        <v>664</v>
      </c>
      <c r="C1646" s="27" t="s">
        <v>1167</v>
      </c>
      <c r="D1646" s="121"/>
      <c r="E1646" s="121"/>
      <c r="F1646" s="121"/>
      <c r="G1646" s="121"/>
      <c r="H1646" s="121"/>
      <c r="I1646" s="121">
        <v>25</v>
      </c>
      <c r="J1646" s="121"/>
      <c r="K1646" s="121"/>
      <c r="L1646" s="121"/>
      <c r="M1646" s="121"/>
      <c r="N1646" s="121"/>
      <c r="O1646" s="121">
        <f>27+84</f>
        <v>111</v>
      </c>
      <c r="P1646" s="121"/>
      <c r="Q1646" s="121"/>
      <c r="R1646" s="121"/>
      <c r="S1646" s="121"/>
      <c r="T1646" s="121"/>
      <c r="U1646" s="121">
        <f>29+104+1</f>
        <v>134</v>
      </c>
      <c r="V1646" s="121"/>
      <c r="W1646" s="121"/>
      <c r="X1646" s="121"/>
      <c r="Y1646" s="121"/>
      <c r="Z1646" s="121"/>
      <c r="AA1646" s="121">
        <f>10+116</f>
        <v>126</v>
      </c>
      <c r="AB1646" s="229">
        <f t="shared" si="670"/>
        <v>0</v>
      </c>
      <c r="AC1646" s="228">
        <f t="shared" si="663"/>
        <v>396</v>
      </c>
      <c r="AD1646" s="19">
        <v>345</v>
      </c>
      <c r="AE1646" s="28"/>
      <c r="AF1646" s="28"/>
      <c r="AG1646" s="28"/>
      <c r="AH1646" s="28"/>
      <c r="AI1646" s="28"/>
      <c r="AJ1646" s="28">
        <f>3+53+215+11+5</f>
        <v>287</v>
      </c>
      <c r="AK1646" s="28"/>
      <c r="AL1646" s="28"/>
      <c r="AM1646" s="28"/>
      <c r="AN1646" s="28"/>
      <c r="AO1646" s="28"/>
      <c r="AP1646" s="28">
        <f>4+74+80</f>
        <v>158</v>
      </c>
      <c r="AQ1646" s="28"/>
      <c r="AR1646" s="28"/>
      <c r="AS1646" s="28"/>
      <c r="AT1646" s="28"/>
      <c r="AU1646" s="28"/>
      <c r="AV1646" s="28">
        <f>2+15+95+151+12</f>
        <v>275</v>
      </c>
      <c r="AW1646" s="28"/>
      <c r="AX1646" s="28"/>
      <c r="AY1646" s="28"/>
      <c r="AZ1646" s="28"/>
      <c r="BA1646" s="28"/>
      <c r="BB1646" s="28">
        <f>1+1+7+56+9+2</f>
        <v>76</v>
      </c>
      <c r="BC1646" s="229">
        <f t="shared" si="671"/>
        <v>0</v>
      </c>
      <c r="BD1646" s="48">
        <f t="shared" si="664"/>
        <v>796</v>
      </c>
      <c r="BE1646" s="19">
        <v>778</v>
      </c>
      <c r="BF1646" s="229">
        <f t="shared" si="672"/>
        <v>0</v>
      </c>
      <c r="BG1646" s="210">
        <f t="shared" si="665"/>
        <v>1192</v>
      </c>
      <c r="BH1646" s="210">
        <f t="shared" si="666"/>
        <v>1123</v>
      </c>
      <c r="BI1646" s="213">
        <f t="shared" si="662"/>
        <v>106.14425645592165</v>
      </c>
      <c r="BJ1646" s="141"/>
      <c r="BK1646" s="201"/>
      <c r="BL1646" s="4"/>
      <c r="BM1646" s="4"/>
    </row>
    <row r="1647" spans="1:65" s="38" customFormat="1" ht="18" customHeight="1">
      <c r="A1647" s="114">
        <v>81</v>
      </c>
      <c r="B1647" s="24" t="s">
        <v>704</v>
      </c>
      <c r="C1647" s="25" t="s">
        <v>1383</v>
      </c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229">
        <f t="shared" si="670"/>
        <v>0</v>
      </c>
      <c r="AC1647" s="228">
        <f t="shared" si="663"/>
        <v>0</v>
      </c>
      <c r="AD1647" s="19">
        <v>0</v>
      </c>
      <c r="AE1647" s="28"/>
      <c r="AF1647" s="28"/>
      <c r="AG1647" s="28"/>
      <c r="AH1647" s="28"/>
      <c r="AI1647" s="28"/>
      <c r="AJ1647" s="28">
        <f>625+59</f>
        <v>684</v>
      </c>
      <c r="AK1647" s="28"/>
      <c r="AL1647" s="28"/>
      <c r="AM1647" s="28"/>
      <c r="AN1647" s="28"/>
      <c r="AO1647" s="28"/>
      <c r="AP1647" s="28">
        <v>691</v>
      </c>
      <c r="AQ1647" s="28"/>
      <c r="AR1647" s="28"/>
      <c r="AS1647" s="28"/>
      <c r="AT1647" s="28"/>
      <c r="AU1647" s="28"/>
      <c r="AV1647" s="28">
        <v>426</v>
      </c>
      <c r="AW1647" s="28"/>
      <c r="AX1647" s="28"/>
      <c r="AY1647" s="28"/>
      <c r="AZ1647" s="28"/>
      <c r="BA1647" s="28"/>
      <c r="BB1647" s="28">
        <v>617</v>
      </c>
      <c r="BC1647" s="229">
        <f t="shared" si="671"/>
        <v>0</v>
      </c>
      <c r="BD1647" s="48">
        <f t="shared" si="664"/>
        <v>2418</v>
      </c>
      <c r="BE1647" s="19">
        <v>2956</v>
      </c>
      <c r="BF1647" s="229">
        <f t="shared" si="672"/>
        <v>0</v>
      </c>
      <c r="BG1647" s="210">
        <f t="shared" si="665"/>
        <v>2418</v>
      </c>
      <c r="BH1647" s="210">
        <f t="shared" si="666"/>
        <v>2956</v>
      </c>
      <c r="BI1647" s="213">
        <f t="shared" si="662"/>
        <v>81.799729364005415</v>
      </c>
      <c r="BJ1647" s="141"/>
      <c r="BK1647" s="201"/>
      <c r="BL1647" s="4"/>
      <c r="BM1647" s="4"/>
    </row>
    <row r="1648" spans="1:65" s="38" customFormat="1" ht="18" customHeight="1">
      <c r="A1648" s="114">
        <v>82</v>
      </c>
      <c r="B1648" s="24" t="s">
        <v>787</v>
      </c>
      <c r="C1648" s="25" t="s">
        <v>1171</v>
      </c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229">
        <f t="shared" si="670"/>
        <v>0</v>
      </c>
      <c r="AC1648" s="228">
        <f t="shared" si="663"/>
        <v>0</v>
      </c>
      <c r="AD1648" s="19">
        <v>0</v>
      </c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>
        <v>4</v>
      </c>
      <c r="AW1648" s="28"/>
      <c r="AX1648" s="28"/>
      <c r="AY1648" s="28"/>
      <c r="AZ1648" s="28"/>
      <c r="BA1648" s="28"/>
      <c r="BB1648" s="28"/>
      <c r="BC1648" s="229">
        <f t="shared" si="671"/>
        <v>0</v>
      </c>
      <c r="BD1648" s="48">
        <f t="shared" si="664"/>
        <v>4</v>
      </c>
      <c r="BE1648" s="19">
        <v>4</v>
      </c>
      <c r="BF1648" s="229">
        <f t="shared" si="672"/>
        <v>0</v>
      </c>
      <c r="BG1648" s="210">
        <f t="shared" si="665"/>
        <v>4</v>
      </c>
      <c r="BH1648" s="210">
        <f t="shared" si="666"/>
        <v>4</v>
      </c>
      <c r="BI1648" s="213">
        <f t="shared" si="662"/>
        <v>100</v>
      </c>
      <c r="BJ1648" s="141"/>
      <c r="BK1648" s="201"/>
      <c r="BL1648" s="4"/>
      <c r="BM1648" s="4"/>
    </row>
    <row r="1649" spans="1:65" s="38" customFormat="1" ht="18" customHeight="1">
      <c r="A1649" s="114">
        <v>83</v>
      </c>
      <c r="B1649" s="24" t="s">
        <v>788</v>
      </c>
      <c r="C1649" s="25" t="s">
        <v>1172</v>
      </c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229">
        <f t="shared" si="670"/>
        <v>0</v>
      </c>
      <c r="AC1649" s="228">
        <f t="shared" si="663"/>
        <v>0</v>
      </c>
      <c r="AD1649" s="19">
        <v>0</v>
      </c>
      <c r="AE1649" s="28"/>
      <c r="AF1649" s="28"/>
      <c r="AG1649" s="28"/>
      <c r="AH1649" s="28"/>
      <c r="AI1649" s="28"/>
      <c r="AJ1649" s="28">
        <v>44</v>
      </c>
      <c r="AK1649" s="28"/>
      <c r="AL1649" s="28"/>
      <c r="AM1649" s="28"/>
      <c r="AN1649" s="28"/>
      <c r="AO1649" s="28"/>
      <c r="AP1649" s="28">
        <f>19+33</f>
        <v>52</v>
      </c>
      <c r="AQ1649" s="28"/>
      <c r="AR1649" s="28"/>
      <c r="AS1649" s="28"/>
      <c r="AT1649" s="28"/>
      <c r="AU1649" s="28"/>
      <c r="AV1649" s="28">
        <v>58</v>
      </c>
      <c r="AW1649" s="28"/>
      <c r="AX1649" s="28"/>
      <c r="AY1649" s="28"/>
      <c r="AZ1649" s="28"/>
      <c r="BA1649" s="28"/>
      <c r="BB1649" s="28">
        <v>28</v>
      </c>
      <c r="BC1649" s="229">
        <f t="shared" si="671"/>
        <v>0</v>
      </c>
      <c r="BD1649" s="48">
        <f t="shared" si="664"/>
        <v>182</v>
      </c>
      <c r="BE1649" s="19">
        <v>77</v>
      </c>
      <c r="BF1649" s="229">
        <f t="shared" si="672"/>
        <v>0</v>
      </c>
      <c r="BG1649" s="210">
        <f t="shared" si="665"/>
        <v>182</v>
      </c>
      <c r="BH1649" s="210">
        <f t="shared" si="666"/>
        <v>77</v>
      </c>
      <c r="BI1649" s="213">
        <f t="shared" si="662"/>
        <v>236.36363636363637</v>
      </c>
      <c r="BJ1649" s="141"/>
      <c r="BK1649" s="201"/>
      <c r="BL1649" s="4"/>
      <c r="BM1649" s="4"/>
    </row>
    <row r="1650" spans="1:65" s="38" customFormat="1" ht="18" customHeight="1">
      <c r="A1650" s="114">
        <v>84</v>
      </c>
      <c r="B1650" s="24" t="s">
        <v>789</v>
      </c>
      <c r="C1650" s="25" t="s">
        <v>2127</v>
      </c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229">
        <f t="shared" si="670"/>
        <v>0</v>
      </c>
      <c r="AC1650" s="228">
        <f t="shared" si="663"/>
        <v>0</v>
      </c>
      <c r="AD1650" s="19">
        <v>0</v>
      </c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29">
        <f t="shared" si="671"/>
        <v>0</v>
      </c>
      <c r="BD1650" s="48">
        <f t="shared" si="664"/>
        <v>0</v>
      </c>
      <c r="BE1650" s="19">
        <v>1</v>
      </c>
      <c r="BF1650" s="229">
        <f t="shared" si="672"/>
        <v>0</v>
      </c>
      <c r="BG1650" s="210">
        <f t="shared" si="665"/>
        <v>0</v>
      </c>
      <c r="BH1650" s="210">
        <f t="shared" si="666"/>
        <v>1</v>
      </c>
      <c r="BI1650" s="213">
        <f t="shared" si="662"/>
        <v>0</v>
      </c>
      <c r="BJ1650" s="141"/>
      <c r="BK1650" s="201"/>
      <c r="BL1650" s="4"/>
      <c r="BM1650" s="4"/>
    </row>
    <row r="1651" spans="1:65" s="38" customFormat="1" ht="18" customHeight="1">
      <c r="A1651" s="114">
        <v>85</v>
      </c>
      <c r="B1651" s="24" t="s">
        <v>1174</v>
      </c>
      <c r="C1651" s="25" t="s">
        <v>1175</v>
      </c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229">
        <f t="shared" si="670"/>
        <v>0</v>
      </c>
      <c r="AC1651" s="228">
        <f t="shared" si="663"/>
        <v>0</v>
      </c>
      <c r="AD1651" s="19">
        <v>0</v>
      </c>
      <c r="AE1651" s="28"/>
      <c r="AF1651" s="28"/>
      <c r="AG1651" s="28"/>
      <c r="AH1651" s="28"/>
      <c r="AI1651" s="28"/>
      <c r="AJ1651" s="28">
        <v>7</v>
      </c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29">
        <f t="shared" si="671"/>
        <v>0</v>
      </c>
      <c r="BD1651" s="48">
        <f t="shared" si="664"/>
        <v>7</v>
      </c>
      <c r="BE1651" s="19">
        <v>1</v>
      </c>
      <c r="BF1651" s="229">
        <f t="shared" si="672"/>
        <v>0</v>
      </c>
      <c r="BG1651" s="210">
        <f t="shared" si="665"/>
        <v>7</v>
      </c>
      <c r="BH1651" s="210">
        <f t="shared" si="666"/>
        <v>1</v>
      </c>
      <c r="BI1651" s="213">
        <f t="shared" si="662"/>
        <v>700</v>
      </c>
      <c r="BJ1651" s="141"/>
      <c r="BK1651" s="201"/>
      <c r="BL1651" s="4"/>
      <c r="BM1651" s="4"/>
    </row>
    <row r="1652" spans="1:65" s="38" customFormat="1" ht="18" customHeight="1">
      <c r="A1652" s="114">
        <v>86</v>
      </c>
      <c r="B1652" s="24" t="s">
        <v>1176</v>
      </c>
      <c r="C1652" s="25" t="s">
        <v>1388</v>
      </c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229">
        <f t="shared" si="670"/>
        <v>0</v>
      </c>
      <c r="AC1652" s="228">
        <f t="shared" si="663"/>
        <v>0</v>
      </c>
      <c r="AD1652" s="19">
        <v>0</v>
      </c>
      <c r="AE1652" s="28"/>
      <c r="AF1652" s="28"/>
      <c r="AG1652" s="28"/>
      <c r="AH1652" s="28"/>
      <c r="AI1652" s="28"/>
      <c r="AJ1652" s="28">
        <f>1+1</f>
        <v>2</v>
      </c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29">
        <f t="shared" si="671"/>
        <v>0</v>
      </c>
      <c r="BD1652" s="48">
        <f t="shared" si="664"/>
        <v>2</v>
      </c>
      <c r="BE1652" s="19">
        <v>18</v>
      </c>
      <c r="BF1652" s="229">
        <f t="shared" si="672"/>
        <v>0</v>
      </c>
      <c r="BG1652" s="210">
        <f t="shared" si="665"/>
        <v>2</v>
      </c>
      <c r="BH1652" s="210">
        <f t="shared" si="666"/>
        <v>18</v>
      </c>
      <c r="BI1652" s="213">
        <f t="shared" si="662"/>
        <v>11.111111111111111</v>
      </c>
      <c r="BJ1652" s="141"/>
      <c r="BK1652" s="201"/>
      <c r="BL1652" s="4"/>
      <c r="BM1652" s="4"/>
    </row>
    <row r="1653" spans="1:65" s="38" customFormat="1" ht="21.95" customHeight="1">
      <c r="A1653" s="114">
        <v>87</v>
      </c>
      <c r="B1653" s="24" t="s">
        <v>790</v>
      </c>
      <c r="C1653" s="27" t="s">
        <v>2431</v>
      </c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>
        <v>1</v>
      </c>
      <c r="V1653" s="121"/>
      <c r="W1653" s="121"/>
      <c r="X1653" s="121"/>
      <c r="Y1653" s="121"/>
      <c r="Z1653" s="121"/>
      <c r="AA1653" s="121"/>
      <c r="AB1653" s="229">
        <f t="shared" si="670"/>
        <v>0</v>
      </c>
      <c r="AC1653" s="228">
        <f t="shared" si="663"/>
        <v>1</v>
      </c>
      <c r="AD1653" s="19">
        <v>1</v>
      </c>
      <c r="AE1653" s="28"/>
      <c r="AF1653" s="28"/>
      <c r="AG1653" s="28"/>
      <c r="AH1653" s="28"/>
      <c r="AI1653" s="28"/>
      <c r="AJ1653" s="28">
        <f>121+58+1+196+1+5</f>
        <v>382</v>
      </c>
      <c r="AK1653" s="28"/>
      <c r="AL1653" s="28"/>
      <c r="AM1653" s="28"/>
      <c r="AN1653" s="28"/>
      <c r="AO1653" s="28"/>
      <c r="AP1653" s="28">
        <f>151+76+95+1</f>
        <v>323</v>
      </c>
      <c r="AQ1653" s="28"/>
      <c r="AR1653" s="28"/>
      <c r="AS1653" s="28"/>
      <c r="AT1653" s="28"/>
      <c r="AU1653" s="28"/>
      <c r="AV1653" s="28">
        <f>362+102+76+6</f>
        <v>546</v>
      </c>
      <c r="AW1653" s="28"/>
      <c r="AX1653" s="28"/>
      <c r="AY1653" s="28"/>
      <c r="AZ1653" s="28"/>
      <c r="BA1653" s="28"/>
      <c r="BB1653" s="28">
        <f>184+43+131+3</f>
        <v>361</v>
      </c>
      <c r="BC1653" s="229">
        <f t="shared" si="671"/>
        <v>0</v>
      </c>
      <c r="BD1653" s="48">
        <f t="shared" si="664"/>
        <v>1612</v>
      </c>
      <c r="BE1653" s="19">
        <v>1498</v>
      </c>
      <c r="BF1653" s="229">
        <f t="shared" si="672"/>
        <v>0</v>
      </c>
      <c r="BG1653" s="210">
        <f t="shared" si="665"/>
        <v>1613</v>
      </c>
      <c r="BH1653" s="210">
        <f t="shared" si="666"/>
        <v>1499</v>
      </c>
      <c r="BI1653" s="213">
        <f t="shared" si="662"/>
        <v>107.60507004669779</v>
      </c>
      <c r="BJ1653" s="141"/>
      <c r="BK1653" s="201"/>
      <c r="BL1653" s="4"/>
      <c r="BM1653" s="4"/>
    </row>
    <row r="1654" spans="1:65" s="38" customFormat="1" ht="21.95" customHeight="1">
      <c r="A1654" s="114">
        <v>88</v>
      </c>
      <c r="B1654" s="24" t="s">
        <v>824</v>
      </c>
      <c r="C1654" s="27" t="s">
        <v>825</v>
      </c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229">
        <f t="shared" si="670"/>
        <v>0</v>
      </c>
      <c r="AC1654" s="228">
        <f t="shared" si="663"/>
        <v>0</v>
      </c>
      <c r="AD1654" s="19">
        <v>1</v>
      </c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29">
        <f t="shared" si="671"/>
        <v>0</v>
      </c>
      <c r="BD1654" s="48">
        <f t="shared" si="664"/>
        <v>0</v>
      </c>
      <c r="BE1654" s="19">
        <v>1</v>
      </c>
      <c r="BF1654" s="229">
        <f t="shared" si="672"/>
        <v>0</v>
      </c>
      <c r="BG1654" s="210">
        <f t="shared" si="665"/>
        <v>0</v>
      </c>
      <c r="BH1654" s="210">
        <f t="shared" si="666"/>
        <v>2</v>
      </c>
      <c r="BI1654" s="213">
        <f t="shared" si="662"/>
        <v>0</v>
      </c>
      <c r="BJ1654" s="141"/>
      <c r="BK1654" s="201"/>
      <c r="BL1654" s="4"/>
      <c r="BM1654" s="4"/>
    </row>
    <row r="1655" spans="1:65" s="38" customFormat="1" ht="18" customHeight="1">
      <c r="A1655" s="114">
        <v>89</v>
      </c>
      <c r="B1655" s="156" t="s">
        <v>1788</v>
      </c>
      <c r="C1655" s="159" t="s">
        <v>1789</v>
      </c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229">
        <f t="shared" si="670"/>
        <v>0</v>
      </c>
      <c r="AC1655" s="228">
        <f t="shared" si="663"/>
        <v>0</v>
      </c>
      <c r="AD1655" s="19">
        <v>1</v>
      </c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29">
        <f t="shared" si="671"/>
        <v>0</v>
      </c>
      <c r="BD1655" s="48">
        <f t="shared" si="664"/>
        <v>0</v>
      </c>
      <c r="BE1655" s="19">
        <v>0</v>
      </c>
      <c r="BF1655" s="229">
        <f t="shared" si="672"/>
        <v>0</v>
      </c>
      <c r="BG1655" s="210">
        <f t="shared" si="665"/>
        <v>0</v>
      </c>
      <c r="BH1655" s="210">
        <f t="shared" si="666"/>
        <v>1</v>
      </c>
      <c r="BI1655" s="213">
        <f t="shared" si="662"/>
        <v>0</v>
      </c>
      <c r="BJ1655" s="269" t="s">
        <v>2856</v>
      </c>
      <c r="BK1655" s="201"/>
      <c r="BL1655" s="4"/>
      <c r="BM1655" s="4"/>
    </row>
    <row r="1656" spans="1:65" s="38" customFormat="1" ht="21.95" customHeight="1">
      <c r="A1656" s="373" t="s">
        <v>2765</v>
      </c>
      <c r="B1656" s="373"/>
      <c r="C1656" s="373"/>
      <c r="D1656" s="220">
        <f t="shared" ref="D1656:AJ1656" si="673">SUM(D1657:D1737)</f>
        <v>0</v>
      </c>
      <c r="E1656" s="220">
        <f t="shared" si="673"/>
        <v>0</v>
      </c>
      <c r="F1656" s="220">
        <f t="shared" si="673"/>
        <v>0</v>
      </c>
      <c r="G1656" s="220">
        <f t="shared" si="673"/>
        <v>0</v>
      </c>
      <c r="H1656" s="220">
        <f t="shared" si="673"/>
        <v>0</v>
      </c>
      <c r="I1656" s="220">
        <f t="shared" si="673"/>
        <v>2923</v>
      </c>
      <c r="J1656" s="220">
        <f t="shared" si="673"/>
        <v>0</v>
      </c>
      <c r="K1656" s="220">
        <f t="shared" si="673"/>
        <v>0</v>
      </c>
      <c r="L1656" s="220">
        <f t="shared" si="673"/>
        <v>0</v>
      </c>
      <c r="M1656" s="220">
        <f t="shared" si="673"/>
        <v>0</v>
      </c>
      <c r="N1656" s="220">
        <f t="shared" si="673"/>
        <v>0</v>
      </c>
      <c r="O1656" s="220">
        <f t="shared" si="673"/>
        <v>2681</v>
      </c>
      <c r="P1656" s="220">
        <f t="shared" si="673"/>
        <v>0</v>
      </c>
      <c r="Q1656" s="220">
        <f t="shared" si="673"/>
        <v>0</v>
      </c>
      <c r="R1656" s="220">
        <f t="shared" si="673"/>
        <v>0</v>
      </c>
      <c r="S1656" s="220">
        <f t="shared" si="673"/>
        <v>0</v>
      </c>
      <c r="T1656" s="220">
        <f t="shared" si="673"/>
        <v>0</v>
      </c>
      <c r="U1656" s="220">
        <f t="shared" si="673"/>
        <v>4188</v>
      </c>
      <c r="V1656" s="220">
        <f t="shared" si="673"/>
        <v>0</v>
      </c>
      <c r="W1656" s="220">
        <f t="shared" si="673"/>
        <v>0</v>
      </c>
      <c r="X1656" s="220">
        <f t="shared" si="673"/>
        <v>0</v>
      </c>
      <c r="Y1656" s="220">
        <f t="shared" si="673"/>
        <v>0</v>
      </c>
      <c r="Z1656" s="220">
        <f t="shared" si="673"/>
        <v>0</v>
      </c>
      <c r="AA1656" s="220">
        <f t="shared" si="673"/>
        <v>8</v>
      </c>
      <c r="AB1656" s="220">
        <f t="shared" ref="AB1656" si="674">D1656+F1656+H1656+J1656+L1656+N1656+P1656+R1656+T1656+V1656+X1656+Z1656</f>
        <v>0</v>
      </c>
      <c r="AC1656" s="220">
        <f t="shared" ref="AC1656" si="675">E1656+G1656+I1656+K1656+M1656+O1656+Q1656+S1656+U1656+W1656+Y1656+AA1656</f>
        <v>9800</v>
      </c>
      <c r="AD1656" s="274">
        <f t="shared" si="673"/>
        <v>8745</v>
      </c>
      <c r="AE1656" s="210">
        <f t="shared" si="673"/>
        <v>0</v>
      </c>
      <c r="AF1656" s="210">
        <f t="shared" si="673"/>
        <v>0</v>
      </c>
      <c r="AG1656" s="210">
        <f t="shared" si="673"/>
        <v>0</v>
      </c>
      <c r="AH1656" s="210">
        <f t="shared" si="673"/>
        <v>0</v>
      </c>
      <c r="AI1656" s="210">
        <f t="shared" si="673"/>
        <v>0</v>
      </c>
      <c r="AJ1656" s="210">
        <f t="shared" si="673"/>
        <v>20554</v>
      </c>
      <c r="AK1656" s="210">
        <f t="shared" ref="AK1656:BE1656" si="676">SUM(AK1657:AK1737)</f>
        <v>0</v>
      </c>
      <c r="AL1656" s="210">
        <f t="shared" si="676"/>
        <v>0</v>
      </c>
      <c r="AM1656" s="210">
        <f t="shared" si="676"/>
        <v>0</v>
      </c>
      <c r="AN1656" s="210">
        <f t="shared" si="676"/>
        <v>0</v>
      </c>
      <c r="AO1656" s="210">
        <f t="shared" si="676"/>
        <v>0</v>
      </c>
      <c r="AP1656" s="210">
        <f t="shared" si="676"/>
        <v>19342</v>
      </c>
      <c r="AQ1656" s="210">
        <f t="shared" si="676"/>
        <v>0</v>
      </c>
      <c r="AR1656" s="210">
        <f t="shared" si="676"/>
        <v>0</v>
      </c>
      <c r="AS1656" s="210">
        <f t="shared" si="676"/>
        <v>0</v>
      </c>
      <c r="AT1656" s="210">
        <f t="shared" si="676"/>
        <v>0</v>
      </c>
      <c r="AU1656" s="210">
        <f t="shared" si="676"/>
        <v>0</v>
      </c>
      <c r="AV1656" s="210">
        <f t="shared" si="676"/>
        <v>17489</v>
      </c>
      <c r="AW1656" s="210">
        <f t="shared" si="676"/>
        <v>0</v>
      </c>
      <c r="AX1656" s="210">
        <f t="shared" si="676"/>
        <v>0</v>
      </c>
      <c r="AY1656" s="210">
        <f t="shared" si="676"/>
        <v>0</v>
      </c>
      <c r="AZ1656" s="210">
        <f t="shared" si="676"/>
        <v>0</v>
      </c>
      <c r="BA1656" s="210">
        <f t="shared" si="676"/>
        <v>0</v>
      </c>
      <c r="BB1656" s="210">
        <f t="shared" si="676"/>
        <v>11666</v>
      </c>
      <c r="BC1656" s="220">
        <f t="shared" ref="BC1656" si="677">AE1656+AG1656+AI1656+AK1656+AM1656+AO1656+AQ1656+AS1656+AU1656+AW1656+AY1656+BA1656</f>
        <v>0</v>
      </c>
      <c r="BD1656" s="210">
        <f t="shared" ref="BD1656" si="678">AF1656+AH1656+AJ1656+AL1656+AN1656+AP1656+AR1656+AT1656+AV1656+AX1656+AZ1656+BB1656</f>
        <v>69051</v>
      </c>
      <c r="BE1656" s="210">
        <f t="shared" si="676"/>
        <v>64008</v>
      </c>
      <c r="BF1656" s="220">
        <f t="shared" ref="BF1656" si="679">AB1656+BC1656</f>
        <v>0</v>
      </c>
      <c r="BG1656" s="210">
        <f t="shared" ref="BG1656" si="680">AC1656+BD1656</f>
        <v>78851</v>
      </c>
      <c r="BH1656" s="210">
        <f t="shared" ref="BH1656" si="681">AD1656+BE1656</f>
        <v>72753</v>
      </c>
      <c r="BI1656" s="213">
        <f t="shared" ref="BI1656" si="682">BG1656/BH1656*100</f>
        <v>108.38178494357622</v>
      </c>
      <c r="BJ1656" s="140">
        <v>72753</v>
      </c>
      <c r="BK1656" s="203">
        <f>BH1656-BJ1656</f>
        <v>0</v>
      </c>
      <c r="BL1656" s="198">
        <v>156323</v>
      </c>
      <c r="BM1656" s="199">
        <f>BG1656-BL1656</f>
        <v>-77472</v>
      </c>
    </row>
    <row r="1657" spans="1:65" s="38" customFormat="1" ht="18" customHeight="1">
      <c r="A1657" s="114">
        <v>1</v>
      </c>
      <c r="B1657" s="24" t="s">
        <v>1878</v>
      </c>
      <c r="C1657" s="25" t="s">
        <v>1879</v>
      </c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229">
        <f t="shared" ref="AB1657:AB1675" si="683">D1657+F1657+H1657+J1657+L1657+N1657+P1657+R1657+T1657+V1657+X1657+Z1657</f>
        <v>0</v>
      </c>
      <c r="AC1657" s="228">
        <f t="shared" ref="AC1657:AC1675" si="684">E1657+G1657+I1657+K1657+M1657+O1657+Q1657+S1657+U1657+W1657+Y1657+AA1657</f>
        <v>0</v>
      </c>
      <c r="AD1657" s="19">
        <v>1</v>
      </c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29">
        <f t="shared" ref="BC1657:BC1675" si="685">AE1657+AG1657+AI1657+AK1657+AM1657+AO1657+AQ1657+AS1657+AU1657+AW1657+AY1657+BA1657</f>
        <v>0</v>
      </c>
      <c r="BD1657" s="48">
        <f t="shared" ref="BD1657:BD1675" si="686">AF1657+AH1657+AJ1657+AL1657+AN1657+AP1657+AR1657+AT1657+AV1657+AX1657+AZ1657+BB1657</f>
        <v>0</v>
      </c>
      <c r="BE1657" s="19">
        <v>0</v>
      </c>
      <c r="BF1657" s="229">
        <f t="shared" ref="BF1657:BF1675" si="687">AB1657+BC1657</f>
        <v>0</v>
      </c>
      <c r="BG1657" s="210">
        <f t="shared" ref="BG1657:BG1675" si="688">AC1657+BD1657</f>
        <v>0</v>
      </c>
      <c r="BH1657" s="210">
        <f t="shared" ref="BH1657:BH1675" si="689">AD1657+BE1657</f>
        <v>1</v>
      </c>
      <c r="BI1657" s="213">
        <f t="shared" ref="BI1657:BI1688" si="690">BG1657/BH1657*100</f>
        <v>0</v>
      </c>
      <c r="BJ1657" s="270" t="s">
        <v>2857</v>
      </c>
      <c r="BK1657" s="201"/>
      <c r="BL1657" s="4"/>
      <c r="BM1657" s="4"/>
    </row>
    <row r="1658" spans="1:65" s="38" customFormat="1" ht="18" customHeight="1">
      <c r="A1658" s="114">
        <v>2</v>
      </c>
      <c r="B1658" s="24" t="s">
        <v>937</v>
      </c>
      <c r="C1658" s="25" t="s">
        <v>938</v>
      </c>
      <c r="D1658" s="121"/>
      <c r="E1658" s="121"/>
      <c r="F1658" s="121"/>
      <c r="G1658" s="121"/>
      <c r="H1658" s="121"/>
      <c r="I1658" s="121">
        <v>231</v>
      </c>
      <c r="J1658" s="121"/>
      <c r="K1658" s="121"/>
      <c r="L1658" s="121"/>
      <c r="M1658" s="121"/>
      <c r="N1658" s="121"/>
      <c r="O1658" s="121">
        <v>226</v>
      </c>
      <c r="P1658" s="121"/>
      <c r="Q1658" s="121"/>
      <c r="R1658" s="121"/>
      <c r="S1658" s="121"/>
      <c r="T1658" s="121"/>
      <c r="U1658" s="121">
        <f>1+224+188</f>
        <v>413</v>
      </c>
      <c r="V1658" s="121"/>
      <c r="W1658" s="121"/>
      <c r="X1658" s="121"/>
      <c r="Y1658" s="121"/>
      <c r="Z1658" s="121"/>
      <c r="AA1658" s="121">
        <v>1</v>
      </c>
      <c r="AB1658" s="229">
        <f t="shared" si="683"/>
        <v>0</v>
      </c>
      <c r="AC1658" s="228">
        <f t="shared" si="684"/>
        <v>871</v>
      </c>
      <c r="AD1658" s="19">
        <f>785+3</f>
        <v>788</v>
      </c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29">
        <f t="shared" si="685"/>
        <v>0</v>
      </c>
      <c r="BD1658" s="48">
        <f t="shared" si="686"/>
        <v>0</v>
      </c>
      <c r="BE1658" s="19">
        <v>0</v>
      </c>
      <c r="BF1658" s="229">
        <f t="shared" si="687"/>
        <v>0</v>
      </c>
      <c r="BG1658" s="210">
        <f t="shared" si="688"/>
        <v>871</v>
      </c>
      <c r="BH1658" s="210">
        <f t="shared" si="689"/>
        <v>788</v>
      </c>
      <c r="BI1658" s="213">
        <f t="shared" si="690"/>
        <v>110.53299492385787</v>
      </c>
      <c r="BJ1658" s="270" t="s">
        <v>2857</v>
      </c>
      <c r="BK1658" s="201"/>
      <c r="BL1658" s="4"/>
      <c r="BM1658" s="4"/>
    </row>
    <row r="1659" spans="1:65" s="38" customFormat="1" ht="18" customHeight="1">
      <c r="A1659" s="114">
        <v>3</v>
      </c>
      <c r="B1659" s="24" t="s">
        <v>1468</v>
      </c>
      <c r="C1659" s="25" t="s">
        <v>1470</v>
      </c>
      <c r="D1659" s="121"/>
      <c r="E1659" s="121"/>
      <c r="F1659" s="121"/>
      <c r="G1659" s="121"/>
      <c r="H1659" s="121"/>
      <c r="I1659" s="121">
        <v>2686</v>
      </c>
      <c r="J1659" s="121"/>
      <c r="K1659" s="121"/>
      <c r="L1659" s="121"/>
      <c r="M1659" s="121"/>
      <c r="N1659" s="121"/>
      <c r="O1659" s="121">
        <v>2451</v>
      </c>
      <c r="P1659" s="121"/>
      <c r="Q1659" s="121"/>
      <c r="R1659" s="121"/>
      <c r="S1659" s="121"/>
      <c r="T1659" s="121"/>
      <c r="U1659" s="121">
        <f>2163+1604</f>
        <v>3767</v>
      </c>
      <c r="V1659" s="121"/>
      <c r="W1659" s="121"/>
      <c r="X1659" s="121"/>
      <c r="Y1659" s="121"/>
      <c r="Z1659" s="121"/>
      <c r="AA1659" s="121"/>
      <c r="AB1659" s="229">
        <f t="shared" si="683"/>
        <v>0</v>
      </c>
      <c r="AC1659" s="228">
        <f t="shared" si="684"/>
        <v>8904</v>
      </c>
      <c r="AD1659" s="19">
        <v>7895</v>
      </c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29">
        <f t="shared" si="685"/>
        <v>0</v>
      </c>
      <c r="BD1659" s="48">
        <f t="shared" si="686"/>
        <v>0</v>
      </c>
      <c r="BE1659" s="19">
        <v>0</v>
      </c>
      <c r="BF1659" s="229">
        <f t="shared" si="687"/>
        <v>0</v>
      </c>
      <c r="BG1659" s="210">
        <f t="shared" si="688"/>
        <v>8904</v>
      </c>
      <c r="BH1659" s="210">
        <f t="shared" si="689"/>
        <v>7895</v>
      </c>
      <c r="BI1659" s="213">
        <f t="shared" si="690"/>
        <v>112.78024065864471</v>
      </c>
      <c r="BJ1659" s="270" t="s">
        <v>2857</v>
      </c>
      <c r="BK1659" s="201"/>
      <c r="BL1659" s="4"/>
      <c r="BM1659" s="4"/>
    </row>
    <row r="1660" spans="1:65" s="38" customFormat="1" ht="18" customHeight="1">
      <c r="A1660" s="114">
        <v>4</v>
      </c>
      <c r="B1660" s="24" t="s">
        <v>2321</v>
      </c>
      <c r="C1660" s="25" t="s">
        <v>2322</v>
      </c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229">
        <f t="shared" si="683"/>
        <v>0</v>
      </c>
      <c r="AC1660" s="228">
        <f t="shared" si="684"/>
        <v>0</v>
      </c>
      <c r="AD1660" s="19">
        <v>0</v>
      </c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29">
        <f t="shared" si="685"/>
        <v>0</v>
      </c>
      <c r="BD1660" s="48">
        <f t="shared" si="686"/>
        <v>0</v>
      </c>
      <c r="BE1660" s="19">
        <v>5</v>
      </c>
      <c r="BF1660" s="229">
        <f t="shared" si="687"/>
        <v>0</v>
      </c>
      <c r="BG1660" s="210">
        <f t="shared" si="688"/>
        <v>0</v>
      </c>
      <c r="BH1660" s="210">
        <f t="shared" si="689"/>
        <v>5</v>
      </c>
      <c r="BI1660" s="213">
        <f t="shared" si="690"/>
        <v>0</v>
      </c>
      <c r="BJ1660" s="141"/>
      <c r="BK1660" s="201"/>
      <c r="BL1660" s="4"/>
      <c r="BM1660" s="4"/>
    </row>
    <row r="1661" spans="1:65" s="38" customFormat="1" ht="18" customHeight="1">
      <c r="A1661" s="114">
        <v>5</v>
      </c>
      <c r="B1661" s="24" t="s">
        <v>553</v>
      </c>
      <c r="C1661" s="25" t="s">
        <v>554</v>
      </c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229">
        <f t="shared" si="683"/>
        <v>0</v>
      </c>
      <c r="AC1661" s="228">
        <f t="shared" si="684"/>
        <v>0</v>
      </c>
      <c r="AD1661" s="19">
        <v>0</v>
      </c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29">
        <f t="shared" si="685"/>
        <v>0</v>
      </c>
      <c r="BD1661" s="48">
        <f t="shared" si="686"/>
        <v>0</v>
      </c>
      <c r="BE1661" s="19">
        <f>538+1</f>
        <v>539</v>
      </c>
      <c r="BF1661" s="229">
        <f t="shared" si="687"/>
        <v>0</v>
      </c>
      <c r="BG1661" s="210">
        <f t="shared" si="688"/>
        <v>0</v>
      </c>
      <c r="BH1661" s="210">
        <f t="shared" si="689"/>
        <v>539</v>
      </c>
      <c r="BI1661" s="213">
        <f t="shared" si="690"/>
        <v>0</v>
      </c>
      <c r="BJ1661" s="141"/>
      <c r="BK1661" s="201"/>
      <c r="BL1661" s="4"/>
      <c r="BM1661" s="4"/>
    </row>
    <row r="1662" spans="1:65" s="38" customFormat="1" ht="18" customHeight="1">
      <c r="A1662" s="114">
        <v>6</v>
      </c>
      <c r="B1662" s="24" t="s">
        <v>555</v>
      </c>
      <c r="C1662" s="25" t="s">
        <v>556</v>
      </c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229">
        <f t="shared" si="683"/>
        <v>0</v>
      </c>
      <c r="AC1662" s="228">
        <f t="shared" si="684"/>
        <v>0</v>
      </c>
      <c r="AD1662" s="19">
        <v>10</v>
      </c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29">
        <f t="shared" si="685"/>
        <v>0</v>
      </c>
      <c r="BD1662" s="48">
        <f t="shared" si="686"/>
        <v>0</v>
      </c>
      <c r="BE1662" s="19">
        <v>1</v>
      </c>
      <c r="BF1662" s="229">
        <f t="shared" si="687"/>
        <v>0</v>
      </c>
      <c r="BG1662" s="210">
        <f t="shared" si="688"/>
        <v>0</v>
      </c>
      <c r="BH1662" s="210">
        <f t="shared" si="689"/>
        <v>11</v>
      </c>
      <c r="BI1662" s="213">
        <f t="shared" si="690"/>
        <v>0</v>
      </c>
      <c r="BJ1662" s="141"/>
      <c r="BK1662" s="201"/>
      <c r="BL1662" s="4"/>
      <c r="BM1662" s="4"/>
    </row>
    <row r="1663" spans="1:65" s="38" customFormat="1" ht="18" customHeight="1">
      <c r="A1663" s="114">
        <v>7</v>
      </c>
      <c r="B1663" s="24" t="s">
        <v>561</v>
      </c>
      <c r="C1663" s="25" t="s">
        <v>562</v>
      </c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>
        <v>1</v>
      </c>
      <c r="V1663" s="121"/>
      <c r="W1663" s="121"/>
      <c r="X1663" s="121"/>
      <c r="Y1663" s="121"/>
      <c r="Z1663" s="121"/>
      <c r="AA1663" s="121">
        <v>5</v>
      </c>
      <c r="AB1663" s="229">
        <f t="shared" si="683"/>
        <v>0</v>
      </c>
      <c r="AC1663" s="228">
        <f t="shared" si="684"/>
        <v>6</v>
      </c>
      <c r="AD1663" s="19">
        <v>1</v>
      </c>
      <c r="AE1663" s="28"/>
      <c r="AF1663" s="28"/>
      <c r="AG1663" s="28"/>
      <c r="AH1663" s="28"/>
      <c r="AI1663" s="28"/>
      <c r="AJ1663" s="28">
        <f>1642+408+36</f>
        <v>2086</v>
      </c>
      <c r="AK1663" s="28"/>
      <c r="AL1663" s="28"/>
      <c r="AM1663" s="28"/>
      <c r="AN1663" s="28"/>
      <c r="AO1663" s="28"/>
      <c r="AP1663" s="28">
        <f>1375+345+18</f>
        <v>1738</v>
      </c>
      <c r="AQ1663" s="28"/>
      <c r="AR1663" s="28"/>
      <c r="AS1663" s="28"/>
      <c r="AT1663" s="28"/>
      <c r="AU1663" s="28"/>
      <c r="AV1663" s="28">
        <f>1285+381</f>
        <v>1666</v>
      </c>
      <c r="AW1663" s="28"/>
      <c r="AX1663" s="28"/>
      <c r="AY1663" s="28"/>
      <c r="AZ1663" s="28"/>
      <c r="BA1663" s="28"/>
      <c r="BB1663" s="28">
        <f>892+219</f>
        <v>1111</v>
      </c>
      <c r="BC1663" s="229">
        <f t="shared" si="685"/>
        <v>0</v>
      </c>
      <c r="BD1663" s="48">
        <f t="shared" si="686"/>
        <v>6601</v>
      </c>
      <c r="BE1663" s="19">
        <v>4594</v>
      </c>
      <c r="BF1663" s="229">
        <f t="shared" si="687"/>
        <v>0</v>
      </c>
      <c r="BG1663" s="210">
        <f t="shared" si="688"/>
        <v>6607</v>
      </c>
      <c r="BH1663" s="210">
        <f t="shared" si="689"/>
        <v>4595</v>
      </c>
      <c r="BI1663" s="213">
        <f t="shared" si="690"/>
        <v>143.78672470076171</v>
      </c>
      <c r="BJ1663" s="141"/>
      <c r="BK1663" s="201"/>
      <c r="BL1663" s="4"/>
      <c r="BM1663" s="4"/>
    </row>
    <row r="1664" spans="1:65" s="38" customFormat="1" ht="18" customHeight="1">
      <c r="A1664" s="114">
        <v>8</v>
      </c>
      <c r="B1664" s="24" t="s">
        <v>672</v>
      </c>
      <c r="C1664" s="25" t="s">
        <v>673</v>
      </c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229">
        <f t="shared" si="683"/>
        <v>0</v>
      </c>
      <c r="AC1664" s="228">
        <f t="shared" si="684"/>
        <v>0</v>
      </c>
      <c r="AD1664" s="19">
        <v>0</v>
      </c>
      <c r="AE1664" s="28"/>
      <c r="AF1664" s="28"/>
      <c r="AG1664" s="28"/>
      <c r="AH1664" s="28"/>
      <c r="AI1664" s="28"/>
      <c r="AJ1664" s="28">
        <f>1829+427+40</f>
        <v>2296</v>
      </c>
      <c r="AK1664" s="28"/>
      <c r="AL1664" s="28"/>
      <c r="AM1664" s="28"/>
      <c r="AN1664" s="28"/>
      <c r="AO1664" s="28"/>
      <c r="AP1664" s="28">
        <f>1824+356+22</f>
        <v>2202</v>
      </c>
      <c r="AQ1664" s="28"/>
      <c r="AR1664" s="28"/>
      <c r="AS1664" s="28"/>
      <c r="AT1664" s="28"/>
      <c r="AU1664" s="28"/>
      <c r="AV1664" s="28">
        <f>1680+353</f>
        <v>2033</v>
      </c>
      <c r="AW1664" s="28"/>
      <c r="AX1664" s="28"/>
      <c r="AY1664" s="28"/>
      <c r="AZ1664" s="28"/>
      <c r="BA1664" s="28"/>
      <c r="BB1664" s="28">
        <f>1206+273</f>
        <v>1479</v>
      </c>
      <c r="BC1664" s="229">
        <f t="shared" si="685"/>
        <v>0</v>
      </c>
      <c r="BD1664" s="48">
        <f t="shared" si="686"/>
        <v>8010</v>
      </c>
      <c r="BE1664" s="19">
        <v>6995</v>
      </c>
      <c r="BF1664" s="229">
        <f t="shared" si="687"/>
        <v>0</v>
      </c>
      <c r="BG1664" s="210">
        <f t="shared" si="688"/>
        <v>8010</v>
      </c>
      <c r="BH1664" s="210">
        <f t="shared" si="689"/>
        <v>6995</v>
      </c>
      <c r="BI1664" s="213">
        <f t="shared" si="690"/>
        <v>114.51036454610437</v>
      </c>
      <c r="BJ1664" s="141"/>
      <c r="BK1664" s="201"/>
      <c r="BL1664" s="4"/>
      <c r="BM1664" s="4"/>
    </row>
    <row r="1665" spans="1:65" s="38" customFormat="1" ht="18" customHeight="1">
      <c r="A1665" s="114">
        <v>9</v>
      </c>
      <c r="B1665" s="24" t="s">
        <v>565</v>
      </c>
      <c r="C1665" s="25" t="s">
        <v>566</v>
      </c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229">
        <f t="shared" si="683"/>
        <v>0</v>
      </c>
      <c r="AC1665" s="228">
        <f t="shared" si="684"/>
        <v>0</v>
      </c>
      <c r="AD1665" s="19">
        <v>0</v>
      </c>
      <c r="AE1665" s="28"/>
      <c r="AF1665" s="28"/>
      <c r="AG1665" s="28"/>
      <c r="AH1665" s="28"/>
      <c r="AI1665" s="28"/>
      <c r="AJ1665" s="28">
        <f>2+5</f>
        <v>7</v>
      </c>
      <c r="AK1665" s="28"/>
      <c r="AL1665" s="28"/>
      <c r="AM1665" s="28"/>
      <c r="AN1665" s="28"/>
      <c r="AO1665" s="28"/>
      <c r="AP1665" s="28">
        <f>23+39</f>
        <v>62</v>
      </c>
      <c r="AQ1665" s="28"/>
      <c r="AR1665" s="28"/>
      <c r="AS1665" s="28"/>
      <c r="AT1665" s="28"/>
      <c r="AU1665" s="28"/>
      <c r="AV1665" s="28">
        <f>8+15</f>
        <v>23</v>
      </c>
      <c r="AW1665" s="28"/>
      <c r="AX1665" s="28"/>
      <c r="AY1665" s="28"/>
      <c r="AZ1665" s="28"/>
      <c r="BA1665" s="28"/>
      <c r="BB1665" s="28">
        <v>28</v>
      </c>
      <c r="BC1665" s="229">
        <f t="shared" si="685"/>
        <v>0</v>
      </c>
      <c r="BD1665" s="48">
        <f t="shared" si="686"/>
        <v>120</v>
      </c>
      <c r="BE1665" s="19">
        <v>232</v>
      </c>
      <c r="BF1665" s="229">
        <f t="shared" si="687"/>
        <v>0</v>
      </c>
      <c r="BG1665" s="210">
        <f t="shared" si="688"/>
        <v>120</v>
      </c>
      <c r="BH1665" s="210">
        <f t="shared" si="689"/>
        <v>232</v>
      </c>
      <c r="BI1665" s="213">
        <f t="shared" si="690"/>
        <v>51.724137931034484</v>
      </c>
      <c r="BJ1665" s="141"/>
      <c r="BK1665" s="201"/>
      <c r="BL1665" s="4"/>
      <c r="BM1665" s="4"/>
    </row>
    <row r="1666" spans="1:65" s="38" customFormat="1" ht="18" customHeight="1">
      <c r="A1666" s="114">
        <v>10</v>
      </c>
      <c r="B1666" s="24" t="s">
        <v>707</v>
      </c>
      <c r="C1666" s="25" t="s">
        <v>708</v>
      </c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229">
        <f t="shared" si="683"/>
        <v>0</v>
      </c>
      <c r="AC1666" s="228">
        <f t="shared" si="684"/>
        <v>0</v>
      </c>
      <c r="AD1666" s="19">
        <v>0</v>
      </c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29">
        <f t="shared" si="685"/>
        <v>0</v>
      </c>
      <c r="BD1666" s="48">
        <f t="shared" si="686"/>
        <v>0</v>
      </c>
      <c r="BE1666" s="19">
        <v>1</v>
      </c>
      <c r="BF1666" s="229">
        <f t="shared" si="687"/>
        <v>0</v>
      </c>
      <c r="BG1666" s="210">
        <f t="shared" si="688"/>
        <v>0</v>
      </c>
      <c r="BH1666" s="210">
        <f t="shared" si="689"/>
        <v>1</v>
      </c>
      <c r="BI1666" s="213">
        <f t="shared" si="690"/>
        <v>0</v>
      </c>
      <c r="BJ1666" s="141"/>
      <c r="BK1666" s="201"/>
      <c r="BL1666" s="4"/>
      <c r="BM1666" s="4"/>
    </row>
    <row r="1667" spans="1:65" s="38" customFormat="1" ht="18" customHeight="1">
      <c r="A1667" s="114">
        <v>11</v>
      </c>
      <c r="B1667" s="24" t="s">
        <v>569</v>
      </c>
      <c r="C1667" s="25" t="s">
        <v>680</v>
      </c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229">
        <f t="shared" si="683"/>
        <v>0</v>
      </c>
      <c r="AC1667" s="228">
        <f t="shared" si="684"/>
        <v>0</v>
      </c>
      <c r="AD1667" s="19">
        <v>0</v>
      </c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29">
        <f t="shared" si="685"/>
        <v>0</v>
      </c>
      <c r="BD1667" s="48">
        <f t="shared" si="686"/>
        <v>0</v>
      </c>
      <c r="BE1667" s="19">
        <v>1</v>
      </c>
      <c r="BF1667" s="229">
        <f t="shared" si="687"/>
        <v>0</v>
      </c>
      <c r="BG1667" s="210">
        <f t="shared" si="688"/>
        <v>0</v>
      </c>
      <c r="BH1667" s="210">
        <f t="shared" si="689"/>
        <v>1</v>
      </c>
      <c r="BI1667" s="213">
        <f t="shared" si="690"/>
        <v>0</v>
      </c>
      <c r="BJ1667" s="141"/>
      <c r="BK1667" s="201"/>
      <c r="BL1667" s="4"/>
      <c r="BM1667" s="4"/>
    </row>
    <row r="1668" spans="1:65" s="38" customFormat="1" ht="18" customHeight="1">
      <c r="A1668" s="114">
        <v>12</v>
      </c>
      <c r="B1668" s="24" t="s">
        <v>571</v>
      </c>
      <c r="C1668" s="25" t="s">
        <v>572</v>
      </c>
      <c r="D1668" s="121"/>
      <c r="E1668" s="121"/>
      <c r="F1668" s="121"/>
      <c r="G1668" s="121"/>
      <c r="H1668" s="121"/>
      <c r="I1668" s="121">
        <v>6</v>
      </c>
      <c r="J1668" s="121"/>
      <c r="K1668" s="121"/>
      <c r="L1668" s="121"/>
      <c r="M1668" s="121"/>
      <c r="N1668" s="121"/>
      <c r="O1668" s="121">
        <v>2</v>
      </c>
      <c r="P1668" s="121"/>
      <c r="Q1668" s="121"/>
      <c r="R1668" s="121"/>
      <c r="S1668" s="121"/>
      <c r="T1668" s="121"/>
      <c r="U1668" s="121">
        <v>7</v>
      </c>
      <c r="V1668" s="121"/>
      <c r="W1668" s="121"/>
      <c r="X1668" s="121"/>
      <c r="Y1668" s="121"/>
      <c r="Z1668" s="121"/>
      <c r="AA1668" s="121">
        <v>2</v>
      </c>
      <c r="AB1668" s="229">
        <f t="shared" si="683"/>
        <v>0</v>
      </c>
      <c r="AC1668" s="228">
        <f t="shared" si="684"/>
        <v>17</v>
      </c>
      <c r="AD1668" s="19">
        <v>48</v>
      </c>
      <c r="AE1668" s="28"/>
      <c r="AF1668" s="28"/>
      <c r="AG1668" s="28"/>
      <c r="AH1668" s="28"/>
      <c r="AI1668" s="28"/>
      <c r="AJ1668" s="28">
        <f>1819+319+30</f>
        <v>2168</v>
      </c>
      <c r="AK1668" s="28"/>
      <c r="AL1668" s="28"/>
      <c r="AM1668" s="28"/>
      <c r="AN1668" s="28"/>
      <c r="AO1668" s="28"/>
      <c r="AP1668" s="28">
        <f>1346+509+17</f>
        <v>1872</v>
      </c>
      <c r="AQ1668" s="28"/>
      <c r="AR1668" s="28"/>
      <c r="AS1668" s="28"/>
      <c r="AT1668" s="28"/>
      <c r="AU1668" s="28"/>
      <c r="AV1668" s="28">
        <f>1099+403</f>
        <v>1502</v>
      </c>
      <c r="AW1668" s="28"/>
      <c r="AX1668" s="28"/>
      <c r="AY1668" s="28"/>
      <c r="AZ1668" s="28"/>
      <c r="BA1668" s="28"/>
      <c r="BB1668" s="28">
        <f>737+219</f>
        <v>956</v>
      </c>
      <c r="BC1668" s="229">
        <f t="shared" si="685"/>
        <v>0</v>
      </c>
      <c r="BD1668" s="48">
        <f t="shared" si="686"/>
        <v>6498</v>
      </c>
      <c r="BE1668" s="19">
        <v>4695</v>
      </c>
      <c r="BF1668" s="229">
        <f t="shared" si="687"/>
        <v>0</v>
      </c>
      <c r="BG1668" s="210">
        <f t="shared" si="688"/>
        <v>6515</v>
      </c>
      <c r="BH1668" s="210">
        <f t="shared" si="689"/>
        <v>4743</v>
      </c>
      <c r="BI1668" s="213">
        <f t="shared" si="690"/>
        <v>137.36032047227494</v>
      </c>
      <c r="BJ1668" s="141"/>
      <c r="BK1668" s="201"/>
      <c r="BL1668" s="4"/>
      <c r="BM1668" s="4"/>
    </row>
    <row r="1669" spans="1:65" s="38" customFormat="1" ht="18" customHeight="1">
      <c r="A1669" s="114">
        <v>13</v>
      </c>
      <c r="B1669" s="24" t="s">
        <v>573</v>
      </c>
      <c r="C1669" s="25" t="s">
        <v>574</v>
      </c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229">
        <f t="shared" si="683"/>
        <v>0</v>
      </c>
      <c r="AC1669" s="228">
        <f t="shared" si="684"/>
        <v>0</v>
      </c>
      <c r="AD1669" s="19">
        <v>0</v>
      </c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29">
        <f t="shared" si="685"/>
        <v>0</v>
      </c>
      <c r="BD1669" s="48">
        <f t="shared" si="686"/>
        <v>0</v>
      </c>
      <c r="BE1669" s="19">
        <v>1</v>
      </c>
      <c r="BF1669" s="229">
        <f t="shared" si="687"/>
        <v>0</v>
      </c>
      <c r="BG1669" s="210">
        <f t="shared" si="688"/>
        <v>0</v>
      </c>
      <c r="BH1669" s="210">
        <f t="shared" si="689"/>
        <v>1</v>
      </c>
      <c r="BI1669" s="213">
        <f t="shared" si="690"/>
        <v>0</v>
      </c>
      <c r="BJ1669" s="141"/>
      <c r="BK1669" s="201"/>
      <c r="BL1669" s="4"/>
      <c r="BM1669" s="4"/>
    </row>
    <row r="1670" spans="1:65" s="38" customFormat="1" ht="18" customHeight="1">
      <c r="A1670" s="114">
        <v>14</v>
      </c>
      <c r="B1670" s="24" t="s">
        <v>584</v>
      </c>
      <c r="C1670" s="25" t="s">
        <v>2603</v>
      </c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229">
        <f t="shared" si="683"/>
        <v>0</v>
      </c>
      <c r="AC1670" s="228">
        <f t="shared" si="684"/>
        <v>0</v>
      </c>
      <c r="AD1670" s="19">
        <v>0</v>
      </c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29">
        <f t="shared" si="685"/>
        <v>0</v>
      </c>
      <c r="BD1670" s="48">
        <f t="shared" si="686"/>
        <v>0</v>
      </c>
      <c r="BE1670" s="19">
        <v>8</v>
      </c>
      <c r="BF1670" s="229">
        <f t="shared" si="687"/>
        <v>0</v>
      </c>
      <c r="BG1670" s="210">
        <f t="shared" si="688"/>
        <v>0</v>
      </c>
      <c r="BH1670" s="210">
        <f t="shared" si="689"/>
        <v>8</v>
      </c>
      <c r="BI1670" s="213">
        <f t="shared" si="690"/>
        <v>0</v>
      </c>
      <c r="BJ1670" s="141"/>
      <c r="BK1670" s="201"/>
      <c r="BL1670" s="4"/>
      <c r="BM1670" s="4"/>
    </row>
    <row r="1671" spans="1:65" s="38" customFormat="1" ht="18" customHeight="1">
      <c r="A1671" s="114">
        <v>15</v>
      </c>
      <c r="B1671" s="24" t="s">
        <v>585</v>
      </c>
      <c r="C1671" s="25" t="s">
        <v>586</v>
      </c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229">
        <f t="shared" si="683"/>
        <v>0</v>
      </c>
      <c r="AC1671" s="228">
        <f t="shared" si="684"/>
        <v>0</v>
      </c>
      <c r="AD1671" s="19">
        <v>0</v>
      </c>
      <c r="AE1671" s="28"/>
      <c r="AF1671" s="28"/>
      <c r="AG1671" s="28"/>
      <c r="AH1671" s="28"/>
      <c r="AI1671" s="28"/>
      <c r="AJ1671" s="28">
        <f>153+90</f>
        <v>243</v>
      </c>
      <c r="AK1671" s="28"/>
      <c r="AL1671" s="28"/>
      <c r="AM1671" s="28"/>
      <c r="AN1671" s="28"/>
      <c r="AO1671" s="28"/>
      <c r="AP1671" s="28">
        <f>120+158+8</f>
        <v>286</v>
      </c>
      <c r="AQ1671" s="28"/>
      <c r="AR1671" s="28"/>
      <c r="AS1671" s="28"/>
      <c r="AT1671" s="28"/>
      <c r="AU1671" s="28"/>
      <c r="AV1671" s="28">
        <f>228+134</f>
        <v>362</v>
      </c>
      <c r="AW1671" s="28"/>
      <c r="AX1671" s="28"/>
      <c r="AY1671" s="28"/>
      <c r="AZ1671" s="28"/>
      <c r="BA1671" s="28"/>
      <c r="BB1671" s="28">
        <f>145+29</f>
        <v>174</v>
      </c>
      <c r="BC1671" s="229">
        <f t="shared" si="685"/>
        <v>0</v>
      </c>
      <c r="BD1671" s="48">
        <f t="shared" si="686"/>
        <v>1065</v>
      </c>
      <c r="BE1671" s="19">
        <v>1998</v>
      </c>
      <c r="BF1671" s="229">
        <f t="shared" si="687"/>
        <v>0</v>
      </c>
      <c r="BG1671" s="210">
        <f t="shared" si="688"/>
        <v>1065</v>
      </c>
      <c r="BH1671" s="210">
        <f t="shared" si="689"/>
        <v>1998</v>
      </c>
      <c r="BI1671" s="213">
        <f t="shared" si="690"/>
        <v>53.303303303303309</v>
      </c>
      <c r="BJ1671" s="141"/>
      <c r="BK1671" s="201"/>
      <c r="BL1671" s="4"/>
      <c r="BM1671" s="4"/>
    </row>
    <row r="1672" spans="1:65" s="38" customFormat="1" ht="18" customHeight="1">
      <c r="A1672" s="114">
        <v>16</v>
      </c>
      <c r="B1672" s="24" t="s">
        <v>593</v>
      </c>
      <c r="C1672" s="25" t="s">
        <v>755</v>
      </c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229">
        <f t="shared" si="683"/>
        <v>0</v>
      </c>
      <c r="AC1672" s="228">
        <f t="shared" si="684"/>
        <v>0</v>
      </c>
      <c r="AD1672" s="19">
        <v>0</v>
      </c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29">
        <f t="shared" si="685"/>
        <v>0</v>
      </c>
      <c r="BD1672" s="48">
        <f t="shared" si="686"/>
        <v>0</v>
      </c>
      <c r="BE1672" s="19">
        <v>1</v>
      </c>
      <c r="BF1672" s="229">
        <f t="shared" si="687"/>
        <v>0</v>
      </c>
      <c r="BG1672" s="210">
        <f t="shared" si="688"/>
        <v>0</v>
      </c>
      <c r="BH1672" s="210">
        <f t="shared" si="689"/>
        <v>1</v>
      </c>
      <c r="BI1672" s="213">
        <f t="shared" si="690"/>
        <v>0</v>
      </c>
      <c r="BJ1672" s="141"/>
      <c r="BK1672" s="201"/>
      <c r="BL1672" s="4"/>
      <c r="BM1672" s="4"/>
    </row>
    <row r="1673" spans="1:65" s="38" customFormat="1" ht="18" customHeight="1">
      <c r="A1673" s="114">
        <v>17</v>
      </c>
      <c r="B1673" s="24" t="s">
        <v>826</v>
      </c>
      <c r="C1673" s="25" t="s">
        <v>827</v>
      </c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229">
        <f t="shared" si="683"/>
        <v>0</v>
      </c>
      <c r="AC1673" s="228">
        <f t="shared" si="684"/>
        <v>0</v>
      </c>
      <c r="AD1673" s="19">
        <v>0</v>
      </c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29">
        <f t="shared" si="685"/>
        <v>0</v>
      </c>
      <c r="BD1673" s="48">
        <f t="shared" si="686"/>
        <v>0</v>
      </c>
      <c r="BE1673" s="19">
        <v>1</v>
      </c>
      <c r="BF1673" s="229">
        <f t="shared" si="687"/>
        <v>0</v>
      </c>
      <c r="BG1673" s="210">
        <f t="shared" si="688"/>
        <v>0</v>
      </c>
      <c r="BH1673" s="210">
        <f t="shared" si="689"/>
        <v>1</v>
      </c>
      <c r="BI1673" s="213">
        <f t="shared" si="690"/>
        <v>0</v>
      </c>
      <c r="BJ1673" s="141"/>
      <c r="BK1673" s="201"/>
      <c r="BL1673" s="4"/>
      <c r="BM1673" s="4"/>
    </row>
    <row r="1674" spans="1:65" s="38" customFormat="1" ht="18" customHeight="1">
      <c r="A1674" s="114">
        <v>18</v>
      </c>
      <c r="B1674" s="24" t="s">
        <v>596</v>
      </c>
      <c r="C1674" s="25" t="s">
        <v>828</v>
      </c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229">
        <f t="shared" si="683"/>
        <v>0</v>
      </c>
      <c r="AC1674" s="228">
        <f t="shared" si="684"/>
        <v>0</v>
      </c>
      <c r="AD1674" s="19">
        <v>0</v>
      </c>
      <c r="AE1674" s="28"/>
      <c r="AF1674" s="28"/>
      <c r="AG1674" s="28"/>
      <c r="AH1674" s="28"/>
      <c r="AI1674" s="28"/>
      <c r="AJ1674" s="28">
        <f>210+25+9</f>
        <v>244</v>
      </c>
      <c r="AK1674" s="28"/>
      <c r="AL1674" s="28"/>
      <c r="AM1674" s="28"/>
      <c r="AN1674" s="28"/>
      <c r="AO1674" s="28"/>
      <c r="AP1674" s="28">
        <f>224+29+5</f>
        <v>258</v>
      </c>
      <c r="AQ1674" s="28"/>
      <c r="AR1674" s="28"/>
      <c r="AS1674" s="28"/>
      <c r="AT1674" s="28"/>
      <c r="AU1674" s="28"/>
      <c r="AV1674" s="28">
        <f>184+20</f>
        <v>204</v>
      </c>
      <c r="AW1674" s="28"/>
      <c r="AX1674" s="28"/>
      <c r="AY1674" s="28"/>
      <c r="AZ1674" s="28"/>
      <c r="BA1674" s="28"/>
      <c r="BB1674" s="28">
        <f>157+13</f>
        <v>170</v>
      </c>
      <c r="BC1674" s="229">
        <f t="shared" si="685"/>
        <v>0</v>
      </c>
      <c r="BD1674" s="48">
        <f t="shared" si="686"/>
        <v>876</v>
      </c>
      <c r="BE1674" s="19">
        <v>794</v>
      </c>
      <c r="BF1674" s="229">
        <f t="shared" si="687"/>
        <v>0</v>
      </c>
      <c r="BG1674" s="210">
        <f t="shared" si="688"/>
        <v>876</v>
      </c>
      <c r="BH1674" s="210">
        <f t="shared" si="689"/>
        <v>794</v>
      </c>
      <c r="BI1674" s="213">
        <f t="shared" si="690"/>
        <v>110.32745591939546</v>
      </c>
      <c r="BJ1674" s="141"/>
      <c r="BK1674" s="201"/>
      <c r="BL1674" s="4"/>
      <c r="BM1674" s="4"/>
    </row>
    <row r="1675" spans="1:65" s="38" customFormat="1" ht="18" customHeight="1">
      <c r="A1675" s="114">
        <v>19</v>
      </c>
      <c r="B1675" s="24" t="s">
        <v>622</v>
      </c>
      <c r="C1675" s="25" t="s">
        <v>623</v>
      </c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229">
        <f t="shared" si="683"/>
        <v>0</v>
      </c>
      <c r="AC1675" s="228">
        <f t="shared" si="684"/>
        <v>0</v>
      </c>
      <c r="AD1675" s="19">
        <v>0</v>
      </c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29">
        <f t="shared" si="685"/>
        <v>0</v>
      </c>
      <c r="BD1675" s="48">
        <f t="shared" si="686"/>
        <v>0</v>
      </c>
      <c r="BE1675" s="19">
        <v>1</v>
      </c>
      <c r="BF1675" s="229">
        <f t="shared" si="687"/>
        <v>0</v>
      </c>
      <c r="BG1675" s="210">
        <f t="shared" si="688"/>
        <v>0</v>
      </c>
      <c r="BH1675" s="210">
        <f t="shared" si="689"/>
        <v>1</v>
      </c>
      <c r="BI1675" s="213">
        <f t="shared" si="690"/>
        <v>0</v>
      </c>
      <c r="BJ1675" s="141"/>
      <c r="BK1675" s="201"/>
      <c r="BL1675" s="4"/>
      <c r="BM1675" s="4"/>
    </row>
    <row r="1676" spans="1:65" s="38" customFormat="1" ht="18" customHeight="1">
      <c r="A1676" s="114">
        <v>20</v>
      </c>
      <c r="B1676" s="24" t="s">
        <v>1112</v>
      </c>
      <c r="C1676" s="25" t="s">
        <v>3050</v>
      </c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229"/>
      <c r="AC1676" s="228">
        <f t="shared" ref="AC1676:AC1707" si="691">E1676+G1676+I1676+K1676+M1676+O1676+Q1676+S1676+U1676+W1676+Y1676+AA1676</f>
        <v>0</v>
      </c>
      <c r="AD1676" s="19">
        <v>0</v>
      </c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>
        <v>1</v>
      </c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29"/>
      <c r="BD1676" s="48">
        <f t="shared" ref="BD1676:BD1707" si="692">AF1676+AH1676+AJ1676+AL1676+AN1676+AP1676+AR1676+AT1676+AV1676+AX1676+AZ1676+BB1676</f>
        <v>1</v>
      </c>
      <c r="BE1676" s="19">
        <v>0</v>
      </c>
      <c r="BF1676" s="229"/>
      <c r="BG1676" s="210">
        <f t="shared" ref="BG1676:BG1707" si="693">AC1676+BD1676</f>
        <v>1</v>
      </c>
      <c r="BH1676" s="210">
        <f t="shared" ref="BH1676:BH1707" si="694">AD1676+BE1676</f>
        <v>0</v>
      </c>
      <c r="BI1676" s="213" t="e">
        <f t="shared" si="690"/>
        <v>#DIV/0!</v>
      </c>
      <c r="BJ1676" s="141"/>
      <c r="BK1676" s="201"/>
      <c r="BL1676" s="4"/>
      <c r="BM1676" s="4"/>
    </row>
    <row r="1677" spans="1:65" s="38" customFormat="1" ht="21.95" customHeight="1">
      <c r="A1677" s="114">
        <v>21</v>
      </c>
      <c r="B1677" s="24" t="s">
        <v>626</v>
      </c>
      <c r="C1677" s="25" t="s">
        <v>627</v>
      </c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229">
        <f t="shared" ref="AB1677:AB1708" si="695">D1677+F1677+H1677+J1677+L1677+N1677+P1677+R1677+T1677+V1677+X1677+Z1677</f>
        <v>0</v>
      </c>
      <c r="AC1677" s="228">
        <f t="shared" si="691"/>
        <v>0</v>
      </c>
      <c r="AD1677" s="19">
        <v>0</v>
      </c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29">
        <f t="shared" ref="BC1677:BC1708" si="696">AE1677+AG1677+AI1677+AK1677+AM1677+AO1677+AQ1677+AS1677+AU1677+AW1677+AY1677+BA1677</f>
        <v>0</v>
      </c>
      <c r="BD1677" s="48">
        <f t="shared" si="692"/>
        <v>0</v>
      </c>
      <c r="BE1677" s="19">
        <v>1</v>
      </c>
      <c r="BF1677" s="229">
        <f t="shared" ref="BF1677:BF1708" si="697">AB1677+BC1677</f>
        <v>0</v>
      </c>
      <c r="BG1677" s="210">
        <f t="shared" si="693"/>
        <v>0</v>
      </c>
      <c r="BH1677" s="210">
        <f t="shared" si="694"/>
        <v>1</v>
      </c>
      <c r="BI1677" s="213">
        <f t="shared" si="690"/>
        <v>0</v>
      </c>
      <c r="BJ1677" s="141"/>
      <c r="BK1677" s="201"/>
      <c r="BL1677" s="4"/>
      <c r="BM1677" s="4"/>
    </row>
    <row r="1678" spans="1:65" s="38" customFormat="1" ht="18" customHeight="1">
      <c r="A1678" s="114">
        <v>22</v>
      </c>
      <c r="B1678" s="24" t="s">
        <v>628</v>
      </c>
      <c r="C1678" s="25" t="s">
        <v>629</v>
      </c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229">
        <f t="shared" si="695"/>
        <v>0</v>
      </c>
      <c r="AC1678" s="228">
        <f t="shared" si="691"/>
        <v>0</v>
      </c>
      <c r="AD1678" s="19">
        <v>0</v>
      </c>
      <c r="AE1678" s="28"/>
      <c r="AF1678" s="28"/>
      <c r="AG1678" s="28"/>
      <c r="AH1678" s="28"/>
      <c r="AI1678" s="28"/>
      <c r="AJ1678" s="28">
        <f>1291+276+34</f>
        <v>1601</v>
      </c>
      <c r="AK1678" s="28"/>
      <c r="AL1678" s="28"/>
      <c r="AM1678" s="28"/>
      <c r="AN1678" s="28"/>
      <c r="AO1678" s="28"/>
      <c r="AP1678" s="28">
        <f>1444+368+19</f>
        <v>1831</v>
      </c>
      <c r="AQ1678" s="28"/>
      <c r="AR1678" s="28"/>
      <c r="AS1678" s="28"/>
      <c r="AT1678" s="28"/>
      <c r="AU1678" s="28"/>
      <c r="AV1678" s="28">
        <f>1869+377</f>
        <v>2246</v>
      </c>
      <c r="AW1678" s="28"/>
      <c r="AX1678" s="28"/>
      <c r="AY1678" s="28"/>
      <c r="AZ1678" s="28"/>
      <c r="BA1678" s="28"/>
      <c r="BB1678" s="28">
        <f>1075+270</f>
        <v>1345</v>
      </c>
      <c r="BC1678" s="229">
        <f t="shared" si="696"/>
        <v>0</v>
      </c>
      <c r="BD1678" s="48">
        <f t="shared" si="692"/>
        <v>7023</v>
      </c>
      <c r="BE1678" s="19">
        <v>4995</v>
      </c>
      <c r="BF1678" s="229">
        <f t="shared" si="697"/>
        <v>0</v>
      </c>
      <c r="BG1678" s="210">
        <f t="shared" si="693"/>
        <v>7023</v>
      </c>
      <c r="BH1678" s="210">
        <f t="shared" si="694"/>
        <v>4995</v>
      </c>
      <c r="BI1678" s="213">
        <f t="shared" si="690"/>
        <v>140.60060060060061</v>
      </c>
      <c r="BJ1678" s="141"/>
      <c r="BK1678" s="201"/>
      <c r="BL1678" s="4"/>
      <c r="BM1678" s="4"/>
    </row>
    <row r="1679" spans="1:65" s="38" customFormat="1" ht="18" customHeight="1">
      <c r="A1679" s="114">
        <v>23</v>
      </c>
      <c r="B1679" s="24" t="s">
        <v>630</v>
      </c>
      <c r="C1679" s="25" t="s">
        <v>631</v>
      </c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229">
        <f t="shared" si="695"/>
        <v>0</v>
      </c>
      <c r="AC1679" s="228">
        <f t="shared" si="691"/>
        <v>0</v>
      </c>
      <c r="AD1679" s="19">
        <v>0</v>
      </c>
      <c r="AE1679" s="28"/>
      <c r="AF1679" s="28"/>
      <c r="AG1679" s="28"/>
      <c r="AH1679" s="28"/>
      <c r="AI1679" s="28"/>
      <c r="AJ1679" s="28">
        <f>13+11</f>
        <v>24</v>
      </c>
      <c r="AK1679" s="28"/>
      <c r="AL1679" s="28"/>
      <c r="AM1679" s="28"/>
      <c r="AN1679" s="28"/>
      <c r="AO1679" s="28"/>
      <c r="AP1679" s="28">
        <f>4+1</f>
        <v>5</v>
      </c>
      <c r="AQ1679" s="28"/>
      <c r="AR1679" s="28"/>
      <c r="AS1679" s="28"/>
      <c r="AT1679" s="28"/>
      <c r="AU1679" s="28"/>
      <c r="AV1679" s="28">
        <v>7</v>
      </c>
      <c r="AW1679" s="28"/>
      <c r="AX1679" s="28"/>
      <c r="AY1679" s="28"/>
      <c r="AZ1679" s="28"/>
      <c r="BA1679" s="28"/>
      <c r="BB1679" s="28">
        <v>8</v>
      </c>
      <c r="BC1679" s="229">
        <f t="shared" si="696"/>
        <v>0</v>
      </c>
      <c r="BD1679" s="48">
        <f t="shared" si="692"/>
        <v>44</v>
      </c>
      <c r="BE1679" s="19">
        <v>46</v>
      </c>
      <c r="BF1679" s="229">
        <f t="shared" si="697"/>
        <v>0</v>
      </c>
      <c r="BG1679" s="210">
        <f t="shared" si="693"/>
        <v>44</v>
      </c>
      <c r="BH1679" s="210">
        <f t="shared" si="694"/>
        <v>46</v>
      </c>
      <c r="BI1679" s="213">
        <f t="shared" si="690"/>
        <v>95.652173913043484</v>
      </c>
      <c r="BJ1679" s="141"/>
      <c r="BK1679" s="201"/>
      <c r="BL1679" s="4"/>
      <c r="BM1679" s="4"/>
    </row>
    <row r="1680" spans="1:65" s="38" customFormat="1" ht="18" customHeight="1">
      <c r="A1680" s="114">
        <v>24</v>
      </c>
      <c r="B1680" s="24" t="s">
        <v>632</v>
      </c>
      <c r="C1680" s="25" t="s">
        <v>633</v>
      </c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229">
        <f t="shared" si="695"/>
        <v>0</v>
      </c>
      <c r="AC1680" s="228">
        <f t="shared" si="691"/>
        <v>0</v>
      </c>
      <c r="AD1680" s="19">
        <v>0</v>
      </c>
      <c r="AE1680" s="28"/>
      <c r="AF1680" s="28"/>
      <c r="AG1680" s="28"/>
      <c r="AH1680" s="28"/>
      <c r="AI1680" s="28"/>
      <c r="AJ1680" s="28">
        <f>141+5+18</f>
        <v>164</v>
      </c>
      <c r="AK1680" s="28"/>
      <c r="AL1680" s="28"/>
      <c r="AM1680" s="28"/>
      <c r="AN1680" s="28"/>
      <c r="AO1680" s="28"/>
      <c r="AP1680" s="28">
        <f>75+41</f>
        <v>116</v>
      </c>
      <c r="AQ1680" s="28"/>
      <c r="AR1680" s="28"/>
      <c r="AS1680" s="28"/>
      <c r="AT1680" s="28"/>
      <c r="AU1680" s="28"/>
      <c r="AV1680" s="28">
        <f>91+12</f>
        <v>103</v>
      </c>
      <c r="AW1680" s="28"/>
      <c r="AX1680" s="28"/>
      <c r="AY1680" s="28"/>
      <c r="AZ1680" s="28"/>
      <c r="BA1680" s="28"/>
      <c r="BB1680" s="28">
        <f>83+18</f>
        <v>101</v>
      </c>
      <c r="BC1680" s="229">
        <f t="shared" si="696"/>
        <v>0</v>
      </c>
      <c r="BD1680" s="48">
        <f t="shared" si="692"/>
        <v>484</v>
      </c>
      <c r="BE1680" s="19">
        <v>498</v>
      </c>
      <c r="BF1680" s="229">
        <f t="shared" si="697"/>
        <v>0</v>
      </c>
      <c r="BG1680" s="210">
        <f t="shared" si="693"/>
        <v>484</v>
      </c>
      <c r="BH1680" s="210">
        <f t="shared" si="694"/>
        <v>498</v>
      </c>
      <c r="BI1680" s="213">
        <f t="shared" si="690"/>
        <v>97.188755020080322</v>
      </c>
      <c r="BJ1680" s="141"/>
      <c r="BK1680" s="201"/>
      <c r="BL1680" s="4"/>
      <c r="BM1680" s="4"/>
    </row>
    <row r="1681" spans="1:65" s="38" customFormat="1" ht="18" customHeight="1">
      <c r="A1681" s="114">
        <v>25</v>
      </c>
      <c r="B1681" s="24" t="s">
        <v>634</v>
      </c>
      <c r="C1681" s="25" t="s">
        <v>696</v>
      </c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229">
        <f t="shared" si="695"/>
        <v>0</v>
      </c>
      <c r="AC1681" s="228">
        <f t="shared" si="691"/>
        <v>0</v>
      </c>
      <c r="AD1681" s="19">
        <v>0</v>
      </c>
      <c r="AE1681" s="28"/>
      <c r="AF1681" s="28"/>
      <c r="AG1681" s="28"/>
      <c r="AH1681" s="28"/>
      <c r="AI1681" s="28"/>
      <c r="AJ1681" s="28">
        <f>317+235+1</f>
        <v>553</v>
      </c>
      <c r="AK1681" s="28"/>
      <c r="AL1681" s="28"/>
      <c r="AM1681" s="28"/>
      <c r="AN1681" s="28"/>
      <c r="AO1681" s="28"/>
      <c r="AP1681" s="28">
        <f>401+185+5</f>
        <v>591</v>
      </c>
      <c r="AQ1681" s="28"/>
      <c r="AR1681" s="28"/>
      <c r="AS1681" s="28"/>
      <c r="AT1681" s="28"/>
      <c r="AU1681" s="28"/>
      <c r="AV1681" s="28">
        <f>231+91</f>
        <v>322</v>
      </c>
      <c r="AW1681" s="28"/>
      <c r="AX1681" s="28"/>
      <c r="AY1681" s="28"/>
      <c r="AZ1681" s="28"/>
      <c r="BA1681" s="28"/>
      <c r="BB1681" s="28">
        <f>436+30</f>
        <v>466</v>
      </c>
      <c r="BC1681" s="229">
        <f t="shared" si="696"/>
        <v>0</v>
      </c>
      <c r="BD1681" s="48">
        <f t="shared" si="692"/>
        <v>1932</v>
      </c>
      <c r="BE1681" s="19">
        <v>2194</v>
      </c>
      <c r="BF1681" s="229">
        <f t="shared" si="697"/>
        <v>0</v>
      </c>
      <c r="BG1681" s="210">
        <f t="shared" si="693"/>
        <v>1932</v>
      </c>
      <c r="BH1681" s="210">
        <f t="shared" si="694"/>
        <v>2194</v>
      </c>
      <c r="BI1681" s="213">
        <f t="shared" si="690"/>
        <v>88.058340929808566</v>
      </c>
      <c r="BJ1681" s="141"/>
      <c r="BK1681" s="201"/>
      <c r="BL1681" s="4"/>
      <c r="BM1681" s="4"/>
    </row>
    <row r="1682" spans="1:65" s="38" customFormat="1" ht="18" customHeight="1">
      <c r="A1682" s="114">
        <v>26</v>
      </c>
      <c r="B1682" s="24" t="s">
        <v>1056</v>
      </c>
      <c r="C1682" s="25" t="s">
        <v>1057</v>
      </c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229">
        <f t="shared" si="695"/>
        <v>0</v>
      </c>
      <c r="AC1682" s="228">
        <f t="shared" si="691"/>
        <v>0</v>
      </c>
      <c r="AD1682" s="19">
        <v>0</v>
      </c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29">
        <f t="shared" si="696"/>
        <v>0</v>
      </c>
      <c r="BD1682" s="48">
        <f t="shared" si="692"/>
        <v>0</v>
      </c>
      <c r="BE1682" s="19">
        <v>3</v>
      </c>
      <c r="BF1682" s="229">
        <f t="shared" si="697"/>
        <v>0</v>
      </c>
      <c r="BG1682" s="210">
        <f t="shared" si="693"/>
        <v>0</v>
      </c>
      <c r="BH1682" s="210">
        <f t="shared" si="694"/>
        <v>3</v>
      </c>
      <c r="BI1682" s="213">
        <f t="shared" si="690"/>
        <v>0</v>
      </c>
      <c r="BJ1682" s="141"/>
      <c r="BK1682" s="201"/>
      <c r="BL1682" s="4"/>
      <c r="BM1682" s="4"/>
    </row>
    <row r="1683" spans="1:65" s="38" customFormat="1" ht="18" customHeight="1">
      <c r="A1683" s="114">
        <v>27</v>
      </c>
      <c r="B1683" s="24" t="s">
        <v>636</v>
      </c>
      <c r="C1683" s="25" t="s">
        <v>1058</v>
      </c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229">
        <f t="shared" si="695"/>
        <v>0</v>
      </c>
      <c r="AC1683" s="228">
        <f t="shared" si="691"/>
        <v>0</v>
      </c>
      <c r="AD1683" s="19">
        <v>0</v>
      </c>
      <c r="AE1683" s="28"/>
      <c r="AF1683" s="28"/>
      <c r="AG1683" s="28"/>
      <c r="AH1683" s="28"/>
      <c r="AI1683" s="28"/>
      <c r="AJ1683" s="28">
        <f>6+2+1</f>
        <v>9</v>
      </c>
      <c r="AK1683" s="28"/>
      <c r="AL1683" s="28"/>
      <c r="AM1683" s="28"/>
      <c r="AN1683" s="28"/>
      <c r="AO1683" s="28"/>
      <c r="AP1683" s="28">
        <v>5</v>
      </c>
      <c r="AQ1683" s="28"/>
      <c r="AR1683" s="28"/>
      <c r="AS1683" s="28"/>
      <c r="AT1683" s="28"/>
      <c r="AU1683" s="28"/>
      <c r="AV1683" s="28">
        <v>5</v>
      </c>
      <c r="AW1683" s="28"/>
      <c r="AX1683" s="28"/>
      <c r="AY1683" s="28"/>
      <c r="AZ1683" s="28"/>
      <c r="BA1683" s="28"/>
      <c r="BB1683" s="28">
        <f>4+1</f>
        <v>5</v>
      </c>
      <c r="BC1683" s="229">
        <f t="shared" si="696"/>
        <v>0</v>
      </c>
      <c r="BD1683" s="48">
        <f t="shared" si="692"/>
        <v>24</v>
      </c>
      <c r="BE1683" s="19">
        <v>22</v>
      </c>
      <c r="BF1683" s="229">
        <f t="shared" si="697"/>
        <v>0</v>
      </c>
      <c r="BG1683" s="210">
        <f t="shared" si="693"/>
        <v>24</v>
      </c>
      <c r="BH1683" s="210">
        <f t="shared" si="694"/>
        <v>22</v>
      </c>
      <c r="BI1683" s="213">
        <f t="shared" si="690"/>
        <v>109.09090909090908</v>
      </c>
      <c r="BJ1683" s="141"/>
      <c r="BK1683" s="201"/>
      <c r="BL1683" s="4"/>
      <c r="BM1683" s="4"/>
    </row>
    <row r="1684" spans="1:65" s="38" customFormat="1" ht="18" customHeight="1">
      <c r="A1684" s="114">
        <v>28</v>
      </c>
      <c r="B1684" s="24" t="s">
        <v>643</v>
      </c>
      <c r="C1684" s="25" t="s">
        <v>722</v>
      </c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229">
        <f t="shared" si="695"/>
        <v>0</v>
      </c>
      <c r="AC1684" s="228">
        <f t="shared" si="691"/>
        <v>0</v>
      </c>
      <c r="AD1684" s="19">
        <v>0</v>
      </c>
      <c r="AE1684" s="28"/>
      <c r="AF1684" s="28"/>
      <c r="AG1684" s="28"/>
      <c r="AH1684" s="28"/>
      <c r="AI1684" s="28"/>
      <c r="AJ1684" s="28">
        <f>43+37</f>
        <v>80</v>
      </c>
      <c r="AK1684" s="28"/>
      <c r="AL1684" s="28"/>
      <c r="AM1684" s="28"/>
      <c r="AN1684" s="28"/>
      <c r="AO1684" s="28"/>
      <c r="AP1684" s="28">
        <f>42+7</f>
        <v>49</v>
      </c>
      <c r="AQ1684" s="28"/>
      <c r="AR1684" s="28"/>
      <c r="AS1684" s="28"/>
      <c r="AT1684" s="28"/>
      <c r="AU1684" s="28"/>
      <c r="AV1684" s="28">
        <f>100+24</f>
        <v>124</v>
      </c>
      <c r="AW1684" s="28"/>
      <c r="AX1684" s="28"/>
      <c r="AY1684" s="28"/>
      <c r="AZ1684" s="28"/>
      <c r="BA1684" s="28"/>
      <c r="BB1684" s="28">
        <v>1</v>
      </c>
      <c r="BC1684" s="229">
        <f t="shared" si="696"/>
        <v>0</v>
      </c>
      <c r="BD1684" s="48">
        <f t="shared" si="692"/>
        <v>254</v>
      </c>
      <c r="BE1684" s="19">
        <v>225</v>
      </c>
      <c r="BF1684" s="229">
        <f t="shared" si="697"/>
        <v>0</v>
      </c>
      <c r="BG1684" s="210">
        <f t="shared" si="693"/>
        <v>254</v>
      </c>
      <c r="BH1684" s="210">
        <f t="shared" si="694"/>
        <v>225</v>
      </c>
      <c r="BI1684" s="213">
        <f t="shared" si="690"/>
        <v>112.88888888888889</v>
      </c>
      <c r="BJ1684" s="141"/>
      <c r="BK1684" s="201"/>
      <c r="BL1684" s="4"/>
      <c r="BM1684" s="4"/>
    </row>
    <row r="1685" spans="1:65" s="38" customFormat="1" ht="18" customHeight="1">
      <c r="A1685" s="114">
        <v>29</v>
      </c>
      <c r="B1685" s="24" t="s">
        <v>773</v>
      </c>
      <c r="C1685" s="25" t="s">
        <v>1159</v>
      </c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229">
        <f t="shared" si="695"/>
        <v>0</v>
      </c>
      <c r="AC1685" s="228">
        <f t="shared" si="691"/>
        <v>0</v>
      </c>
      <c r="AD1685" s="19">
        <v>0</v>
      </c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29">
        <f t="shared" si="696"/>
        <v>0</v>
      </c>
      <c r="BD1685" s="48">
        <f t="shared" si="692"/>
        <v>0</v>
      </c>
      <c r="BE1685" s="19">
        <v>1</v>
      </c>
      <c r="BF1685" s="229">
        <f t="shared" si="697"/>
        <v>0</v>
      </c>
      <c r="BG1685" s="210">
        <f t="shared" si="693"/>
        <v>0</v>
      </c>
      <c r="BH1685" s="210">
        <f t="shared" si="694"/>
        <v>1</v>
      </c>
      <c r="BI1685" s="213">
        <f t="shared" si="690"/>
        <v>0</v>
      </c>
      <c r="BJ1685" s="141"/>
      <c r="BK1685" s="201"/>
      <c r="BL1685" s="4"/>
      <c r="BM1685" s="4"/>
    </row>
    <row r="1686" spans="1:65" s="38" customFormat="1" ht="18" customHeight="1">
      <c r="A1686" s="114">
        <v>30</v>
      </c>
      <c r="B1686" s="24" t="s">
        <v>644</v>
      </c>
      <c r="C1686" s="25" t="s">
        <v>645</v>
      </c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229">
        <f t="shared" si="695"/>
        <v>0</v>
      </c>
      <c r="AC1686" s="228">
        <f t="shared" si="691"/>
        <v>0</v>
      </c>
      <c r="AD1686" s="19">
        <v>0</v>
      </c>
      <c r="AE1686" s="28"/>
      <c r="AF1686" s="28"/>
      <c r="AG1686" s="28"/>
      <c r="AH1686" s="28"/>
      <c r="AI1686" s="28"/>
      <c r="AJ1686" s="28">
        <f>54+23</f>
        <v>77</v>
      </c>
      <c r="AK1686" s="28"/>
      <c r="AL1686" s="28"/>
      <c r="AM1686" s="28"/>
      <c r="AN1686" s="28"/>
      <c r="AO1686" s="28"/>
      <c r="AP1686" s="28">
        <f>66+5</f>
        <v>71</v>
      </c>
      <c r="AQ1686" s="28"/>
      <c r="AR1686" s="28"/>
      <c r="AS1686" s="28"/>
      <c r="AT1686" s="28"/>
      <c r="AU1686" s="28"/>
      <c r="AV1686" s="28">
        <f>50+6</f>
        <v>56</v>
      </c>
      <c r="AW1686" s="28"/>
      <c r="AX1686" s="28"/>
      <c r="AY1686" s="28"/>
      <c r="AZ1686" s="28"/>
      <c r="BA1686" s="28"/>
      <c r="BB1686" s="28">
        <f>13+8</f>
        <v>21</v>
      </c>
      <c r="BC1686" s="229">
        <f t="shared" si="696"/>
        <v>0</v>
      </c>
      <c r="BD1686" s="48">
        <f t="shared" si="692"/>
        <v>225</v>
      </c>
      <c r="BE1686" s="19">
        <v>265</v>
      </c>
      <c r="BF1686" s="229">
        <f t="shared" si="697"/>
        <v>0</v>
      </c>
      <c r="BG1686" s="210">
        <f t="shared" si="693"/>
        <v>225</v>
      </c>
      <c r="BH1686" s="210">
        <f t="shared" si="694"/>
        <v>265</v>
      </c>
      <c r="BI1686" s="213">
        <f t="shared" si="690"/>
        <v>84.905660377358487</v>
      </c>
      <c r="BJ1686" s="141"/>
      <c r="BK1686" s="201"/>
      <c r="BL1686" s="4"/>
      <c r="BM1686" s="4"/>
    </row>
    <row r="1687" spans="1:65" s="38" customFormat="1" ht="18" customHeight="1">
      <c r="A1687" s="114">
        <v>31</v>
      </c>
      <c r="B1687" s="24" t="s">
        <v>1011</v>
      </c>
      <c r="C1687" s="25" t="s">
        <v>1596</v>
      </c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229">
        <f t="shared" si="695"/>
        <v>0</v>
      </c>
      <c r="AC1687" s="228">
        <f t="shared" si="691"/>
        <v>0</v>
      </c>
      <c r="AD1687" s="19">
        <v>0</v>
      </c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29">
        <f t="shared" si="696"/>
        <v>0</v>
      </c>
      <c r="BD1687" s="48">
        <f t="shared" si="692"/>
        <v>0</v>
      </c>
      <c r="BE1687" s="19">
        <v>1</v>
      </c>
      <c r="BF1687" s="229">
        <f t="shared" si="697"/>
        <v>0</v>
      </c>
      <c r="BG1687" s="210">
        <f t="shared" si="693"/>
        <v>0</v>
      </c>
      <c r="BH1687" s="210">
        <f t="shared" si="694"/>
        <v>1</v>
      </c>
      <c r="BI1687" s="213">
        <f t="shared" si="690"/>
        <v>0</v>
      </c>
      <c r="BJ1687" s="141"/>
      <c r="BK1687" s="201"/>
      <c r="BL1687" s="4"/>
      <c r="BM1687" s="4"/>
    </row>
    <row r="1688" spans="1:65" s="38" customFormat="1" ht="18" customHeight="1">
      <c r="A1688" s="114">
        <v>32</v>
      </c>
      <c r="B1688" s="24" t="s">
        <v>698</v>
      </c>
      <c r="C1688" s="25" t="s">
        <v>699</v>
      </c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229">
        <f t="shared" si="695"/>
        <v>0</v>
      </c>
      <c r="AC1688" s="228">
        <f t="shared" si="691"/>
        <v>0</v>
      </c>
      <c r="AD1688" s="19">
        <v>0</v>
      </c>
      <c r="AE1688" s="28"/>
      <c r="AF1688" s="28"/>
      <c r="AG1688" s="28"/>
      <c r="AH1688" s="28"/>
      <c r="AI1688" s="28"/>
      <c r="AJ1688" s="28">
        <f>6+7</f>
        <v>13</v>
      </c>
      <c r="AK1688" s="28"/>
      <c r="AL1688" s="28"/>
      <c r="AM1688" s="28"/>
      <c r="AN1688" s="28"/>
      <c r="AO1688" s="28"/>
      <c r="AP1688" s="28">
        <f>10+2</f>
        <v>12</v>
      </c>
      <c r="AQ1688" s="28"/>
      <c r="AR1688" s="28"/>
      <c r="AS1688" s="28"/>
      <c r="AT1688" s="28"/>
      <c r="AU1688" s="28"/>
      <c r="AV1688" s="28">
        <f>6+3</f>
        <v>9</v>
      </c>
      <c r="AW1688" s="28"/>
      <c r="AX1688" s="28"/>
      <c r="AY1688" s="28"/>
      <c r="AZ1688" s="28"/>
      <c r="BA1688" s="28"/>
      <c r="BB1688" s="28">
        <f>2+4</f>
        <v>6</v>
      </c>
      <c r="BC1688" s="229">
        <f t="shared" si="696"/>
        <v>0</v>
      </c>
      <c r="BD1688" s="48">
        <f t="shared" si="692"/>
        <v>40</v>
      </c>
      <c r="BE1688" s="19">
        <v>58</v>
      </c>
      <c r="BF1688" s="229">
        <f t="shared" si="697"/>
        <v>0</v>
      </c>
      <c r="BG1688" s="210">
        <f t="shared" si="693"/>
        <v>40</v>
      </c>
      <c r="BH1688" s="210">
        <f t="shared" si="694"/>
        <v>58</v>
      </c>
      <c r="BI1688" s="213">
        <f t="shared" si="690"/>
        <v>68.965517241379317</v>
      </c>
      <c r="BJ1688" s="141"/>
      <c r="BK1688" s="201"/>
      <c r="BL1688" s="4"/>
      <c r="BM1688" s="4"/>
    </row>
    <row r="1689" spans="1:65" s="38" customFormat="1" ht="18" customHeight="1">
      <c r="A1689" s="114">
        <v>33</v>
      </c>
      <c r="B1689" s="24" t="s">
        <v>648</v>
      </c>
      <c r="C1689" s="25" t="s">
        <v>649</v>
      </c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229">
        <f t="shared" si="695"/>
        <v>0</v>
      </c>
      <c r="AC1689" s="228">
        <f t="shared" si="691"/>
        <v>0</v>
      </c>
      <c r="AD1689" s="19">
        <v>0</v>
      </c>
      <c r="AE1689" s="28"/>
      <c r="AF1689" s="28"/>
      <c r="AG1689" s="28"/>
      <c r="AH1689" s="28"/>
      <c r="AI1689" s="28"/>
      <c r="AJ1689" s="28">
        <v>1</v>
      </c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>
        <f>2+2</f>
        <v>4</v>
      </c>
      <c r="AW1689" s="28"/>
      <c r="AX1689" s="28"/>
      <c r="AY1689" s="28"/>
      <c r="AZ1689" s="28"/>
      <c r="BA1689" s="28"/>
      <c r="BB1689" s="28">
        <v>9</v>
      </c>
      <c r="BC1689" s="229">
        <f t="shared" si="696"/>
        <v>0</v>
      </c>
      <c r="BD1689" s="48">
        <f t="shared" si="692"/>
        <v>14</v>
      </c>
      <c r="BE1689" s="19">
        <v>184</v>
      </c>
      <c r="BF1689" s="229">
        <f t="shared" si="697"/>
        <v>0</v>
      </c>
      <c r="BG1689" s="210">
        <f t="shared" si="693"/>
        <v>14</v>
      </c>
      <c r="BH1689" s="210">
        <f t="shared" si="694"/>
        <v>184</v>
      </c>
      <c r="BI1689" s="213">
        <f t="shared" ref="BI1689:BI1720" si="698">BG1689/BH1689*100</f>
        <v>7.608695652173914</v>
      </c>
      <c r="BJ1689" s="141"/>
      <c r="BK1689" s="201"/>
      <c r="BL1689" s="4"/>
      <c r="BM1689" s="4"/>
    </row>
    <row r="1690" spans="1:65" s="38" customFormat="1" ht="18" customHeight="1">
      <c r="A1690" s="114">
        <v>34</v>
      </c>
      <c r="B1690" s="24" t="s">
        <v>700</v>
      </c>
      <c r="C1690" s="25" t="s">
        <v>845</v>
      </c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229">
        <f t="shared" si="695"/>
        <v>0</v>
      </c>
      <c r="AC1690" s="228">
        <f t="shared" si="691"/>
        <v>0</v>
      </c>
      <c r="AD1690" s="19">
        <v>0</v>
      </c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29">
        <f t="shared" si="696"/>
        <v>0</v>
      </c>
      <c r="BD1690" s="48">
        <f t="shared" si="692"/>
        <v>0</v>
      </c>
      <c r="BE1690" s="19">
        <v>1</v>
      </c>
      <c r="BF1690" s="229">
        <f t="shared" si="697"/>
        <v>0</v>
      </c>
      <c r="BG1690" s="210">
        <f t="shared" si="693"/>
        <v>0</v>
      </c>
      <c r="BH1690" s="210">
        <f t="shared" si="694"/>
        <v>1</v>
      </c>
      <c r="BI1690" s="213">
        <f t="shared" si="698"/>
        <v>0</v>
      </c>
      <c r="BJ1690" s="141"/>
      <c r="BK1690" s="201"/>
      <c r="BL1690" s="4"/>
      <c r="BM1690" s="4"/>
    </row>
    <row r="1691" spans="1:65" s="38" customFormat="1" ht="18" customHeight="1">
      <c r="A1691" s="114">
        <v>35</v>
      </c>
      <c r="B1691" s="24" t="s">
        <v>651</v>
      </c>
      <c r="C1691" s="25" t="s">
        <v>1453</v>
      </c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229">
        <f t="shared" si="695"/>
        <v>0</v>
      </c>
      <c r="AC1691" s="228">
        <f t="shared" si="691"/>
        <v>0</v>
      </c>
      <c r="AD1691" s="19">
        <v>0</v>
      </c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29">
        <f t="shared" si="696"/>
        <v>0</v>
      </c>
      <c r="BD1691" s="48">
        <f t="shared" si="692"/>
        <v>0</v>
      </c>
      <c r="BE1691" s="19">
        <v>1</v>
      </c>
      <c r="BF1691" s="229">
        <f t="shared" si="697"/>
        <v>0</v>
      </c>
      <c r="BG1691" s="210">
        <f t="shared" si="693"/>
        <v>0</v>
      </c>
      <c r="BH1691" s="210">
        <f t="shared" si="694"/>
        <v>1</v>
      </c>
      <c r="BI1691" s="213">
        <f t="shared" si="698"/>
        <v>0</v>
      </c>
      <c r="BJ1691" s="141"/>
      <c r="BK1691" s="201"/>
      <c r="BL1691" s="4"/>
      <c r="BM1691" s="4"/>
    </row>
    <row r="1692" spans="1:65" s="38" customFormat="1" ht="18" customHeight="1">
      <c r="A1692" s="114">
        <v>36</v>
      </c>
      <c r="B1692" s="24" t="s">
        <v>2844</v>
      </c>
      <c r="C1692" s="25" t="s">
        <v>798</v>
      </c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229">
        <f t="shared" si="695"/>
        <v>0</v>
      </c>
      <c r="AC1692" s="228">
        <f t="shared" si="691"/>
        <v>0</v>
      </c>
      <c r="AD1692" s="19">
        <v>0</v>
      </c>
      <c r="AE1692" s="28"/>
      <c r="AF1692" s="28"/>
      <c r="AG1692" s="28"/>
      <c r="AH1692" s="28"/>
      <c r="AI1692" s="28"/>
      <c r="AJ1692" s="28">
        <v>20</v>
      </c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29">
        <f t="shared" si="696"/>
        <v>0</v>
      </c>
      <c r="BD1692" s="48">
        <f t="shared" si="692"/>
        <v>20</v>
      </c>
      <c r="BE1692" s="19">
        <v>0</v>
      </c>
      <c r="BF1692" s="229">
        <f t="shared" si="697"/>
        <v>0</v>
      </c>
      <c r="BG1692" s="210">
        <f t="shared" si="693"/>
        <v>20</v>
      </c>
      <c r="BH1692" s="210">
        <f t="shared" si="694"/>
        <v>0</v>
      </c>
      <c r="BI1692" s="213" t="e">
        <f t="shared" si="698"/>
        <v>#DIV/0!</v>
      </c>
      <c r="BJ1692" s="141"/>
      <c r="BK1692" s="201"/>
      <c r="BL1692" s="4"/>
      <c r="BM1692" s="4"/>
    </row>
    <row r="1693" spans="1:65" s="38" customFormat="1" ht="18" customHeight="1">
      <c r="A1693" s="114">
        <v>37</v>
      </c>
      <c r="B1693" s="24" t="s">
        <v>814</v>
      </c>
      <c r="C1693" s="25" t="s">
        <v>815</v>
      </c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229">
        <f t="shared" si="695"/>
        <v>0</v>
      </c>
      <c r="AC1693" s="228">
        <f t="shared" si="691"/>
        <v>0</v>
      </c>
      <c r="AD1693" s="19">
        <v>0</v>
      </c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29">
        <f t="shared" si="696"/>
        <v>0</v>
      </c>
      <c r="BD1693" s="48">
        <f t="shared" si="692"/>
        <v>0</v>
      </c>
      <c r="BE1693" s="19">
        <v>1</v>
      </c>
      <c r="BF1693" s="229">
        <f t="shared" si="697"/>
        <v>0</v>
      </c>
      <c r="BG1693" s="210">
        <f t="shared" si="693"/>
        <v>0</v>
      </c>
      <c r="BH1693" s="210">
        <f t="shared" si="694"/>
        <v>1</v>
      </c>
      <c r="BI1693" s="213">
        <f t="shared" si="698"/>
        <v>0</v>
      </c>
      <c r="BJ1693" s="141"/>
      <c r="BK1693" s="201"/>
      <c r="BL1693" s="4"/>
      <c r="BM1693" s="4"/>
    </row>
    <row r="1694" spans="1:65" s="38" customFormat="1" ht="18" customHeight="1">
      <c r="A1694" s="114">
        <v>38</v>
      </c>
      <c r="B1694" s="24" t="s">
        <v>703</v>
      </c>
      <c r="C1694" s="25" t="s">
        <v>774</v>
      </c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229">
        <f t="shared" si="695"/>
        <v>0</v>
      </c>
      <c r="AC1694" s="228">
        <f t="shared" si="691"/>
        <v>0</v>
      </c>
      <c r="AD1694" s="19">
        <v>0</v>
      </c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29">
        <f t="shared" si="696"/>
        <v>0</v>
      </c>
      <c r="BD1694" s="48">
        <f t="shared" si="692"/>
        <v>0</v>
      </c>
      <c r="BE1694" s="19">
        <v>1</v>
      </c>
      <c r="BF1694" s="229">
        <f t="shared" si="697"/>
        <v>0</v>
      </c>
      <c r="BG1694" s="210">
        <f t="shared" si="693"/>
        <v>0</v>
      </c>
      <c r="BH1694" s="210">
        <f t="shared" si="694"/>
        <v>1</v>
      </c>
      <c r="BI1694" s="213">
        <f t="shared" si="698"/>
        <v>0</v>
      </c>
      <c r="BJ1694" s="141"/>
      <c r="BK1694" s="201"/>
      <c r="BL1694" s="4"/>
      <c r="BM1694" s="4"/>
    </row>
    <row r="1695" spans="1:65" s="38" customFormat="1" ht="18" customHeight="1">
      <c r="A1695" s="114">
        <v>39</v>
      </c>
      <c r="B1695" s="24" t="s">
        <v>819</v>
      </c>
      <c r="C1695" s="25" t="s">
        <v>993</v>
      </c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229">
        <f t="shared" si="695"/>
        <v>0</v>
      </c>
      <c r="AC1695" s="228">
        <f t="shared" si="691"/>
        <v>0</v>
      </c>
      <c r="AD1695" s="19">
        <v>0</v>
      </c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29">
        <f t="shared" si="696"/>
        <v>0</v>
      </c>
      <c r="BD1695" s="48">
        <f t="shared" si="692"/>
        <v>0</v>
      </c>
      <c r="BE1695" s="19">
        <v>1</v>
      </c>
      <c r="BF1695" s="229">
        <f t="shared" si="697"/>
        <v>0</v>
      </c>
      <c r="BG1695" s="210">
        <f t="shared" si="693"/>
        <v>0</v>
      </c>
      <c r="BH1695" s="210">
        <f t="shared" si="694"/>
        <v>1</v>
      </c>
      <c r="BI1695" s="213">
        <f t="shared" si="698"/>
        <v>0</v>
      </c>
      <c r="BJ1695" s="141"/>
      <c r="BK1695" s="201"/>
      <c r="BL1695" s="4"/>
      <c r="BM1695" s="4"/>
    </row>
    <row r="1696" spans="1:65" s="38" customFormat="1" ht="18" customHeight="1">
      <c r="A1696" s="114">
        <v>40</v>
      </c>
      <c r="B1696" s="24" t="s">
        <v>734</v>
      </c>
      <c r="C1696" s="34" t="s">
        <v>735</v>
      </c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229">
        <f t="shared" si="695"/>
        <v>0</v>
      </c>
      <c r="AC1696" s="228">
        <f t="shared" si="691"/>
        <v>0</v>
      </c>
      <c r="AD1696" s="19">
        <v>0</v>
      </c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29">
        <f t="shared" si="696"/>
        <v>0</v>
      </c>
      <c r="BD1696" s="48">
        <f t="shared" si="692"/>
        <v>0</v>
      </c>
      <c r="BE1696" s="19">
        <v>1</v>
      </c>
      <c r="BF1696" s="229">
        <f t="shared" si="697"/>
        <v>0</v>
      </c>
      <c r="BG1696" s="210">
        <f t="shared" si="693"/>
        <v>0</v>
      </c>
      <c r="BH1696" s="210">
        <f t="shared" si="694"/>
        <v>1</v>
      </c>
      <c r="BI1696" s="213">
        <f t="shared" si="698"/>
        <v>0</v>
      </c>
      <c r="BJ1696" s="141"/>
      <c r="BK1696" s="201"/>
      <c r="BL1696" s="4"/>
      <c r="BM1696" s="4"/>
    </row>
    <row r="1697" spans="1:65" s="38" customFormat="1" ht="18" customHeight="1">
      <c r="A1697" s="114">
        <v>41</v>
      </c>
      <c r="B1697" s="24" t="s">
        <v>797</v>
      </c>
      <c r="C1697" s="25" t="s">
        <v>798</v>
      </c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229">
        <f t="shared" si="695"/>
        <v>0</v>
      </c>
      <c r="AC1697" s="228">
        <f t="shared" si="691"/>
        <v>0</v>
      </c>
      <c r="AD1697" s="19">
        <v>0</v>
      </c>
      <c r="AE1697" s="28"/>
      <c r="AF1697" s="28"/>
      <c r="AG1697" s="28"/>
      <c r="AH1697" s="28"/>
      <c r="AI1697" s="28"/>
      <c r="AJ1697" s="28">
        <v>122</v>
      </c>
      <c r="AK1697" s="28"/>
      <c r="AL1697" s="28"/>
      <c r="AM1697" s="28"/>
      <c r="AN1697" s="28"/>
      <c r="AO1697" s="28"/>
      <c r="AP1697" s="28">
        <f>110+116</f>
        <v>226</v>
      </c>
      <c r="AQ1697" s="28"/>
      <c r="AR1697" s="28"/>
      <c r="AS1697" s="28"/>
      <c r="AT1697" s="28"/>
      <c r="AU1697" s="28"/>
      <c r="AV1697" s="28">
        <f>224+48</f>
        <v>272</v>
      </c>
      <c r="AW1697" s="28"/>
      <c r="AX1697" s="28"/>
      <c r="AY1697" s="28"/>
      <c r="AZ1697" s="28"/>
      <c r="BA1697" s="28"/>
      <c r="BB1697" s="28">
        <f>72+54</f>
        <v>126</v>
      </c>
      <c r="BC1697" s="229">
        <f t="shared" si="696"/>
        <v>0</v>
      </c>
      <c r="BD1697" s="48">
        <f t="shared" si="692"/>
        <v>746</v>
      </c>
      <c r="BE1697" s="19">
        <v>1494</v>
      </c>
      <c r="BF1697" s="229">
        <f t="shared" si="697"/>
        <v>0</v>
      </c>
      <c r="BG1697" s="210">
        <f t="shared" si="693"/>
        <v>746</v>
      </c>
      <c r="BH1697" s="210">
        <f t="shared" si="694"/>
        <v>1494</v>
      </c>
      <c r="BI1697" s="213">
        <f t="shared" si="698"/>
        <v>49.933065595716201</v>
      </c>
      <c r="BJ1697" s="141"/>
      <c r="BK1697" s="201"/>
      <c r="BL1697" s="4"/>
      <c r="BM1697" s="4"/>
    </row>
    <row r="1698" spans="1:65" s="38" customFormat="1" ht="18" customHeight="1">
      <c r="A1698" s="114">
        <v>42</v>
      </c>
      <c r="B1698" s="24" t="s">
        <v>655</v>
      </c>
      <c r="C1698" s="25" t="s">
        <v>997</v>
      </c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229">
        <f t="shared" si="695"/>
        <v>0</v>
      </c>
      <c r="AC1698" s="228">
        <f t="shared" si="691"/>
        <v>0</v>
      </c>
      <c r="AD1698" s="19">
        <v>0</v>
      </c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29">
        <f t="shared" si="696"/>
        <v>0</v>
      </c>
      <c r="BD1698" s="48">
        <f t="shared" si="692"/>
        <v>0</v>
      </c>
      <c r="BE1698" s="19">
        <v>1</v>
      </c>
      <c r="BF1698" s="229">
        <f t="shared" si="697"/>
        <v>0</v>
      </c>
      <c r="BG1698" s="210">
        <f t="shared" si="693"/>
        <v>0</v>
      </c>
      <c r="BH1698" s="210">
        <f t="shared" si="694"/>
        <v>1</v>
      </c>
      <c r="BI1698" s="213">
        <f t="shared" si="698"/>
        <v>0</v>
      </c>
      <c r="BJ1698" s="141"/>
      <c r="BK1698" s="201"/>
      <c r="BL1698" s="4"/>
      <c r="BM1698" s="4"/>
    </row>
    <row r="1699" spans="1:65" s="38" customFormat="1" ht="18" customHeight="1">
      <c r="A1699" s="114">
        <v>43</v>
      </c>
      <c r="B1699" s="24" t="s">
        <v>822</v>
      </c>
      <c r="C1699" s="25" t="s">
        <v>823</v>
      </c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229">
        <f t="shared" si="695"/>
        <v>0</v>
      </c>
      <c r="AC1699" s="228">
        <f t="shared" si="691"/>
        <v>0</v>
      </c>
      <c r="AD1699" s="19">
        <v>0</v>
      </c>
      <c r="AE1699" s="28"/>
      <c r="AF1699" s="28"/>
      <c r="AG1699" s="28"/>
      <c r="AH1699" s="28"/>
      <c r="AI1699" s="28"/>
      <c r="AJ1699" s="28">
        <f>103+16</f>
        <v>119</v>
      </c>
      <c r="AK1699" s="28"/>
      <c r="AL1699" s="28"/>
      <c r="AM1699" s="28"/>
      <c r="AN1699" s="28"/>
      <c r="AO1699" s="28"/>
      <c r="AP1699" s="28">
        <f>9+2+3</f>
        <v>14</v>
      </c>
      <c r="AQ1699" s="28"/>
      <c r="AR1699" s="28"/>
      <c r="AS1699" s="28"/>
      <c r="AT1699" s="28"/>
      <c r="AU1699" s="28"/>
      <c r="AV1699" s="28">
        <f>28+2</f>
        <v>30</v>
      </c>
      <c r="AW1699" s="28"/>
      <c r="AX1699" s="28"/>
      <c r="AY1699" s="28"/>
      <c r="AZ1699" s="28"/>
      <c r="BA1699" s="28"/>
      <c r="BB1699" s="28">
        <v>20</v>
      </c>
      <c r="BC1699" s="229">
        <f t="shared" si="696"/>
        <v>0</v>
      </c>
      <c r="BD1699" s="48">
        <f t="shared" si="692"/>
        <v>183</v>
      </c>
      <c r="BE1699" s="19">
        <v>134</v>
      </c>
      <c r="BF1699" s="229">
        <f t="shared" si="697"/>
        <v>0</v>
      </c>
      <c r="BG1699" s="210">
        <f t="shared" si="693"/>
        <v>183</v>
      </c>
      <c r="BH1699" s="210">
        <f t="shared" si="694"/>
        <v>134</v>
      </c>
      <c r="BI1699" s="213">
        <f t="shared" si="698"/>
        <v>136.56716417910448</v>
      </c>
      <c r="BJ1699" s="141"/>
      <c r="BK1699" s="201"/>
      <c r="BL1699" s="4"/>
      <c r="BM1699" s="4"/>
    </row>
    <row r="1700" spans="1:65" s="38" customFormat="1" ht="21.95" customHeight="1">
      <c r="A1700" s="114">
        <v>44</v>
      </c>
      <c r="B1700" s="24" t="s">
        <v>741</v>
      </c>
      <c r="C1700" s="27" t="s">
        <v>947</v>
      </c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229">
        <f t="shared" si="695"/>
        <v>0</v>
      </c>
      <c r="AC1700" s="228">
        <f t="shared" si="691"/>
        <v>0</v>
      </c>
      <c r="AD1700" s="19">
        <v>0</v>
      </c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29">
        <f t="shared" si="696"/>
        <v>0</v>
      </c>
      <c r="BD1700" s="48">
        <f t="shared" si="692"/>
        <v>0</v>
      </c>
      <c r="BE1700" s="19">
        <v>1</v>
      </c>
      <c r="BF1700" s="229">
        <f t="shared" si="697"/>
        <v>0</v>
      </c>
      <c r="BG1700" s="210">
        <f t="shared" si="693"/>
        <v>0</v>
      </c>
      <c r="BH1700" s="210">
        <f t="shared" si="694"/>
        <v>1</v>
      </c>
      <c r="BI1700" s="213">
        <f t="shared" si="698"/>
        <v>0</v>
      </c>
      <c r="BJ1700" s="141"/>
      <c r="BK1700" s="201"/>
      <c r="BL1700" s="4"/>
      <c r="BM1700" s="4"/>
    </row>
    <row r="1701" spans="1:65" s="38" customFormat="1" ht="21.95" customHeight="1">
      <c r="A1701" s="114">
        <v>45</v>
      </c>
      <c r="B1701" s="24" t="s">
        <v>799</v>
      </c>
      <c r="C1701" s="27" t="s">
        <v>1860</v>
      </c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229">
        <f t="shared" si="695"/>
        <v>0</v>
      </c>
      <c r="AC1701" s="228">
        <f t="shared" si="691"/>
        <v>0</v>
      </c>
      <c r="AD1701" s="19">
        <v>0</v>
      </c>
      <c r="AE1701" s="28"/>
      <c r="AF1701" s="28"/>
      <c r="AG1701" s="28"/>
      <c r="AH1701" s="28"/>
      <c r="AI1701" s="28"/>
      <c r="AJ1701" s="28">
        <v>250</v>
      </c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29">
        <f t="shared" si="696"/>
        <v>0</v>
      </c>
      <c r="BD1701" s="48">
        <f t="shared" si="692"/>
        <v>250</v>
      </c>
      <c r="BE1701" s="19">
        <v>26</v>
      </c>
      <c r="BF1701" s="229">
        <f t="shared" si="697"/>
        <v>0</v>
      </c>
      <c r="BG1701" s="210">
        <f t="shared" si="693"/>
        <v>250</v>
      </c>
      <c r="BH1701" s="210">
        <f t="shared" si="694"/>
        <v>26</v>
      </c>
      <c r="BI1701" s="213">
        <f t="shared" si="698"/>
        <v>961.53846153846155</v>
      </c>
      <c r="BJ1701" s="141"/>
      <c r="BK1701" s="201"/>
      <c r="BL1701" s="4"/>
      <c r="BM1701" s="4"/>
    </row>
    <row r="1702" spans="1:65" s="38" customFormat="1" ht="18" customHeight="1">
      <c r="A1702" s="114">
        <v>46</v>
      </c>
      <c r="B1702" s="24" t="s">
        <v>800</v>
      </c>
      <c r="C1702" s="25" t="s">
        <v>801</v>
      </c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229">
        <f t="shared" si="695"/>
        <v>0</v>
      </c>
      <c r="AC1702" s="228">
        <f t="shared" si="691"/>
        <v>0</v>
      </c>
      <c r="AD1702" s="19">
        <v>0</v>
      </c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29">
        <f t="shared" si="696"/>
        <v>0</v>
      </c>
      <c r="BD1702" s="48">
        <f t="shared" si="692"/>
        <v>0</v>
      </c>
      <c r="BE1702" s="19">
        <v>1</v>
      </c>
      <c r="BF1702" s="229">
        <f t="shared" si="697"/>
        <v>0</v>
      </c>
      <c r="BG1702" s="210">
        <f t="shared" si="693"/>
        <v>0</v>
      </c>
      <c r="BH1702" s="210">
        <f t="shared" si="694"/>
        <v>1</v>
      </c>
      <c r="BI1702" s="213">
        <f t="shared" si="698"/>
        <v>0</v>
      </c>
      <c r="BJ1702" s="141"/>
      <c r="BK1702" s="201"/>
      <c r="BL1702" s="4"/>
      <c r="BM1702" s="4"/>
    </row>
    <row r="1703" spans="1:65" s="38" customFormat="1" ht="18" customHeight="1">
      <c r="A1703" s="114">
        <v>47</v>
      </c>
      <c r="B1703" s="24" t="s">
        <v>902</v>
      </c>
      <c r="C1703" s="25" t="s">
        <v>1372</v>
      </c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229">
        <f t="shared" si="695"/>
        <v>0</v>
      </c>
      <c r="AC1703" s="228">
        <f t="shared" si="691"/>
        <v>0</v>
      </c>
      <c r="AD1703" s="19">
        <v>0</v>
      </c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29">
        <f t="shared" si="696"/>
        <v>0</v>
      </c>
      <c r="BD1703" s="48">
        <f t="shared" si="692"/>
        <v>0</v>
      </c>
      <c r="BE1703" s="19">
        <v>3</v>
      </c>
      <c r="BF1703" s="229">
        <f t="shared" si="697"/>
        <v>0</v>
      </c>
      <c r="BG1703" s="210">
        <f t="shared" si="693"/>
        <v>0</v>
      </c>
      <c r="BH1703" s="210">
        <f t="shared" si="694"/>
        <v>3</v>
      </c>
      <c r="BI1703" s="213">
        <f t="shared" si="698"/>
        <v>0</v>
      </c>
      <c r="BJ1703" s="141"/>
      <c r="BK1703" s="201"/>
      <c r="BL1703" s="4"/>
      <c r="BM1703" s="4"/>
    </row>
    <row r="1704" spans="1:65" s="38" customFormat="1" ht="21.95" customHeight="1">
      <c r="A1704" s="114">
        <v>48</v>
      </c>
      <c r="B1704" s="24" t="s">
        <v>657</v>
      </c>
      <c r="C1704" s="27" t="s">
        <v>1401</v>
      </c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229">
        <f t="shared" si="695"/>
        <v>0</v>
      </c>
      <c r="AC1704" s="228">
        <f t="shared" si="691"/>
        <v>0</v>
      </c>
      <c r="AD1704" s="19">
        <v>0</v>
      </c>
      <c r="AE1704" s="28"/>
      <c r="AF1704" s="28"/>
      <c r="AG1704" s="28"/>
      <c r="AH1704" s="28"/>
      <c r="AI1704" s="28"/>
      <c r="AJ1704" s="28">
        <v>77</v>
      </c>
      <c r="AK1704" s="28"/>
      <c r="AL1704" s="28"/>
      <c r="AM1704" s="28"/>
      <c r="AN1704" s="28"/>
      <c r="AO1704" s="28"/>
      <c r="AP1704" s="28">
        <f>140+49</f>
        <v>189</v>
      </c>
      <c r="AQ1704" s="28"/>
      <c r="AR1704" s="28"/>
      <c r="AS1704" s="28"/>
      <c r="AT1704" s="28"/>
      <c r="AU1704" s="28"/>
      <c r="AV1704" s="28">
        <f>85+57</f>
        <v>142</v>
      </c>
      <c r="AW1704" s="28"/>
      <c r="AX1704" s="28"/>
      <c r="AY1704" s="28"/>
      <c r="AZ1704" s="28"/>
      <c r="BA1704" s="28"/>
      <c r="BB1704" s="28">
        <f>137+18</f>
        <v>155</v>
      </c>
      <c r="BC1704" s="229">
        <f t="shared" si="696"/>
        <v>0</v>
      </c>
      <c r="BD1704" s="48">
        <f t="shared" si="692"/>
        <v>563</v>
      </c>
      <c r="BE1704" s="19">
        <v>786</v>
      </c>
      <c r="BF1704" s="229">
        <f t="shared" si="697"/>
        <v>0</v>
      </c>
      <c r="BG1704" s="210">
        <f t="shared" si="693"/>
        <v>563</v>
      </c>
      <c r="BH1704" s="210">
        <f t="shared" si="694"/>
        <v>786</v>
      </c>
      <c r="BI1704" s="213">
        <f t="shared" si="698"/>
        <v>71.628498727735362</v>
      </c>
      <c r="BJ1704" s="141"/>
      <c r="BK1704" s="201"/>
      <c r="BL1704" s="4"/>
      <c r="BM1704" s="4"/>
    </row>
    <row r="1705" spans="1:65" s="38" customFormat="1" ht="21.95" customHeight="1">
      <c r="A1705" s="114">
        <v>49</v>
      </c>
      <c r="B1705" s="24" t="s">
        <v>742</v>
      </c>
      <c r="C1705" s="27" t="s">
        <v>778</v>
      </c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229">
        <f t="shared" si="695"/>
        <v>0</v>
      </c>
      <c r="AC1705" s="228">
        <f t="shared" si="691"/>
        <v>0</v>
      </c>
      <c r="AD1705" s="19">
        <v>0</v>
      </c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29">
        <f t="shared" si="696"/>
        <v>0</v>
      </c>
      <c r="BD1705" s="48">
        <f t="shared" si="692"/>
        <v>0</v>
      </c>
      <c r="BE1705" s="19">
        <v>1</v>
      </c>
      <c r="BF1705" s="229">
        <f t="shared" si="697"/>
        <v>0</v>
      </c>
      <c r="BG1705" s="210">
        <f t="shared" si="693"/>
        <v>0</v>
      </c>
      <c r="BH1705" s="210">
        <f t="shared" si="694"/>
        <v>1</v>
      </c>
      <c r="BI1705" s="213">
        <f t="shared" si="698"/>
        <v>0</v>
      </c>
      <c r="BJ1705" s="141"/>
      <c r="BK1705" s="201"/>
      <c r="BL1705" s="4"/>
      <c r="BM1705" s="4"/>
    </row>
    <row r="1706" spans="1:65" s="38" customFormat="1" ht="21.95" customHeight="1">
      <c r="A1706" s="114">
        <v>50</v>
      </c>
      <c r="B1706" s="24" t="s">
        <v>802</v>
      </c>
      <c r="C1706" s="25" t="s">
        <v>803</v>
      </c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229">
        <f t="shared" si="695"/>
        <v>0</v>
      </c>
      <c r="AC1706" s="228">
        <f t="shared" si="691"/>
        <v>0</v>
      </c>
      <c r="AD1706" s="19">
        <v>0</v>
      </c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29">
        <f t="shared" si="696"/>
        <v>0</v>
      </c>
      <c r="BD1706" s="48">
        <f t="shared" si="692"/>
        <v>0</v>
      </c>
      <c r="BE1706" s="19">
        <v>1</v>
      </c>
      <c r="BF1706" s="229">
        <f t="shared" si="697"/>
        <v>0</v>
      </c>
      <c r="BG1706" s="210">
        <f t="shared" si="693"/>
        <v>0</v>
      </c>
      <c r="BH1706" s="210">
        <f t="shared" si="694"/>
        <v>1</v>
      </c>
      <c r="BI1706" s="213">
        <f t="shared" si="698"/>
        <v>0</v>
      </c>
      <c r="BJ1706" s="141"/>
      <c r="BK1706" s="201"/>
      <c r="BL1706" s="4"/>
      <c r="BM1706" s="4"/>
    </row>
    <row r="1707" spans="1:65" s="38" customFormat="1" ht="21.95" customHeight="1">
      <c r="A1707" s="114">
        <v>51</v>
      </c>
      <c r="B1707" s="24" t="s">
        <v>658</v>
      </c>
      <c r="C1707" s="25" t="s">
        <v>779</v>
      </c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229">
        <f t="shared" si="695"/>
        <v>0</v>
      </c>
      <c r="AC1707" s="228">
        <f t="shared" si="691"/>
        <v>0</v>
      </c>
      <c r="AD1707" s="19">
        <v>0</v>
      </c>
      <c r="AE1707" s="28"/>
      <c r="AF1707" s="28"/>
      <c r="AG1707" s="28"/>
      <c r="AH1707" s="28"/>
      <c r="AI1707" s="28"/>
      <c r="AJ1707" s="28">
        <f>1344+314+49</f>
        <v>1707</v>
      </c>
      <c r="AK1707" s="28"/>
      <c r="AL1707" s="28"/>
      <c r="AM1707" s="28"/>
      <c r="AN1707" s="28"/>
      <c r="AO1707" s="28"/>
      <c r="AP1707" s="28">
        <f>1322+255+27</f>
        <v>1604</v>
      </c>
      <c r="AQ1707" s="28"/>
      <c r="AR1707" s="28"/>
      <c r="AS1707" s="28"/>
      <c r="AT1707" s="28"/>
      <c r="AU1707" s="28"/>
      <c r="AV1707" s="28">
        <f>1073+278</f>
        <v>1351</v>
      </c>
      <c r="AW1707" s="28"/>
      <c r="AX1707" s="28"/>
      <c r="AY1707" s="28"/>
      <c r="AZ1707" s="28"/>
      <c r="BA1707" s="28"/>
      <c r="BB1707" s="28">
        <f>754+139</f>
        <v>893</v>
      </c>
      <c r="BC1707" s="229">
        <f t="shared" si="696"/>
        <v>0</v>
      </c>
      <c r="BD1707" s="48">
        <f t="shared" si="692"/>
        <v>5555</v>
      </c>
      <c r="BE1707" s="19">
        <v>6797</v>
      </c>
      <c r="BF1707" s="229">
        <f t="shared" si="697"/>
        <v>0</v>
      </c>
      <c r="BG1707" s="210">
        <f t="shared" si="693"/>
        <v>5555</v>
      </c>
      <c r="BH1707" s="210">
        <f t="shared" si="694"/>
        <v>6797</v>
      </c>
      <c r="BI1707" s="213">
        <f t="shared" si="698"/>
        <v>81.727232602618798</v>
      </c>
      <c r="BJ1707" s="141"/>
      <c r="BK1707" s="201"/>
      <c r="BL1707" s="4"/>
      <c r="BM1707" s="4"/>
    </row>
    <row r="1708" spans="1:65" s="38" customFormat="1" ht="18" customHeight="1">
      <c r="A1708" s="114">
        <v>52</v>
      </c>
      <c r="B1708" s="24" t="s">
        <v>780</v>
      </c>
      <c r="C1708" s="25" t="s">
        <v>781</v>
      </c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229">
        <f t="shared" si="695"/>
        <v>0</v>
      </c>
      <c r="AC1708" s="228">
        <f t="shared" ref="AC1708:AC1737" si="699">E1708+G1708+I1708+K1708+M1708+O1708+Q1708+S1708+U1708+W1708+Y1708+AA1708</f>
        <v>0</v>
      </c>
      <c r="AD1708" s="19">
        <v>0</v>
      </c>
      <c r="AE1708" s="28"/>
      <c r="AF1708" s="28"/>
      <c r="AG1708" s="28"/>
      <c r="AH1708" s="28"/>
      <c r="AI1708" s="28"/>
      <c r="AJ1708" s="28">
        <f>480+212+6</f>
        <v>698</v>
      </c>
      <c r="AK1708" s="28"/>
      <c r="AL1708" s="28"/>
      <c r="AM1708" s="28"/>
      <c r="AN1708" s="28"/>
      <c r="AO1708" s="28"/>
      <c r="AP1708" s="28">
        <f>526+170</f>
        <v>696</v>
      </c>
      <c r="AQ1708" s="28"/>
      <c r="AR1708" s="28"/>
      <c r="AS1708" s="28"/>
      <c r="AT1708" s="28"/>
      <c r="AU1708" s="28"/>
      <c r="AV1708" s="28">
        <f>442+136</f>
        <v>578</v>
      </c>
      <c r="AW1708" s="28"/>
      <c r="AX1708" s="28"/>
      <c r="AY1708" s="28"/>
      <c r="AZ1708" s="28"/>
      <c r="BA1708" s="28"/>
      <c r="BB1708" s="28">
        <f>309+134</f>
        <v>443</v>
      </c>
      <c r="BC1708" s="229">
        <f t="shared" si="696"/>
        <v>0</v>
      </c>
      <c r="BD1708" s="48">
        <f t="shared" ref="BD1708:BD1737" si="700">AF1708+AH1708+AJ1708+AL1708+AN1708+AP1708+AR1708+AT1708+AV1708+AX1708+AZ1708+BB1708</f>
        <v>2415</v>
      </c>
      <c r="BE1708" s="19">
        <v>1987</v>
      </c>
      <c r="BF1708" s="229">
        <f t="shared" si="697"/>
        <v>0</v>
      </c>
      <c r="BG1708" s="210">
        <f t="shared" ref="BG1708:BG1737" si="701">AC1708+BD1708</f>
        <v>2415</v>
      </c>
      <c r="BH1708" s="210">
        <f t="shared" ref="BH1708:BH1737" si="702">AD1708+BE1708</f>
        <v>1987</v>
      </c>
      <c r="BI1708" s="213">
        <f t="shared" si="698"/>
        <v>121.54001006542528</v>
      </c>
      <c r="BJ1708" s="141"/>
      <c r="BK1708" s="201"/>
      <c r="BL1708" s="4"/>
      <c r="BM1708" s="4"/>
    </row>
    <row r="1709" spans="1:65" s="38" customFormat="1" ht="18" customHeight="1">
      <c r="A1709" s="114">
        <v>53</v>
      </c>
      <c r="B1709" s="24" t="s">
        <v>804</v>
      </c>
      <c r="C1709" s="25" t="s">
        <v>1386</v>
      </c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229">
        <f t="shared" ref="AB1709:AB1737" si="703">D1709+F1709+H1709+J1709+L1709+N1709+P1709+R1709+T1709+V1709+X1709+Z1709</f>
        <v>0</v>
      </c>
      <c r="AC1709" s="228">
        <f t="shared" si="699"/>
        <v>0</v>
      </c>
      <c r="AD1709" s="19">
        <v>0</v>
      </c>
      <c r="AE1709" s="28"/>
      <c r="AF1709" s="28"/>
      <c r="AG1709" s="28"/>
      <c r="AH1709" s="28"/>
      <c r="AI1709" s="28"/>
      <c r="AJ1709" s="28">
        <f>17+7</f>
        <v>24</v>
      </c>
      <c r="AK1709" s="28"/>
      <c r="AL1709" s="28"/>
      <c r="AM1709" s="28"/>
      <c r="AN1709" s="28"/>
      <c r="AO1709" s="28"/>
      <c r="AP1709" s="28">
        <f>32+7</f>
        <v>39</v>
      </c>
      <c r="AQ1709" s="28"/>
      <c r="AR1709" s="28"/>
      <c r="AS1709" s="28"/>
      <c r="AT1709" s="28"/>
      <c r="AU1709" s="28"/>
      <c r="AV1709" s="28">
        <f>17+6</f>
        <v>23</v>
      </c>
      <c r="AW1709" s="28"/>
      <c r="AX1709" s="28"/>
      <c r="AY1709" s="28"/>
      <c r="AZ1709" s="28"/>
      <c r="BA1709" s="28"/>
      <c r="BB1709" s="28"/>
      <c r="BC1709" s="229">
        <f t="shared" ref="BC1709:BC1737" si="704">AE1709+AG1709+AI1709+AK1709+AM1709+AO1709+AQ1709+AS1709+AU1709+AW1709+AY1709+BA1709</f>
        <v>0</v>
      </c>
      <c r="BD1709" s="48">
        <f t="shared" si="700"/>
        <v>86</v>
      </c>
      <c r="BE1709" s="19">
        <v>168</v>
      </c>
      <c r="BF1709" s="229">
        <f t="shared" ref="BF1709:BF1737" si="705">AB1709+BC1709</f>
        <v>0</v>
      </c>
      <c r="BG1709" s="210">
        <f t="shared" si="701"/>
        <v>86</v>
      </c>
      <c r="BH1709" s="210">
        <f t="shared" si="702"/>
        <v>168</v>
      </c>
      <c r="BI1709" s="213">
        <f t="shared" si="698"/>
        <v>51.19047619047619</v>
      </c>
      <c r="BJ1709" s="141"/>
      <c r="BK1709" s="201"/>
      <c r="BL1709" s="4"/>
      <c r="BM1709" s="4"/>
    </row>
    <row r="1710" spans="1:65" s="38" customFormat="1" ht="18" customHeight="1">
      <c r="A1710" s="114">
        <v>54</v>
      </c>
      <c r="B1710" s="24" t="s">
        <v>903</v>
      </c>
      <c r="C1710" s="25" t="s">
        <v>1165</v>
      </c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229">
        <f t="shared" si="703"/>
        <v>0</v>
      </c>
      <c r="AC1710" s="228">
        <f t="shared" si="699"/>
        <v>0</v>
      </c>
      <c r="AD1710" s="19">
        <v>0</v>
      </c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29">
        <f t="shared" si="704"/>
        <v>0</v>
      </c>
      <c r="BD1710" s="48">
        <f t="shared" si="700"/>
        <v>0</v>
      </c>
      <c r="BE1710" s="19">
        <v>1</v>
      </c>
      <c r="BF1710" s="229">
        <f t="shared" si="705"/>
        <v>0</v>
      </c>
      <c r="BG1710" s="210">
        <f t="shared" si="701"/>
        <v>0</v>
      </c>
      <c r="BH1710" s="210">
        <f t="shared" si="702"/>
        <v>1</v>
      </c>
      <c r="BI1710" s="213">
        <f t="shared" si="698"/>
        <v>0</v>
      </c>
      <c r="BJ1710" s="141"/>
      <c r="BK1710" s="201"/>
      <c r="BL1710" s="4"/>
      <c r="BM1710" s="4"/>
    </row>
    <row r="1711" spans="1:65" s="38" customFormat="1" ht="18" customHeight="1">
      <c r="A1711" s="114">
        <v>55</v>
      </c>
      <c r="B1711" s="24" t="s">
        <v>659</v>
      </c>
      <c r="C1711" s="25" t="s">
        <v>660</v>
      </c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229">
        <f t="shared" si="703"/>
        <v>0</v>
      </c>
      <c r="AC1711" s="228">
        <f t="shared" si="699"/>
        <v>0</v>
      </c>
      <c r="AD1711" s="19">
        <v>0</v>
      </c>
      <c r="AE1711" s="28"/>
      <c r="AF1711" s="28"/>
      <c r="AG1711" s="28"/>
      <c r="AH1711" s="28"/>
      <c r="AI1711" s="28"/>
      <c r="AJ1711" s="28">
        <f>507+92+16</f>
        <v>615</v>
      </c>
      <c r="AK1711" s="28"/>
      <c r="AL1711" s="28"/>
      <c r="AM1711" s="28"/>
      <c r="AN1711" s="28"/>
      <c r="AO1711" s="28"/>
      <c r="AP1711" s="28">
        <f>340+106</f>
        <v>446</v>
      </c>
      <c r="AQ1711" s="28"/>
      <c r="AR1711" s="28"/>
      <c r="AS1711" s="28"/>
      <c r="AT1711" s="28"/>
      <c r="AU1711" s="28"/>
      <c r="AV1711" s="28">
        <f>311+134</f>
        <v>445</v>
      </c>
      <c r="AW1711" s="28"/>
      <c r="AX1711" s="28"/>
      <c r="AY1711" s="28"/>
      <c r="AZ1711" s="28"/>
      <c r="BA1711" s="28"/>
      <c r="BB1711" s="28">
        <f>197+54</f>
        <v>251</v>
      </c>
      <c r="BC1711" s="229">
        <f t="shared" si="704"/>
        <v>0</v>
      </c>
      <c r="BD1711" s="48">
        <f t="shared" si="700"/>
        <v>1757</v>
      </c>
      <c r="BE1711" s="19">
        <v>1928</v>
      </c>
      <c r="BF1711" s="229">
        <f t="shared" si="705"/>
        <v>0</v>
      </c>
      <c r="BG1711" s="210">
        <f t="shared" si="701"/>
        <v>1757</v>
      </c>
      <c r="BH1711" s="210">
        <f t="shared" si="702"/>
        <v>1928</v>
      </c>
      <c r="BI1711" s="213">
        <f t="shared" si="698"/>
        <v>91.130705394190869</v>
      </c>
      <c r="BJ1711" s="141"/>
      <c r="BK1711" s="201"/>
      <c r="BL1711" s="4"/>
      <c r="BM1711" s="4"/>
    </row>
    <row r="1712" spans="1:65" s="38" customFormat="1" ht="21.95" customHeight="1">
      <c r="A1712" s="114">
        <v>56</v>
      </c>
      <c r="B1712" s="24" t="s">
        <v>661</v>
      </c>
      <c r="C1712" s="27" t="s">
        <v>743</v>
      </c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229">
        <f t="shared" si="703"/>
        <v>0</v>
      </c>
      <c r="AC1712" s="228">
        <f t="shared" si="699"/>
        <v>0</v>
      </c>
      <c r="AD1712" s="19">
        <v>1</v>
      </c>
      <c r="AE1712" s="28"/>
      <c r="AF1712" s="28"/>
      <c r="AG1712" s="28"/>
      <c r="AH1712" s="28"/>
      <c r="AI1712" s="28"/>
      <c r="AJ1712" s="28">
        <f>2061+459+62</f>
        <v>2582</v>
      </c>
      <c r="AK1712" s="28"/>
      <c r="AL1712" s="28"/>
      <c r="AM1712" s="28"/>
      <c r="AN1712" s="28"/>
      <c r="AO1712" s="28"/>
      <c r="AP1712" s="28">
        <f>1912+399+27</f>
        <v>2338</v>
      </c>
      <c r="AQ1712" s="28"/>
      <c r="AR1712" s="28"/>
      <c r="AS1712" s="28"/>
      <c r="AT1712" s="28"/>
      <c r="AU1712" s="28"/>
      <c r="AV1712" s="28">
        <f>1807+385</f>
        <v>2192</v>
      </c>
      <c r="AW1712" s="28"/>
      <c r="AX1712" s="28"/>
      <c r="AY1712" s="28"/>
      <c r="AZ1712" s="28"/>
      <c r="BA1712" s="28"/>
      <c r="BB1712" s="28">
        <f>1236+288</f>
        <v>1524</v>
      </c>
      <c r="BC1712" s="229">
        <f t="shared" si="704"/>
        <v>0</v>
      </c>
      <c r="BD1712" s="48">
        <f t="shared" si="700"/>
        <v>8636</v>
      </c>
      <c r="BE1712" s="19">
        <v>7999</v>
      </c>
      <c r="BF1712" s="229">
        <f t="shared" si="705"/>
        <v>0</v>
      </c>
      <c r="BG1712" s="210">
        <f t="shared" si="701"/>
        <v>8636</v>
      </c>
      <c r="BH1712" s="210">
        <f t="shared" si="702"/>
        <v>8000</v>
      </c>
      <c r="BI1712" s="213">
        <f t="shared" si="698"/>
        <v>107.94999999999999</v>
      </c>
      <c r="BJ1712" s="141"/>
      <c r="BK1712" s="201"/>
      <c r="BL1712" s="4"/>
      <c r="BM1712" s="4"/>
    </row>
    <row r="1713" spans="1:65" s="38" customFormat="1" ht="21.95" customHeight="1">
      <c r="A1713" s="114">
        <v>57</v>
      </c>
      <c r="B1713" s="24" t="s">
        <v>784</v>
      </c>
      <c r="C1713" s="27" t="s">
        <v>1369</v>
      </c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229">
        <f t="shared" si="703"/>
        <v>0</v>
      </c>
      <c r="AC1713" s="228">
        <f t="shared" si="699"/>
        <v>0</v>
      </c>
      <c r="AD1713" s="19">
        <v>0</v>
      </c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29">
        <f t="shared" si="704"/>
        <v>0</v>
      </c>
      <c r="BD1713" s="48">
        <f t="shared" si="700"/>
        <v>0</v>
      </c>
      <c r="BE1713" s="19">
        <v>1</v>
      </c>
      <c r="BF1713" s="229">
        <f t="shared" si="705"/>
        <v>0</v>
      </c>
      <c r="BG1713" s="210">
        <f t="shared" si="701"/>
        <v>0</v>
      </c>
      <c r="BH1713" s="210">
        <f t="shared" si="702"/>
        <v>1</v>
      </c>
      <c r="BI1713" s="213">
        <f t="shared" si="698"/>
        <v>0</v>
      </c>
      <c r="BJ1713" s="141"/>
      <c r="BK1713" s="201"/>
      <c r="BL1713" s="4"/>
      <c r="BM1713" s="4"/>
    </row>
    <row r="1714" spans="1:65" s="38" customFormat="1" ht="18" customHeight="1">
      <c r="A1714" s="114">
        <v>58</v>
      </c>
      <c r="B1714" s="24" t="s">
        <v>662</v>
      </c>
      <c r="C1714" s="25" t="s">
        <v>1096</v>
      </c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229">
        <f t="shared" si="703"/>
        <v>0</v>
      </c>
      <c r="AC1714" s="228">
        <f t="shared" si="699"/>
        <v>0</v>
      </c>
      <c r="AD1714" s="19">
        <v>0</v>
      </c>
      <c r="AE1714" s="28"/>
      <c r="AF1714" s="28"/>
      <c r="AG1714" s="28"/>
      <c r="AH1714" s="28"/>
      <c r="AI1714" s="28"/>
      <c r="AJ1714" s="28">
        <f>1195+330+40</f>
        <v>1565</v>
      </c>
      <c r="AK1714" s="28"/>
      <c r="AL1714" s="28"/>
      <c r="AM1714" s="28"/>
      <c r="AN1714" s="28"/>
      <c r="AO1714" s="28"/>
      <c r="AP1714" s="28">
        <f>1268+353+9</f>
        <v>1630</v>
      </c>
      <c r="AQ1714" s="28"/>
      <c r="AR1714" s="28"/>
      <c r="AS1714" s="28"/>
      <c r="AT1714" s="28"/>
      <c r="AU1714" s="28"/>
      <c r="AV1714" s="28">
        <f>871+242</f>
        <v>1113</v>
      </c>
      <c r="AW1714" s="28"/>
      <c r="AX1714" s="28"/>
      <c r="AY1714" s="28"/>
      <c r="AZ1714" s="28"/>
      <c r="BA1714" s="28"/>
      <c r="BB1714" s="28">
        <f>743+138</f>
        <v>881</v>
      </c>
      <c r="BC1714" s="229">
        <f t="shared" si="704"/>
        <v>0</v>
      </c>
      <c r="BD1714" s="48">
        <f t="shared" si="700"/>
        <v>5189</v>
      </c>
      <c r="BE1714" s="19">
        <v>5787</v>
      </c>
      <c r="BF1714" s="229">
        <f t="shared" si="705"/>
        <v>0</v>
      </c>
      <c r="BG1714" s="210">
        <f t="shared" si="701"/>
        <v>5189</v>
      </c>
      <c r="BH1714" s="210">
        <f t="shared" si="702"/>
        <v>5787</v>
      </c>
      <c r="BI1714" s="213">
        <f t="shared" si="698"/>
        <v>89.666493865560739</v>
      </c>
      <c r="BJ1714" s="141"/>
      <c r="BK1714" s="201"/>
      <c r="BL1714" s="4"/>
      <c r="BM1714" s="4"/>
    </row>
    <row r="1715" spans="1:65" s="38" customFormat="1" ht="21.95" customHeight="1">
      <c r="A1715" s="114">
        <v>59</v>
      </c>
      <c r="B1715" s="24" t="s">
        <v>929</v>
      </c>
      <c r="C1715" s="25" t="s">
        <v>2432</v>
      </c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229">
        <f t="shared" si="703"/>
        <v>0</v>
      </c>
      <c r="AC1715" s="228">
        <f t="shared" si="699"/>
        <v>0</v>
      </c>
      <c r="AD1715" s="19">
        <v>0</v>
      </c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29">
        <f t="shared" si="704"/>
        <v>0</v>
      </c>
      <c r="BD1715" s="48">
        <f t="shared" si="700"/>
        <v>0</v>
      </c>
      <c r="BE1715" s="19">
        <v>1</v>
      </c>
      <c r="BF1715" s="229">
        <f t="shared" si="705"/>
        <v>0</v>
      </c>
      <c r="BG1715" s="210">
        <f t="shared" si="701"/>
        <v>0</v>
      </c>
      <c r="BH1715" s="210">
        <f t="shared" si="702"/>
        <v>1</v>
      </c>
      <c r="BI1715" s="213">
        <f t="shared" si="698"/>
        <v>0</v>
      </c>
      <c r="BJ1715" s="141"/>
      <c r="BK1715" s="201"/>
      <c r="BL1715" s="4"/>
      <c r="BM1715" s="4"/>
    </row>
    <row r="1716" spans="1:65" s="38" customFormat="1" ht="18" customHeight="1">
      <c r="A1716" s="114">
        <v>60</v>
      </c>
      <c r="B1716" s="24" t="s">
        <v>1373</v>
      </c>
      <c r="C1716" s="25" t="s">
        <v>1389</v>
      </c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229">
        <f t="shared" si="703"/>
        <v>0</v>
      </c>
      <c r="AC1716" s="228">
        <f t="shared" si="699"/>
        <v>0</v>
      </c>
      <c r="AD1716" s="19">
        <v>0</v>
      </c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29">
        <f t="shared" si="704"/>
        <v>0</v>
      </c>
      <c r="BD1716" s="48">
        <f t="shared" si="700"/>
        <v>0</v>
      </c>
      <c r="BE1716" s="19">
        <v>1</v>
      </c>
      <c r="BF1716" s="229">
        <f t="shared" si="705"/>
        <v>0</v>
      </c>
      <c r="BG1716" s="210">
        <f t="shared" si="701"/>
        <v>0</v>
      </c>
      <c r="BH1716" s="210">
        <f t="shared" si="702"/>
        <v>1</v>
      </c>
      <c r="BI1716" s="213">
        <f t="shared" si="698"/>
        <v>0</v>
      </c>
      <c r="BJ1716" s="141"/>
      <c r="BK1716" s="201"/>
      <c r="BL1716" s="4"/>
      <c r="BM1716" s="4"/>
    </row>
    <row r="1717" spans="1:65" s="38" customFormat="1" ht="18" customHeight="1">
      <c r="A1717" s="114">
        <v>61</v>
      </c>
      <c r="B1717" s="24" t="s">
        <v>663</v>
      </c>
      <c r="C1717" s="25" t="s">
        <v>1097</v>
      </c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229">
        <f t="shared" si="703"/>
        <v>0</v>
      </c>
      <c r="AC1717" s="228">
        <f t="shared" si="699"/>
        <v>0</v>
      </c>
      <c r="AD1717" s="19">
        <v>0</v>
      </c>
      <c r="AE1717" s="28"/>
      <c r="AF1717" s="28"/>
      <c r="AG1717" s="28"/>
      <c r="AH1717" s="28"/>
      <c r="AI1717" s="28"/>
      <c r="AJ1717" s="28">
        <f>296+56+21</f>
        <v>373</v>
      </c>
      <c r="AK1717" s="28"/>
      <c r="AL1717" s="28"/>
      <c r="AM1717" s="28"/>
      <c r="AN1717" s="28"/>
      <c r="AO1717" s="28"/>
      <c r="AP1717" s="28">
        <f>198+128</f>
        <v>326</v>
      </c>
      <c r="AQ1717" s="28"/>
      <c r="AR1717" s="28"/>
      <c r="AS1717" s="28"/>
      <c r="AT1717" s="28"/>
      <c r="AU1717" s="28"/>
      <c r="AV1717" s="28">
        <f>313+51</f>
        <v>364</v>
      </c>
      <c r="AW1717" s="28"/>
      <c r="AX1717" s="28"/>
      <c r="AY1717" s="28"/>
      <c r="AZ1717" s="28"/>
      <c r="BA1717" s="28"/>
      <c r="BB1717" s="28">
        <v>75</v>
      </c>
      <c r="BC1717" s="229">
        <f t="shared" si="704"/>
        <v>0</v>
      </c>
      <c r="BD1717" s="48">
        <f t="shared" si="700"/>
        <v>1138</v>
      </c>
      <c r="BE1717" s="19">
        <v>865</v>
      </c>
      <c r="BF1717" s="229">
        <f t="shared" si="705"/>
        <v>0</v>
      </c>
      <c r="BG1717" s="210">
        <f t="shared" si="701"/>
        <v>1138</v>
      </c>
      <c r="BH1717" s="210">
        <f t="shared" si="702"/>
        <v>865</v>
      </c>
      <c r="BI1717" s="213">
        <f t="shared" si="698"/>
        <v>131.56069364161849</v>
      </c>
      <c r="BJ1717" s="141"/>
      <c r="BK1717" s="201"/>
      <c r="BL1717" s="4"/>
      <c r="BM1717" s="4"/>
    </row>
    <row r="1718" spans="1:65" s="38" customFormat="1" ht="18" customHeight="1">
      <c r="A1718" s="114">
        <v>62</v>
      </c>
      <c r="B1718" s="24" t="s">
        <v>1370</v>
      </c>
      <c r="C1718" s="25" t="s">
        <v>1374</v>
      </c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229">
        <f t="shared" si="703"/>
        <v>0</v>
      </c>
      <c r="AC1718" s="228">
        <f t="shared" si="699"/>
        <v>0</v>
      </c>
      <c r="AD1718" s="19">
        <v>0</v>
      </c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29">
        <f t="shared" si="704"/>
        <v>0</v>
      </c>
      <c r="BD1718" s="48">
        <f t="shared" si="700"/>
        <v>0</v>
      </c>
      <c r="BE1718" s="19">
        <v>3</v>
      </c>
      <c r="BF1718" s="229">
        <f t="shared" si="705"/>
        <v>0</v>
      </c>
      <c r="BG1718" s="210">
        <f t="shared" si="701"/>
        <v>0</v>
      </c>
      <c r="BH1718" s="210">
        <f t="shared" si="702"/>
        <v>3</v>
      </c>
      <c r="BI1718" s="213">
        <f t="shared" si="698"/>
        <v>0</v>
      </c>
      <c r="BJ1718" s="141"/>
      <c r="BK1718" s="201"/>
      <c r="BL1718" s="4"/>
      <c r="BM1718" s="4"/>
    </row>
    <row r="1719" spans="1:65" s="38" customFormat="1" ht="21.95" customHeight="1">
      <c r="A1719" s="114">
        <v>63</v>
      </c>
      <c r="B1719" s="24" t="s">
        <v>664</v>
      </c>
      <c r="C1719" s="27" t="s">
        <v>1167</v>
      </c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229">
        <f t="shared" si="703"/>
        <v>0</v>
      </c>
      <c r="AC1719" s="228">
        <f t="shared" si="699"/>
        <v>0</v>
      </c>
      <c r="AD1719" s="19">
        <v>0</v>
      </c>
      <c r="AE1719" s="28"/>
      <c r="AF1719" s="28"/>
      <c r="AG1719" s="28"/>
      <c r="AH1719" s="28"/>
      <c r="AI1719" s="28"/>
      <c r="AJ1719" s="28">
        <f>51+4</f>
        <v>55</v>
      </c>
      <c r="AK1719" s="28"/>
      <c r="AL1719" s="28"/>
      <c r="AM1719" s="28"/>
      <c r="AN1719" s="28"/>
      <c r="AO1719" s="28"/>
      <c r="AP1719" s="28">
        <v>17</v>
      </c>
      <c r="AQ1719" s="28"/>
      <c r="AR1719" s="28"/>
      <c r="AS1719" s="28"/>
      <c r="AT1719" s="28"/>
      <c r="AU1719" s="28"/>
      <c r="AV1719" s="28">
        <v>39</v>
      </c>
      <c r="AW1719" s="28"/>
      <c r="AX1719" s="28"/>
      <c r="AY1719" s="28"/>
      <c r="AZ1719" s="28"/>
      <c r="BA1719" s="28"/>
      <c r="BB1719" s="28">
        <f>3+7</f>
        <v>10</v>
      </c>
      <c r="BC1719" s="229">
        <f t="shared" si="704"/>
        <v>0</v>
      </c>
      <c r="BD1719" s="48">
        <f t="shared" si="700"/>
        <v>121</v>
      </c>
      <c r="BE1719" s="19">
        <v>82</v>
      </c>
      <c r="BF1719" s="229">
        <f t="shared" si="705"/>
        <v>0</v>
      </c>
      <c r="BG1719" s="210">
        <f t="shared" si="701"/>
        <v>121</v>
      </c>
      <c r="BH1719" s="210">
        <f t="shared" si="702"/>
        <v>82</v>
      </c>
      <c r="BI1719" s="213">
        <f t="shared" si="698"/>
        <v>147.5609756097561</v>
      </c>
      <c r="BJ1719" s="141"/>
      <c r="BK1719" s="201"/>
      <c r="BL1719" s="4"/>
      <c r="BM1719" s="4"/>
    </row>
    <row r="1720" spans="1:65" s="38" customFormat="1" ht="21.95" customHeight="1">
      <c r="A1720" s="114">
        <v>64</v>
      </c>
      <c r="B1720" s="24" t="s">
        <v>1857</v>
      </c>
      <c r="C1720" s="27" t="s">
        <v>1858</v>
      </c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229">
        <f t="shared" si="703"/>
        <v>0</v>
      </c>
      <c r="AC1720" s="228">
        <f t="shared" si="699"/>
        <v>0</v>
      </c>
      <c r="AD1720" s="19">
        <v>0</v>
      </c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29">
        <f t="shared" si="704"/>
        <v>0</v>
      </c>
      <c r="BD1720" s="48">
        <f t="shared" si="700"/>
        <v>0</v>
      </c>
      <c r="BE1720" s="19">
        <v>1</v>
      </c>
      <c r="BF1720" s="229">
        <f t="shared" si="705"/>
        <v>0</v>
      </c>
      <c r="BG1720" s="210">
        <f t="shared" si="701"/>
        <v>0</v>
      </c>
      <c r="BH1720" s="210">
        <f t="shared" si="702"/>
        <v>1</v>
      </c>
      <c r="BI1720" s="213">
        <f t="shared" si="698"/>
        <v>0</v>
      </c>
      <c r="BJ1720" s="141"/>
      <c r="BK1720" s="201"/>
      <c r="BL1720" s="4"/>
      <c r="BM1720" s="4"/>
    </row>
    <row r="1721" spans="1:65" s="38" customFormat="1" ht="18" customHeight="1">
      <c r="A1721" s="114">
        <v>65</v>
      </c>
      <c r="B1721" s="24" t="s">
        <v>1682</v>
      </c>
      <c r="C1721" s="25" t="s">
        <v>1683</v>
      </c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229">
        <f t="shared" si="703"/>
        <v>0</v>
      </c>
      <c r="AC1721" s="228">
        <f t="shared" si="699"/>
        <v>0</v>
      </c>
      <c r="AD1721" s="19">
        <v>0</v>
      </c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29">
        <f t="shared" si="704"/>
        <v>0</v>
      </c>
      <c r="BD1721" s="48">
        <f t="shared" si="700"/>
        <v>0</v>
      </c>
      <c r="BE1721" s="19">
        <v>1</v>
      </c>
      <c r="BF1721" s="229">
        <f t="shared" si="705"/>
        <v>0</v>
      </c>
      <c r="BG1721" s="210">
        <f t="shared" si="701"/>
        <v>0</v>
      </c>
      <c r="BH1721" s="210">
        <f t="shared" si="702"/>
        <v>1</v>
      </c>
      <c r="BI1721" s="213">
        <f t="shared" ref="BI1721:BI1737" si="706">BG1721/BH1721*100</f>
        <v>0</v>
      </c>
      <c r="BJ1721" s="141"/>
      <c r="BK1721" s="201"/>
      <c r="BL1721" s="4"/>
      <c r="BM1721" s="4"/>
    </row>
    <row r="1722" spans="1:65" s="38" customFormat="1" ht="21.95" customHeight="1">
      <c r="A1722" s="114">
        <v>66</v>
      </c>
      <c r="B1722" s="24" t="s">
        <v>785</v>
      </c>
      <c r="C1722" s="25" t="s">
        <v>1859</v>
      </c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229">
        <f t="shared" si="703"/>
        <v>0</v>
      </c>
      <c r="AC1722" s="228">
        <f t="shared" si="699"/>
        <v>0</v>
      </c>
      <c r="AD1722" s="19">
        <v>0</v>
      </c>
      <c r="AE1722" s="28"/>
      <c r="AF1722" s="28"/>
      <c r="AG1722" s="28"/>
      <c r="AH1722" s="28"/>
      <c r="AI1722" s="28"/>
      <c r="AJ1722" s="28">
        <v>16</v>
      </c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>
        <v>2</v>
      </c>
      <c r="BC1722" s="229">
        <f t="shared" si="704"/>
        <v>0</v>
      </c>
      <c r="BD1722" s="48">
        <f t="shared" si="700"/>
        <v>18</v>
      </c>
      <c r="BE1722" s="19">
        <v>6</v>
      </c>
      <c r="BF1722" s="229">
        <f t="shared" si="705"/>
        <v>0</v>
      </c>
      <c r="BG1722" s="210">
        <f t="shared" si="701"/>
        <v>18</v>
      </c>
      <c r="BH1722" s="210">
        <f t="shared" si="702"/>
        <v>6</v>
      </c>
      <c r="BI1722" s="213">
        <f t="shared" si="706"/>
        <v>300</v>
      </c>
      <c r="BJ1722" s="141"/>
      <c r="BK1722" s="201"/>
      <c r="BL1722" s="4"/>
      <c r="BM1722" s="4"/>
    </row>
    <row r="1723" spans="1:65" s="38" customFormat="1" ht="21.95" customHeight="1">
      <c r="A1723" s="114">
        <v>67</v>
      </c>
      <c r="B1723" s="24" t="s">
        <v>786</v>
      </c>
      <c r="C1723" s="27" t="s">
        <v>2250</v>
      </c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229">
        <f t="shared" si="703"/>
        <v>0</v>
      </c>
      <c r="AC1723" s="228">
        <f t="shared" si="699"/>
        <v>0</v>
      </c>
      <c r="AD1723" s="19">
        <v>0</v>
      </c>
      <c r="AE1723" s="28"/>
      <c r="AF1723" s="28"/>
      <c r="AG1723" s="28"/>
      <c r="AH1723" s="28"/>
      <c r="AI1723" s="28"/>
      <c r="AJ1723" s="28">
        <f>12+13</f>
        <v>25</v>
      </c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>
        <v>10</v>
      </c>
      <c r="BC1723" s="229">
        <f t="shared" si="704"/>
        <v>0</v>
      </c>
      <c r="BD1723" s="48">
        <f t="shared" si="700"/>
        <v>35</v>
      </c>
      <c r="BE1723" s="19">
        <v>84</v>
      </c>
      <c r="BF1723" s="229">
        <f t="shared" si="705"/>
        <v>0</v>
      </c>
      <c r="BG1723" s="210">
        <f t="shared" si="701"/>
        <v>35</v>
      </c>
      <c r="BH1723" s="210">
        <f t="shared" si="702"/>
        <v>84</v>
      </c>
      <c r="BI1723" s="213">
        <f t="shared" si="706"/>
        <v>41.666666666666671</v>
      </c>
      <c r="BJ1723" s="141"/>
      <c r="BK1723" s="201"/>
      <c r="BL1723" s="4"/>
      <c r="BM1723" s="4"/>
    </row>
    <row r="1724" spans="1:65" s="38" customFormat="1" ht="18" customHeight="1">
      <c r="A1724" s="114">
        <v>68</v>
      </c>
      <c r="B1724" s="24" t="s">
        <v>704</v>
      </c>
      <c r="C1724" s="25" t="s">
        <v>1383</v>
      </c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229">
        <f t="shared" si="703"/>
        <v>0</v>
      </c>
      <c r="AC1724" s="228">
        <f t="shared" si="699"/>
        <v>0</v>
      </c>
      <c r="AD1724" s="19">
        <v>0</v>
      </c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>
        <v>1</v>
      </c>
      <c r="AW1724" s="28"/>
      <c r="AX1724" s="28"/>
      <c r="AY1724" s="28"/>
      <c r="AZ1724" s="28"/>
      <c r="BA1724" s="28"/>
      <c r="BB1724" s="28"/>
      <c r="BC1724" s="229">
        <f t="shared" si="704"/>
        <v>0</v>
      </c>
      <c r="BD1724" s="48">
        <f t="shared" si="700"/>
        <v>1</v>
      </c>
      <c r="BE1724" s="19">
        <v>3</v>
      </c>
      <c r="BF1724" s="229">
        <f t="shared" si="705"/>
        <v>0</v>
      </c>
      <c r="BG1724" s="210">
        <f t="shared" si="701"/>
        <v>1</v>
      </c>
      <c r="BH1724" s="210">
        <f t="shared" si="702"/>
        <v>3</v>
      </c>
      <c r="BI1724" s="213">
        <f t="shared" si="706"/>
        <v>33.333333333333329</v>
      </c>
      <c r="BJ1724" s="141"/>
      <c r="BK1724" s="201"/>
      <c r="BL1724" s="4"/>
      <c r="BM1724" s="4"/>
    </row>
    <row r="1725" spans="1:65" s="38" customFormat="1" ht="18" customHeight="1">
      <c r="A1725" s="114">
        <v>69</v>
      </c>
      <c r="B1725" s="24" t="s">
        <v>787</v>
      </c>
      <c r="C1725" s="25" t="s">
        <v>1171</v>
      </c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229">
        <f t="shared" si="703"/>
        <v>0</v>
      </c>
      <c r="AC1725" s="228">
        <f t="shared" si="699"/>
        <v>0</v>
      </c>
      <c r="AD1725" s="19">
        <v>0</v>
      </c>
      <c r="AE1725" s="28"/>
      <c r="AF1725" s="28"/>
      <c r="AG1725" s="28"/>
      <c r="AH1725" s="28"/>
      <c r="AI1725" s="28"/>
      <c r="AJ1725" s="28">
        <f>83+3</f>
        <v>86</v>
      </c>
      <c r="AK1725" s="28"/>
      <c r="AL1725" s="28"/>
      <c r="AM1725" s="28"/>
      <c r="AN1725" s="28"/>
      <c r="AO1725" s="28"/>
      <c r="AP1725" s="28">
        <f>127+4</f>
        <v>131</v>
      </c>
      <c r="AQ1725" s="28"/>
      <c r="AR1725" s="28"/>
      <c r="AS1725" s="28"/>
      <c r="AT1725" s="28"/>
      <c r="AU1725" s="28"/>
      <c r="AV1725" s="28">
        <f>141+35</f>
        <v>176</v>
      </c>
      <c r="AW1725" s="28"/>
      <c r="AX1725" s="28"/>
      <c r="AY1725" s="28"/>
      <c r="AZ1725" s="28"/>
      <c r="BA1725" s="28"/>
      <c r="BB1725" s="28">
        <v>15</v>
      </c>
      <c r="BC1725" s="229">
        <f t="shared" si="704"/>
        <v>0</v>
      </c>
      <c r="BD1725" s="48">
        <f t="shared" si="700"/>
        <v>408</v>
      </c>
      <c r="BE1725" s="19">
        <v>58</v>
      </c>
      <c r="BF1725" s="229">
        <f t="shared" si="705"/>
        <v>0</v>
      </c>
      <c r="BG1725" s="210">
        <f t="shared" si="701"/>
        <v>408</v>
      </c>
      <c r="BH1725" s="210">
        <f t="shared" si="702"/>
        <v>58</v>
      </c>
      <c r="BI1725" s="213">
        <f t="shared" si="706"/>
        <v>703.44827586206895</v>
      </c>
      <c r="BJ1725" s="141"/>
      <c r="BK1725" s="201"/>
      <c r="BL1725" s="4"/>
      <c r="BM1725" s="4"/>
    </row>
    <row r="1726" spans="1:65" s="38" customFormat="1" ht="18" customHeight="1">
      <c r="A1726" s="114">
        <v>70</v>
      </c>
      <c r="B1726" s="24" t="s">
        <v>788</v>
      </c>
      <c r="C1726" s="25" t="s">
        <v>1172</v>
      </c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229">
        <f t="shared" si="703"/>
        <v>0</v>
      </c>
      <c r="AC1726" s="228">
        <f t="shared" si="699"/>
        <v>0</v>
      </c>
      <c r="AD1726" s="19">
        <v>0</v>
      </c>
      <c r="AE1726" s="28"/>
      <c r="AF1726" s="28"/>
      <c r="AG1726" s="28"/>
      <c r="AH1726" s="28"/>
      <c r="AI1726" s="28"/>
      <c r="AJ1726" s="28">
        <f>556+53+8</f>
        <v>617</v>
      </c>
      <c r="AK1726" s="28"/>
      <c r="AL1726" s="28"/>
      <c r="AM1726" s="28"/>
      <c r="AN1726" s="28"/>
      <c r="AO1726" s="28"/>
      <c r="AP1726" s="28">
        <f>464+35+2</f>
        <v>501</v>
      </c>
      <c r="AQ1726" s="28"/>
      <c r="AR1726" s="28"/>
      <c r="AS1726" s="28"/>
      <c r="AT1726" s="28"/>
      <c r="AU1726" s="28"/>
      <c r="AV1726" s="28">
        <f>303+31</f>
        <v>334</v>
      </c>
      <c r="AW1726" s="28"/>
      <c r="AX1726" s="28"/>
      <c r="AY1726" s="28"/>
      <c r="AZ1726" s="28"/>
      <c r="BA1726" s="28"/>
      <c r="BB1726" s="28">
        <f>120+43</f>
        <v>163</v>
      </c>
      <c r="BC1726" s="229">
        <f t="shared" si="704"/>
        <v>0</v>
      </c>
      <c r="BD1726" s="48">
        <f t="shared" si="700"/>
        <v>1615</v>
      </c>
      <c r="BE1726" s="19">
        <v>1293</v>
      </c>
      <c r="BF1726" s="229">
        <f t="shared" si="705"/>
        <v>0</v>
      </c>
      <c r="BG1726" s="210">
        <f t="shared" si="701"/>
        <v>1615</v>
      </c>
      <c r="BH1726" s="210">
        <f t="shared" si="702"/>
        <v>1293</v>
      </c>
      <c r="BI1726" s="213">
        <f t="shared" si="706"/>
        <v>124.90332559938129</v>
      </c>
      <c r="BJ1726" s="141"/>
      <c r="BK1726" s="201"/>
      <c r="BL1726" s="4"/>
      <c r="BM1726" s="4"/>
    </row>
    <row r="1727" spans="1:65" s="38" customFormat="1" ht="18" customHeight="1">
      <c r="A1727" s="114">
        <v>71</v>
      </c>
      <c r="B1727" s="24" t="s">
        <v>789</v>
      </c>
      <c r="C1727" s="25" t="s">
        <v>2127</v>
      </c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229">
        <f t="shared" si="703"/>
        <v>0</v>
      </c>
      <c r="AC1727" s="228">
        <f t="shared" si="699"/>
        <v>0</v>
      </c>
      <c r="AD1727" s="19">
        <v>0</v>
      </c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>
        <f>29+4</f>
        <v>33</v>
      </c>
      <c r="AQ1727" s="28"/>
      <c r="AR1727" s="28"/>
      <c r="AS1727" s="28"/>
      <c r="AT1727" s="28"/>
      <c r="AU1727" s="28"/>
      <c r="AV1727" s="28">
        <v>4</v>
      </c>
      <c r="AW1727" s="28"/>
      <c r="AX1727" s="28"/>
      <c r="AY1727" s="28"/>
      <c r="AZ1727" s="28"/>
      <c r="BA1727" s="28"/>
      <c r="BB1727" s="28"/>
      <c r="BC1727" s="229">
        <f t="shared" si="704"/>
        <v>0</v>
      </c>
      <c r="BD1727" s="48">
        <f t="shared" si="700"/>
        <v>37</v>
      </c>
      <c r="BE1727" s="19">
        <v>20</v>
      </c>
      <c r="BF1727" s="229">
        <f t="shared" si="705"/>
        <v>0</v>
      </c>
      <c r="BG1727" s="210">
        <f t="shared" si="701"/>
        <v>37</v>
      </c>
      <c r="BH1727" s="210">
        <f t="shared" si="702"/>
        <v>20</v>
      </c>
      <c r="BI1727" s="213">
        <f t="shared" si="706"/>
        <v>185</v>
      </c>
      <c r="BJ1727" s="141"/>
      <c r="BK1727" s="201"/>
      <c r="BL1727" s="4"/>
      <c r="BM1727" s="4"/>
    </row>
    <row r="1728" spans="1:65" s="38" customFormat="1" ht="18" customHeight="1">
      <c r="A1728" s="114">
        <v>72</v>
      </c>
      <c r="B1728" s="24" t="s">
        <v>1173</v>
      </c>
      <c r="C1728" s="25" t="s">
        <v>1371</v>
      </c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229">
        <f t="shared" si="703"/>
        <v>0</v>
      </c>
      <c r="AC1728" s="228">
        <f t="shared" si="699"/>
        <v>0</v>
      </c>
      <c r="AD1728" s="19">
        <v>0</v>
      </c>
      <c r="AE1728" s="28"/>
      <c r="AF1728" s="28"/>
      <c r="AG1728" s="28"/>
      <c r="AH1728" s="28"/>
      <c r="AI1728" s="28"/>
      <c r="AJ1728" s="28">
        <v>76</v>
      </c>
      <c r="AK1728" s="28"/>
      <c r="AL1728" s="28"/>
      <c r="AM1728" s="28"/>
      <c r="AN1728" s="28"/>
      <c r="AO1728" s="28"/>
      <c r="AP1728" s="28">
        <f>36+9</f>
        <v>45</v>
      </c>
      <c r="AQ1728" s="28"/>
      <c r="AR1728" s="28"/>
      <c r="AS1728" s="28"/>
      <c r="AT1728" s="28"/>
      <c r="AU1728" s="28"/>
      <c r="AV1728" s="28">
        <f>22+1</f>
        <v>23</v>
      </c>
      <c r="AW1728" s="28"/>
      <c r="AX1728" s="28"/>
      <c r="AY1728" s="28"/>
      <c r="AZ1728" s="28"/>
      <c r="BA1728" s="28"/>
      <c r="BB1728" s="28">
        <v>30</v>
      </c>
      <c r="BC1728" s="229">
        <f t="shared" si="704"/>
        <v>0</v>
      </c>
      <c r="BD1728" s="48">
        <f t="shared" si="700"/>
        <v>174</v>
      </c>
      <c r="BE1728" s="19">
        <v>78</v>
      </c>
      <c r="BF1728" s="229">
        <f t="shared" si="705"/>
        <v>0</v>
      </c>
      <c r="BG1728" s="210">
        <f t="shared" si="701"/>
        <v>174</v>
      </c>
      <c r="BH1728" s="210">
        <f t="shared" si="702"/>
        <v>78</v>
      </c>
      <c r="BI1728" s="213">
        <f t="shared" si="706"/>
        <v>223.07692307692309</v>
      </c>
      <c r="BJ1728" s="141"/>
      <c r="BK1728" s="201"/>
      <c r="BL1728" s="4"/>
      <c r="BM1728" s="4"/>
    </row>
    <row r="1729" spans="1:65" s="38" customFormat="1" ht="18" customHeight="1">
      <c r="A1729" s="114">
        <v>73</v>
      </c>
      <c r="B1729" s="24" t="s">
        <v>1174</v>
      </c>
      <c r="C1729" s="25" t="s">
        <v>1175</v>
      </c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229">
        <f t="shared" si="703"/>
        <v>0</v>
      </c>
      <c r="AC1729" s="228">
        <f t="shared" si="699"/>
        <v>0</v>
      </c>
      <c r="AD1729" s="19">
        <v>0</v>
      </c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>
        <v>2</v>
      </c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>
        <v>4</v>
      </c>
      <c r="BC1729" s="229">
        <f t="shared" si="704"/>
        <v>0</v>
      </c>
      <c r="BD1729" s="48">
        <f t="shared" si="700"/>
        <v>6</v>
      </c>
      <c r="BE1729" s="19">
        <v>1</v>
      </c>
      <c r="BF1729" s="229">
        <f t="shared" si="705"/>
        <v>0</v>
      </c>
      <c r="BG1729" s="210">
        <f t="shared" si="701"/>
        <v>6</v>
      </c>
      <c r="BH1729" s="210">
        <f t="shared" si="702"/>
        <v>1</v>
      </c>
      <c r="BI1729" s="213">
        <f t="shared" si="706"/>
        <v>600</v>
      </c>
      <c r="BJ1729" s="141"/>
      <c r="BK1729" s="201"/>
      <c r="BL1729" s="4"/>
      <c r="BM1729" s="4"/>
    </row>
    <row r="1730" spans="1:65" s="38" customFormat="1" ht="18" customHeight="1">
      <c r="A1730" s="114">
        <v>74</v>
      </c>
      <c r="B1730" s="24" t="s">
        <v>1176</v>
      </c>
      <c r="C1730" s="25" t="s">
        <v>1388</v>
      </c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229">
        <f t="shared" si="703"/>
        <v>0</v>
      </c>
      <c r="AC1730" s="228">
        <f t="shared" si="699"/>
        <v>0</v>
      </c>
      <c r="AD1730" s="19">
        <v>0</v>
      </c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29">
        <f t="shared" si="704"/>
        <v>0</v>
      </c>
      <c r="BD1730" s="48">
        <f t="shared" si="700"/>
        <v>0</v>
      </c>
      <c r="BE1730" s="19">
        <v>1</v>
      </c>
      <c r="BF1730" s="229">
        <f t="shared" si="705"/>
        <v>0</v>
      </c>
      <c r="BG1730" s="210">
        <f t="shared" si="701"/>
        <v>0</v>
      </c>
      <c r="BH1730" s="210">
        <f t="shared" si="702"/>
        <v>1</v>
      </c>
      <c r="BI1730" s="213">
        <f t="shared" si="706"/>
        <v>0</v>
      </c>
      <c r="BJ1730" s="141"/>
      <c r="BK1730" s="201"/>
      <c r="BL1730" s="4"/>
      <c r="BM1730" s="4"/>
    </row>
    <row r="1731" spans="1:65" s="38" customFormat="1" ht="21.95" customHeight="1">
      <c r="A1731" s="114">
        <v>75</v>
      </c>
      <c r="B1731" s="24" t="s">
        <v>790</v>
      </c>
      <c r="C1731" s="27" t="s">
        <v>2431</v>
      </c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>
        <v>2</v>
      </c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229">
        <f t="shared" si="703"/>
        <v>0</v>
      </c>
      <c r="AC1731" s="228">
        <f t="shared" si="699"/>
        <v>2</v>
      </c>
      <c r="AD1731" s="19">
        <v>0</v>
      </c>
      <c r="AE1731" s="28"/>
      <c r="AF1731" s="28"/>
      <c r="AG1731" s="28"/>
      <c r="AH1731" s="28"/>
      <c r="AI1731" s="28"/>
      <c r="AJ1731" s="28">
        <f>1548+341+65</f>
        <v>1954</v>
      </c>
      <c r="AK1731" s="28"/>
      <c r="AL1731" s="28"/>
      <c r="AM1731" s="28"/>
      <c r="AN1731" s="28"/>
      <c r="AO1731" s="28"/>
      <c r="AP1731" s="28">
        <f>1638+352+7</f>
        <v>1997</v>
      </c>
      <c r="AQ1731" s="28"/>
      <c r="AR1731" s="28"/>
      <c r="AS1731" s="28"/>
      <c r="AT1731" s="28"/>
      <c r="AU1731" s="28"/>
      <c r="AV1731" s="28">
        <f>1414+302</f>
        <v>1716</v>
      </c>
      <c r="AW1731" s="28"/>
      <c r="AX1731" s="28"/>
      <c r="AY1731" s="28"/>
      <c r="AZ1731" s="28"/>
      <c r="BA1731" s="28"/>
      <c r="BB1731" s="28">
        <f>939+226</f>
        <v>1165</v>
      </c>
      <c r="BC1731" s="229">
        <f t="shared" si="704"/>
        <v>0</v>
      </c>
      <c r="BD1731" s="48">
        <f t="shared" si="700"/>
        <v>6832</v>
      </c>
      <c r="BE1731" s="19">
        <v>5898</v>
      </c>
      <c r="BF1731" s="229">
        <f t="shared" si="705"/>
        <v>0</v>
      </c>
      <c r="BG1731" s="210">
        <f t="shared" si="701"/>
        <v>6834</v>
      </c>
      <c r="BH1731" s="210">
        <f t="shared" si="702"/>
        <v>5898</v>
      </c>
      <c r="BI1731" s="213">
        <f t="shared" si="706"/>
        <v>115.86978636826042</v>
      </c>
      <c r="BJ1731" s="141"/>
      <c r="BK1731" s="201"/>
      <c r="BL1731" s="4"/>
      <c r="BM1731" s="4"/>
    </row>
    <row r="1732" spans="1:65" s="38" customFormat="1" ht="21.95" customHeight="1">
      <c r="A1732" s="330"/>
      <c r="B1732" s="24" t="s">
        <v>791</v>
      </c>
      <c r="C1732" s="27" t="s">
        <v>2318</v>
      </c>
      <c r="D1732" s="333"/>
      <c r="E1732" s="333"/>
      <c r="F1732" s="333"/>
      <c r="G1732" s="333"/>
      <c r="H1732" s="333"/>
      <c r="I1732" s="333"/>
      <c r="J1732" s="333"/>
      <c r="K1732" s="333"/>
      <c r="L1732" s="333"/>
      <c r="M1732" s="333"/>
      <c r="N1732" s="333"/>
      <c r="O1732" s="333"/>
      <c r="P1732" s="333"/>
      <c r="Q1732" s="333"/>
      <c r="R1732" s="333"/>
      <c r="S1732" s="333"/>
      <c r="T1732" s="333"/>
      <c r="U1732" s="333"/>
      <c r="V1732" s="333"/>
      <c r="W1732" s="333"/>
      <c r="X1732" s="333"/>
      <c r="Y1732" s="333"/>
      <c r="Z1732" s="333"/>
      <c r="AA1732" s="333"/>
      <c r="AB1732" s="323"/>
      <c r="AC1732" s="228">
        <f t="shared" si="699"/>
        <v>0</v>
      </c>
      <c r="AD1732" s="326">
        <v>0</v>
      </c>
      <c r="AE1732" s="334"/>
      <c r="AF1732" s="334"/>
      <c r="AG1732" s="334"/>
      <c r="AH1732" s="334"/>
      <c r="AI1732" s="334"/>
      <c r="AJ1732" s="334"/>
      <c r="AK1732" s="334"/>
      <c r="AL1732" s="334"/>
      <c r="AM1732" s="334"/>
      <c r="AN1732" s="334"/>
      <c r="AO1732" s="334"/>
      <c r="AP1732" s="334"/>
      <c r="AQ1732" s="334"/>
      <c r="AR1732" s="334"/>
      <c r="AS1732" s="334"/>
      <c r="AT1732" s="334"/>
      <c r="AU1732" s="334"/>
      <c r="AV1732" s="334"/>
      <c r="AW1732" s="334"/>
      <c r="AX1732" s="334"/>
      <c r="AY1732" s="334"/>
      <c r="AZ1732" s="334"/>
      <c r="BA1732" s="334"/>
      <c r="BB1732" s="334">
        <v>3</v>
      </c>
      <c r="BC1732" s="323"/>
      <c r="BD1732" s="48">
        <f t="shared" si="700"/>
        <v>3</v>
      </c>
      <c r="BE1732" s="326">
        <v>0</v>
      </c>
      <c r="BF1732" s="323"/>
      <c r="BG1732" s="210">
        <f t="shared" ref="BG1732" si="707">AC1732+BD1732</f>
        <v>3</v>
      </c>
      <c r="BH1732" s="210">
        <f t="shared" ref="BH1732" si="708">AD1732+BE1732</f>
        <v>0</v>
      </c>
      <c r="BI1732" s="213" t="e">
        <f t="shared" ref="BI1732" si="709">BG1732/BH1732*100</f>
        <v>#DIV/0!</v>
      </c>
      <c r="BJ1732" s="141"/>
      <c r="BK1732" s="201"/>
      <c r="BL1732" s="4"/>
      <c r="BM1732" s="4"/>
    </row>
    <row r="1733" spans="1:65" s="38" customFormat="1" ht="21.95" customHeight="1">
      <c r="A1733" s="114">
        <v>76</v>
      </c>
      <c r="B1733" s="24" t="s">
        <v>744</v>
      </c>
      <c r="C1733" s="27" t="s">
        <v>745</v>
      </c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229">
        <f t="shared" si="703"/>
        <v>0</v>
      </c>
      <c r="AC1733" s="228">
        <f t="shared" si="699"/>
        <v>0</v>
      </c>
      <c r="AD1733" s="19">
        <v>0</v>
      </c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>
        <v>2</v>
      </c>
      <c r="AQ1733" s="28"/>
      <c r="AR1733" s="28"/>
      <c r="AS1733" s="28"/>
      <c r="AT1733" s="28"/>
      <c r="AU1733" s="28"/>
      <c r="AV1733" s="28">
        <v>20</v>
      </c>
      <c r="AW1733" s="28"/>
      <c r="AX1733" s="28"/>
      <c r="AY1733" s="28"/>
      <c r="AZ1733" s="28"/>
      <c r="BA1733" s="28"/>
      <c r="BB1733" s="28">
        <f>3+3</f>
        <v>6</v>
      </c>
      <c r="BC1733" s="229">
        <f t="shared" si="704"/>
        <v>0</v>
      </c>
      <c r="BD1733" s="48">
        <f t="shared" si="700"/>
        <v>28</v>
      </c>
      <c r="BE1733" s="19">
        <v>18</v>
      </c>
      <c r="BF1733" s="229">
        <f t="shared" si="705"/>
        <v>0</v>
      </c>
      <c r="BG1733" s="210">
        <f t="shared" si="701"/>
        <v>28</v>
      </c>
      <c r="BH1733" s="210">
        <f t="shared" si="702"/>
        <v>18</v>
      </c>
      <c r="BI1733" s="213">
        <f t="shared" si="706"/>
        <v>155.55555555555557</v>
      </c>
      <c r="BJ1733" s="141"/>
      <c r="BK1733" s="201"/>
      <c r="BL1733" s="4"/>
      <c r="BM1733" s="4"/>
    </row>
    <row r="1734" spans="1:65" s="38" customFormat="1" ht="21.95" customHeight="1">
      <c r="A1734" s="114">
        <v>77</v>
      </c>
      <c r="B1734" s="24" t="s">
        <v>824</v>
      </c>
      <c r="C1734" s="27" t="s">
        <v>825</v>
      </c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229">
        <f t="shared" si="703"/>
        <v>0</v>
      </c>
      <c r="AC1734" s="228">
        <f t="shared" si="699"/>
        <v>0</v>
      </c>
      <c r="AD1734" s="19">
        <v>0</v>
      </c>
      <c r="AE1734" s="28"/>
      <c r="AF1734" s="28"/>
      <c r="AG1734" s="28"/>
      <c r="AH1734" s="28"/>
      <c r="AI1734" s="28"/>
      <c r="AJ1734" s="28">
        <v>6</v>
      </c>
      <c r="AK1734" s="28"/>
      <c r="AL1734" s="28"/>
      <c r="AM1734" s="28"/>
      <c r="AN1734" s="28"/>
      <c r="AO1734" s="28"/>
      <c r="AP1734" s="28">
        <v>7</v>
      </c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>
        <f>3+7</f>
        <v>10</v>
      </c>
      <c r="BC1734" s="229">
        <f t="shared" si="704"/>
        <v>0</v>
      </c>
      <c r="BD1734" s="48">
        <f t="shared" si="700"/>
        <v>23</v>
      </c>
      <c r="BE1734" s="19">
        <v>8</v>
      </c>
      <c r="BF1734" s="229">
        <f t="shared" si="705"/>
        <v>0</v>
      </c>
      <c r="BG1734" s="210">
        <f t="shared" si="701"/>
        <v>23</v>
      </c>
      <c r="BH1734" s="210">
        <f t="shared" si="702"/>
        <v>8</v>
      </c>
      <c r="BI1734" s="213">
        <f t="shared" si="706"/>
        <v>287.5</v>
      </c>
      <c r="BJ1734" s="141"/>
      <c r="BK1734" s="201"/>
      <c r="BL1734" s="4"/>
      <c r="BM1734" s="4"/>
    </row>
    <row r="1735" spans="1:65" s="38" customFormat="1" ht="21.95" customHeight="1">
      <c r="A1735" s="114">
        <v>78</v>
      </c>
      <c r="B1735" s="24" t="s">
        <v>667</v>
      </c>
      <c r="C1735" s="27" t="s">
        <v>792</v>
      </c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229">
        <f t="shared" si="703"/>
        <v>0</v>
      </c>
      <c r="AC1735" s="228">
        <f t="shared" si="699"/>
        <v>0</v>
      </c>
      <c r="AD1735" s="19">
        <v>0</v>
      </c>
      <c r="AE1735" s="28"/>
      <c r="AF1735" s="28"/>
      <c r="AG1735" s="28"/>
      <c r="AH1735" s="28"/>
      <c r="AI1735" s="28"/>
      <c r="AJ1735" s="28">
        <v>1</v>
      </c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29">
        <f t="shared" si="704"/>
        <v>0</v>
      </c>
      <c r="BD1735" s="48">
        <f t="shared" si="700"/>
        <v>1</v>
      </c>
      <c r="BE1735" s="19">
        <v>1</v>
      </c>
      <c r="BF1735" s="229">
        <f t="shared" si="705"/>
        <v>0</v>
      </c>
      <c r="BG1735" s="210">
        <f t="shared" si="701"/>
        <v>1</v>
      </c>
      <c r="BH1735" s="210">
        <f t="shared" si="702"/>
        <v>1</v>
      </c>
      <c r="BI1735" s="213">
        <f t="shared" si="706"/>
        <v>100</v>
      </c>
      <c r="BJ1735" s="141"/>
      <c r="BK1735" s="201"/>
      <c r="BL1735" s="4"/>
      <c r="BM1735" s="4"/>
    </row>
    <row r="1736" spans="1:65" s="38" customFormat="1" ht="18" customHeight="1">
      <c r="A1736" s="114">
        <v>79</v>
      </c>
      <c r="B1736" s="24" t="s">
        <v>998</v>
      </c>
      <c r="C1736" s="25" t="s">
        <v>999</v>
      </c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229">
        <f t="shared" si="703"/>
        <v>0</v>
      </c>
      <c r="AC1736" s="228">
        <f t="shared" si="699"/>
        <v>0</v>
      </c>
      <c r="AD1736" s="19">
        <v>0</v>
      </c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29">
        <f t="shared" si="704"/>
        <v>0</v>
      </c>
      <c r="BD1736" s="48">
        <f t="shared" si="700"/>
        <v>0</v>
      </c>
      <c r="BE1736" s="19">
        <v>1</v>
      </c>
      <c r="BF1736" s="229">
        <f t="shared" si="705"/>
        <v>0</v>
      </c>
      <c r="BG1736" s="210">
        <f t="shared" si="701"/>
        <v>0</v>
      </c>
      <c r="BH1736" s="210">
        <f t="shared" si="702"/>
        <v>1</v>
      </c>
      <c r="BI1736" s="213">
        <f t="shared" si="706"/>
        <v>0</v>
      </c>
      <c r="BJ1736" s="141"/>
      <c r="BK1736" s="201"/>
      <c r="BL1736" s="4"/>
      <c r="BM1736" s="4"/>
    </row>
    <row r="1737" spans="1:65" s="38" customFormat="1" ht="18" customHeight="1">
      <c r="A1737" s="114">
        <v>80</v>
      </c>
      <c r="B1737" s="156" t="s">
        <v>1788</v>
      </c>
      <c r="C1737" s="159" t="s">
        <v>1789</v>
      </c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229">
        <f t="shared" si="703"/>
        <v>0</v>
      </c>
      <c r="AC1737" s="228">
        <f t="shared" si="699"/>
        <v>0</v>
      </c>
      <c r="AD1737" s="19">
        <v>1</v>
      </c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29">
        <f t="shared" si="704"/>
        <v>0</v>
      </c>
      <c r="BD1737" s="48">
        <f t="shared" si="700"/>
        <v>0</v>
      </c>
      <c r="BE1737" s="19">
        <v>102</v>
      </c>
      <c r="BF1737" s="229">
        <f t="shared" si="705"/>
        <v>0</v>
      </c>
      <c r="BG1737" s="210">
        <f t="shared" si="701"/>
        <v>0</v>
      </c>
      <c r="BH1737" s="210">
        <f t="shared" si="702"/>
        <v>103</v>
      </c>
      <c r="BI1737" s="213">
        <f t="shared" si="706"/>
        <v>0</v>
      </c>
      <c r="BJ1737" s="269" t="s">
        <v>2856</v>
      </c>
      <c r="BK1737" s="201"/>
      <c r="BL1737" s="4"/>
      <c r="BM1737" s="4"/>
    </row>
    <row r="1738" spans="1:65" s="38" customFormat="1" ht="21.95" customHeight="1">
      <c r="A1738" s="374" t="s">
        <v>2766</v>
      </c>
      <c r="B1738" s="374"/>
      <c r="C1738" s="374"/>
      <c r="D1738" s="220">
        <f t="shared" ref="D1738:AA1738" si="710">SUM(D1739:D1823)</f>
        <v>0</v>
      </c>
      <c r="E1738" s="220">
        <f t="shared" si="710"/>
        <v>0</v>
      </c>
      <c r="F1738" s="220">
        <f t="shared" si="710"/>
        <v>0</v>
      </c>
      <c r="G1738" s="220">
        <f t="shared" si="710"/>
        <v>0</v>
      </c>
      <c r="H1738" s="220">
        <f t="shared" si="710"/>
        <v>0</v>
      </c>
      <c r="I1738" s="220">
        <f t="shared" si="710"/>
        <v>6863</v>
      </c>
      <c r="J1738" s="220">
        <f t="shared" si="710"/>
        <v>0</v>
      </c>
      <c r="K1738" s="220">
        <f t="shared" si="710"/>
        <v>0</v>
      </c>
      <c r="L1738" s="220">
        <f t="shared" si="710"/>
        <v>0</v>
      </c>
      <c r="M1738" s="220">
        <f t="shared" si="710"/>
        <v>0</v>
      </c>
      <c r="N1738" s="220">
        <f t="shared" si="710"/>
        <v>0</v>
      </c>
      <c r="O1738" s="220">
        <f t="shared" si="710"/>
        <v>7133</v>
      </c>
      <c r="P1738" s="220">
        <f t="shared" si="710"/>
        <v>0</v>
      </c>
      <c r="Q1738" s="220">
        <f t="shared" si="710"/>
        <v>0</v>
      </c>
      <c r="R1738" s="220">
        <f t="shared" si="710"/>
        <v>0</v>
      </c>
      <c r="S1738" s="220">
        <f t="shared" si="710"/>
        <v>0</v>
      </c>
      <c r="T1738" s="220">
        <f t="shared" si="710"/>
        <v>0</v>
      </c>
      <c r="U1738" s="220">
        <f t="shared" si="710"/>
        <v>8632</v>
      </c>
      <c r="V1738" s="220">
        <f t="shared" si="710"/>
        <v>0</v>
      </c>
      <c r="W1738" s="220">
        <f t="shared" si="710"/>
        <v>0</v>
      </c>
      <c r="X1738" s="220">
        <f t="shared" si="710"/>
        <v>0</v>
      </c>
      <c r="Y1738" s="220">
        <f t="shared" si="710"/>
        <v>0</v>
      </c>
      <c r="Z1738" s="220">
        <f t="shared" si="710"/>
        <v>0</v>
      </c>
      <c r="AA1738" s="220">
        <f t="shared" si="710"/>
        <v>5609</v>
      </c>
      <c r="AB1738" s="220">
        <f t="shared" ref="AB1738" si="711">D1738+F1738+H1738+J1738+L1738+N1738+P1738+R1738+T1738+V1738+X1738+Z1738</f>
        <v>0</v>
      </c>
      <c r="AC1738" s="220">
        <f t="shared" ref="AC1738" si="712">E1738+G1738+I1738+K1738+M1738+O1738+Q1738+S1738+U1738+W1738+Y1738+AA1738</f>
        <v>28237</v>
      </c>
      <c r="AD1738" s="274">
        <f t="shared" ref="AD1738:BB1738" si="713">SUM(AD1739:AD1823)</f>
        <v>30140</v>
      </c>
      <c r="AE1738" s="210">
        <f t="shared" si="713"/>
        <v>0</v>
      </c>
      <c r="AF1738" s="210">
        <f t="shared" si="713"/>
        <v>0</v>
      </c>
      <c r="AG1738" s="210">
        <f t="shared" si="713"/>
        <v>0</v>
      </c>
      <c r="AH1738" s="210">
        <f t="shared" si="713"/>
        <v>0</v>
      </c>
      <c r="AI1738" s="210">
        <f t="shared" si="713"/>
        <v>0</v>
      </c>
      <c r="AJ1738" s="210">
        <f t="shared" si="713"/>
        <v>17767</v>
      </c>
      <c r="AK1738" s="210">
        <f t="shared" si="713"/>
        <v>0</v>
      </c>
      <c r="AL1738" s="210">
        <f t="shared" si="713"/>
        <v>0</v>
      </c>
      <c r="AM1738" s="210">
        <f t="shared" si="713"/>
        <v>0</v>
      </c>
      <c r="AN1738" s="210">
        <f t="shared" si="713"/>
        <v>0</v>
      </c>
      <c r="AO1738" s="210">
        <f t="shared" si="713"/>
        <v>0</v>
      </c>
      <c r="AP1738" s="210">
        <f t="shared" si="713"/>
        <v>14740</v>
      </c>
      <c r="AQ1738" s="210">
        <f t="shared" si="713"/>
        <v>0</v>
      </c>
      <c r="AR1738" s="210">
        <f t="shared" si="713"/>
        <v>0</v>
      </c>
      <c r="AS1738" s="210">
        <f t="shared" si="713"/>
        <v>0</v>
      </c>
      <c r="AT1738" s="210">
        <f t="shared" si="713"/>
        <v>0</v>
      </c>
      <c r="AU1738" s="210">
        <f t="shared" si="713"/>
        <v>0</v>
      </c>
      <c r="AV1738" s="210">
        <f t="shared" si="713"/>
        <v>16259</v>
      </c>
      <c r="AW1738" s="210">
        <f t="shared" si="713"/>
        <v>0</v>
      </c>
      <c r="AX1738" s="210">
        <f t="shared" si="713"/>
        <v>0</v>
      </c>
      <c r="AY1738" s="210">
        <f t="shared" si="713"/>
        <v>0</v>
      </c>
      <c r="AZ1738" s="210">
        <f t="shared" si="713"/>
        <v>0</v>
      </c>
      <c r="BA1738" s="210">
        <f t="shared" si="713"/>
        <v>0</v>
      </c>
      <c r="BB1738" s="210">
        <f t="shared" si="713"/>
        <v>16380</v>
      </c>
      <c r="BC1738" s="220">
        <f t="shared" ref="BC1738" si="714">AE1738+AG1738+AI1738+AK1738+AM1738+AO1738+AQ1738+AS1738+AU1738+AW1738+AY1738+BA1738</f>
        <v>0</v>
      </c>
      <c r="BD1738" s="210">
        <f t="shared" ref="BD1738" si="715">AF1738+AH1738+AJ1738+AL1738+AN1738+AP1738+AR1738+AT1738+AV1738+AX1738+AZ1738+BB1738</f>
        <v>65146</v>
      </c>
      <c r="BE1738" s="210">
        <f>SUM(BE1739:BE1823)</f>
        <v>91419</v>
      </c>
      <c r="BF1738" s="220">
        <f t="shared" ref="BF1738" si="716">AB1738+BC1738</f>
        <v>0</v>
      </c>
      <c r="BG1738" s="210">
        <f t="shared" ref="BG1738" si="717">AC1738+BD1738</f>
        <v>93383</v>
      </c>
      <c r="BH1738" s="210">
        <f t="shared" ref="BH1738" si="718">AD1738+BE1738</f>
        <v>121559</v>
      </c>
      <c r="BI1738" s="213">
        <f t="shared" ref="BI1738" si="719">BG1738/BH1738*100</f>
        <v>76.821132125140878</v>
      </c>
      <c r="BJ1738" s="140">
        <v>121559</v>
      </c>
      <c r="BK1738" s="203">
        <f>BH1738-BJ1738</f>
        <v>0</v>
      </c>
      <c r="BL1738" s="198">
        <v>57544</v>
      </c>
      <c r="BM1738" s="199">
        <f>BG1738-BL1738</f>
        <v>35839</v>
      </c>
    </row>
    <row r="1739" spans="1:65" s="38" customFormat="1" ht="18" customHeight="1">
      <c r="A1739" s="114">
        <v>1</v>
      </c>
      <c r="B1739" s="24" t="s">
        <v>2618</v>
      </c>
      <c r="C1739" s="25" t="s">
        <v>2619</v>
      </c>
      <c r="D1739" s="121"/>
      <c r="E1739" s="121"/>
      <c r="F1739" s="121"/>
      <c r="G1739" s="121"/>
      <c r="H1739" s="121"/>
      <c r="I1739" s="121">
        <v>2</v>
      </c>
      <c r="J1739" s="121"/>
      <c r="K1739" s="121"/>
      <c r="L1739" s="121"/>
      <c r="M1739" s="121"/>
      <c r="N1739" s="121"/>
      <c r="O1739" s="121">
        <v>1</v>
      </c>
      <c r="P1739" s="121"/>
      <c r="Q1739" s="121"/>
      <c r="R1739" s="121"/>
      <c r="S1739" s="121"/>
      <c r="T1739" s="121"/>
      <c r="U1739" s="121">
        <v>2</v>
      </c>
      <c r="V1739" s="121"/>
      <c r="W1739" s="121"/>
      <c r="X1739" s="121"/>
      <c r="Y1739" s="121"/>
      <c r="Z1739" s="121"/>
      <c r="AA1739" s="121">
        <v>1</v>
      </c>
      <c r="AB1739" s="229">
        <f>D1739+F1739+H1739+J1739+L1739+N1739+P1739+R1739+T1739+V1739+X1739+Z1739</f>
        <v>0</v>
      </c>
      <c r="AC1739" s="228">
        <f>E1739+G1739+I1739+K1739+M1739+O1739+Q1739+S1739+U1739+W1739+Y1739+AA1739</f>
        <v>6</v>
      </c>
      <c r="AD1739" s="19">
        <v>13</v>
      </c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29">
        <f>AE1739+AG1739+AI1739+AK1739+AM1739+AO1739+AQ1739+AS1739+AU1739+AW1739+AY1739+BA1739</f>
        <v>0</v>
      </c>
      <c r="BD1739" s="48">
        <f>AF1739+AH1739+AJ1739+AL1739+AN1739+AP1739+AR1739+AT1739+AV1739+AX1739+AZ1739+BB1739</f>
        <v>0</v>
      </c>
      <c r="BE1739" s="19">
        <v>0</v>
      </c>
      <c r="BF1739" s="229">
        <f>AB1739+BC1739</f>
        <v>0</v>
      </c>
      <c r="BG1739" s="210">
        <f>AC1739+BD1739</f>
        <v>6</v>
      </c>
      <c r="BH1739" s="210">
        <f>AD1739+BE1739</f>
        <v>13</v>
      </c>
      <c r="BI1739" s="213">
        <f t="shared" ref="BI1739:BI1770" si="720">BG1739/BH1739*100</f>
        <v>46.153846153846153</v>
      </c>
      <c r="BJ1739" s="270" t="s">
        <v>2857</v>
      </c>
      <c r="BK1739" s="201"/>
      <c r="BL1739" s="4"/>
      <c r="BM1739" s="4"/>
    </row>
    <row r="1740" spans="1:65" s="38" customFormat="1" ht="21.95" customHeight="1">
      <c r="A1740" s="114">
        <v>2</v>
      </c>
      <c r="B1740" s="24" t="s">
        <v>2075</v>
      </c>
      <c r="C1740" s="27" t="s">
        <v>2076</v>
      </c>
      <c r="D1740" s="121"/>
      <c r="E1740" s="121"/>
      <c r="F1740" s="121"/>
      <c r="G1740" s="121"/>
      <c r="H1740" s="121"/>
      <c r="I1740" s="121">
        <v>614</v>
      </c>
      <c r="J1740" s="121"/>
      <c r="K1740" s="121"/>
      <c r="L1740" s="121"/>
      <c r="M1740" s="121"/>
      <c r="N1740" s="121"/>
      <c r="O1740" s="121">
        <v>616</v>
      </c>
      <c r="P1740" s="121"/>
      <c r="Q1740" s="121"/>
      <c r="R1740" s="121"/>
      <c r="S1740" s="121"/>
      <c r="T1740" s="121"/>
      <c r="U1740" s="121">
        <v>775</v>
      </c>
      <c r="V1740" s="121"/>
      <c r="W1740" s="121"/>
      <c r="X1740" s="121"/>
      <c r="Y1740" s="121"/>
      <c r="Z1740" s="121"/>
      <c r="AA1740" s="121">
        <v>567</v>
      </c>
      <c r="AB1740" s="229"/>
      <c r="AC1740" s="228">
        <f t="shared" ref="AC1740:AC1771" si="721">E1740+G1740+I1740+K1740+M1740+O1740+Q1740+S1740+U1740+W1740+Y1740+AA1740</f>
        <v>2572</v>
      </c>
      <c r="AD1740" s="19">
        <v>0</v>
      </c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29"/>
      <c r="BD1740" s="48">
        <f t="shared" ref="BD1740:BD1771" si="722">AF1740+AH1740+AJ1740+AL1740+AN1740+AP1740+AR1740+AT1740+AV1740+AX1740+AZ1740+BB1740</f>
        <v>0</v>
      </c>
      <c r="BE1740" s="19">
        <v>0</v>
      </c>
      <c r="BF1740" s="229"/>
      <c r="BG1740" s="210">
        <f t="shared" ref="BG1740:BG1771" si="723">AC1740+BD1740</f>
        <v>2572</v>
      </c>
      <c r="BH1740" s="210">
        <f t="shared" ref="BH1740:BH1771" si="724">AD1740+BE1740</f>
        <v>0</v>
      </c>
      <c r="BI1740" s="213" t="e">
        <f t="shared" si="720"/>
        <v>#DIV/0!</v>
      </c>
      <c r="BJ1740" s="270" t="s">
        <v>2857</v>
      </c>
      <c r="BK1740" s="201"/>
      <c r="BL1740" s="4"/>
      <c r="BM1740" s="4"/>
    </row>
    <row r="1741" spans="1:65" s="38" customFormat="1" ht="18" customHeight="1">
      <c r="A1741" s="114">
        <v>3</v>
      </c>
      <c r="B1741" s="24" t="s">
        <v>937</v>
      </c>
      <c r="C1741" s="25" t="s">
        <v>938</v>
      </c>
      <c r="D1741" s="121"/>
      <c r="E1741" s="121"/>
      <c r="F1741" s="121"/>
      <c r="G1741" s="121"/>
      <c r="H1741" s="121"/>
      <c r="I1741" s="121">
        <v>208</v>
      </c>
      <c r="J1741" s="121"/>
      <c r="K1741" s="121"/>
      <c r="L1741" s="121"/>
      <c r="M1741" s="121"/>
      <c r="N1741" s="121"/>
      <c r="O1741" s="121">
        <f>1+192</f>
        <v>193</v>
      </c>
      <c r="P1741" s="121"/>
      <c r="Q1741" s="121"/>
      <c r="R1741" s="121"/>
      <c r="S1741" s="121"/>
      <c r="T1741" s="121"/>
      <c r="U1741" s="121">
        <f>237+269</f>
        <v>506</v>
      </c>
      <c r="V1741" s="121"/>
      <c r="W1741" s="121"/>
      <c r="X1741" s="121"/>
      <c r="Y1741" s="121"/>
      <c r="Z1741" s="121"/>
      <c r="AA1741" s="121"/>
      <c r="AB1741" s="229">
        <f t="shared" ref="AB1741:AB1765" si="725">D1741+F1741+H1741+J1741+L1741+N1741+P1741+R1741+T1741+V1741+X1741+Z1741</f>
        <v>0</v>
      </c>
      <c r="AC1741" s="228">
        <f t="shared" si="721"/>
        <v>907</v>
      </c>
      <c r="AD1741" s="19">
        <v>784</v>
      </c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29">
        <f t="shared" ref="BC1741:BC1765" si="726">AE1741+AG1741+AI1741+AK1741+AM1741+AO1741+AQ1741+AS1741+AU1741+AW1741+AY1741+BA1741</f>
        <v>0</v>
      </c>
      <c r="BD1741" s="48">
        <f t="shared" si="722"/>
        <v>0</v>
      </c>
      <c r="BE1741" s="19">
        <v>0</v>
      </c>
      <c r="BF1741" s="229">
        <f t="shared" ref="BF1741:BF1765" si="727">AB1741+BC1741</f>
        <v>0</v>
      </c>
      <c r="BG1741" s="210">
        <f t="shared" si="723"/>
        <v>907</v>
      </c>
      <c r="BH1741" s="210">
        <f t="shared" si="724"/>
        <v>784</v>
      </c>
      <c r="BI1741" s="213">
        <f t="shared" si="720"/>
        <v>115.6887755102041</v>
      </c>
      <c r="BJ1741" s="270" t="s">
        <v>2857</v>
      </c>
      <c r="BK1741" s="201"/>
      <c r="BL1741" s="4"/>
      <c r="BM1741" s="4"/>
    </row>
    <row r="1742" spans="1:65" s="38" customFormat="1" ht="18" customHeight="1">
      <c r="A1742" s="114">
        <v>4</v>
      </c>
      <c r="B1742" s="24" t="s">
        <v>1468</v>
      </c>
      <c r="C1742" s="25" t="s">
        <v>1471</v>
      </c>
      <c r="D1742" s="121"/>
      <c r="E1742" s="121"/>
      <c r="F1742" s="121"/>
      <c r="G1742" s="121"/>
      <c r="H1742" s="121"/>
      <c r="I1742" s="121">
        <f>234+2517</f>
        <v>2751</v>
      </c>
      <c r="J1742" s="121"/>
      <c r="K1742" s="121"/>
      <c r="L1742" s="121"/>
      <c r="M1742" s="121"/>
      <c r="N1742" s="121"/>
      <c r="O1742" s="121">
        <f>181+198+100+2258</f>
        <v>2737</v>
      </c>
      <c r="P1742" s="121"/>
      <c r="Q1742" s="121"/>
      <c r="R1742" s="121"/>
      <c r="S1742" s="121"/>
      <c r="T1742" s="121"/>
      <c r="U1742" s="121">
        <f>160+2336+2404</f>
        <v>4900</v>
      </c>
      <c r="V1742" s="121"/>
      <c r="W1742" s="121"/>
      <c r="X1742" s="121"/>
      <c r="Y1742" s="121"/>
      <c r="Z1742" s="121"/>
      <c r="AA1742" s="121">
        <v>1521</v>
      </c>
      <c r="AB1742" s="229">
        <f t="shared" si="725"/>
        <v>0</v>
      </c>
      <c r="AC1742" s="228">
        <f t="shared" si="721"/>
        <v>11909</v>
      </c>
      <c r="AD1742" s="19">
        <v>17598</v>
      </c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29">
        <f t="shared" si="726"/>
        <v>0</v>
      </c>
      <c r="BD1742" s="48">
        <f t="shared" si="722"/>
        <v>0</v>
      </c>
      <c r="BE1742" s="19">
        <v>0</v>
      </c>
      <c r="BF1742" s="229">
        <f t="shared" si="727"/>
        <v>0</v>
      </c>
      <c r="BG1742" s="210">
        <f t="shared" si="723"/>
        <v>11909</v>
      </c>
      <c r="BH1742" s="210">
        <f t="shared" si="724"/>
        <v>17598</v>
      </c>
      <c r="BI1742" s="213">
        <f t="shared" si="720"/>
        <v>67.672462779861348</v>
      </c>
      <c r="BJ1742" s="270" t="s">
        <v>2857</v>
      </c>
      <c r="BK1742" s="201"/>
      <c r="BL1742" s="4"/>
      <c r="BM1742" s="4"/>
    </row>
    <row r="1743" spans="1:65" s="38" customFormat="1" ht="18" customHeight="1">
      <c r="A1743" s="114">
        <v>5</v>
      </c>
      <c r="B1743" s="24" t="s">
        <v>1482</v>
      </c>
      <c r="C1743" s="25" t="s">
        <v>1483</v>
      </c>
      <c r="D1743" s="121"/>
      <c r="E1743" s="121"/>
      <c r="F1743" s="121"/>
      <c r="G1743" s="121"/>
      <c r="H1743" s="121"/>
      <c r="I1743" s="121">
        <f>1166+2</f>
        <v>1168</v>
      </c>
      <c r="J1743" s="121"/>
      <c r="K1743" s="121"/>
      <c r="L1743" s="121"/>
      <c r="M1743" s="121"/>
      <c r="N1743" s="121"/>
      <c r="O1743" s="121">
        <f>1194+100</f>
        <v>1294</v>
      </c>
      <c r="P1743" s="121"/>
      <c r="Q1743" s="121"/>
      <c r="R1743" s="121"/>
      <c r="S1743" s="121"/>
      <c r="T1743" s="121"/>
      <c r="U1743" s="121">
        <f>226+1+2</f>
        <v>229</v>
      </c>
      <c r="V1743" s="121"/>
      <c r="W1743" s="121"/>
      <c r="X1743" s="121"/>
      <c r="Y1743" s="121"/>
      <c r="Z1743" s="121"/>
      <c r="AA1743" s="121">
        <f>1249+1+234</f>
        <v>1484</v>
      </c>
      <c r="AB1743" s="229">
        <f t="shared" si="725"/>
        <v>0</v>
      </c>
      <c r="AC1743" s="228">
        <f t="shared" si="721"/>
        <v>4175</v>
      </c>
      <c r="AD1743" s="19">
        <v>4798</v>
      </c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29">
        <f t="shared" si="726"/>
        <v>0</v>
      </c>
      <c r="BD1743" s="48">
        <f t="shared" si="722"/>
        <v>0</v>
      </c>
      <c r="BE1743" s="19">
        <v>0</v>
      </c>
      <c r="BF1743" s="229">
        <f t="shared" si="727"/>
        <v>0</v>
      </c>
      <c r="BG1743" s="210">
        <f t="shared" si="723"/>
        <v>4175</v>
      </c>
      <c r="BH1743" s="210">
        <f t="shared" si="724"/>
        <v>4798</v>
      </c>
      <c r="BI1743" s="213">
        <f t="shared" si="720"/>
        <v>87.015423092955402</v>
      </c>
      <c r="BJ1743" s="270" t="s">
        <v>2857</v>
      </c>
      <c r="BK1743" s="201"/>
      <c r="BL1743" s="4"/>
      <c r="BM1743" s="4"/>
    </row>
    <row r="1744" spans="1:65" s="38" customFormat="1" ht="18" customHeight="1">
      <c r="A1744" s="114">
        <v>6</v>
      </c>
      <c r="B1744" s="24" t="s">
        <v>2289</v>
      </c>
      <c r="C1744" s="25" t="s">
        <v>2290</v>
      </c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229">
        <f t="shared" si="725"/>
        <v>0</v>
      </c>
      <c r="AC1744" s="228">
        <f t="shared" si="721"/>
        <v>0</v>
      </c>
      <c r="AD1744" s="19">
        <v>0</v>
      </c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29">
        <f t="shared" si="726"/>
        <v>0</v>
      </c>
      <c r="BD1744" s="48">
        <f t="shared" si="722"/>
        <v>0</v>
      </c>
      <c r="BE1744" s="19">
        <v>5</v>
      </c>
      <c r="BF1744" s="229">
        <f t="shared" si="727"/>
        <v>0</v>
      </c>
      <c r="BG1744" s="210">
        <f t="shared" si="723"/>
        <v>0</v>
      </c>
      <c r="BH1744" s="210">
        <f t="shared" si="724"/>
        <v>5</v>
      </c>
      <c r="BI1744" s="213">
        <f t="shared" si="720"/>
        <v>0</v>
      </c>
      <c r="BJ1744" s="165"/>
      <c r="BK1744" s="201"/>
      <c r="BL1744" s="4"/>
      <c r="BM1744" s="4"/>
    </row>
    <row r="1745" spans="1:65" s="38" customFormat="1" ht="18" customHeight="1">
      <c r="A1745" s="114">
        <v>7</v>
      </c>
      <c r="B1745" s="24" t="s">
        <v>668</v>
      </c>
      <c r="C1745" s="25" t="s">
        <v>669</v>
      </c>
      <c r="D1745" s="121"/>
      <c r="E1745" s="121"/>
      <c r="F1745" s="121"/>
      <c r="G1745" s="121"/>
      <c r="H1745" s="121"/>
      <c r="I1745" s="121">
        <v>7</v>
      </c>
      <c r="J1745" s="121"/>
      <c r="K1745" s="121"/>
      <c r="L1745" s="121"/>
      <c r="M1745" s="121"/>
      <c r="N1745" s="121"/>
      <c r="O1745" s="121">
        <v>23</v>
      </c>
      <c r="P1745" s="121"/>
      <c r="Q1745" s="121"/>
      <c r="R1745" s="121"/>
      <c r="S1745" s="121"/>
      <c r="T1745" s="121"/>
      <c r="U1745" s="121">
        <v>14</v>
      </c>
      <c r="V1745" s="121"/>
      <c r="W1745" s="121"/>
      <c r="X1745" s="121"/>
      <c r="Y1745" s="121"/>
      <c r="Z1745" s="121"/>
      <c r="AA1745" s="121">
        <v>19</v>
      </c>
      <c r="AB1745" s="229">
        <f t="shared" si="725"/>
        <v>0</v>
      </c>
      <c r="AC1745" s="228">
        <f t="shared" si="721"/>
        <v>63</v>
      </c>
      <c r="AD1745" s="19">
        <v>74</v>
      </c>
      <c r="AE1745" s="28"/>
      <c r="AF1745" s="28"/>
      <c r="AG1745" s="28"/>
      <c r="AH1745" s="28"/>
      <c r="AI1745" s="28"/>
      <c r="AJ1745" s="28">
        <v>48</v>
      </c>
      <c r="AK1745" s="28"/>
      <c r="AL1745" s="28"/>
      <c r="AM1745" s="28"/>
      <c r="AN1745" s="28"/>
      <c r="AO1745" s="28"/>
      <c r="AP1745" s="28">
        <f>1+49+2</f>
        <v>52</v>
      </c>
      <c r="AQ1745" s="28"/>
      <c r="AR1745" s="28"/>
      <c r="AS1745" s="28"/>
      <c r="AT1745" s="28"/>
      <c r="AU1745" s="28"/>
      <c r="AV1745" s="28">
        <f>36+1</f>
        <v>37</v>
      </c>
      <c r="AW1745" s="28"/>
      <c r="AX1745" s="28"/>
      <c r="AY1745" s="28"/>
      <c r="AZ1745" s="28"/>
      <c r="BA1745" s="28"/>
      <c r="BB1745" s="28">
        <v>38</v>
      </c>
      <c r="BC1745" s="229">
        <f t="shared" si="726"/>
        <v>0</v>
      </c>
      <c r="BD1745" s="48">
        <f t="shared" si="722"/>
        <v>175</v>
      </c>
      <c r="BE1745" s="19">
        <v>146</v>
      </c>
      <c r="BF1745" s="229">
        <f t="shared" si="727"/>
        <v>0</v>
      </c>
      <c r="BG1745" s="210">
        <f t="shared" si="723"/>
        <v>238</v>
      </c>
      <c r="BH1745" s="210">
        <f t="shared" si="724"/>
        <v>220</v>
      </c>
      <c r="BI1745" s="213">
        <f t="shared" si="720"/>
        <v>108.18181818181817</v>
      </c>
      <c r="BJ1745" s="141"/>
      <c r="BK1745" s="201"/>
      <c r="BL1745" s="4"/>
      <c r="BM1745" s="4"/>
    </row>
    <row r="1746" spans="1:65" s="38" customFormat="1" ht="18" customHeight="1">
      <c r="A1746" s="114">
        <v>8</v>
      </c>
      <c r="B1746" s="24" t="s">
        <v>2063</v>
      </c>
      <c r="C1746" s="25" t="s">
        <v>2064</v>
      </c>
      <c r="D1746" s="121"/>
      <c r="E1746" s="121"/>
      <c r="F1746" s="121"/>
      <c r="G1746" s="121"/>
      <c r="H1746" s="121"/>
      <c r="I1746" s="121">
        <v>3</v>
      </c>
      <c r="J1746" s="121"/>
      <c r="K1746" s="121"/>
      <c r="L1746" s="121"/>
      <c r="M1746" s="121"/>
      <c r="N1746" s="121"/>
      <c r="O1746" s="121">
        <v>3</v>
      </c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>
        <v>1</v>
      </c>
      <c r="AB1746" s="229">
        <f t="shared" si="725"/>
        <v>0</v>
      </c>
      <c r="AC1746" s="228">
        <f t="shared" si="721"/>
        <v>7</v>
      </c>
      <c r="AD1746" s="19">
        <v>10</v>
      </c>
      <c r="AE1746" s="28"/>
      <c r="AF1746" s="28"/>
      <c r="AG1746" s="28"/>
      <c r="AH1746" s="28"/>
      <c r="AI1746" s="28"/>
      <c r="AJ1746" s="28">
        <v>1</v>
      </c>
      <c r="AK1746" s="28"/>
      <c r="AL1746" s="28"/>
      <c r="AM1746" s="28"/>
      <c r="AN1746" s="28"/>
      <c r="AO1746" s="28"/>
      <c r="AP1746" s="28">
        <v>4</v>
      </c>
      <c r="AQ1746" s="28"/>
      <c r="AR1746" s="28"/>
      <c r="AS1746" s="28"/>
      <c r="AT1746" s="28"/>
      <c r="AU1746" s="28"/>
      <c r="AV1746" s="28">
        <v>6</v>
      </c>
      <c r="AW1746" s="28"/>
      <c r="AX1746" s="28"/>
      <c r="AY1746" s="28"/>
      <c r="AZ1746" s="28"/>
      <c r="BA1746" s="28"/>
      <c r="BB1746" s="28"/>
      <c r="BC1746" s="229">
        <f t="shared" si="726"/>
        <v>0</v>
      </c>
      <c r="BD1746" s="48">
        <f t="shared" si="722"/>
        <v>11</v>
      </c>
      <c r="BE1746" s="19">
        <v>54</v>
      </c>
      <c r="BF1746" s="229">
        <f t="shared" si="727"/>
        <v>0</v>
      </c>
      <c r="BG1746" s="210">
        <f t="shared" si="723"/>
        <v>18</v>
      </c>
      <c r="BH1746" s="210">
        <f t="shared" si="724"/>
        <v>64</v>
      </c>
      <c r="BI1746" s="213">
        <f t="shared" si="720"/>
        <v>28.125</v>
      </c>
      <c r="BJ1746" s="141"/>
      <c r="BK1746" s="201"/>
      <c r="BL1746" s="4"/>
      <c r="BM1746" s="4"/>
    </row>
    <row r="1747" spans="1:65" s="38" customFormat="1" ht="18" customHeight="1">
      <c r="A1747" s="114">
        <v>9</v>
      </c>
      <c r="B1747" s="24" t="s">
        <v>553</v>
      </c>
      <c r="C1747" s="25" t="s">
        <v>554</v>
      </c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229">
        <f t="shared" si="725"/>
        <v>0</v>
      </c>
      <c r="AC1747" s="228">
        <f t="shared" si="721"/>
        <v>0</v>
      </c>
      <c r="AD1747" s="19">
        <v>0</v>
      </c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29">
        <f t="shared" si="726"/>
        <v>0</v>
      </c>
      <c r="BD1747" s="48">
        <f t="shared" si="722"/>
        <v>0</v>
      </c>
      <c r="BE1747" s="19">
        <v>332</v>
      </c>
      <c r="BF1747" s="229">
        <f t="shared" si="727"/>
        <v>0</v>
      </c>
      <c r="BG1747" s="210">
        <f t="shared" si="723"/>
        <v>0</v>
      </c>
      <c r="BH1747" s="210">
        <f t="shared" si="724"/>
        <v>332</v>
      </c>
      <c r="BI1747" s="213">
        <f t="shared" si="720"/>
        <v>0</v>
      </c>
      <c r="BJ1747" s="141"/>
      <c r="BK1747" s="201"/>
      <c r="BL1747" s="4"/>
      <c r="BM1747" s="4"/>
    </row>
    <row r="1748" spans="1:65" s="38" customFormat="1" ht="18" customHeight="1">
      <c r="A1748" s="114">
        <v>10</v>
      </c>
      <c r="B1748" s="24" t="s">
        <v>555</v>
      </c>
      <c r="C1748" s="25" t="s">
        <v>556</v>
      </c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229">
        <f t="shared" si="725"/>
        <v>0</v>
      </c>
      <c r="AC1748" s="228">
        <f t="shared" si="721"/>
        <v>0</v>
      </c>
      <c r="AD1748" s="19">
        <v>0</v>
      </c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29">
        <f t="shared" si="726"/>
        <v>0</v>
      </c>
      <c r="BD1748" s="48">
        <f t="shared" si="722"/>
        <v>0</v>
      </c>
      <c r="BE1748" s="19">
        <v>1</v>
      </c>
      <c r="BF1748" s="229">
        <f t="shared" si="727"/>
        <v>0</v>
      </c>
      <c r="BG1748" s="210">
        <f t="shared" si="723"/>
        <v>0</v>
      </c>
      <c r="BH1748" s="210">
        <f t="shared" si="724"/>
        <v>1</v>
      </c>
      <c r="BI1748" s="213">
        <f t="shared" si="720"/>
        <v>0</v>
      </c>
      <c r="BJ1748" s="141"/>
      <c r="BK1748" s="201"/>
      <c r="BL1748" s="4"/>
      <c r="BM1748" s="4"/>
    </row>
    <row r="1749" spans="1:65" s="38" customFormat="1" ht="18" customHeight="1">
      <c r="A1749" s="114">
        <v>11</v>
      </c>
      <c r="B1749" s="24" t="s">
        <v>561</v>
      </c>
      <c r="C1749" s="25" t="s">
        <v>562</v>
      </c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229">
        <f t="shared" si="725"/>
        <v>0</v>
      </c>
      <c r="AC1749" s="228">
        <f t="shared" si="721"/>
        <v>0</v>
      </c>
      <c r="AD1749" s="19">
        <v>3</v>
      </c>
      <c r="AE1749" s="28"/>
      <c r="AF1749" s="28"/>
      <c r="AG1749" s="28"/>
      <c r="AH1749" s="28"/>
      <c r="AI1749" s="28"/>
      <c r="AJ1749" s="28">
        <f>88+66</f>
        <v>154</v>
      </c>
      <c r="AK1749" s="28"/>
      <c r="AL1749" s="28"/>
      <c r="AM1749" s="28"/>
      <c r="AN1749" s="28"/>
      <c r="AO1749" s="28"/>
      <c r="AP1749" s="28">
        <f>156+61+1</f>
        <v>218</v>
      </c>
      <c r="AQ1749" s="28"/>
      <c r="AR1749" s="28"/>
      <c r="AS1749" s="28"/>
      <c r="AT1749" s="28"/>
      <c r="AU1749" s="28"/>
      <c r="AV1749" s="28">
        <f>138+62</f>
        <v>200</v>
      </c>
      <c r="AW1749" s="28"/>
      <c r="AX1749" s="28"/>
      <c r="AY1749" s="28"/>
      <c r="AZ1749" s="28"/>
      <c r="BA1749" s="28"/>
      <c r="BB1749" s="28">
        <f>206+79</f>
        <v>285</v>
      </c>
      <c r="BC1749" s="229">
        <f t="shared" si="726"/>
        <v>0</v>
      </c>
      <c r="BD1749" s="48">
        <f t="shared" si="722"/>
        <v>857</v>
      </c>
      <c r="BE1749" s="19">
        <v>1030</v>
      </c>
      <c r="BF1749" s="229">
        <f t="shared" si="727"/>
        <v>0</v>
      </c>
      <c r="BG1749" s="210">
        <f t="shared" si="723"/>
        <v>857</v>
      </c>
      <c r="BH1749" s="210">
        <f t="shared" si="724"/>
        <v>1033</v>
      </c>
      <c r="BI1749" s="213">
        <f t="shared" si="720"/>
        <v>82.962245885769605</v>
      </c>
      <c r="BJ1749" s="141"/>
      <c r="BK1749" s="201"/>
      <c r="BL1749" s="4"/>
      <c r="BM1749" s="4"/>
    </row>
    <row r="1750" spans="1:65" s="38" customFormat="1" ht="18" customHeight="1">
      <c r="A1750" s="114">
        <v>12</v>
      </c>
      <c r="B1750" s="24" t="s">
        <v>672</v>
      </c>
      <c r="C1750" s="25" t="s">
        <v>673</v>
      </c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229">
        <f t="shared" si="725"/>
        <v>0</v>
      </c>
      <c r="AC1750" s="228">
        <f t="shared" si="721"/>
        <v>0</v>
      </c>
      <c r="AD1750" s="19">
        <v>0</v>
      </c>
      <c r="AE1750" s="28"/>
      <c r="AF1750" s="28"/>
      <c r="AG1750" s="28"/>
      <c r="AH1750" s="28"/>
      <c r="AI1750" s="28"/>
      <c r="AJ1750" s="28">
        <f>1603+570+19</f>
        <v>2192</v>
      </c>
      <c r="AK1750" s="28"/>
      <c r="AL1750" s="28"/>
      <c r="AM1750" s="28"/>
      <c r="AN1750" s="28"/>
      <c r="AO1750" s="28"/>
      <c r="AP1750" s="28">
        <f>1476+449+14</f>
        <v>1939</v>
      </c>
      <c r="AQ1750" s="28"/>
      <c r="AR1750" s="28"/>
      <c r="AS1750" s="28"/>
      <c r="AT1750" s="28"/>
      <c r="AU1750" s="28"/>
      <c r="AV1750" s="28">
        <f>1693+693</f>
        <v>2386</v>
      </c>
      <c r="AW1750" s="28"/>
      <c r="AX1750" s="28"/>
      <c r="AY1750" s="28"/>
      <c r="AZ1750" s="28"/>
      <c r="BA1750" s="28"/>
      <c r="BB1750" s="28">
        <f>1745+652</f>
        <v>2397</v>
      </c>
      <c r="BC1750" s="229">
        <f t="shared" si="726"/>
        <v>0</v>
      </c>
      <c r="BD1750" s="48">
        <f t="shared" si="722"/>
        <v>8914</v>
      </c>
      <c r="BE1750" s="19">
        <v>9795</v>
      </c>
      <c r="BF1750" s="229">
        <f t="shared" si="727"/>
        <v>0</v>
      </c>
      <c r="BG1750" s="210">
        <f t="shared" si="723"/>
        <v>8914</v>
      </c>
      <c r="BH1750" s="210">
        <f t="shared" si="724"/>
        <v>9795</v>
      </c>
      <c r="BI1750" s="213">
        <f t="shared" si="720"/>
        <v>91.005615109749868</v>
      </c>
      <c r="BJ1750" s="141"/>
      <c r="BK1750" s="201"/>
      <c r="BL1750" s="4"/>
      <c r="BM1750" s="4"/>
    </row>
    <row r="1751" spans="1:65" s="38" customFormat="1" ht="18" customHeight="1">
      <c r="A1751" s="114">
        <v>13</v>
      </c>
      <c r="B1751" s="24" t="s">
        <v>565</v>
      </c>
      <c r="C1751" s="25" t="s">
        <v>566</v>
      </c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229">
        <f t="shared" si="725"/>
        <v>0</v>
      </c>
      <c r="AC1751" s="228">
        <f t="shared" si="721"/>
        <v>0</v>
      </c>
      <c r="AD1751" s="19">
        <v>0</v>
      </c>
      <c r="AE1751" s="28"/>
      <c r="AF1751" s="28"/>
      <c r="AG1751" s="28"/>
      <c r="AH1751" s="28"/>
      <c r="AI1751" s="28"/>
      <c r="AJ1751" s="28">
        <f>6+14</f>
        <v>20</v>
      </c>
      <c r="AK1751" s="28"/>
      <c r="AL1751" s="28"/>
      <c r="AM1751" s="28"/>
      <c r="AN1751" s="28"/>
      <c r="AO1751" s="28"/>
      <c r="AP1751" s="28">
        <f>10+12</f>
        <v>22</v>
      </c>
      <c r="AQ1751" s="28"/>
      <c r="AR1751" s="28"/>
      <c r="AS1751" s="28"/>
      <c r="AT1751" s="28"/>
      <c r="AU1751" s="28"/>
      <c r="AV1751" s="28">
        <f>5+32</f>
        <v>37</v>
      </c>
      <c r="AW1751" s="28"/>
      <c r="AX1751" s="28"/>
      <c r="AY1751" s="28"/>
      <c r="AZ1751" s="28"/>
      <c r="BA1751" s="28"/>
      <c r="BB1751" s="28">
        <f>10+9</f>
        <v>19</v>
      </c>
      <c r="BC1751" s="229">
        <f t="shared" si="726"/>
        <v>0</v>
      </c>
      <c r="BD1751" s="48">
        <f t="shared" si="722"/>
        <v>98</v>
      </c>
      <c r="BE1751" s="19">
        <v>68</v>
      </c>
      <c r="BF1751" s="229">
        <f t="shared" si="727"/>
        <v>0</v>
      </c>
      <c r="BG1751" s="210">
        <f t="shared" si="723"/>
        <v>98</v>
      </c>
      <c r="BH1751" s="210">
        <f t="shared" si="724"/>
        <v>68</v>
      </c>
      <c r="BI1751" s="213">
        <f t="shared" si="720"/>
        <v>144.11764705882354</v>
      </c>
      <c r="BJ1751" s="141"/>
      <c r="BK1751" s="201"/>
      <c r="BL1751" s="4"/>
      <c r="BM1751" s="4"/>
    </row>
    <row r="1752" spans="1:65" s="38" customFormat="1" ht="18" customHeight="1">
      <c r="A1752" s="114">
        <v>14</v>
      </c>
      <c r="B1752" s="24" t="s">
        <v>707</v>
      </c>
      <c r="C1752" s="25" t="s">
        <v>708</v>
      </c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229">
        <f t="shared" si="725"/>
        <v>0</v>
      </c>
      <c r="AC1752" s="228">
        <f t="shared" si="721"/>
        <v>0</v>
      </c>
      <c r="AD1752" s="19">
        <v>0</v>
      </c>
      <c r="AE1752" s="28"/>
      <c r="AF1752" s="28"/>
      <c r="AG1752" s="28"/>
      <c r="AH1752" s="28"/>
      <c r="AI1752" s="28"/>
      <c r="AJ1752" s="28">
        <v>6</v>
      </c>
      <c r="AK1752" s="28"/>
      <c r="AL1752" s="28"/>
      <c r="AM1752" s="28"/>
      <c r="AN1752" s="28"/>
      <c r="AO1752" s="28"/>
      <c r="AP1752" s="28">
        <v>3</v>
      </c>
      <c r="AQ1752" s="28"/>
      <c r="AR1752" s="28"/>
      <c r="AS1752" s="28"/>
      <c r="AT1752" s="28"/>
      <c r="AU1752" s="28"/>
      <c r="AV1752" s="28">
        <v>7</v>
      </c>
      <c r="AW1752" s="28"/>
      <c r="AX1752" s="28"/>
      <c r="AY1752" s="28"/>
      <c r="AZ1752" s="28"/>
      <c r="BA1752" s="28"/>
      <c r="BB1752" s="28"/>
      <c r="BC1752" s="229">
        <f t="shared" si="726"/>
        <v>0</v>
      </c>
      <c r="BD1752" s="48">
        <f t="shared" si="722"/>
        <v>16</v>
      </c>
      <c r="BE1752" s="19">
        <v>6</v>
      </c>
      <c r="BF1752" s="229">
        <f t="shared" si="727"/>
        <v>0</v>
      </c>
      <c r="BG1752" s="210">
        <f t="shared" si="723"/>
        <v>16</v>
      </c>
      <c r="BH1752" s="210">
        <f t="shared" si="724"/>
        <v>6</v>
      </c>
      <c r="BI1752" s="213">
        <f t="shared" si="720"/>
        <v>266.66666666666663</v>
      </c>
      <c r="BJ1752" s="141"/>
      <c r="BK1752" s="201"/>
      <c r="BL1752" s="4"/>
      <c r="BM1752" s="4"/>
    </row>
    <row r="1753" spans="1:65" s="38" customFormat="1" ht="18" customHeight="1">
      <c r="A1753" s="114">
        <v>15</v>
      </c>
      <c r="B1753" s="24" t="s">
        <v>709</v>
      </c>
      <c r="C1753" s="25" t="s">
        <v>710</v>
      </c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229">
        <f t="shared" si="725"/>
        <v>0</v>
      </c>
      <c r="AC1753" s="228">
        <f t="shared" si="721"/>
        <v>0</v>
      </c>
      <c r="AD1753" s="19">
        <v>0</v>
      </c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>
        <v>9</v>
      </c>
      <c r="AQ1753" s="28"/>
      <c r="AR1753" s="28"/>
      <c r="AS1753" s="28"/>
      <c r="AT1753" s="28"/>
      <c r="AU1753" s="28"/>
      <c r="AV1753" s="28">
        <f>5+4</f>
        <v>9</v>
      </c>
      <c r="AW1753" s="28"/>
      <c r="AX1753" s="28"/>
      <c r="AY1753" s="28"/>
      <c r="AZ1753" s="28"/>
      <c r="BA1753" s="28"/>
      <c r="BB1753" s="28">
        <f>2+5</f>
        <v>7</v>
      </c>
      <c r="BC1753" s="229">
        <f t="shared" si="726"/>
        <v>0</v>
      </c>
      <c r="BD1753" s="48">
        <f t="shared" si="722"/>
        <v>25</v>
      </c>
      <c r="BE1753" s="19">
        <v>35</v>
      </c>
      <c r="BF1753" s="229">
        <f t="shared" si="727"/>
        <v>0</v>
      </c>
      <c r="BG1753" s="210">
        <f t="shared" si="723"/>
        <v>25</v>
      </c>
      <c r="BH1753" s="210">
        <f t="shared" si="724"/>
        <v>35</v>
      </c>
      <c r="BI1753" s="213">
        <f t="shared" si="720"/>
        <v>71.428571428571431</v>
      </c>
      <c r="BJ1753" s="141"/>
      <c r="BK1753" s="201"/>
      <c r="BL1753" s="4"/>
      <c r="BM1753" s="4"/>
    </row>
    <row r="1754" spans="1:65" s="38" customFormat="1" ht="18" customHeight="1">
      <c r="A1754" s="114">
        <v>16</v>
      </c>
      <c r="B1754" s="24" t="s">
        <v>567</v>
      </c>
      <c r="C1754" s="25" t="s">
        <v>568</v>
      </c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229">
        <f t="shared" si="725"/>
        <v>0</v>
      </c>
      <c r="AC1754" s="228">
        <f t="shared" si="721"/>
        <v>0</v>
      </c>
      <c r="AD1754" s="19">
        <v>0</v>
      </c>
      <c r="AE1754" s="28"/>
      <c r="AF1754" s="28"/>
      <c r="AG1754" s="28"/>
      <c r="AH1754" s="28"/>
      <c r="AI1754" s="28"/>
      <c r="AJ1754" s="28">
        <f>3+30</f>
        <v>33</v>
      </c>
      <c r="AK1754" s="28"/>
      <c r="AL1754" s="28"/>
      <c r="AM1754" s="28"/>
      <c r="AN1754" s="28"/>
      <c r="AO1754" s="28"/>
      <c r="AP1754" s="28">
        <f>6+10</f>
        <v>16</v>
      </c>
      <c r="AQ1754" s="28"/>
      <c r="AR1754" s="28"/>
      <c r="AS1754" s="28"/>
      <c r="AT1754" s="28"/>
      <c r="AU1754" s="28"/>
      <c r="AV1754" s="28">
        <f>6+11</f>
        <v>17</v>
      </c>
      <c r="AW1754" s="28"/>
      <c r="AX1754" s="28"/>
      <c r="AY1754" s="28"/>
      <c r="AZ1754" s="28"/>
      <c r="BA1754" s="28"/>
      <c r="BB1754" s="28">
        <f>4+13</f>
        <v>17</v>
      </c>
      <c r="BC1754" s="229">
        <f t="shared" si="726"/>
        <v>0</v>
      </c>
      <c r="BD1754" s="48">
        <f t="shared" si="722"/>
        <v>83</v>
      </c>
      <c r="BE1754" s="19">
        <v>98</v>
      </c>
      <c r="BF1754" s="229">
        <f t="shared" si="727"/>
        <v>0</v>
      </c>
      <c r="BG1754" s="210">
        <f t="shared" si="723"/>
        <v>83</v>
      </c>
      <c r="BH1754" s="210">
        <f t="shared" si="724"/>
        <v>98</v>
      </c>
      <c r="BI1754" s="213">
        <f t="shared" si="720"/>
        <v>84.693877551020407</v>
      </c>
      <c r="BJ1754" s="141"/>
      <c r="BK1754" s="201"/>
      <c r="BL1754" s="4"/>
      <c r="BM1754" s="4"/>
    </row>
    <row r="1755" spans="1:65" s="38" customFormat="1" ht="18" customHeight="1">
      <c r="A1755" s="114">
        <v>17</v>
      </c>
      <c r="B1755" s="24" t="s">
        <v>569</v>
      </c>
      <c r="C1755" s="25" t="s">
        <v>680</v>
      </c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229">
        <f t="shared" si="725"/>
        <v>0</v>
      </c>
      <c r="AC1755" s="228">
        <f t="shared" si="721"/>
        <v>0</v>
      </c>
      <c r="AD1755" s="19">
        <v>0</v>
      </c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29">
        <f t="shared" si="726"/>
        <v>0</v>
      </c>
      <c r="BD1755" s="48">
        <f t="shared" si="722"/>
        <v>0</v>
      </c>
      <c r="BE1755" s="19">
        <v>1</v>
      </c>
      <c r="BF1755" s="229">
        <f t="shared" si="727"/>
        <v>0</v>
      </c>
      <c r="BG1755" s="210">
        <f t="shared" si="723"/>
        <v>0</v>
      </c>
      <c r="BH1755" s="210">
        <f t="shared" si="724"/>
        <v>1</v>
      </c>
      <c r="BI1755" s="213">
        <f t="shared" si="720"/>
        <v>0</v>
      </c>
      <c r="BJ1755" s="141"/>
      <c r="BK1755" s="201"/>
      <c r="BL1755" s="4"/>
      <c r="BM1755" s="4"/>
    </row>
    <row r="1756" spans="1:65" s="38" customFormat="1" ht="18" customHeight="1">
      <c r="A1756" s="114">
        <v>18</v>
      </c>
      <c r="B1756" s="24" t="s">
        <v>571</v>
      </c>
      <c r="C1756" s="25" t="s">
        <v>572</v>
      </c>
      <c r="D1756" s="121"/>
      <c r="E1756" s="121"/>
      <c r="F1756" s="121"/>
      <c r="G1756" s="121"/>
      <c r="H1756" s="121"/>
      <c r="I1756" s="121">
        <v>178</v>
      </c>
      <c r="J1756" s="121"/>
      <c r="K1756" s="121"/>
      <c r="L1756" s="121"/>
      <c r="M1756" s="121"/>
      <c r="N1756" s="121"/>
      <c r="O1756" s="121">
        <v>173</v>
      </c>
      <c r="P1756" s="121"/>
      <c r="Q1756" s="121"/>
      <c r="R1756" s="121"/>
      <c r="S1756" s="121"/>
      <c r="T1756" s="121"/>
      <c r="U1756" s="121">
        <v>156</v>
      </c>
      <c r="V1756" s="121"/>
      <c r="W1756" s="121"/>
      <c r="X1756" s="121"/>
      <c r="Y1756" s="121"/>
      <c r="Z1756" s="121"/>
      <c r="AA1756" s="121">
        <v>239</v>
      </c>
      <c r="AB1756" s="229">
        <f t="shared" si="725"/>
        <v>0</v>
      </c>
      <c r="AC1756" s="228">
        <f t="shared" si="721"/>
        <v>746</v>
      </c>
      <c r="AD1756" s="19">
        <v>1295</v>
      </c>
      <c r="AE1756" s="28"/>
      <c r="AF1756" s="28"/>
      <c r="AG1756" s="28"/>
      <c r="AH1756" s="28"/>
      <c r="AI1756" s="28"/>
      <c r="AJ1756" s="28">
        <f>472+527+9</f>
        <v>1008</v>
      </c>
      <c r="AK1756" s="28"/>
      <c r="AL1756" s="28"/>
      <c r="AM1756" s="28"/>
      <c r="AN1756" s="28"/>
      <c r="AO1756" s="28"/>
      <c r="AP1756" s="28">
        <f>595+428+8</f>
        <v>1031</v>
      </c>
      <c r="AQ1756" s="28"/>
      <c r="AR1756" s="28"/>
      <c r="AS1756" s="28"/>
      <c r="AT1756" s="28"/>
      <c r="AU1756" s="28"/>
      <c r="AV1756" s="28">
        <f>620+625</f>
        <v>1245</v>
      </c>
      <c r="AW1756" s="28"/>
      <c r="AX1756" s="28"/>
      <c r="AY1756" s="28"/>
      <c r="AZ1756" s="28"/>
      <c r="BA1756" s="28"/>
      <c r="BB1756" s="28">
        <f>557+509</f>
        <v>1066</v>
      </c>
      <c r="BC1756" s="229">
        <f t="shared" si="726"/>
        <v>0</v>
      </c>
      <c r="BD1756" s="48">
        <f t="shared" si="722"/>
        <v>4350</v>
      </c>
      <c r="BE1756" s="19">
        <v>4798</v>
      </c>
      <c r="BF1756" s="229">
        <f t="shared" si="727"/>
        <v>0</v>
      </c>
      <c r="BG1756" s="210">
        <f t="shared" si="723"/>
        <v>5096</v>
      </c>
      <c r="BH1756" s="210">
        <f t="shared" si="724"/>
        <v>6093</v>
      </c>
      <c r="BI1756" s="213">
        <f t="shared" si="720"/>
        <v>83.636960446413923</v>
      </c>
      <c r="BJ1756" s="141"/>
      <c r="BK1756" s="201"/>
      <c r="BL1756" s="4"/>
      <c r="BM1756" s="4"/>
    </row>
    <row r="1757" spans="1:65" s="38" customFormat="1" ht="18" customHeight="1">
      <c r="A1757" s="114">
        <v>19</v>
      </c>
      <c r="B1757" s="24" t="s">
        <v>582</v>
      </c>
      <c r="C1757" s="25" t="s">
        <v>583</v>
      </c>
      <c r="D1757" s="121"/>
      <c r="E1757" s="121"/>
      <c r="F1757" s="121"/>
      <c r="G1757" s="121"/>
      <c r="H1757" s="121"/>
      <c r="I1757" s="121">
        <v>1</v>
      </c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>
        <v>1</v>
      </c>
      <c r="AB1757" s="229">
        <f t="shared" si="725"/>
        <v>0</v>
      </c>
      <c r="AC1757" s="228">
        <f t="shared" si="721"/>
        <v>2</v>
      </c>
      <c r="AD1757" s="19">
        <v>3</v>
      </c>
      <c r="AE1757" s="28"/>
      <c r="AF1757" s="28"/>
      <c r="AG1757" s="28"/>
      <c r="AH1757" s="28"/>
      <c r="AI1757" s="28"/>
      <c r="AJ1757" s="28">
        <v>30</v>
      </c>
      <c r="AK1757" s="28"/>
      <c r="AL1757" s="28"/>
      <c r="AM1757" s="28"/>
      <c r="AN1757" s="28"/>
      <c r="AO1757" s="28"/>
      <c r="AP1757" s="28">
        <f>1+27</f>
        <v>28</v>
      </c>
      <c r="AQ1757" s="28"/>
      <c r="AR1757" s="28"/>
      <c r="AS1757" s="28"/>
      <c r="AT1757" s="28"/>
      <c r="AU1757" s="28"/>
      <c r="AV1757" s="28">
        <f>1+19</f>
        <v>20</v>
      </c>
      <c r="AW1757" s="28"/>
      <c r="AX1757" s="28"/>
      <c r="AY1757" s="28"/>
      <c r="AZ1757" s="28"/>
      <c r="BA1757" s="28"/>
      <c r="BB1757" s="28">
        <f>1+27</f>
        <v>28</v>
      </c>
      <c r="BC1757" s="229">
        <f t="shared" si="726"/>
        <v>0</v>
      </c>
      <c r="BD1757" s="48">
        <f t="shared" si="722"/>
        <v>106</v>
      </c>
      <c r="BE1757" s="19">
        <v>55</v>
      </c>
      <c r="BF1757" s="229">
        <f t="shared" si="727"/>
        <v>0</v>
      </c>
      <c r="BG1757" s="210">
        <f t="shared" si="723"/>
        <v>108</v>
      </c>
      <c r="BH1757" s="210">
        <f t="shared" si="724"/>
        <v>58</v>
      </c>
      <c r="BI1757" s="213">
        <f t="shared" si="720"/>
        <v>186.20689655172413</v>
      </c>
      <c r="BJ1757" s="141"/>
      <c r="BK1757" s="201"/>
      <c r="BL1757" s="4"/>
      <c r="BM1757" s="4"/>
    </row>
    <row r="1758" spans="1:65" s="38" customFormat="1" ht="18" customHeight="1">
      <c r="A1758" s="114">
        <v>20</v>
      </c>
      <c r="B1758" s="24" t="s">
        <v>584</v>
      </c>
      <c r="C1758" s="25" t="s">
        <v>2603</v>
      </c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229">
        <f t="shared" si="725"/>
        <v>0</v>
      </c>
      <c r="AC1758" s="228">
        <f t="shared" si="721"/>
        <v>0</v>
      </c>
      <c r="AD1758" s="19">
        <v>0</v>
      </c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29">
        <f t="shared" si="726"/>
        <v>0</v>
      </c>
      <c r="BD1758" s="48">
        <f t="shared" si="722"/>
        <v>0</v>
      </c>
      <c r="BE1758" s="19">
        <v>235</v>
      </c>
      <c r="BF1758" s="229">
        <f t="shared" si="727"/>
        <v>0</v>
      </c>
      <c r="BG1758" s="210">
        <f t="shared" si="723"/>
        <v>0</v>
      </c>
      <c r="BH1758" s="210">
        <f t="shared" si="724"/>
        <v>235</v>
      </c>
      <c r="BI1758" s="213">
        <f t="shared" si="720"/>
        <v>0</v>
      </c>
      <c r="BJ1758" s="141"/>
      <c r="BK1758" s="201"/>
      <c r="BL1758" s="4"/>
      <c r="BM1758" s="4"/>
    </row>
    <row r="1759" spans="1:65" s="38" customFormat="1" ht="18" customHeight="1">
      <c r="A1759" s="114">
        <v>21</v>
      </c>
      <c r="B1759" s="24" t="s">
        <v>585</v>
      </c>
      <c r="C1759" s="25" t="s">
        <v>586</v>
      </c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229">
        <f t="shared" si="725"/>
        <v>0</v>
      </c>
      <c r="AC1759" s="228">
        <f t="shared" si="721"/>
        <v>0</v>
      </c>
      <c r="AD1759" s="19">
        <v>0</v>
      </c>
      <c r="AE1759" s="28"/>
      <c r="AF1759" s="28"/>
      <c r="AG1759" s="28"/>
      <c r="AH1759" s="28"/>
      <c r="AI1759" s="28"/>
      <c r="AJ1759" s="28">
        <f>85+191</f>
        <v>276</v>
      </c>
      <c r="AK1759" s="28"/>
      <c r="AL1759" s="28"/>
      <c r="AM1759" s="28"/>
      <c r="AN1759" s="28"/>
      <c r="AO1759" s="28"/>
      <c r="AP1759" s="28">
        <f>129+130</f>
        <v>259</v>
      </c>
      <c r="AQ1759" s="28"/>
      <c r="AR1759" s="28"/>
      <c r="AS1759" s="28"/>
      <c r="AT1759" s="28"/>
      <c r="AU1759" s="28"/>
      <c r="AV1759" s="28">
        <f>78+211</f>
        <v>289</v>
      </c>
      <c r="AW1759" s="28"/>
      <c r="AX1759" s="28"/>
      <c r="AY1759" s="28"/>
      <c r="AZ1759" s="28"/>
      <c r="BA1759" s="28"/>
      <c r="BB1759" s="28">
        <f>115+188</f>
        <v>303</v>
      </c>
      <c r="BC1759" s="229">
        <f t="shared" si="726"/>
        <v>0</v>
      </c>
      <c r="BD1759" s="48">
        <f t="shared" si="722"/>
        <v>1127</v>
      </c>
      <c r="BE1759" s="19">
        <v>1293</v>
      </c>
      <c r="BF1759" s="229">
        <f t="shared" si="727"/>
        <v>0</v>
      </c>
      <c r="BG1759" s="210">
        <f t="shared" si="723"/>
        <v>1127</v>
      </c>
      <c r="BH1759" s="210">
        <f t="shared" si="724"/>
        <v>1293</v>
      </c>
      <c r="BI1759" s="213">
        <f t="shared" si="720"/>
        <v>87.161639597834494</v>
      </c>
      <c r="BJ1759" s="141"/>
      <c r="BK1759" s="201"/>
      <c r="BL1759" s="4"/>
      <c r="BM1759" s="4"/>
    </row>
    <row r="1760" spans="1:65" s="38" customFormat="1" ht="18" customHeight="1">
      <c r="A1760" s="114">
        <v>22</v>
      </c>
      <c r="B1760" s="24" t="s">
        <v>826</v>
      </c>
      <c r="C1760" s="25" t="s">
        <v>827</v>
      </c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229">
        <f t="shared" si="725"/>
        <v>0</v>
      </c>
      <c r="AC1760" s="228">
        <f t="shared" si="721"/>
        <v>0</v>
      </c>
      <c r="AD1760" s="19">
        <v>0</v>
      </c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29">
        <f t="shared" si="726"/>
        <v>0</v>
      </c>
      <c r="BD1760" s="48">
        <f t="shared" si="722"/>
        <v>0</v>
      </c>
      <c r="BE1760" s="19">
        <v>11</v>
      </c>
      <c r="BF1760" s="229">
        <f t="shared" si="727"/>
        <v>0</v>
      </c>
      <c r="BG1760" s="210">
        <f t="shared" si="723"/>
        <v>0</v>
      </c>
      <c r="BH1760" s="210">
        <f t="shared" si="724"/>
        <v>11</v>
      </c>
      <c r="BI1760" s="213">
        <f t="shared" si="720"/>
        <v>0</v>
      </c>
      <c r="BJ1760" s="141"/>
      <c r="BK1760" s="201"/>
      <c r="BL1760" s="4"/>
      <c r="BM1760" s="4"/>
    </row>
    <row r="1761" spans="1:65" s="38" customFormat="1" ht="18" customHeight="1">
      <c r="A1761" s="114">
        <v>23</v>
      </c>
      <c r="B1761" s="24" t="s">
        <v>596</v>
      </c>
      <c r="C1761" s="25" t="s">
        <v>597</v>
      </c>
      <c r="D1761" s="121"/>
      <c r="E1761" s="121"/>
      <c r="F1761" s="121"/>
      <c r="G1761" s="121"/>
      <c r="H1761" s="121"/>
      <c r="I1761" s="121">
        <v>22</v>
      </c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229">
        <f t="shared" si="725"/>
        <v>0</v>
      </c>
      <c r="AC1761" s="228">
        <f t="shared" si="721"/>
        <v>22</v>
      </c>
      <c r="AD1761" s="19">
        <v>98</v>
      </c>
      <c r="AE1761" s="28"/>
      <c r="AF1761" s="28"/>
      <c r="AG1761" s="28"/>
      <c r="AH1761" s="28"/>
      <c r="AI1761" s="28"/>
      <c r="AJ1761" s="28">
        <f>100+34+1</f>
        <v>135</v>
      </c>
      <c r="AK1761" s="28"/>
      <c r="AL1761" s="28"/>
      <c r="AM1761" s="28"/>
      <c r="AN1761" s="28"/>
      <c r="AO1761" s="28"/>
      <c r="AP1761" s="28">
        <f>101+39+2</f>
        <v>142</v>
      </c>
      <c r="AQ1761" s="28"/>
      <c r="AR1761" s="28"/>
      <c r="AS1761" s="28"/>
      <c r="AT1761" s="28"/>
      <c r="AU1761" s="28"/>
      <c r="AV1761" s="28">
        <f>96+27</f>
        <v>123</v>
      </c>
      <c r="AW1761" s="28"/>
      <c r="AX1761" s="28"/>
      <c r="AY1761" s="28"/>
      <c r="AZ1761" s="28"/>
      <c r="BA1761" s="28"/>
      <c r="BB1761" s="28">
        <f>121+31</f>
        <v>152</v>
      </c>
      <c r="BC1761" s="229">
        <f t="shared" si="726"/>
        <v>0</v>
      </c>
      <c r="BD1761" s="48">
        <f t="shared" si="722"/>
        <v>552</v>
      </c>
      <c r="BE1761" s="19">
        <v>568</v>
      </c>
      <c r="BF1761" s="229">
        <f t="shared" si="727"/>
        <v>0</v>
      </c>
      <c r="BG1761" s="210">
        <f t="shared" si="723"/>
        <v>574</v>
      </c>
      <c r="BH1761" s="210">
        <f t="shared" si="724"/>
        <v>666</v>
      </c>
      <c r="BI1761" s="213">
        <f t="shared" si="720"/>
        <v>86.186186186186191</v>
      </c>
      <c r="BJ1761" s="141"/>
      <c r="BK1761" s="201"/>
      <c r="BL1761" s="4"/>
      <c r="BM1761" s="4"/>
    </row>
    <row r="1762" spans="1:65" s="38" customFormat="1" ht="18" customHeight="1">
      <c r="A1762" s="114">
        <v>24</v>
      </c>
      <c r="B1762" s="24" t="s">
        <v>757</v>
      </c>
      <c r="C1762" s="25" t="s">
        <v>758</v>
      </c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229">
        <f t="shared" si="725"/>
        <v>0</v>
      </c>
      <c r="AC1762" s="228">
        <f t="shared" si="721"/>
        <v>0</v>
      </c>
      <c r="AD1762" s="19">
        <v>3</v>
      </c>
      <c r="AE1762" s="28"/>
      <c r="AF1762" s="28"/>
      <c r="AG1762" s="28"/>
      <c r="AH1762" s="28"/>
      <c r="AI1762" s="28"/>
      <c r="AJ1762" s="28">
        <f>5+3</f>
        <v>8</v>
      </c>
      <c r="AK1762" s="28"/>
      <c r="AL1762" s="28"/>
      <c r="AM1762" s="28"/>
      <c r="AN1762" s="28"/>
      <c r="AO1762" s="28"/>
      <c r="AP1762" s="28">
        <f>22+5</f>
        <v>27</v>
      </c>
      <c r="AQ1762" s="28"/>
      <c r="AR1762" s="28"/>
      <c r="AS1762" s="28"/>
      <c r="AT1762" s="28"/>
      <c r="AU1762" s="28"/>
      <c r="AV1762" s="28">
        <f>12+8</f>
        <v>20</v>
      </c>
      <c r="AW1762" s="28"/>
      <c r="AX1762" s="28"/>
      <c r="AY1762" s="28"/>
      <c r="AZ1762" s="28"/>
      <c r="BA1762" s="28"/>
      <c r="BB1762" s="28">
        <v>8</v>
      </c>
      <c r="BC1762" s="229">
        <f t="shared" si="726"/>
        <v>0</v>
      </c>
      <c r="BD1762" s="48">
        <f t="shared" si="722"/>
        <v>63</v>
      </c>
      <c r="BE1762" s="19">
        <v>82</v>
      </c>
      <c r="BF1762" s="229">
        <f t="shared" si="727"/>
        <v>0</v>
      </c>
      <c r="BG1762" s="210">
        <f t="shared" si="723"/>
        <v>63</v>
      </c>
      <c r="BH1762" s="210">
        <f t="shared" si="724"/>
        <v>85</v>
      </c>
      <c r="BI1762" s="213">
        <f t="shared" si="720"/>
        <v>74.117647058823536</v>
      </c>
      <c r="BJ1762" s="141"/>
      <c r="BK1762" s="201"/>
      <c r="BL1762" s="4"/>
      <c r="BM1762" s="4"/>
    </row>
    <row r="1763" spans="1:65" s="38" customFormat="1" ht="21.95" customHeight="1">
      <c r="A1763" s="114">
        <v>25</v>
      </c>
      <c r="B1763" s="24" t="s">
        <v>626</v>
      </c>
      <c r="C1763" s="25" t="s">
        <v>627</v>
      </c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229">
        <f t="shared" si="725"/>
        <v>0</v>
      </c>
      <c r="AC1763" s="228">
        <f t="shared" si="721"/>
        <v>0</v>
      </c>
      <c r="AD1763" s="19">
        <v>0</v>
      </c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29">
        <f t="shared" si="726"/>
        <v>0</v>
      </c>
      <c r="BD1763" s="48">
        <f t="shared" si="722"/>
        <v>0</v>
      </c>
      <c r="BE1763" s="19">
        <v>1</v>
      </c>
      <c r="BF1763" s="229">
        <f t="shared" si="727"/>
        <v>0</v>
      </c>
      <c r="BG1763" s="210">
        <f t="shared" si="723"/>
        <v>0</v>
      </c>
      <c r="BH1763" s="210">
        <f t="shared" si="724"/>
        <v>1</v>
      </c>
      <c r="BI1763" s="213">
        <f t="shared" si="720"/>
        <v>0</v>
      </c>
      <c r="BJ1763" s="141"/>
      <c r="BK1763" s="201"/>
      <c r="BL1763" s="4"/>
      <c r="BM1763" s="4"/>
    </row>
    <row r="1764" spans="1:65" ht="18" customHeight="1">
      <c r="A1764" s="114">
        <v>26</v>
      </c>
      <c r="B1764" s="24" t="s">
        <v>628</v>
      </c>
      <c r="C1764" s="25" t="s">
        <v>629</v>
      </c>
      <c r="D1764" s="121"/>
      <c r="E1764" s="121"/>
      <c r="F1764" s="121"/>
      <c r="G1764" s="121"/>
      <c r="H1764" s="121"/>
      <c r="I1764" s="121">
        <v>17</v>
      </c>
      <c r="J1764" s="121"/>
      <c r="K1764" s="121"/>
      <c r="L1764" s="121"/>
      <c r="M1764" s="121"/>
      <c r="N1764" s="121"/>
      <c r="O1764" s="121">
        <v>45</v>
      </c>
      <c r="P1764" s="121"/>
      <c r="Q1764" s="121"/>
      <c r="R1764" s="121"/>
      <c r="S1764" s="121"/>
      <c r="T1764" s="121"/>
      <c r="U1764" s="121">
        <v>18</v>
      </c>
      <c r="V1764" s="121"/>
      <c r="W1764" s="121"/>
      <c r="X1764" s="121"/>
      <c r="Y1764" s="121"/>
      <c r="Z1764" s="121"/>
      <c r="AA1764" s="121">
        <v>11</v>
      </c>
      <c r="AB1764" s="229">
        <f t="shared" si="725"/>
        <v>0</v>
      </c>
      <c r="AC1764" s="228">
        <f t="shared" si="721"/>
        <v>91</v>
      </c>
      <c r="AD1764" s="19">
        <v>338</v>
      </c>
      <c r="AE1764" s="28"/>
      <c r="AF1764" s="28"/>
      <c r="AG1764" s="28"/>
      <c r="AH1764" s="28"/>
      <c r="AI1764" s="28"/>
      <c r="AJ1764" s="28">
        <f>884+194+10</f>
        <v>1088</v>
      </c>
      <c r="AK1764" s="28"/>
      <c r="AL1764" s="28"/>
      <c r="AM1764" s="28"/>
      <c r="AN1764" s="28"/>
      <c r="AO1764" s="28"/>
      <c r="AP1764" s="28">
        <f>1020+168+8</f>
        <v>1196</v>
      </c>
      <c r="AQ1764" s="28"/>
      <c r="AR1764" s="28"/>
      <c r="AS1764" s="28"/>
      <c r="AT1764" s="28"/>
      <c r="AU1764" s="28"/>
      <c r="AV1764" s="28">
        <f>762+176</f>
        <v>938</v>
      </c>
      <c r="AW1764" s="28"/>
      <c r="AX1764" s="28"/>
      <c r="AY1764" s="28"/>
      <c r="AZ1764" s="28"/>
      <c r="BA1764" s="28"/>
      <c r="BB1764" s="28">
        <f>826+194</f>
        <v>1020</v>
      </c>
      <c r="BC1764" s="229">
        <f t="shared" si="726"/>
        <v>0</v>
      </c>
      <c r="BD1764" s="48">
        <f t="shared" si="722"/>
        <v>4242</v>
      </c>
      <c r="BE1764" s="19">
        <v>5298</v>
      </c>
      <c r="BF1764" s="229">
        <f t="shared" si="727"/>
        <v>0</v>
      </c>
      <c r="BG1764" s="210">
        <f t="shared" si="723"/>
        <v>4333</v>
      </c>
      <c r="BH1764" s="210">
        <f t="shared" si="724"/>
        <v>5636</v>
      </c>
      <c r="BI1764" s="213">
        <f t="shared" si="720"/>
        <v>76.880766501064585</v>
      </c>
      <c r="BJ1764" s="141"/>
      <c r="BK1764" s="201"/>
    </row>
    <row r="1765" spans="1:65" ht="18" customHeight="1">
      <c r="A1765" s="114">
        <v>27</v>
      </c>
      <c r="B1765" s="24" t="s">
        <v>630</v>
      </c>
      <c r="C1765" s="29" t="s">
        <v>631</v>
      </c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229">
        <f t="shared" si="725"/>
        <v>0</v>
      </c>
      <c r="AC1765" s="228">
        <f t="shared" si="721"/>
        <v>0</v>
      </c>
      <c r="AD1765" s="19">
        <v>0</v>
      </c>
      <c r="AE1765" s="28"/>
      <c r="AF1765" s="28"/>
      <c r="AG1765" s="28"/>
      <c r="AH1765" s="28"/>
      <c r="AI1765" s="28"/>
      <c r="AJ1765" s="28">
        <f>26+57</f>
        <v>83</v>
      </c>
      <c r="AK1765" s="28"/>
      <c r="AL1765" s="28"/>
      <c r="AM1765" s="28"/>
      <c r="AN1765" s="28"/>
      <c r="AO1765" s="28"/>
      <c r="AP1765" s="28">
        <f>18+53</f>
        <v>71</v>
      </c>
      <c r="AQ1765" s="28"/>
      <c r="AR1765" s="28"/>
      <c r="AS1765" s="28"/>
      <c r="AT1765" s="28"/>
      <c r="AU1765" s="28"/>
      <c r="AV1765" s="28">
        <f>36+39</f>
        <v>75</v>
      </c>
      <c r="AW1765" s="28"/>
      <c r="AX1765" s="28"/>
      <c r="AY1765" s="28"/>
      <c r="AZ1765" s="28"/>
      <c r="BA1765" s="28"/>
      <c r="BB1765" s="28">
        <f>22+57</f>
        <v>79</v>
      </c>
      <c r="BC1765" s="229">
        <f t="shared" si="726"/>
        <v>0</v>
      </c>
      <c r="BD1765" s="48">
        <f t="shared" si="722"/>
        <v>308</v>
      </c>
      <c r="BE1765" s="19">
        <v>338</v>
      </c>
      <c r="BF1765" s="229">
        <f t="shared" si="727"/>
        <v>0</v>
      </c>
      <c r="BG1765" s="210">
        <f t="shared" si="723"/>
        <v>308</v>
      </c>
      <c r="BH1765" s="210">
        <f t="shared" si="724"/>
        <v>338</v>
      </c>
      <c r="BI1765" s="213">
        <f t="shared" si="720"/>
        <v>91.124260355029591</v>
      </c>
      <c r="BJ1765" s="141"/>
      <c r="BK1765" s="201"/>
    </row>
    <row r="1766" spans="1:65" ht="18" customHeight="1">
      <c r="A1766" s="114">
        <v>28</v>
      </c>
      <c r="B1766" s="24" t="s">
        <v>770</v>
      </c>
      <c r="C1766" s="29" t="s">
        <v>771</v>
      </c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229"/>
      <c r="AC1766" s="228">
        <f t="shared" si="721"/>
        <v>0</v>
      </c>
      <c r="AD1766" s="19">
        <v>0</v>
      </c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>
        <f>17+18</f>
        <v>35</v>
      </c>
      <c r="AQ1766" s="28"/>
      <c r="AR1766" s="28"/>
      <c r="AS1766" s="28"/>
      <c r="AT1766" s="28"/>
      <c r="AU1766" s="28"/>
      <c r="AV1766" s="28">
        <f>1+6</f>
        <v>7</v>
      </c>
      <c r="AW1766" s="28"/>
      <c r="AX1766" s="28"/>
      <c r="AY1766" s="28"/>
      <c r="AZ1766" s="28"/>
      <c r="BA1766" s="28"/>
      <c r="BB1766" s="28">
        <f>3+1</f>
        <v>4</v>
      </c>
      <c r="BC1766" s="229"/>
      <c r="BD1766" s="48">
        <f t="shared" si="722"/>
        <v>46</v>
      </c>
      <c r="BE1766" s="19">
        <v>0</v>
      </c>
      <c r="BF1766" s="229"/>
      <c r="BG1766" s="210">
        <f t="shared" si="723"/>
        <v>46</v>
      </c>
      <c r="BH1766" s="210">
        <f t="shared" si="724"/>
        <v>0</v>
      </c>
      <c r="BI1766" s="213" t="e">
        <f t="shared" si="720"/>
        <v>#DIV/0!</v>
      </c>
      <c r="BJ1766" s="141"/>
      <c r="BK1766" s="201"/>
    </row>
    <row r="1767" spans="1:65" ht="18" customHeight="1">
      <c r="A1767" s="114">
        <v>29</v>
      </c>
      <c r="B1767" s="24" t="s">
        <v>634</v>
      </c>
      <c r="C1767" s="25" t="s">
        <v>696</v>
      </c>
      <c r="D1767" s="121"/>
      <c r="E1767" s="121"/>
      <c r="F1767" s="121"/>
      <c r="G1767" s="121"/>
      <c r="H1767" s="121"/>
      <c r="I1767" s="121">
        <v>2</v>
      </c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>
        <v>3</v>
      </c>
      <c r="V1767" s="121"/>
      <c r="W1767" s="121"/>
      <c r="X1767" s="121"/>
      <c r="Y1767" s="121"/>
      <c r="Z1767" s="121"/>
      <c r="AA1767" s="121">
        <v>3</v>
      </c>
      <c r="AB1767" s="229">
        <f t="shared" ref="AB1767:AB1773" si="728">D1767+F1767+H1767+J1767+L1767+N1767+P1767+R1767+T1767+V1767+X1767+Z1767</f>
        <v>0</v>
      </c>
      <c r="AC1767" s="228">
        <f t="shared" si="721"/>
        <v>8</v>
      </c>
      <c r="AD1767" s="19">
        <v>15</v>
      </c>
      <c r="AE1767" s="28"/>
      <c r="AF1767" s="28"/>
      <c r="AG1767" s="28"/>
      <c r="AH1767" s="28"/>
      <c r="AI1767" s="28"/>
      <c r="AJ1767" s="28">
        <f>38+291</f>
        <v>329</v>
      </c>
      <c r="AK1767" s="28"/>
      <c r="AL1767" s="28"/>
      <c r="AM1767" s="28"/>
      <c r="AN1767" s="28"/>
      <c r="AO1767" s="28"/>
      <c r="AP1767" s="28">
        <f>74+228+8</f>
        <v>310</v>
      </c>
      <c r="AQ1767" s="28"/>
      <c r="AR1767" s="28"/>
      <c r="AS1767" s="28"/>
      <c r="AT1767" s="28"/>
      <c r="AU1767" s="28"/>
      <c r="AV1767" s="28">
        <f>24+289</f>
        <v>313</v>
      </c>
      <c r="AW1767" s="28"/>
      <c r="AX1767" s="28"/>
      <c r="AY1767" s="28"/>
      <c r="AZ1767" s="28"/>
      <c r="BA1767" s="28"/>
      <c r="BB1767" s="28">
        <f>51+321</f>
        <v>372</v>
      </c>
      <c r="BC1767" s="229">
        <f t="shared" ref="BC1767:BC1773" si="729">AE1767+AG1767+AI1767+AK1767+AM1767+AO1767+AQ1767+AS1767+AU1767+AW1767+AY1767+BA1767</f>
        <v>0</v>
      </c>
      <c r="BD1767" s="48">
        <f t="shared" si="722"/>
        <v>1324</v>
      </c>
      <c r="BE1767" s="19">
        <v>1095</v>
      </c>
      <c r="BF1767" s="229">
        <f t="shared" ref="BF1767:BF1773" si="730">AB1767+BC1767</f>
        <v>0</v>
      </c>
      <c r="BG1767" s="210">
        <f t="shared" si="723"/>
        <v>1332</v>
      </c>
      <c r="BH1767" s="210">
        <f t="shared" si="724"/>
        <v>1110</v>
      </c>
      <c r="BI1767" s="213">
        <f t="shared" si="720"/>
        <v>120</v>
      </c>
      <c r="BJ1767" s="141"/>
      <c r="BK1767" s="201"/>
    </row>
    <row r="1768" spans="1:65" ht="18" customHeight="1">
      <c r="A1768" s="114">
        <v>30</v>
      </c>
      <c r="B1768" s="24" t="s">
        <v>1056</v>
      </c>
      <c r="C1768" s="25" t="s">
        <v>1057</v>
      </c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229">
        <f t="shared" si="728"/>
        <v>0</v>
      </c>
      <c r="AC1768" s="228">
        <f t="shared" si="721"/>
        <v>0</v>
      </c>
      <c r="AD1768" s="19">
        <v>0</v>
      </c>
      <c r="AE1768" s="28"/>
      <c r="AF1768" s="28"/>
      <c r="AG1768" s="28"/>
      <c r="AH1768" s="28"/>
      <c r="AI1768" s="28"/>
      <c r="AJ1768" s="28">
        <v>3</v>
      </c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29">
        <f t="shared" si="729"/>
        <v>0</v>
      </c>
      <c r="BD1768" s="48">
        <f t="shared" si="722"/>
        <v>3</v>
      </c>
      <c r="BE1768" s="19">
        <v>1</v>
      </c>
      <c r="BF1768" s="229">
        <f t="shared" si="730"/>
        <v>0</v>
      </c>
      <c r="BG1768" s="210">
        <f t="shared" si="723"/>
        <v>3</v>
      </c>
      <c r="BH1768" s="210">
        <f t="shared" si="724"/>
        <v>1</v>
      </c>
      <c r="BI1768" s="213">
        <f t="shared" si="720"/>
        <v>300</v>
      </c>
      <c r="BJ1768" s="141"/>
      <c r="BK1768" s="201"/>
    </row>
    <row r="1769" spans="1:65" ht="18" customHeight="1">
      <c r="A1769" s="114">
        <v>31</v>
      </c>
      <c r="B1769" s="24" t="s">
        <v>636</v>
      </c>
      <c r="C1769" s="25" t="s">
        <v>637</v>
      </c>
      <c r="D1769" s="121"/>
      <c r="E1769" s="121"/>
      <c r="F1769" s="121"/>
      <c r="G1769" s="121"/>
      <c r="H1769" s="121"/>
      <c r="I1769" s="121">
        <v>1</v>
      </c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229">
        <f t="shared" si="728"/>
        <v>0</v>
      </c>
      <c r="AC1769" s="228">
        <f t="shared" si="721"/>
        <v>1</v>
      </c>
      <c r="AD1769" s="19">
        <v>0</v>
      </c>
      <c r="AE1769" s="28"/>
      <c r="AF1769" s="28"/>
      <c r="AG1769" s="28"/>
      <c r="AH1769" s="28"/>
      <c r="AI1769" s="28"/>
      <c r="AJ1769" s="28">
        <f>6+27</f>
        <v>33</v>
      </c>
      <c r="AK1769" s="28"/>
      <c r="AL1769" s="28"/>
      <c r="AM1769" s="28"/>
      <c r="AN1769" s="28"/>
      <c r="AO1769" s="28"/>
      <c r="AP1769" s="28">
        <f>6+22</f>
        <v>28</v>
      </c>
      <c r="AQ1769" s="28"/>
      <c r="AR1769" s="28"/>
      <c r="AS1769" s="28"/>
      <c r="AT1769" s="28"/>
      <c r="AU1769" s="28"/>
      <c r="AV1769" s="28">
        <f>6+21</f>
        <v>27</v>
      </c>
      <c r="AW1769" s="28"/>
      <c r="AX1769" s="28"/>
      <c r="AY1769" s="28"/>
      <c r="AZ1769" s="28"/>
      <c r="BA1769" s="28"/>
      <c r="BB1769" s="28">
        <f>7+33</f>
        <v>40</v>
      </c>
      <c r="BC1769" s="229">
        <f t="shared" si="729"/>
        <v>0</v>
      </c>
      <c r="BD1769" s="48">
        <f t="shared" si="722"/>
        <v>128</v>
      </c>
      <c r="BE1769" s="19">
        <v>135</v>
      </c>
      <c r="BF1769" s="229">
        <f t="shared" si="730"/>
        <v>0</v>
      </c>
      <c r="BG1769" s="210">
        <f t="shared" si="723"/>
        <v>129</v>
      </c>
      <c r="BH1769" s="210">
        <f t="shared" si="724"/>
        <v>135</v>
      </c>
      <c r="BI1769" s="213">
        <f t="shared" si="720"/>
        <v>95.555555555555557</v>
      </c>
      <c r="BJ1769" s="141"/>
      <c r="BK1769" s="201"/>
    </row>
    <row r="1770" spans="1:65" ht="18" customHeight="1">
      <c r="A1770" s="114">
        <v>32</v>
      </c>
      <c r="B1770" s="24" t="s">
        <v>643</v>
      </c>
      <c r="C1770" s="25" t="s">
        <v>722</v>
      </c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229">
        <f t="shared" si="728"/>
        <v>0</v>
      </c>
      <c r="AC1770" s="228">
        <f t="shared" si="721"/>
        <v>0</v>
      </c>
      <c r="AD1770" s="19">
        <v>0</v>
      </c>
      <c r="AE1770" s="28"/>
      <c r="AF1770" s="28"/>
      <c r="AG1770" s="28"/>
      <c r="AH1770" s="28"/>
      <c r="AI1770" s="28"/>
      <c r="AJ1770" s="28">
        <f>42+123</f>
        <v>165</v>
      </c>
      <c r="AK1770" s="28"/>
      <c r="AL1770" s="28"/>
      <c r="AM1770" s="28"/>
      <c r="AN1770" s="28"/>
      <c r="AO1770" s="28"/>
      <c r="AP1770" s="28">
        <f>37+56</f>
        <v>93</v>
      </c>
      <c r="AQ1770" s="28"/>
      <c r="AR1770" s="28"/>
      <c r="AS1770" s="28"/>
      <c r="AT1770" s="28"/>
      <c r="AU1770" s="28"/>
      <c r="AV1770" s="28">
        <f>33+163</f>
        <v>196</v>
      </c>
      <c r="AW1770" s="28"/>
      <c r="AX1770" s="28"/>
      <c r="AY1770" s="28"/>
      <c r="AZ1770" s="28"/>
      <c r="BA1770" s="28"/>
      <c r="BB1770" s="28">
        <f>8+70</f>
        <v>78</v>
      </c>
      <c r="BC1770" s="229">
        <f t="shared" si="729"/>
        <v>0</v>
      </c>
      <c r="BD1770" s="48">
        <f t="shared" si="722"/>
        <v>532</v>
      </c>
      <c r="BE1770" s="19">
        <v>0</v>
      </c>
      <c r="BF1770" s="229">
        <f t="shared" si="730"/>
        <v>0</v>
      </c>
      <c r="BG1770" s="210">
        <f t="shared" si="723"/>
        <v>532</v>
      </c>
      <c r="BH1770" s="210">
        <f t="shared" si="724"/>
        <v>0</v>
      </c>
      <c r="BI1770" s="213" t="e">
        <f t="shared" si="720"/>
        <v>#DIV/0!</v>
      </c>
      <c r="BJ1770" s="141"/>
      <c r="BK1770" s="201"/>
    </row>
    <row r="1771" spans="1:65" ht="18" customHeight="1">
      <c r="A1771" s="114">
        <v>33</v>
      </c>
      <c r="B1771" s="24" t="s">
        <v>773</v>
      </c>
      <c r="C1771" s="25" t="s">
        <v>1159</v>
      </c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229">
        <f t="shared" si="728"/>
        <v>0</v>
      </c>
      <c r="AC1771" s="228">
        <f t="shared" si="721"/>
        <v>0</v>
      </c>
      <c r="AD1771" s="19">
        <v>0</v>
      </c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29">
        <f t="shared" si="729"/>
        <v>0</v>
      </c>
      <c r="BD1771" s="48">
        <f t="shared" si="722"/>
        <v>0</v>
      </c>
      <c r="BE1771" s="19">
        <v>1</v>
      </c>
      <c r="BF1771" s="229">
        <f t="shared" si="730"/>
        <v>0</v>
      </c>
      <c r="BG1771" s="210">
        <f t="shared" si="723"/>
        <v>0</v>
      </c>
      <c r="BH1771" s="210">
        <f t="shared" si="724"/>
        <v>1</v>
      </c>
      <c r="BI1771" s="213">
        <f t="shared" ref="BI1771:BI1802" si="731">BG1771/BH1771*100</f>
        <v>0</v>
      </c>
      <c r="BJ1771" s="141"/>
      <c r="BK1771" s="201"/>
    </row>
    <row r="1772" spans="1:65" ht="18" customHeight="1">
      <c r="A1772" s="114">
        <v>34</v>
      </c>
      <c r="B1772" s="24" t="s">
        <v>644</v>
      </c>
      <c r="C1772" s="25" t="s">
        <v>645</v>
      </c>
      <c r="D1772" s="121"/>
      <c r="E1772" s="121"/>
      <c r="F1772" s="121"/>
      <c r="G1772" s="121"/>
      <c r="H1772" s="121"/>
      <c r="I1772" s="121">
        <v>1</v>
      </c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>
        <v>1</v>
      </c>
      <c r="AB1772" s="229">
        <f t="shared" si="728"/>
        <v>0</v>
      </c>
      <c r="AC1772" s="228">
        <f t="shared" ref="AC1772:AC1803" si="732">E1772+G1772+I1772+K1772+M1772+O1772+Q1772+S1772+U1772+W1772+Y1772+AA1772</f>
        <v>2</v>
      </c>
      <c r="AD1772" s="19">
        <v>0</v>
      </c>
      <c r="AE1772" s="28"/>
      <c r="AF1772" s="28"/>
      <c r="AG1772" s="28"/>
      <c r="AH1772" s="28"/>
      <c r="AI1772" s="28"/>
      <c r="AJ1772" s="28">
        <f>16+30</f>
        <v>46</v>
      </c>
      <c r="AK1772" s="28"/>
      <c r="AL1772" s="28"/>
      <c r="AM1772" s="28"/>
      <c r="AN1772" s="28"/>
      <c r="AO1772" s="28"/>
      <c r="AP1772" s="28">
        <f>7+30</f>
        <v>37</v>
      </c>
      <c r="AQ1772" s="28"/>
      <c r="AR1772" s="28"/>
      <c r="AS1772" s="28"/>
      <c r="AT1772" s="28"/>
      <c r="AU1772" s="28"/>
      <c r="AV1772" s="28">
        <f>12+58</f>
        <v>70</v>
      </c>
      <c r="AW1772" s="28"/>
      <c r="AX1772" s="28"/>
      <c r="AY1772" s="28"/>
      <c r="AZ1772" s="28"/>
      <c r="BA1772" s="28"/>
      <c r="BB1772" s="28">
        <f>10+33</f>
        <v>43</v>
      </c>
      <c r="BC1772" s="229">
        <f t="shared" si="729"/>
        <v>0</v>
      </c>
      <c r="BD1772" s="48">
        <f t="shared" ref="BD1772:BD1803" si="733">AF1772+AH1772+AJ1772+AL1772+AN1772+AP1772+AR1772+AT1772+AV1772+AX1772+AZ1772+BB1772</f>
        <v>196</v>
      </c>
      <c r="BE1772" s="19">
        <v>114</v>
      </c>
      <c r="BF1772" s="229">
        <f t="shared" si="730"/>
        <v>0</v>
      </c>
      <c r="BG1772" s="210">
        <f t="shared" ref="BG1772:BG1803" si="734">AC1772+BD1772</f>
        <v>198</v>
      </c>
      <c r="BH1772" s="210">
        <f t="shared" ref="BH1772:BH1803" si="735">AD1772+BE1772</f>
        <v>114</v>
      </c>
      <c r="BI1772" s="213">
        <f t="shared" si="731"/>
        <v>173.68421052631581</v>
      </c>
      <c r="BJ1772" s="141"/>
      <c r="BK1772" s="201"/>
    </row>
    <row r="1773" spans="1:65" ht="18" customHeight="1">
      <c r="A1773" s="114">
        <v>35</v>
      </c>
      <c r="B1773" s="24" t="s">
        <v>698</v>
      </c>
      <c r="C1773" s="25" t="s">
        <v>699</v>
      </c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229">
        <f t="shared" si="728"/>
        <v>0</v>
      </c>
      <c r="AC1773" s="228">
        <f t="shared" si="732"/>
        <v>0</v>
      </c>
      <c r="AD1773" s="19">
        <v>0</v>
      </c>
      <c r="AE1773" s="28"/>
      <c r="AF1773" s="28"/>
      <c r="AG1773" s="28"/>
      <c r="AH1773" s="28"/>
      <c r="AI1773" s="28"/>
      <c r="AJ1773" s="28">
        <v>1</v>
      </c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>
        <v>1</v>
      </c>
      <c r="AW1773" s="28"/>
      <c r="AX1773" s="28"/>
      <c r="AY1773" s="28"/>
      <c r="AZ1773" s="28"/>
      <c r="BA1773" s="28"/>
      <c r="BB1773" s="28">
        <v>3</v>
      </c>
      <c r="BC1773" s="229">
        <f t="shared" si="729"/>
        <v>0</v>
      </c>
      <c r="BD1773" s="48">
        <f t="shared" si="733"/>
        <v>5</v>
      </c>
      <c r="BE1773" s="19">
        <v>19</v>
      </c>
      <c r="BF1773" s="229">
        <f t="shared" si="730"/>
        <v>0</v>
      </c>
      <c r="BG1773" s="210">
        <f t="shared" si="734"/>
        <v>5</v>
      </c>
      <c r="BH1773" s="210">
        <f t="shared" si="735"/>
        <v>19</v>
      </c>
      <c r="BI1773" s="213">
        <f t="shared" si="731"/>
        <v>26.315789473684209</v>
      </c>
      <c r="BJ1773" s="141"/>
      <c r="BK1773" s="201"/>
    </row>
    <row r="1774" spans="1:65" ht="18" customHeight="1">
      <c r="A1774" s="114">
        <v>36</v>
      </c>
      <c r="B1774" s="24" t="s">
        <v>648</v>
      </c>
      <c r="C1774" s="25" t="s">
        <v>3182</v>
      </c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229"/>
      <c r="AC1774" s="228">
        <f t="shared" si="732"/>
        <v>0</v>
      </c>
      <c r="AD1774" s="19">
        <v>0</v>
      </c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>
        <v>1</v>
      </c>
      <c r="AW1774" s="28"/>
      <c r="AX1774" s="28"/>
      <c r="AY1774" s="28"/>
      <c r="AZ1774" s="28"/>
      <c r="BA1774" s="28"/>
      <c r="BB1774" s="28"/>
      <c r="BC1774" s="229"/>
      <c r="BD1774" s="48">
        <f t="shared" si="733"/>
        <v>1</v>
      </c>
      <c r="BE1774" s="19">
        <v>0</v>
      </c>
      <c r="BF1774" s="229"/>
      <c r="BG1774" s="210">
        <f t="shared" si="734"/>
        <v>1</v>
      </c>
      <c r="BH1774" s="210">
        <f t="shared" si="735"/>
        <v>0</v>
      </c>
      <c r="BI1774" s="213" t="e">
        <f t="shared" si="731"/>
        <v>#DIV/0!</v>
      </c>
      <c r="BJ1774" s="141"/>
      <c r="BK1774" s="201"/>
    </row>
    <row r="1775" spans="1:65" ht="18" customHeight="1">
      <c r="A1775" s="114">
        <v>37</v>
      </c>
      <c r="B1775" s="24" t="s">
        <v>700</v>
      </c>
      <c r="C1775" s="25" t="s">
        <v>845</v>
      </c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229"/>
      <c r="AC1775" s="228">
        <f t="shared" si="732"/>
        <v>0</v>
      </c>
      <c r="AD1775" s="19">
        <v>0</v>
      </c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>
        <f>2+1</f>
        <v>3</v>
      </c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>
        <v>1</v>
      </c>
      <c r="BC1775" s="229"/>
      <c r="BD1775" s="48">
        <f t="shared" si="733"/>
        <v>4</v>
      </c>
      <c r="BE1775" s="19">
        <v>0</v>
      </c>
      <c r="BF1775" s="229"/>
      <c r="BG1775" s="210">
        <f t="shared" si="734"/>
        <v>4</v>
      </c>
      <c r="BH1775" s="210">
        <f t="shared" si="735"/>
        <v>0</v>
      </c>
      <c r="BI1775" s="213" t="e">
        <f t="shared" si="731"/>
        <v>#DIV/0!</v>
      </c>
      <c r="BJ1775" s="141"/>
      <c r="BK1775" s="201"/>
    </row>
    <row r="1776" spans="1:65" ht="18" customHeight="1">
      <c r="A1776" s="114">
        <v>38</v>
      </c>
      <c r="B1776" s="24" t="s">
        <v>835</v>
      </c>
      <c r="C1776" s="25" t="s">
        <v>1962</v>
      </c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229"/>
      <c r="AC1776" s="228">
        <f t="shared" si="732"/>
        <v>0</v>
      </c>
      <c r="AD1776" s="19">
        <v>0</v>
      </c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>
        <v>2</v>
      </c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29"/>
      <c r="BD1776" s="48">
        <f t="shared" si="733"/>
        <v>2</v>
      </c>
      <c r="BE1776" s="19">
        <v>0</v>
      </c>
      <c r="BF1776" s="229"/>
      <c r="BG1776" s="210">
        <f t="shared" si="734"/>
        <v>2</v>
      </c>
      <c r="BH1776" s="210">
        <f t="shared" si="735"/>
        <v>0</v>
      </c>
      <c r="BI1776" s="213" t="e">
        <f t="shared" si="731"/>
        <v>#DIV/0!</v>
      </c>
      <c r="BJ1776" s="141"/>
      <c r="BK1776" s="201"/>
    </row>
    <row r="1777" spans="1:65" ht="18" customHeight="1">
      <c r="A1777" s="114">
        <v>39</v>
      </c>
      <c r="B1777" s="24" t="s">
        <v>836</v>
      </c>
      <c r="C1777" s="25" t="s">
        <v>837</v>
      </c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229">
        <f t="shared" ref="AB1777:AB1782" si="736">D1777+F1777+H1777+J1777+L1777+N1777+P1777+R1777+T1777+V1777+X1777+Z1777</f>
        <v>0</v>
      </c>
      <c r="AC1777" s="228">
        <f t="shared" si="732"/>
        <v>0</v>
      </c>
      <c r="AD1777" s="19">
        <v>0</v>
      </c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>
        <v>1</v>
      </c>
      <c r="AW1777" s="28"/>
      <c r="AX1777" s="28"/>
      <c r="AY1777" s="28"/>
      <c r="AZ1777" s="28"/>
      <c r="BA1777" s="28"/>
      <c r="BB1777" s="28"/>
      <c r="BC1777" s="229">
        <f t="shared" ref="BC1777:BC1782" si="737">AE1777+AG1777+AI1777+AK1777+AM1777+AO1777+AQ1777+AS1777+AU1777+AW1777+AY1777+BA1777</f>
        <v>0</v>
      </c>
      <c r="BD1777" s="48">
        <f t="shared" si="733"/>
        <v>1</v>
      </c>
      <c r="BE1777" s="19">
        <v>3</v>
      </c>
      <c r="BF1777" s="229">
        <f t="shared" ref="BF1777:BF1782" si="738">AB1777+BC1777</f>
        <v>0</v>
      </c>
      <c r="BG1777" s="210">
        <f t="shared" si="734"/>
        <v>1</v>
      </c>
      <c r="BH1777" s="210">
        <f t="shared" si="735"/>
        <v>3</v>
      </c>
      <c r="BI1777" s="213">
        <f t="shared" si="731"/>
        <v>33.333333333333329</v>
      </c>
      <c r="BJ1777" s="141"/>
      <c r="BK1777" s="201"/>
    </row>
    <row r="1778" spans="1:65" ht="18" customHeight="1">
      <c r="A1778" s="114">
        <v>40</v>
      </c>
      <c r="B1778" s="24" t="s">
        <v>1048</v>
      </c>
      <c r="C1778" s="25" t="s">
        <v>1512</v>
      </c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229">
        <f t="shared" si="736"/>
        <v>0</v>
      </c>
      <c r="AC1778" s="228">
        <f t="shared" si="732"/>
        <v>0</v>
      </c>
      <c r="AD1778" s="19">
        <v>0</v>
      </c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29">
        <f t="shared" si="737"/>
        <v>0</v>
      </c>
      <c r="BD1778" s="48">
        <f t="shared" si="733"/>
        <v>0</v>
      </c>
      <c r="BE1778" s="19">
        <v>1</v>
      </c>
      <c r="BF1778" s="229">
        <f t="shared" si="738"/>
        <v>0</v>
      </c>
      <c r="BG1778" s="210">
        <f t="shared" si="734"/>
        <v>0</v>
      </c>
      <c r="BH1778" s="210">
        <f t="shared" si="735"/>
        <v>1</v>
      </c>
      <c r="BI1778" s="213">
        <f t="shared" si="731"/>
        <v>0</v>
      </c>
      <c r="BJ1778" s="141"/>
      <c r="BK1778" s="201"/>
    </row>
    <row r="1779" spans="1:65" ht="18" customHeight="1">
      <c r="A1779" s="114">
        <v>41</v>
      </c>
      <c r="B1779" s="24" t="s">
        <v>650</v>
      </c>
      <c r="C1779" s="25" t="s">
        <v>2445</v>
      </c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229">
        <f t="shared" si="736"/>
        <v>0</v>
      </c>
      <c r="AC1779" s="228">
        <f t="shared" si="732"/>
        <v>0</v>
      </c>
      <c r="AD1779" s="19">
        <v>0</v>
      </c>
      <c r="AE1779" s="28"/>
      <c r="AF1779" s="28"/>
      <c r="AG1779" s="28"/>
      <c r="AH1779" s="28"/>
      <c r="AI1779" s="28"/>
      <c r="AJ1779" s="28">
        <v>12</v>
      </c>
      <c r="AK1779" s="28"/>
      <c r="AL1779" s="28"/>
      <c r="AM1779" s="28"/>
      <c r="AN1779" s="28"/>
      <c r="AO1779" s="28"/>
      <c r="AP1779" s="28">
        <v>14</v>
      </c>
      <c r="AQ1779" s="28"/>
      <c r="AR1779" s="28"/>
      <c r="AS1779" s="28"/>
      <c r="AT1779" s="28"/>
      <c r="AU1779" s="28"/>
      <c r="AV1779" s="28">
        <f>1+6</f>
        <v>7</v>
      </c>
      <c r="AW1779" s="28"/>
      <c r="AX1779" s="28"/>
      <c r="AY1779" s="28"/>
      <c r="AZ1779" s="28"/>
      <c r="BA1779" s="28"/>
      <c r="BB1779" s="28">
        <v>4</v>
      </c>
      <c r="BC1779" s="229">
        <f t="shared" si="737"/>
        <v>0</v>
      </c>
      <c r="BD1779" s="48">
        <f t="shared" si="733"/>
        <v>37</v>
      </c>
      <c r="BE1779" s="19">
        <v>35</v>
      </c>
      <c r="BF1779" s="229">
        <f t="shared" si="738"/>
        <v>0</v>
      </c>
      <c r="BG1779" s="210">
        <f t="shared" si="734"/>
        <v>37</v>
      </c>
      <c r="BH1779" s="210">
        <f t="shared" si="735"/>
        <v>35</v>
      </c>
      <c r="BI1779" s="213">
        <f t="shared" si="731"/>
        <v>105.71428571428572</v>
      </c>
      <c r="BJ1779" s="141"/>
      <c r="BK1779" s="201"/>
    </row>
    <row r="1780" spans="1:65" ht="18" customHeight="1">
      <c r="A1780" s="114">
        <v>42</v>
      </c>
      <c r="B1780" s="24" t="s">
        <v>702</v>
      </c>
      <c r="C1780" s="25" t="s">
        <v>2443</v>
      </c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229">
        <f t="shared" si="736"/>
        <v>0</v>
      </c>
      <c r="AC1780" s="228">
        <f t="shared" si="732"/>
        <v>0</v>
      </c>
      <c r="AD1780" s="19">
        <v>0</v>
      </c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>
        <v>6</v>
      </c>
      <c r="AW1780" s="28"/>
      <c r="AX1780" s="28"/>
      <c r="AY1780" s="28"/>
      <c r="AZ1780" s="28"/>
      <c r="BA1780" s="28"/>
      <c r="BB1780" s="28">
        <v>14</v>
      </c>
      <c r="BC1780" s="229">
        <f t="shared" si="737"/>
        <v>0</v>
      </c>
      <c r="BD1780" s="48">
        <f t="shared" si="733"/>
        <v>20</v>
      </c>
      <c r="BE1780" s="19">
        <v>12</v>
      </c>
      <c r="BF1780" s="229">
        <f t="shared" si="738"/>
        <v>0</v>
      </c>
      <c r="BG1780" s="210">
        <f t="shared" si="734"/>
        <v>20</v>
      </c>
      <c r="BH1780" s="210">
        <f t="shared" si="735"/>
        <v>12</v>
      </c>
      <c r="BI1780" s="213">
        <f t="shared" si="731"/>
        <v>166.66666666666669</v>
      </c>
      <c r="BJ1780" s="141"/>
      <c r="BK1780" s="201"/>
    </row>
    <row r="1781" spans="1:65" ht="18" customHeight="1">
      <c r="A1781" s="114">
        <v>43</v>
      </c>
      <c r="B1781" s="24" t="s">
        <v>814</v>
      </c>
      <c r="C1781" s="25" t="s">
        <v>815</v>
      </c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229">
        <f t="shared" si="736"/>
        <v>0</v>
      </c>
      <c r="AC1781" s="228">
        <f t="shared" si="732"/>
        <v>0</v>
      </c>
      <c r="AD1781" s="19">
        <v>0</v>
      </c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29">
        <f t="shared" si="737"/>
        <v>0</v>
      </c>
      <c r="BD1781" s="48">
        <f t="shared" si="733"/>
        <v>0</v>
      </c>
      <c r="BE1781" s="19">
        <v>1</v>
      </c>
      <c r="BF1781" s="229">
        <f t="shared" si="738"/>
        <v>0</v>
      </c>
      <c r="BG1781" s="210">
        <f t="shared" si="734"/>
        <v>0</v>
      </c>
      <c r="BH1781" s="210">
        <f t="shared" si="735"/>
        <v>1</v>
      </c>
      <c r="BI1781" s="213">
        <f t="shared" si="731"/>
        <v>0</v>
      </c>
      <c r="BJ1781" s="141"/>
      <c r="BK1781" s="201"/>
    </row>
    <row r="1782" spans="1:65" ht="18" customHeight="1">
      <c r="A1782" s="114">
        <v>44</v>
      </c>
      <c r="B1782" s="24" t="s">
        <v>819</v>
      </c>
      <c r="C1782" s="25" t="s">
        <v>993</v>
      </c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229">
        <f t="shared" si="736"/>
        <v>0</v>
      </c>
      <c r="AC1782" s="228">
        <f t="shared" si="732"/>
        <v>0</v>
      </c>
      <c r="AD1782" s="19">
        <v>0</v>
      </c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29">
        <f t="shared" si="737"/>
        <v>0</v>
      </c>
      <c r="BD1782" s="48">
        <f t="shared" si="733"/>
        <v>0</v>
      </c>
      <c r="BE1782" s="19">
        <v>1</v>
      </c>
      <c r="BF1782" s="229">
        <f t="shared" si="738"/>
        <v>0</v>
      </c>
      <c r="BG1782" s="210">
        <f t="shared" si="734"/>
        <v>0</v>
      </c>
      <c r="BH1782" s="210">
        <f t="shared" si="735"/>
        <v>1</v>
      </c>
      <c r="BI1782" s="213">
        <f t="shared" si="731"/>
        <v>0</v>
      </c>
      <c r="BJ1782" s="141"/>
      <c r="BK1782" s="201"/>
    </row>
    <row r="1783" spans="1:65" ht="18" customHeight="1">
      <c r="A1783" s="114">
        <v>45</v>
      </c>
      <c r="B1783" s="24" t="s">
        <v>797</v>
      </c>
      <c r="C1783" s="25" t="s">
        <v>798</v>
      </c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229"/>
      <c r="AC1783" s="228">
        <f t="shared" si="732"/>
        <v>0</v>
      </c>
      <c r="AD1783" s="19">
        <v>0</v>
      </c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>
        <v>5</v>
      </c>
      <c r="AW1783" s="28"/>
      <c r="AX1783" s="28"/>
      <c r="AY1783" s="28"/>
      <c r="AZ1783" s="28"/>
      <c r="BA1783" s="28"/>
      <c r="BB1783" s="28"/>
      <c r="BC1783" s="229"/>
      <c r="BD1783" s="48">
        <f t="shared" si="733"/>
        <v>5</v>
      </c>
      <c r="BE1783" s="19">
        <v>0</v>
      </c>
      <c r="BF1783" s="229"/>
      <c r="BG1783" s="210">
        <f t="shared" si="734"/>
        <v>5</v>
      </c>
      <c r="BH1783" s="210">
        <f t="shared" si="735"/>
        <v>0</v>
      </c>
      <c r="BI1783" s="213" t="e">
        <f t="shared" si="731"/>
        <v>#DIV/0!</v>
      </c>
      <c r="BJ1783" s="141"/>
      <c r="BK1783" s="201"/>
    </row>
    <row r="1784" spans="1:65" ht="18" customHeight="1">
      <c r="A1784" s="114">
        <v>46</v>
      </c>
      <c r="B1784" s="24" t="s">
        <v>2866</v>
      </c>
      <c r="C1784" s="25" t="s">
        <v>2867</v>
      </c>
      <c r="D1784" s="121"/>
      <c r="E1784" s="121"/>
      <c r="F1784" s="121"/>
      <c r="G1784" s="121"/>
      <c r="H1784" s="121"/>
      <c r="I1784" s="121">
        <v>613</v>
      </c>
      <c r="J1784" s="121"/>
      <c r="K1784" s="121"/>
      <c r="L1784" s="121"/>
      <c r="M1784" s="121"/>
      <c r="N1784" s="121"/>
      <c r="O1784" s="121">
        <v>624</v>
      </c>
      <c r="P1784" s="121"/>
      <c r="Q1784" s="121"/>
      <c r="R1784" s="121"/>
      <c r="S1784" s="121"/>
      <c r="T1784" s="121"/>
      <c r="U1784" s="121">
        <v>781</v>
      </c>
      <c r="V1784" s="121"/>
      <c r="W1784" s="121"/>
      <c r="X1784" s="121"/>
      <c r="Y1784" s="121"/>
      <c r="Z1784" s="121"/>
      <c r="AA1784" s="121">
        <v>569</v>
      </c>
      <c r="AB1784" s="229">
        <f t="shared" ref="AB1784:AB1801" si="739">D1784+F1784+H1784+J1784+L1784+N1784+P1784+R1784+T1784+V1784+X1784+Z1784</f>
        <v>0</v>
      </c>
      <c r="AC1784" s="228">
        <f t="shared" si="732"/>
        <v>2587</v>
      </c>
      <c r="AD1784" s="19">
        <v>0</v>
      </c>
      <c r="AE1784" s="28"/>
      <c r="AF1784" s="28"/>
      <c r="AG1784" s="28"/>
      <c r="AH1784" s="28"/>
      <c r="AI1784" s="28"/>
      <c r="AJ1784" s="28">
        <v>2</v>
      </c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29">
        <f t="shared" ref="BC1784:BC1801" si="740">AE1784+AG1784+AI1784+AK1784+AM1784+AO1784+AQ1784+AS1784+AU1784+AW1784+AY1784+BA1784</f>
        <v>0</v>
      </c>
      <c r="BD1784" s="48">
        <f t="shared" si="733"/>
        <v>2</v>
      </c>
      <c r="BE1784" s="19">
        <v>0</v>
      </c>
      <c r="BF1784" s="229">
        <f t="shared" ref="BF1784:BF1801" si="741">AB1784+BC1784</f>
        <v>0</v>
      </c>
      <c r="BG1784" s="210">
        <f t="shared" si="734"/>
        <v>2589</v>
      </c>
      <c r="BH1784" s="210">
        <f t="shared" si="735"/>
        <v>0</v>
      </c>
      <c r="BI1784" s="213" t="e">
        <f t="shared" si="731"/>
        <v>#DIV/0!</v>
      </c>
      <c r="BJ1784" s="141"/>
      <c r="BK1784" s="201"/>
    </row>
    <row r="1785" spans="1:65" ht="18" customHeight="1">
      <c r="A1785" s="114">
        <v>47</v>
      </c>
      <c r="B1785" s="24" t="s">
        <v>653</v>
      </c>
      <c r="C1785" s="29" t="s">
        <v>654</v>
      </c>
      <c r="D1785" s="121"/>
      <c r="E1785" s="121"/>
      <c r="F1785" s="121"/>
      <c r="G1785" s="121"/>
      <c r="H1785" s="121"/>
      <c r="I1785" s="121">
        <f>2+3</f>
        <v>5</v>
      </c>
      <c r="J1785" s="121"/>
      <c r="K1785" s="121"/>
      <c r="L1785" s="121"/>
      <c r="M1785" s="121"/>
      <c r="N1785" s="121"/>
      <c r="O1785" s="121">
        <f>3+3</f>
        <v>6</v>
      </c>
      <c r="P1785" s="121"/>
      <c r="Q1785" s="121"/>
      <c r="R1785" s="121"/>
      <c r="S1785" s="121"/>
      <c r="T1785" s="121"/>
      <c r="U1785" s="121">
        <f>1+3</f>
        <v>4</v>
      </c>
      <c r="V1785" s="121"/>
      <c r="W1785" s="121"/>
      <c r="X1785" s="121"/>
      <c r="Y1785" s="121"/>
      <c r="Z1785" s="121"/>
      <c r="AA1785" s="121">
        <f>1+3</f>
        <v>4</v>
      </c>
      <c r="AB1785" s="229">
        <f t="shared" si="739"/>
        <v>0</v>
      </c>
      <c r="AC1785" s="228">
        <f t="shared" si="732"/>
        <v>19</v>
      </c>
      <c r="AD1785" s="19">
        <v>26</v>
      </c>
      <c r="AE1785" s="28"/>
      <c r="AF1785" s="28"/>
      <c r="AG1785" s="28"/>
      <c r="AH1785" s="28"/>
      <c r="AI1785" s="28"/>
      <c r="AJ1785" s="28">
        <f>52+135</f>
        <v>187</v>
      </c>
      <c r="AK1785" s="28"/>
      <c r="AL1785" s="28"/>
      <c r="AM1785" s="28"/>
      <c r="AN1785" s="28"/>
      <c r="AO1785" s="28"/>
      <c r="AP1785" s="28">
        <f>56+113</f>
        <v>169</v>
      </c>
      <c r="AQ1785" s="28"/>
      <c r="AR1785" s="28"/>
      <c r="AS1785" s="28"/>
      <c r="AT1785" s="28"/>
      <c r="AU1785" s="28"/>
      <c r="AV1785" s="28">
        <f>51+147</f>
        <v>198</v>
      </c>
      <c r="AW1785" s="28"/>
      <c r="AX1785" s="28"/>
      <c r="AY1785" s="28"/>
      <c r="AZ1785" s="28"/>
      <c r="BA1785" s="28"/>
      <c r="BB1785" s="28">
        <f>90+148</f>
        <v>238</v>
      </c>
      <c r="BC1785" s="229">
        <f t="shared" si="740"/>
        <v>0</v>
      </c>
      <c r="BD1785" s="48">
        <f t="shared" si="733"/>
        <v>792</v>
      </c>
      <c r="BE1785" s="19">
        <v>634</v>
      </c>
      <c r="BF1785" s="229">
        <f t="shared" si="741"/>
        <v>0</v>
      </c>
      <c r="BG1785" s="210">
        <f t="shared" si="734"/>
        <v>811</v>
      </c>
      <c r="BH1785" s="210">
        <f t="shared" si="735"/>
        <v>660</v>
      </c>
      <c r="BI1785" s="213">
        <f t="shared" si="731"/>
        <v>122.87878787878788</v>
      </c>
      <c r="BJ1785" s="141"/>
      <c r="BK1785" s="201"/>
    </row>
    <row r="1786" spans="1:65" ht="18" customHeight="1">
      <c r="A1786" s="114">
        <v>48</v>
      </c>
      <c r="B1786" s="24" t="s">
        <v>655</v>
      </c>
      <c r="C1786" s="25" t="s">
        <v>997</v>
      </c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229">
        <f t="shared" si="739"/>
        <v>0</v>
      </c>
      <c r="AC1786" s="228">
        <f t="shared" si="732"/>
        <v>0</v>
      </c>
      <c r="AD1786" s="19">
        <v>0</v>
      </c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29">
        <f t="shared" si="740"/>
        <v>0</v>
      </c>
      <c r="BD1786" s="48">
        <f t="shared" si="733"/>
        <v>0</v>
      </c>
      <c r="BE1786" s="19">
        <v>1</v>
      </c>
      <c r="BF1786" s="229">
        <f t="shared" si="741"/>
        <v>0</v>
      </c>
      <c r="BG1786" s="210">
        <f t="shared" si="734"/>
        <v>0</v>
      </c>
      <c r="BH1786" s="210">
        <f t="shared" si="735"/>
        <v>1</v>
      </c>
      <c r="BI1786" s="213">
        <f t="shared" si="731"/>
        <v>0</v>
      </c>
      <c r="BJ1786" s="141"/>
      <c r="BK1786" s="201"/>
    </row>
    <row r="1787" spans="1:65" ht="18" customHeight="1">
      <c r="A1787" s="114">
        <v>49</v>
      </c>
      <c r="B1787" s="24" t="s">
        <v>822</v>
      </c>
      <c r="C1787" s="25" t="s">
        <v>1405</v>
      </c>
      <c r="D1787" s="121"/>
      <c r="E1787" s="121"/>
      <c r="F1787" s="121"/>
      <c r="G1787" s="121"/>
      <c r="H1787" s="121"/>
      <c r="I1787" s="121">
        <v>8</v>
      </c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>
        <v>2</v>
      </c>
      <c r="V1787" s="121"/>
      <c r="W1787" s="121"/>
      <c r="X1787" s="121"/>
      <c r="Y1787" s="121"/>
      <c r="Z1787" s="121"/>
      <c r="AA1787" s="121"/>
      <c r="AB1787" s="229">
        <f t="shared" si="739"/>
        <v>0</v>
      </c>
      <c r="AC1787" s="228">
        <f t="shared" si="732"/>
        <v>10</v>
      </c>
      <c r="AD1787" s="19">
        <v>15</v>
      </c>
      <c r="AE1787" s="28"/>
      <c r="AF1787" s="28"/>
      <c r="AG1787" s="28"/>
      <c r="AH1787" s="28"/>
      <c r="AI1787" s="28"/>
      <c r="AJ1787" s="28">
        <f>1+210</f>
        <v>211</v>
      </c>
      <c r="AK1787" s="28"/>
      <c r="AL1787" s="28"/>
      <c r="AM1787" s="28"/>
      <c r="AN1787" s="28"/>
      <c r="AO1787" s="28"/>
      <c r="AP1787" s="28">
        <f>2+159</f>
        <v>161</v>
      </c>
      <c r="AQ1787" s="28"/>
      <c r="AR1787" s="28"/>
      <c r="AS1787" s="28"/>
      <c r="AT1787" s="28"/>
      <c r="AU1787" s="28"/>
      <c r="AV1787" s="28">
        <f>6+342</f>
        <v>348</v>
      </c>
      <c r="AW1787" s="28"/>
      <c r="AX1787" s="28"/>
      <c r="AY1787" s="28"/>
      <c r="AZ1787" s="28"/>
      <c r="BA1787" s="28"/>
      <c r="BB1787" s="28">
        <f>9+322</f>
        <v>331</v>
      </c>
      <c r="BC1787" s="229">
        <f t="shared" si="740"/>
        <v>0</v>
      </c>
      <c r="BD1787" s="48">
        <f t="shared" si="733"/>
        <v>1051</v>
      </c>
      <c r="BE1787" s="19">
        <v>614</v>
      </c>
      <c r="BF1787" s="229">
        <f t="shared" si="741"/>
        <v>0</v>
      </c>
      <c r="BG1787" s="210">
        <f t="shared" si="734"/>
        <v>1061</v>
      </c>
      <c r="BH1787" s="210">
        <f t="shared" si="735"/>
        <v>629</v>
      </c>
      <c r="BI1787" s="213">
        <f t="shared" si="731"/>
        <v>168.68044515103338</v>
      </c>
      <c r="BJ1787" s="141"/>
      <c r="BK1787" s="201"/>
    </row>
    <row r="1788" spans="1:65" ht="18" customHeight="1">
      <c r="A1788" s="114">
        <v>50</v>
      </c>
      <c r="B1788" s="24" t="s">
        <v>1250</v>
      </c>
      <c r="C1788" s="25" t="s">
        <v>1963</v>
      </c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229">
        <f t="shared" si="739"/>
        <v>0</v>
      </c>
      <c r="AC1788" s="228">
        <f t="shared" si="732"/>
        <v>0</v>
      </c>
      <c r="AD1788" s="19">
        <v>0</v>
      </c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29">
        <f t="shared" si="740"/>
        <v>0</v>
      </c>
      <c r="BD1788" s="48">
        <f t="shared" si="733"/>
        <v>0</v>
      </c>
      <c r="BE1788" s="19">
        <v>1</v>
      </c>
      <c r="BF1788" s="229">
        <f t="shared" si="741"/>
        <v>0</v>
      </c>
      <c r="BG1788" s="210">
        <f t="shared" si="734"/>
        <v>0</v>
      </c>
      <c r="BH1788" s="210">
        <f t="shared" si="735"/>
        <v>1</v>
      </c>
      <c r="BI1788" s="213">
        <f t="shared" si="731"/>
        <v>0</v>
      </c>
      <c r="BJ1788" s="141"/>
      <c r="BK1788" s="201"/>
    </row>
    <row r="1789" spans="1:65" ht="18" customHeight="1">
      <c r="A1789" s="114">
        <v>51</v>
      </c>
      <c r="B1789" s="24" t="s">
        <v>776</v>
      </c>
      <c r="C1789" s="25" t="s">
        <v>777</v>
      </c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229">
        <f t="shared" si="739"/>
        <v>0</v>
      </c>
      <c r="AC1789" s="228">
        <f t="shared" si="732"/>
        <v>0</v>
      </c>
      <c r="AD1789" s="19">
        <v>0</v>
      </c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29">
        <f t="shared" si="740"/>
        <v>0</v>
      </c>
      <c r="BD1789" s="48">
        <f t="shared" si="733"/>
        <v>0</v>
      </c>
      <c r="BE1789" s="19">
        <v>1</v>
      </c>
      <c r="BF1789" s="229">
        <f t="shared" si="741"/>
        <v>0</v>
      </c>
      <c r="BG1789" s="210">
        <f t="shared" si="734"/>
        <v>0</v>
      </c>
      <c r="BH1789" s="210">
        <f t="shared" si="735"/>
        <v>1</v>
      </c>
      <c r="BI1789" s="213">
        <f t="shared" si="731"/>
        <v>0</v>
      </c>
      <c r="BJ1789" s="141"/>
      <c r="BK1789" s="201"/>
    </row>
    <row r="1790" spans="1:65" ht="18" customHeight="1">
      <c r="A1790" s="114">
        <v>52</v>
      </c>
      <c r="B1790" s="24" t="s">
        <v>1368</v>
      </c>
      <c r="C1790" s="25" t="s">
        <v>1739</v>
      </c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229">
        <f t="shared" si="739"/>
        <v>0</v>
      </c>
      <c r="AC1790" s="228">
        <f t="shared" si="732"/>
        <v>0</v>
      </c>
      <c r="AD1790" s="19">
        <v>0</v>
      </c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29">
        <f t="shared" si="740"/>
        <v>0</v>
      </c>
      <c r="BD1790" s="48">
        <f t="shared" si="733"/>
        <v>0</v>
      </c>
      <c r="BE1790" s="19">
        <v>1</v>
      </c>
      <c r="BF1790" s="229">
        <f t="shared" si="741"/>
        <v>0</v>
      </c>
      <c r="BG1790" s="210">
        <f t="shared" si="734"/>
        <v>0</v>
      </c>
      <c r="BH1790" s="210">
        <f t="shared" si="735"/>
        <v>1</v>
      </c>
      <c r="BI1790" s="213">
        <f t="shared" si="731"/>
        <v>0</v>
      </c>
      <c r="BJ1790" s="141"/>
      <c r="BK1790" s="201"/>
    </row>
    <row r="1791" spans="1:65" s="38" customFormat="1" ht="21.95" customHeight="1">
      <c r="A1791" s="114">
        <v>53</v>
      </c>
      <c r="B1791" s="24" t="s">
        <v>900</v>
      </c>
      <c r="C1791" s="27" t="s">
        <v>1983</v>
      </c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229">
        <f t="shared" si="739"/>
        <v>0</v>
      </c>
      <c r="AC1791" s="228">
        <f t="shared" si="732"/>
        <v>0</v>
      </c>
      <c r="AD1791" s="19">
        <v>5</v>
      </c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29">
        <f t="shared" si="740"/>
        <v>0</v>
      </c>
      <c r="BD1791" s="48">
        <f t="shared" si="733"/>
        <v>0</v>
      </c>
      <c r="BE1791" s="19">
        <v>21</v>
      </c>
      <c r="BF1791" s="229">
        <f t="shared" si="741"/>
        <v>0</v>
      </c>
      <c r="BG1791" s="210">
        <f t="shared" si="734"/>
        <v>0</v>
      </c>
      <c r="BH1791" s="210">
        <f t="shared" si="735"/>
        <v>26</v>
      </c>
      <c r="BI1791" s="213">
        <f t="shared" si="731"/>
        <v>0</v>
      </c>
      <c r="BJ1791" s="141"/>
      <c r="BK1791" s="201"/>
      <c r="BL1791" s="4"/>
      <c r="BM1791" s="4"/>
    </row>
    <row r="1792" spans="1:65" s="38" customFormat="1" ht="18" customHeight="1">
      <c r="A1792" s="114">
        <v>54</v>
      </c>
      <c r="B1792" s="24" t="s">
        <v>842</v>
      </c>
      <c r="C1792" s="25" t="s">
        <v>843</v>
      </c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229">
        <f t="shared" si="739"/>
        <v>0</v>
      </c>
      <c r="AC1792" s="228">
        <f t="shared" si="732"/>
        <v>0</v>
      </c>
      <c r="AD1792" s="19">
        <v>7</v>
      </c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>
        <v>1</v>
      </c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>
        <v>1</v>
      </c>
      <c r="BC1792" s="229">
        <f t="shared" si="740"/>
        <v>0</v>
      </c>
      <c r="BD1792" s="48">
        <f t="shared" si="733"/>
        <v>2</v>
      </c>
      <c r="BE1792" s="19">
        <v>3</v>
      </c>
      <c r="BF1792" s="229">
        <f t="shared" si="741"/>
        <v>0</v>
      </c>
      <c r="BG1792" s="210">
        <f t="shared" si="734"/>
        <v>2</v>
      </c>
      <c r="BH1792" s="210">
        <f t="shared" si="735"/>
        <v>10</v>
      </c>
      <c r="BI1792" s="213">
        <f t="shared" si="731"/>
        <v>20</v>
      </c>
      <c r="BJ1792" s="141"/>
      <c r="BK1792" s="201"/>
      <c r="BL1792" s="4"/>
      <c r="BM1792" s="4"/>
    </row>
    <row r="1793" spans="1:65" s="38" customFormat="1" ht="18" customHeight="1">
      <c r="A1793" s="114">
        <v>55</v>
      </c>
      <c r="B1793" s="24" t="s">
        <v>1648</v>
      </c>
      <c r="C1793" s="25" t="s">
        <v>1679</v>
      </c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229">
        <f t="shared" si="739"/>
        <v>0</v>
      </c>
      <c r="AC1793" s="228">
        <f t="shared" si="732"/>
        <v>0</v>
      </c>
      <c r="AD1793" s="19">
        <v>0</v>
      </c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29">
        <f t="shared" si="740"/>
        <v>0</v>
      </c>
      <c r="BD1793" s="48">
        <f t="shared" si="733"/>
        <v>0</v>
      </c>
      <c r="BE1793" s="19">
        <v>1</v>
      </c>
      <c r="BF1793" s="229">
        <f t="shared" si="741"/>
        <v>0</v>
      </c>
      <c r="BG1793" s="210">
        <f t="shared" si="734"/>
        <v>0</v>
      </c>
      <c r="BH1793" s="210">
        <f t="shared" si="735"/>
        <v>1</v>
      </c>
      <c r="BI1793" s="213">
        <f t="shared" si="731"/>
        <v>0</v>
      </c>
      <c r="BJ1793" s="141"/>
      <c r="BK1793" s="201"/>
      <c r="BL1793" s="4"/>
      <c r="BM1793" s="4"/>
    </row>
    <row r="1794" spans="1:65" s="38" customFormat="1" ht="24" customHeight="1">
      <c r="A1794" s="114">
        <v>56</v>
      </c>
      <c r="B1794" s="24" t="s">
        <v>901</v>
      </c>
      <c r="C1794" s="27" t="s">
        <v>1382</v>
      </c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229">
        <f t="shared" si="739"/>
        <v>0</v>
      </c>
      <c r="AC1794" s="228">
        <f t="shared" si="732"/>
        <v>0</v>
      </c>
      <c r="AD1794" s="19">
        <v>0</v>
      </c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29">
        <f t="shared" si="740"/>
        <v>0</v>
      </c>
      <c r="BD1794" s="48">
        <f t="shared" si="733"/>
        <v>0</v>
      </c>
      <c r="BE1794" s="19">
        <v>1</v>
      </c>
      <c r="BF1794" s="229">
        <f t="shared" si="741"/>
        <v>0</v>
      </c>
      <c r="BG1794" s="210">
        <f t="shared" si="734"/>
        <v>0</v>
      </c>
      <c r="BH1794" s="210">
        <f t="shared" si="735"/>
        <v>1</v>
      </c>
      <c r="BI1794" s="213">
        <f t="shared" si="731"/>
        <v>0</v>
      </c>
      <c r="BJ1794" s="141"/>
      <c r="BK1794" s="201"/>
      <c r="BL1794" s="4"/>
      <c r="BM1794" s="4"/>
    </row>
    <row r="1795" spans="1:65" s="38" customFormat="1" ht="21.95" customHeight="1">
      <c r="A1795" s="114">
        <v>57</v>
      </c>
      <c r="B1795" s="24" t="s">
        <v>657</v>
      </c>
      <c r="C1795" s="27" t="s">
        <v>1401</v>
      </c>
      <c r="D1795" s="121"/>
      <c r="E1795" s="121"/>
      <c r="F1795" s="121"/>
      <c r="G1795" s="121"/>
      <c r="H1795" s="121"/>
      <c r="I1795" s="121">
        <f>1+299</f>
        <v>300</v>
      </c>
      <c r="J1795" s="121"/>
      <c r="K1795" s="121"/>
      <c r="L1795" s="121"/>
      <c r="M1795" s="121"/>
      <c r="N1795" s="121"/>
      <c r="O1795" s="121">
        <v>290</v>
      </c>
      <c r="P1795" s="121"/>
      <c r="Q1795" s="121"/>
      <c r="R1795" s="121"/>
      <c r="S1795" s="121"/>
      <c r="T1795" s="121"/>
      <c r="U1795" s="121">
        <v>218</v>
      </c>
      <c r="V1795" s="121"/>
      <c r="W1795" s="121"/>
      <c r="X1795" s="121"/>
      <c r="Y1795" s="121"/>
      <c r="Z1795" s="121"/>
      <c r="AA1795" s="121">
        <v>239</v>
      </c>
      <c r="AB1795" s="229">
        <f t="shared" si="739"/>
        <v>0</v>
      </c>
      <c r="AC1795" s="228">
        <f t="shared" si="732"/>
        <v>1047</v>
      </c>
      <c r="AD1795" s="19">
        <v>938</v>
      </c>
      <c r="AE1795" s="28"/>
      <c r="AF1795" s="28"/>
      <c r="AG1795" s="28"/>
      <c r="AH1795" s="28"/>
      <c r="AI1795" s="28"/>
      <c r="AJ1795" s="28">
        <f>52+22</f>
        <v>74</v>
      </c>
      <c r="AK1795" s="28"/>
      <c r="AL1795" s="28"/>
      <c r="AM1795" s="28"/>
      <c r="AN1795" s="28"/>
      <c r="AO1795" s="28"/>
      <c r="AP1795" s="28">
        <f>181+7</f>
        <v>188</v>
      </c>
      <c r="AQ1795" s="28"/>
      <c r="AR1795" s="28"/>
      <c r="AS1795" s="28"/>
      <c r="AT1795" s="28"/>
      <c r="AU1795" s="28"/>
      <c r="AV1795" s="28">
        <f>136+50</f>
        <v>186</v>
      </c>
      <c r="AW1795" s="28"/>
      <c r="AX1795" s="28"/>
      <c r="AY1795" s="28"/>
      <c r="AZ1795" s="28"/>
      <c r="BA1795" s="28"/>
      <c r="BB1795" s="28">
        <f>131+19</f>
        <v>150</v>
      </c>
      <c r="BC1795" s="229">
        <f t="shared" si="740"/>
        <v>0</v>
      </c>
      <c r="BD1795" s="48">
        <f t="shared" si="733"/>
        <v>598</v>
      </c>
      <c r="BE1795" s="19">
        <v>954</v>
      </c>
      <c r="BF1795" s="229">
        <f t="shared" si="741"/>
        <v>0</v>
      </c>
      <c r="BG1795" s="210">
        <f t="shared" si="734"/>
        <v>1645</v>
      </c>
      <c r="BH1795" s="210">
        <f t="shared" si="735"/>
        <v>1892</v>
      </c>
      <c r="BI1795" s="213">
        <f t="shared" si="731"/>
        <v>86.945031712473579</v>
      </c>
      <c r="BJ1795" s="141"/>
      <c r="BK1795" s="201"/>
      <c r="BL1795" s="4"/>
      <c r="BM1795" s="4"/>
    </row>
    <row r="1796" spans="1:65" s="38" customFormat="1" ht="21.95" customHeight="1">
      <c r="A1796" s="114">
        <v>58</v>
      </c>
      <c r="B1796" s="24" t="s">
        <v>742</v>
      </c>
      <c r="C1796" s="27" t="s">
        <v>778</v>
      </c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229">
        <f t="shared" si="739"/>
        <v>0</v>
      </c>
      <c r="AC1796" s="228">
        <f t="shared" si="732"/>
        <v>0</v>
      </c>
      <c r="AD1796" s="19">
        <v>0</v>
      </c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29">
        <f t="shared" si="740"/>
        <v>0</v>
      </c>
      <c r="BD1796" s="48">
        <f t="shared" si="733"/>
        <v>0</v>
      </c>
      <c r="BE1796" s="19">
        <v>11</v>
      </c>
      <c r="BF1796" s="229">
        <f t="shared" si="741"/>
        <v>0</v>
      </c>
      <c r="BG1796" s="210">
        <f t="shared" si="734"/>
        <v>0</v>
      </c>
      <c r="BH1796" s="210">
        <f t="shared" si="735"/>
        <v>11</v>
      </c>
      <c r="BI1796" s="213">
        <f t="shared" si="731"/>
        <v>0</v>
      </c>
      <c r="BJ1796" s="141"/>
      <c r="BK1796" s="201"/>
      <c r="BL1796" s="4"/>
      <c r="BM1796" s="4"/>
    </row>
    <row r="1797" spans="1:65" s="38" customFormat="1" ht="21.95" customHeight="1">
      <c r="A1797" s="114">
        <v>59</v>
      </c>
      <c r="B1797" s="24" t="s">
        <v>802</v>
      </c>
      <c r="C1797" s="25" t="s">
        <v>803</v>
      </c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229">
        <f t="shared" si="739"/>
        <v>0</v>
      </c>
      <c r="AC1797" s="228">
        <f t="shared" si="732"/>
        <v>0</v>
      </c>
      <c r="AD1797" s="19">
        <v>0</v>
      </c>
      <c r="AE1797" s="28"/>
      <c r="AF1797" s="28"/>
      <c r="AG1797" s="28"/>
      <c r="AH1797" s="28"/>
      <c r="AI1797" s="28"/>
      <c r="AJ1797" s="28">
        <v>5</v>
      </c>
      <c r="AK1797" s="28"/>
      <c r="AL1797" s="28"/>
      <c r="AM1797" s="28"/>
      <c r="AN1797" s="28"/>
      <c r="AO1797" s="28"/>
      <c r="AP1797" s="28">
        <f>1+7</f>
        <v>8</v>
      </c>
      <c r="AQ1797" s="28"/>
      <c r="AR1797" s="28"/>
      <c r="AS1797" s="28"/>
      <c r="AT1797" s="28"/>
      <c r="AU1797" s="28"/>
      <c r="AV1797" s="28">
        <v>6</v>
      </c>
      <c r="AW1797" s="28"/>
      <c r="AX1797" s="28"/>
      <c r="AY1797" s="28"/>
      <c r="AZ1797" s="28"/>
      <c r="BA1797" s="28"/>
      <c r="BB1797" s="28">
        <v>7</v>
      </c>
      <c r="BC1797" s="229">
        <f t="shared" si="740"/>
        <v>0</v>
      </c>
      <c r="BD1797" s="48">
        <f t="shared" si="733"/>
        <v>26</v>
      </c>
      <c r="BE1797" s="19">
        <v>9</v>
      </c>
      <c r="BF1797" s="229">
        <f t="shared" si="741"/>
        <v>0</v>
      </c>
      <c r="BG1797" s="210">
        <f t="shared" si="734"/>
        <v>26</v>
      </c>
      <c r="BH1797" s="210">
        <f t="shared" si="735"/>
        <v>9</v>
      </c>
      <c r="BI1797" s="213">
        <f t="shared" si="731"/>
        <v>288.88888888888886</v>
      </c>
      <c r="BJ1797" s="141"/>
      <c r="BK1797" s="201"/>
      <c r="BL1797" s="4"/>
      <c r="BM1797" s="4"/>
    </row>
    <row r="1798" spans="1:65" s="38" customFormat="1" ht="21.95" customHeight="1">
      <c r="A1798" s="114">
        <v>60</v>
      </c>
      <c r="B1798" s="24" t="s">
        <v>658</v>
      </c>
      <c r="C1798" s="25" t="s">
        <v>779</v>
      </c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229">
        <f t="shared" si="739"/>
        <v>0</v>
      </c>
      <c r="AC1798" s="228">
        <f t="shared" si="732"/>
        <v>0</v>
      </c>
      <c r="AD1798" s="19">
        <v>0</v>
      </c>
      <c r="AE1798" s="28"/>
      <c r="AF1798" s="28"/>
      <c r="AG1798" s="28"/>
      <c r="AH1798" s="28"/>
      <c r="AI1798" s="28"/>
      <c r="AJ1798" s="28">
        <f>665+482+4</f>
        <v>1151</v>
      </c>
      <c r="AK1798" s="28"/>
      <c r="AL1798" s="28"/>
      <c r="AM1798" s="28"/>
      <c r="AN1798" s="28"/>
      <c r="AO1798" s="28"/>
      <c r="AP1798" s="28">
        <f>601+298+14</f>
        <v>913</v>
      </c>
      <c r="AQ1798" s="28"/>
      <c r="AR1798" s="28"/>
      <c r="AS1798" s="28"/>
      <c r="AT1798" s="28"/>
      <c r="AU1798" s="28"/>
      <c r="AV1798" s="28">
        <f>615+434</f>
        <v>1049</v>
      </c>
      <c r="AW1798" s="28"/>
      <c r="AX1798" s="28"/>
      <c r="AY1798" s="28"/>
      <c r="AZ1798" s="28"/>
      <c r="BA1798" s="28"/>
      <c r="BB1798" s="28">
        <f>662+356</f>
        <v>1018</v>
      </c>
      <c r="BC1798" s="229">
        <f t="shared" si="740"/>
        <v>0</v>
      </c>
      <c r="BD1798" s="48">
        <f t="shared" si="733"/>
        <v>4131</v>
      </c>
      <c r="BE1798" s="19">
        <v>3989</v>
      </c>
      <c r="BF1798" s="229">
        <f t="shared" si="741"/>
        <v>0</v>
      </c>
      <c r="BG1798" s="210">
        <f t="shared" si="734"/>
        <v>4131</v>
      </c>
      <c r="BH1798" s="210">
        <f t="shared" si="735"/>
        <v>3989</v>
      </c>
      <c r="BI1798" s="213">
        <f t="shared" si="731"/>
        <v>103.55978942090749</v>
      </c>
      <c r="BJ1798" s="141"/>
      <c r="BK1798" s="201"/>
      <c r="BL1798" s="4"/>
      <c r="BM1798" s="4"/>
    </row>
    <row r="1799" spans="1:65" s="38" customFormat="1" ht="18" customHeight="1">
      <c r="A1799" s="114">
        <v>61</v>
      </c>
      <c r="B1799" s="24" t="s">
        <v>780</v>
      </c>
      <c r="C1799" s="25" t="s">
        <v>781</v>
      </c>
      <c r="D1799" s="121"/>
      <c r="E1799" s="121"/>
      <c r="F1799" s="121"/>
      <c r="G1799" s="121"/>
      <c r="H1799" s="121"/>
      <c r="I1799" s="121">
        <v>119</v>
      </c>
      <c r="J1799" s="121"/>
      <c r="K1799" s="121"/>
      <c r="L1799" s="121"/>
      <c r="M1799" s="121"/>
      <c r="N1799" s="121"/>
      <c r="O1799" s="121">
        <v>166</v>
      </c>
      <c r="P1799" s="121"/>
      <c r="Q1799" s="121"/>
      <c r="R1799" s="121"/>
      <c r="S1799" s="121"/>
      <c r="T1799" s="121"/>
      <c r="U1799" s="121">
        <v>142</v>
      </c>
      <c r="V1799" s="121"/>
      <c r="W1799" s="121"/>
      <c r="X1799" s="121"/>
      <c r="Y1799" s="121"/>
      <c r="Z1799" s="121"/>
      <c r="AA1799" s="121">
        <f>128+1</f>
        <v>129</v>
      </c>
      <c r="AB1799" s="229">
        <f t="shared" si="739"/>
        <v>0</v>
      </c>
      <c r="AC1799" s="228">
        <f t="shared" si="732"/>
        <v>556</v>
      </c>
      <c r="AD1799" s="19">
        <v>375</v>
      </c>
      <c r="AE1799" s="28"/>
      <c r="AF1799" s="28"/>
      <c r="AG1799" s="28"/>
      <c r="AH1799" s="28"/>
      <c r="AI1799" s="28"/>
      <c r="AJ1799" s="28">
        <f>131+181+4</f>
        <v>316</v>
      </c>
      <c r="AK1799" s="28"/>
      <c r="AL1799" s="28"/>
      <c r="AM1799" s="28"/>
      <c r="AN1799" s="28"/>
      <c r="AO1799" s="28"/>
      <c r="AP1799" s="28">
        <f>213+1+82+1+14</f>
        <v>311</v>
      </c>
      <c r="AQ1799" s="28"/>
      <c r="AR1799" s="28"/>
      <c r="AS1799" s="28"/>
      <c r="AT1799" s="28"/>
      <c r="AU1799" s="28"/>
      <c r="AV1799" s="28">
        <f>157+95</f>
        <v>252</v>
      </c>
      <c r="AW1799" s="28"/>
      <c r="AX1799" s="28"/>
      <c r="AY1799" s="28"/>
      <c r="AZ1799" s="28"/>
      <c r="BA1799" s="28"/>
      <c r="BB1799" s="28">
        <f>162+149</f>
        <v>311</v>
      </c>
      <c r="BC1799" s="229">
        <f t="shared" si="740"/>
        <v>0</v>
      </c>
      <c r="BD1799" s="48">
        <f t="shared" si="733"/>
        <v>1190</v>
      </c>
      <c r="BE1799" s="19">
        <v>1292</v>
      </c>
      <c r="BF1799" s="229">
        <f t="shared" si="741"/>
        <v>0</v>
      </c>
      <c r="BG1799" s="210">
        <f t="shared" si="734"/>
        <v>1746</v>
      </c>
      <c r="BH1799" s="210">
        <f t="shared" si="735"/>
        <v>1667</v>
      </c>
      <c r="BI1799" s="213">
        <f t="shared" si="731"/>
        <v>104.7390521895621</v>
      </c>
      <c r="BJ1799" s="141"/>
      <c r="BK1799" s="201"/>
      <c r="BL1799" s="4"/>
      <c r="BM1799" s="4"/>
    </row>
    <row r="1800" spans="1:65" s="38" customFormat="1" ht="18" customHeight="1">
      <c r="A1800" s="114">
        <v>62</v>
      </c>
      <c r="B1800" s="24" t="s">
        <v>782</v>
      </c>
      <c r="C1800" s="25" t="s">
        <v>783</v>
      </c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229">
        <f t="shared" si="739"/>
        <v>0</v>
      </c>
      <c r="AC1800" s="228">
        <f t="shared" si="732"/>
        <v>0</v>
      </c>
      <c r="AD1800" s="19">
        <v>0</v>
      </c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29">
        <f t="shared" si="740"/>
        <v>0</v>
      </c>
      <c r="BD1800" s="48">
        <f t="shared" si="733"/>
        <v>0</v>
      </c>
      <c r="BE1800" s="19">
        <v>1</v>
      </c>
      <c r="BF1800" s="229">
        <f t="shared" si="741"/>
        <v>0</v>
      </c>
      <c r="BG1800" s="210">
        <f t="shared" si="734"/>
        <v>0</v>
      </c>
      <c r="BH1800" s="210">
        <f t="shared" si="735"/>
        <v>1</v>
      </c>
      <c r="BI1800" s="213">
        <f t="shared" si="731"/>
        <v>0</v>
      </c>
      <c r="BJ1800" s="141"/>
      <c r="BK1800" s="201"/>
      <c r="BL1800" s="4"/>
      <c r="BM1800" s="4"/>
    </row>
    <row r="1801" spans="1:65" s="38" customFormat="1" ht="18" customHeight="1">
      <c r="A1801" s="114">
        <v>63</v>
      </c>
      <c r="B1801" s="24" t="s">
        <v>804</v>
      </c>
      <c r="C1801" s="25" t="s">
        <v>1386</v>
      </c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229">
        <f t="shared" si="739"/>
        <v>0</v>
      </c>
      <c r="AC1801" s="228">
        <f t="shared" si="732"/>
        <v>0</v>
      </c>
      <c r="AD1801" s="19">
        <v>0</v>
      </c>
      <c r="AE1801" s="28"/>
      <c r="AF1801" s="28"/>
      <c r="AG1801" s="28"/>
      <c r="AH1801" s="28"/>
      <c r="AI1801" s="28"/>
      <c r="AJ1801" s="28">
        <f>66+63</f>
        <v>129</v>
      </c>
      <c r="AK1801" s="28"/>
      <c r="AL1801" s="28"/>
      <c r="AM1801" s="28"/>
      <c r="AN1801" s="28"/>
      <c r="AO1801" s="28"/>
      <c r="AP1801" s="28">
        <f>12+75</f>
        <v>87</v>
      </c>
      <c r="AQ1801" s="28"/>
      <c r="AR1801" s="28"/>
      <c r="AS1801" s="28"/>
      <c r="AT1801" s="28"/>
      <c r="AU1801" s="28"/>
      <c r="AV1801" s="28">
        <f>1+47</f>
        <v>48</v>
      </c>
      <c r="AW1801" s="28"/>
      <c r="AX1801" s="28"/>
      <c r="AY1801" s="28"/>
      <c r="AZ1801" s="28"/>
      <c r="BA1801" s="28"/>
      <c r="BB1801" s="28">
        <v>6</v>
      </c>
      <c r="BC1801" s="229">
        <f t="shared" si="740"/>
        <v>0</v>
      </c>
      <c r="BD1801" s="48">
        <f t="shared" si="733"/>
        <v>270</v>
      </c>
      <c r="BE1801" s="19">
        <v>234</v>
      </c>
      <c r="BF1801" s="229">
        <f t="shared" si="741"/>
        <v>0</v>
      </c>
      <c r="BG1801" s="210">
        <f t="shared" si="734"/>
        <v>270</v>
      </c>
      <c r="BH1801" s="210">
        <f t="shared" si="735"/>
        <v>234</v>
      </c>
      <c r="BI1801" s="213">
        <f t="shared" si="731"/>
        <v>115.38461538461537</v>
      </c>
      <c r="BJ1801" s="141"/>
      <c r="BK1801" s="201"/>
      <c r="BL1801" s="4"/>
      <c r="BM1801" s="4"/>
    </row>
    <row r="1802" spans="1:65" s="38" customFormat="1" ht="18" customHeight="1">
      <c r="A1802" s="114">
        <v>64</v>
      </c>
      <c r="B1802" s="24" t="s">
        <v>903</v>
      </c>
      <c r="C1802" s="25" t="s">
        <v>1165</v>
      </c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229"/>
      <c r="AC1802" s="228">
        <f t="shared" si="732"/>
        <v>0</v>
      </c>
      <c r="AD1802" s="19">
        <v>0</v>
      </c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>
        <v>5</v>
      </c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29"/>
      <c r="BD1802" s="48">
        <f t="shared" si="733"/>
        <v>5</v>
      </c>
      <c r="BE1802" s="19">
        <v>0</v>
      </c>
      <c r="BF1802" s="229"/>
      <c r="BG1802" s="210">
        <f t="shared" si="734"/>
        <v>5</v>
      </c>
      <c r="BH1802" s="210">
        <f t="shared" si="735"/>
        <v>0</v>
      </c>
      <c r="BI1802" s="213" t="e">
        <f t="shared" si="731"/>
        <v>#DIV/0!</v>
      </c>
      <c r="BJ1802" s="141"/>
      <c r="BK1802" s="201"/>
      <c r="BL1802" s="4"/>
      <c r="BM1802" s="4"/>
    </row>
    <row r="1803" spans="1:65" s="38" customFormat="1" ht="18" customHeight="1">
      <c r="A1803" s="114">
        <v>65</v>
      </c>
      <c r="B1803" s="24" t="s">
        <v>659</v>
      </c>
      <c r="C1803" s="25" t="s">
        <v>660</v>
      </c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229">
        <f t="shared" ref="AB1803:AB1817" si="742">D1803+F1803+H1803+J1803+L1803+N1803+P1803+R1803+T1803+V1803+X1803+Z1803</f>
        <v>0</v>
      </c>
      <c r="AC1803" s="228">
        <f t="shared" si="732"/>
        <v>0</v>
      </c>
      <c r="AD1803" s="19">
        <v>6</v>
      </c>
      <c r="AE1803" s="28"/>
      <c r="AF1803" s="28"/>
      <c r="AG1803" s="28"/>
      <c r="AH1803" s="28"/>
      <c r="AI1803" s="28"/>
      <c r="AJ1803" s="28">
        <f>92+214</f>
        <v>306</v>
      </c>
      <c r="AK1803" s="28"/>
      <c r="AL1803" s="28"/>
      <c r="AM1803" s="28"/>
      <c r="AN1803" s="28"/>
      <c r="AO1803" s="28"/>
      <c r="AP1803" s="28">
        <f>56+158+3</f>
        <v>217</v>
      </c>
      <c r="AQ1803" s="28"/>
      <c r="AR1803" s="28"/>
      <c r="AS1803" s="28"/>
      <c r="AT1803" s="28"/>
      <c r="AU1803" s="28"/>
      <c r="AV1803" s="28">
        <f>63+215</f>
        <v>278</v>
      </c>
      <c r="AW1803" s="28"/>
      <c r="AX1803" s="28"/>
      <c r="AY1803" s="28"/>
      <c r="AZ1803" s="28"/>
      <c r="BA1803" s="28"/>
      <c r="BB1803" s="28">
        <f>38+219</f>
        <v>257</v>
      </c>
      <c r="BC1803" s="229">
        <f t="shared" ref="BC1803:BC1817" si="743">AE1803+AG1803+AI1803+AK1803+AM1803+AO1803+AQ1803+AS1803+AU1803+AW1803+AY1803+BA1803</f>
        <v>0</v>
      </c>
      <c r="BD1803" s="48">
        <f t="shared" si="733"/>
        <v>1058</v>
      </c>
      <c r="BE1803" s="19">
        <v>985</v>
      </c>
      <c r="BF1803" s="229">
        <f t="shared" ref="BF1803:BF1817" si="744">AB1803+BC1803</f>
        <v>0</v>
      </c>
      <c r="BG1803" s="210">
        <f t="shared" si="734"/>
        <v>1058</v>
      </c>
      <c r="BH1803" s="210">
        <f t="shared" si="735"/>
        <v>991</v>
      </c>
      <c r="BI1803" s="213">
        <f t="shared" ref="BI1803:BI1823" si="745">BG1803/BH1803*100</f>
        <v>106.76084762865791</v>
      </c>
      <c r="BJ1803" s="141"/>
      <c r="BK1803" s="201"/>
      <c r="BL1803" s="4"/>
      <c r="BM1803" s="4"/>
    </row>
    <row r="1804" spans="1:65" s="38" customFormat="1" ht="21.95" customHeight="1">
      <c r="A1804" s="114">
        <v>66</v>
      </c>
      <c r="B1804" s="24" t="s">
        <v>661</v>
      </c>
      <c r="C1804" s="27" t="s">
        <v>743</v>
      </c>
      <c r="D1804" s="121"/>
      <c r="E1804" s="121"/>
      <c r="F1804" s="121"/>
      <c r="G1804" s="121"/>
      <c r="H1804" s="121"/>
      <c r="I1804" s="121">
        <v>721</v>
      </c>
      <c r="J1804" s="121"/>
      <c r="K1804" s="121"/>
      <c r="L1804" s="121"/>
      <c r="M1804" s="121"/>
      <c r="N1804" s="121"/>
      <c r="O1804" s="121">
        <f>736+100</f>
        <v>836</v>
      </c>
      <c r="P1804" s="121"/>
      <c r="Q1804" s="121"/>
      <c r="R1804" s="121"/>
      <c r="S1804" s="121"/>
      <c r="T1804" s="121"/>
      <c r="U1804" s="121">
        <v>802</v>
      </c>
      <c r="V1804" s="121"/>
      <c r="W1804" s="121"/>
      <c r="X1804" s="121"/>
      <c r="Y1804" s="121"/>
      <c r="Z1804" s="121"/>
      <c r="AA1804" s="121">
        <v>743</v>
      </c>
      <c r="AB1804" s="229">
        <f t="shared" si="742"/>
        <v>0</v>
      </c>
      <c r="AC1804" s="228">
        <f t="shared" ref="AC1804:AC1823" si="746">E1804+G1804+I1804+K1804+M1804+O1804+Q1804+S1804+U1804+W1804+Y1804+AA1804</f>
        <v>3102</v>
      </c>
      <c r="AD1804" s="19">
        <v>3197</v>
      </c>
      <c r="AE1804" s="28"/>
      <c r="AF1804" s="28"/>
      <c r="AG1804" s="28"/>
      <c r="AH1804" s="28"/>
      <c r="AI1804" s="28"/>
      <c r="AJ1804" s="28">
        <f>2319+734+30</f>
        <v>3083</v>
      </c>
      <c r="AK1804" s="28"/>
      <c r="AL1804" s="28"/>
      <c r="AM1804" s="28"/>
      <c r="AN1804" s="28"/>
      <c r="AO1804" s="28"/>
      <c r="AP1804" s="28">
        <f>1671+438+28</f>
        <v>2137</v>
      </c>
      <c r="AQ1804" s="28"/>
      <c r="AR1804" s="28"/>
      <c r="AS1804" s="28"/>
      <c r="AT1804" s="28"/>
      <c r="AU1804" s="28"/>
      <c r="AV1804" s="28">
        <f>1664+594</f>
        <v>2258</v>
      </c>
      <c r="AW1804" s="28"/>
      <c r="AX1804" s="28"/>
      <c r="AY1804" s="28"/>
      <c r="AZ1804" s="28"/>
      <c r="BA1804" s="28"/>
      <c r="BB1804" s="28">
        <f>1765+64+518</f>
        <v>2347</v>
      </c>
      <c r="BC1804" s="229">
        <f t="shared" si="743"/>
        <v>0</v>
      </c>
      <c r="BD1804" s="48">
        <f t="shared" ref="BD1804:BD1823" si="747">AF1804+AH1804+AJ1804+AL1804+AN1804+AP1804+AR1804+AT1804+AV1804+AX1804+AZ1804+BB1804</f>
        <v>9825</v>
      </c>
      <c r="BE1804" s="19">
        <v>18881</v>
      </c>
      <c r="BF1804" s="229">
        <f t="shared" si="744"/>
        <v>0</v>
      </c>
      <c r="BG1804" s="210">
        <f t="shared" ref="BG1804:BG1823" si="748">AC1804+BD1804</f>
        <v>12927</v>
      </c>
      <c r="BH1804" s="210">
        <f t="shared" ref="BH1804:BH1823" si="749">AD1804+BE1804</f>
        <v>22078</v>
      </c>
      <c r="BI1804" s="213">
        <f t="shared" si="745"/>
        <v>58.551499230002712</v>
      </c>
      <c r="BJ1804" s="141"/>
      <c r="BK1804" s="201"/>
      <c r="BL1804" s="4"/>
      <c r="BM1804" s="4"/>
    </row>
    <row r="1805" spans="1:65" s="38" customFormat="1" ht="18" customHeight="1">
      <c r="A1805" s="114">
        <v>67</v>
      </c>
      <c r="B1805" s="24" t="s">
        <v>662</v>
      </c>
      <c r="C1805" s="25" t="s">
        <v>1096</v>
      </c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229">
        <f t="shared" si="742"/>
        <v>0</v>
      </c>
      <c r="AC1805" s="228">
        <f t="shared" si="746"/>
        <v>0</v>
      </c>
      <c r="AD1805" s="19">
        <v>5</v>
      </c>
      <c r="AE1805" s="28"/>
      <c r="AF1805" s="28"/>
      <c r="AG1805" s="28"/>
      <c r="AH1805" s="28"/>
      <c r="AI1805" s="28"/>
      <c r="AJ1805" s="28">
        <f>1187+462</f>
        <v>1649</v>
      </c>
      <c r="AK1805" s="28"/>
      <c r="AL1805" s="28"/>
      <c r="AM1805" s="28"/>
      <c r="AN1805" s="28"/>
      <c r="AO1805" s="28"/>
      <c r="AP1805" s="28">
        <f>1376+472+24</f>
        <v>1872</v>
      </c>
      <c r="AQ1805" s="28"/>
      <c r="AR1805" s="28"/>
      <c r="AS1805" s="28"/>
      <c r="AT1805" s="28"/>
      <c r="AU1805" s="28"/>
      <c r="AV1805" s="28">
        <f>1393+622</f>
        <v>2015</v>
      </c>
      <c r="AW1805" s="28"/>
      <c r="AX1805" s="28"/>
      <c r="AY1805" s="28"/>
      <c r="AZ1805" s="28"/>
      <c r="BA1805" s="28"/>
      <c r="BB1805" s="28">
        <f>1488+523</f>
        <v>2011</v>
      </c>
      <c r="BC1805" s="229">
        <f t="shared" si="743"/>
        <v>0</v>
      </c>
      <c r="BD1805" s="48">
        <f t="shared" si="747"/>
        <v>7547</v>
      </c>
      <c r="BE1805" s="19">
        <v>7295</v>
      </c>
      <c r="BF1805" s="229">
        <f t="shared" si="744"/>
        <v>0</v>
      </c>
      <c r="BG1805" s="210">
        <f t="shared" si="748"/>
        <v>7547</v>
      </c>
      <c r="BH1805" s="210">
        <f t="shared" si="749"/>
        <v>7300</v>
      </c>
      <c r="BI1805" s="213">
        <f t="shared" si="745"/>
        <v>103.38356164383562</v>
      </c>
      <c r="BJ1805" s="141"/>
      <c r="BK1805" s="201"/>
      <c r="BL1805" s="4"/>
      <c r="BM1805" s="4"/>
    </row>
    <row r="1806" spans="1:65" s="38" customFormat="1" ht="18" customHeight="1">
      <c r="A1806" s="114">
        <v>68</v>
      </c>
      <c r="B1806" s="24" t="s">
        <v>663</v>
      </c>
      <c r="C1806" s="25" t="s">
        <v>1097</v>
      </c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229">
        <f t="shared" si="742"/>
        <v>0</v>
      </c>
      <c r="AC1806" s="228">
        <f t="shared" si="746"/>
        <v>0</v>
      </c>
      <c r="AD1806" s="19">
        <v>7</v>
      </c>
      <c r="AE1806" s="28"/>
      <c r="AF1806" s="28"/>
      <c r="AG1806" s="28"/>
      <c r="AH1806" s="28"/>
      <c r="AI1806" s="28"/>
      <c r="AJ1806" s="28">
        <f>247+37+1</f>
        <v>285</v>
      </c>
      <c r="AK1806" s="28"/>
      <c r="AL1806" s="28"/>
      <c r="AM1806" s="28"/>
      <c r="AN1806" s="28"/>
      <c r="AO1806" s="28"/>
      <c r="AP1806" s="28">
        <f>163+58+7</f>
        <v>228</v>
      </c>
      <c r="AQ1806" s="28"/>
      <c r="AR1806" s="28"/>
      <c r="AS1806" s="28"/>
      <c r="AT1806" s="28"/>
      <c r="AU1806" s="28"/>
      <c r="AV1806" s="28">
        <f>211+13</f>
        <v>224</v>
      </c>
      <c r="AW1806" s="28"/>
      <c r="AX1806" s="28"/>
      <c r="AY1806" s="28"/>
      <c r="AZ1806" s="28"/>
      <c r="BA1806" s="28"/>
      <c r="BB1806" s="28">
        <f>232+67</f>
        <v>299</v>
      </c>
      <c r="BC1806" s="229">
        <f t="shared" si="743"/>
        <v>0</v>
      </c>
      <c r="BD1806" s="48">
        <f t="shared" si="747"/>
        <v>1036</v>
      </c>
      <c r="BE1806" s="19">
        <v>1595</v>
      </c>
      <c r="BF1806" s="229">
        <f t="shared" si="744"/>
        <v>0</v>
      </c>
      <c r="BG1806" s="210">
        <f t="shared" si="748"/>
        <v>1036</v>
      </c>
      <c r="BH1806" s="210">
        <f t="shared" si="749"/>
        <v>1602</v>
      </c>
      <c r="BI1806" s="213">
        <f t="shared" si="745"/>
        <v>64.66916354556804</v>
      </c>
      <c r="BJ1806" s="141"/>
      <c r="BK1806" s="201"/>
      <c r="BL1806" s="4"/>
      <c r="BM1806" s="4"/>
    </row>
    <row r="1807" spans="1:65" s="38" customFormat="1" ht="21.95" customHeight="1">
      <c r="A1807" s="114">
        <v>69</v>
      </c>
      <c r="B1807" s="24" t="s">
        <v>664</v>
      </c>
      <c r="C1807" s="27" t="s">
        <v>1167</v>
      </c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229">
        <f t="shared" si="742"/>
        <v>0</v>
      </c>
      <c r="AC1807" s="228">
        <f t="shared" si="746"/>
        <v>0</v>
      </c>
      <c r="AD1807" s="19">
        <v>0</v>
      </c>
      <c r="AE1807" s="28"/>
      <c r="AF1807" s="28"/>
      <c r="AG1807" s="28"/>
      <c r="AH1807" s="28"/>
      <c r="AI1807" s="28"/>
      <c r="AJ1807" s="28">
        <v>2</v>
      </c>
      <c r="AK1807" s="28"/>
      <c r="AL1807" s="28"/>
      <c r="AM1807" s="28"/>
      <c r="AN1807" s="28"/>
      <c r="AO1807" s="28"/>
      <c r="AP1807" s="28">
        <f>5+8</f>
        <v>13</v>
      </c>
      <c r="AQ1807" s="28"/>
      <c r="AR1807" s="28"/>
      <c r="AS1807" s="28"/>
      <c r="AT1807" s="28"/>
      <c r="AU1807" s="28"/>
      <c r="AV1807" s="28">
        <v>78</v>
      </c>
      <c r="AW1807" s="28"/>
      <c r="AX1807" s="28"/>
      <c r="AY1807" s="28"/>
      <c r="AZ1807" s="28"/>
      <c r="BA1807" s="28"/>
      <c r="BB1807" s="28">
        <f>31+10</f>
        <v>41</v>
      </c>
      <c r="BC1807" s="229">
        <f t="shared" si="743"/>
        <v>0</v>
      </c>
      <c r="BD1807" s="48">
        <f t="shared" si="747"/>
        <v>134</v>
      </c>
      <c r="BE1807" s="19">
        <v>4</v>
      </c>
      <c r="BF1807" s="229">
        <f t="shared" si="744"/>
        <v>0</v>
      </c>
      <c r="BG1807" s="210">
        <f t="shared" si="748"/>
        <v>134</v>
      </c>
      <c r="BH1807" s="210">
        <f t="shared" si="749"/>
        <v>4</v>
      </c>
      <c r="BI1807" s="213">
        <f t="shared" si="745"/>
        <v>3350</v>
      </c>
      <c r="BJ1807" s="141"/>
      <c r="BK1807" s="201"/>
      <c r="BL1807" s="4"/>
      <c r="BM1807" s="4"/>
    </row>
    <row r="1808" spans="1:65" s="38" customFormat="1" ht="21.95" customHeight="1">
      <c r="A1808" s="114">
        <v>70</v>
      </c>
      <c r="B1808" s="24" t="s">
        <v>1997</v>
      </c>
      <c r="C1808" s="27" t="s">
        <v>2222</v>
      </c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229">
        <f t="shared" si="742"/>
        <v>0</v>
      </c>
      <c r="AC1808" s="228">
        <f t="shared" si="746"/>
        <v>0</v>
      </c>
      <c r="AD1808" s="19">
        <v>0</v>
      </c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29">
        <f t="shared" si="743"/>
        <v>0</v>
      </c>
      <c r="BD1808" s="48">
        <f t="shared" si="747"/>
        <v>0</v>
      </c>
      <c r="BE1808" s="19">
        <v>3</v>
      </c>
      <c r="BF1808" s="229">
        <f t="shared" si="744"/>
        <v>0</v>
      </c>
      <c r="BG1808" s="210">
        <f t="shared" si="748"/>
        <v>0</v>
      </c>
      <c r="BH1808" s="210">
        <f t="shared" si="749"/>
        <v>3</v>
      </c>
      <c r="BI1808" s="213">
        <f t="shared" si="745"/>
        <v>0</v>
      </c>
      <c r="BJ1808" s="141"/>
      <c r="BK1808" s="201"/>
      <c r="BL1808" s="4"/>
      <c r="BM1808" s="4"/>
    </row>
    <row r="1809" spans="1:65" s="38" customFormat="1" ht="18" customHeight="1">
      <c r="A1809" s="114">
        <v>71</v>
      </c>
      <c r="B1809" s="24" t="s">
        <v>2124</v>
      </c>
      <c r="C1809" s="25" t="s">
        <v>2125</v>
      </c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229">
        <f t="shared" si="742"/>
        <v>0</v>
      </c>
      <c r="AC1809" s="228">
        <f t="shared" si="746"/>
        <v>0</v>
      </c>
      <c r="AD1809" s="19">
        <v>0</v>
      </c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29">
        <f t="shared" si="743"/>
        <v>0</v>
      </c>
      <c r="BD1809" s="48">
        <f t="shared" si="747"/>
        <v>0</v>
      </c>
      <c r="BE1809" s="19">
        <v>4</v>
      </c>
      <c r="BF1809" s="229">
        <f t="shared" si="744"/>
        <v>0</v>
      </c>
      <c r="BG1809" s="210">
        <f t="shared" si="748"/>
        <v>0</v>
      </c>
      <c r="BH1809" s="210">
        <f t="shared" si="749"/>
        <v>4</v>
      </c>
      <c r="BI1809" s="213">
        <f t="shared" si="745"/>
        <v>0</v>
      </c>
      <c r="BJ1809" s="141"/>
      <c r="BK1809" s="201"/>
      <c r="BL1809" s="4"/>
      <c r="BM1809" s="4"/>
    </row>
    <row r="1810" spans="1:65" s="38" customFormat="1" ht="21.95" customHeight="1">
      <c r="A1810" s="114">
        <v>72</v>
      </c>
      <c r="B1810" s="24" t="s">
        <v>785</v>
      </c>
      <c r="C1810" s="25" t="s">
        <v>1859</v>
      </c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229">
        <f t="shared" si="742"/>
        <v>0</v>
      </c>
      <c r="AC1810" s="228">
        <f t="shared" si="746"/>
        <v>0</v>
      </c>
      <c r="AD1810" s="19">
        <v>0</v>
      </c>
      <c r="AE1810" s="28"/>
      <c r="AF1810" s="28"/>
      <c r="AG1810" s="28"/>
      <c r="AH1810" s="28"/>
      <c r="AI1810" s="28"/>
      <c r="AJ1810" s="28">
        <f>12+27</f>
        <v>39</v>
      </c>
      <c r="AK1810" s="28"/>
      <c r="AL1810" s="28"/>
      <c r="AM1810" s="28"/>
      <c r="AN1810" s="28"/>
      <c r="AO1810" s="28"/>
      <c r="AP1810" s="28">
        <f>6+4</f>
        <v>10</v>
      </c>
      <c r="AQ1810" s="28"/>
      <c r="AR1810" s="28"/>
      <c r="AS1810" s="28"/>
      <c r="AT1810" s="28"/>
      <c r="AU1810" s="28"/>
      <c r="AV1810" s="28">
        <f>10+47</f>
        <v>57</v>
      </c>
      <c r="AW1810" s="28"/>
      <c r="AX1810" s="28"/>
      <c r="AY1810" s="28"/>
      <c r="AZ1810" s="28"/>
      <c r="BA1810" s="28"/>
      <c r="BB1810" s="28">
        <f>8+35</f>
        <v>43</v>
      </c>
      <c r="BC1810" s="229">
        <f t="shared" si="743"/>
        <v>0</v>
      </c>
      <c r="BD1810" s="48">
        <f t="shared" si="747"/>
        <v>149</v>
      </c>
      <c r="BE1810" s="19">
        <v>288</v>
      </c>
      <c r="BF1810" s="229">
        <f t="shared" si="744"/>
        <v>0</v>
      </c>
      <c r="BG1810" s="210">
        <f t="shared" si="748"/>
        <v>149</v>
      </c>
      <c r="BH1810" s="210">
        <f t="shared" si="749"/>
        <v>288</v>
      </c>
      <c r="BI1810" s="213">
        <f t="shared" si="745"/>
        <v>51.736111111111114</v>
      </c>
      <c r="BJ1810" s="141"/>
      <c r="BK1810" s="201"/>
      <c r="BL1810" s="4"/>
      <c r="BM1810" s="4"/>
    </row>
    <row r="1811" spans="1:65" s="38" customFormat="1" ht="20.100000000000001" customHeight="1">
      <c r="A1811" s="114">
        <v>73</v>
      </c>
      <c r="B1811" s="24" t="s">
        <v>1635</v>
      </c>
      <c r="C1811" s="25" t="s">
        <v>2126</v>
      </c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229">
        <f t="shared" si="742"/>
        <v>0</v>
      </c>
      <c r="AC1811" s="228">
        <f t="shared" si="746"/>
        <v>0</v>
      </c>
      <c r="AD1811" s="19">
        <v>0</v>
      </c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29">
        <f t="shared" si="743"/>
        <v>0</v>
      </c>
      <c r="BD1811" s="48">
        <f t="shared" si="747"/>
        <v>0</v>
      </c>
      <c r="BE1811" s="19">
        <v>86</v>
      </c>
      <c r="BF1811" s="229">
        <f t="shared" si="744"/>
        <v>0</v>
      </c>
      <c r="BG1811" s="210">
        <f t="shared" si="748"/>
        <v>0</v>
      </c>
      <c r="BH1811" s="210">
        <f t="shared" si="749"/>
        <v>86</v>
      </c>
      <c r="BI1811" s="213">
        <f t="shared" si="745"/>
        <v>0</v>
      </c>
      <c r="BJ1811" s="141"/>
      <c r="BK1811" s="201"/>
      <c r="BL1811" s="4"/>
      <c r="BM1811" s="4"/>
    </row>
    <row r="1812" spans="1:65" s="38" customFormat="1" ht="21.95" customHeight="1">
      <c r="A1812" s="114">
        <v>74</v>
      </c>
      <c r="B1812" s="24" t="s">
        <v>786</v>
      </c>
      <c r="C1812" s="27" t="s">
        <v>2250</v>
      </c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229">
        <f t="shared" si="742"/>
        <v>0</v>
      </c>
      <c r="AC1812" s="228">
        <f t="shared" si="746"/>
        <v>0</v>
      </c>
      <c r="AD1812" s="19">
        <v>0</v>
      </c>
      <c r="AE1812" s="28"/>
      <c r="AF1812" s="28"/>
      <c r="AG1812" s="28"/>
      <c r="AH1812" s="28"/>
      <c r="AI1812" s="28"/>
      <c r="AJ1812" s="28">
        <f>305+577</f>
        <v>882</v>
      </c>
      <c r="AK1812" s="28"/>
      <c r="AL1812" s="28"/>
      <c r="AM1812" s="28"/>
      <c r="AN1812" s="28"/>
      <c r="AO1812" s="28"/>
      <c r="AP1812" s="28">
        <f>92+269</f>
        <v>361</v>
      </c>
      <c r="AQ1812" s="28"/>
      <c r="AR1812" s="28"/>
      <c r="AS1812" s="28"/>
      <c r="AT1812" s="28"/>
      <c r="AU1812" s="28"/>
      <c r="AV1812" s="28">
        <f>150+437</f>
        <v>587</v>
      </c>
      <c r="AW1812" s="28"/>
      <c r="AX1812" s="28"/>
      <c r="AY1812" s="28"/>
      <c r="AZ1812" s="28"/>
      <c r="BA1812" s="28"/>
      <c r="BB1812" s="28">
        <f>96+349</f>
        <v>445</v>
      </c>
      <c r="BC1812" s="229">
        <f t="shared" si="743"/>
        <v>0</v>
      </c>
      <c r="BD1812" s="48">
        <f t="shared" si="747"/>
        <v>2275</v>
      </c>
      <c r="BE1812" s="19">
        <v>4999</v>
      </c>
      <c r="BF1812" s="229">
        <f t="shared" si="744"/>
        <v>0</v>
      </c>
      <c r="BG1812" s="210">
        <f t="shared" si="748"/>
        <v>2275</v>
      </c>
      <c r="BH1812" s="210">
        <f t="shared" si="749"/>
        <v>4999</v>
      </c>
      <c r="BI1812" s="213">
        <f t="shared" si="745"/>
        <v>45.509101820364073</v>
      </c>
      <c r="BJ1812" s="141"/>
      <c r="BK1812" s="201"/>
      <c r="BL1812" s="4"/>
      <c r="BM1812" s="4"/>
    </row>
    <row r="1813" spans="1:65" s="38" customFormat="1" ht="18" customHeight="1">
      <c r="A1813" s="114">
        <v>75</v>
      </c>
      <c r="B1813" s="24" t="s">
        <v>704</v>
      </c>
      <c r="C1813" s="25" t="s">
        <v>1383</v>
      </c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229">
        <f t="shared" si="742"/>
        <v>0</v>
      </c>
      <c r="AC1813" s="228">
        <f t="shared" si="746"/>
        <v>0</v>
      </c>
      <c r="AD1813" s="19">
        <v>0</v>
      </c>
      <c r="AE1813" s="28"/>
      <c r="AF1813" s="28"/>
      <c r="AG1813" s="28"/>
      <c r="AH1813" s="28"/>
      <c r="AI1813" s="28"/>
      <c r="AJ1813" s="28">
        <v>2</v>
      </c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29">
        <f t="shared" si="743"/>
        <v>0</v>
      </c>
      <c r="BD1813" s="48">
        <f t="shared" si="747"/>
        <v>2</v>
      </c>
      <c r="BE1813" s="19">
        <v>5</v>
      </c>
      <c r="BF1813" s="229">
        <f t="shared" si="744"/>
        <v>0</v>
      </c>
      <c r="BG1813" s="210">
        <f t="shared" si="748"/>
        <v>2</v>
      </c>
      <c r="BH1813" s="210">
        <f t="shared" si="749"/>
        <v>5</v>
      </c>
      <c r="BI1813" s="213">
        <f t="shared" si="745"/>
        <v>40</v>
      </c>
      <c r="BJ1813" s="141"/>
      <c r="BK1813" s="201"/>
      <c r="BL1813" s="4"/>
      <c r="BM1813" s="4"/>
    </row>
    <row r="1814" spans="1:65" s="38" customFormat="1" ht="18" customHeight="1">
      <c r="A1814" s="114">
        <v>76</v>
      </c>
      <c r="B1814" s="24" t="s">
        <v>787</v>
      </c>
      <c r="C1814" s="25" t="s">
        <v>1171</v>
      </c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229">
        <f t="shared" si="742"/>
        <v>0</v>
      </c>
      <c r="AC1814" s="228">
        <f t="shared" si="746"/>
        <v>0</v>
      </c>
      <c r="AD1814" s="19">
        <v>0</v>
      </c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29">
        <f t="shared" si="743"/>
        <v>0</v>
      </c>
      <c r="BD1814" s="48">
        <f t="shared" si="747"/>
        <v>0</v>
      </c>
      <c r="BE1814" s="19">
        <v>94</v>
      </c>
      <c r="BF1814" s="229">
        <f t="shared" si="744"/>
        <v>0</v>
      </c>
      <c r="BG1814" s="210">
        <f t="shared" si="748"/>
        <v>0</v>
      </c>
      <c r="BH1814" s="210">
        <f t="shared" si="749"/>
        <v>94</v>
      </c>
      <c r="BI1814" s="213">
        <f t="shared" si="745"/>
        <v>0</v>
      </c>
      <c r="BJ1814" s="141"/>
      <c r="BK1814" s="201"/>
      <c r="BL1814" s="4"/>
      <c r="BM1814" s="4"/>
    </row>
    <row r="1815" spans="1:65" s="38" customFormat="1" ht="18" customHeight="1">
      <c r="A1815" s="114">
        <v>77</v>
      </c>
      <c r="B1815" s="24" t="s">
        <v>788</v>
      </c>
      <c r="C1815" s="25" t="s">
        <v>1172</v>
      </c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229">
        <f t="shared" si="742"/>
        <v>0</v>
      </c>
      <c r="AC1815" s="228">
        <f t="shared" si="746"/>
        <v>0</v>
      </c>
      <c r="AD1815" s="19">
        <v>0</v>
      </c>
      <c r="AE1815" s="28"/>
      <c r="AF1815" s="28"/>
      <c r="AG1815" s="28"/>
      <c r="AH1815" s="28"/>
      <c r="AI1815" s="28"/>
      <c r="AJ1815" s="28">
        <f>183+29</f>
        <v>212</v>
      </c>
      <c r="AK1815" s="28"/>
      <c r="AL1815" s="28"/>
      <c r="AM1815" s="28"/>
      <c r="AN1815" s="28"/>
      <c r="AO1815" s="28"/>
      <c r="AP1815" s="28">
        <f>89+9</f>
        <v>98</v>
      </c>
      <c r="AQ1815" s="28"/>
      <c r="AR1815" s="28"/>
      <c r="AS1815" s="28"/>
      <c r="AT1815" s="28"/>
      <c r="AU1815" s="28"/>
      <c r="AV1815" s="28">
        <f>174+2</f>
        <v>176</v>
      </c>
      <c r="AW1815" s="28"/>
      <c r="AX1815" s="28"/>
      <c r="AY1815" s="28"/>
      <c r="AZ1815" s="28"/>
      <c r="BA1815" s="28"/>
      <c r="BB1815" s="28">
        <f>263+26</f>
        <v>289</v>
      </c>
      <c r="BC1815" s="229">
        <f t="shared" si="743"/>
        <v>0</v>
      </c>
      <c r="BD1815" s="48">
        <f t="shared" si="747"/>
        <v>775</v>
      </c>
      <c r="BE1815" s="19">
        <v>1298</v>
      </c>
      <c r="BF1815" s="229">
        <f t="shared" si="744"/>
        <v>0</v>
      </c>
      <c r="BG1815" s="210">
        <f t="shared" si="748"/>
        <v>775</v>
      </c>
      <c r="BH1815" s="210">
        <f t="shared" si="749"/>
        <v>1298</v>
      </c>
      <c r="BI1815" s="213">
        <f t="shared" si="745"/>
        <v>59.707241910631737</v>
      </c>
      <c r="BJ1815" s="141"/>
      <c r="BK1815" s="201"/>
      <c r="BL1815" s="4"/>
      <c r="BM1815" s="4"/>
    </row>
    <row r="1816" spans="1:65" s="38" customFormat="1" ht="18" customHeight="1">
      <c r="A1816" s="114">
        <v>78</v>
      </c>
      <c r="B1816" s="24" t="s">
        <v>789</v>
      </c>
      <c r="C1816" s="25" t="s">
        <v>2127</v>
      </c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229">
        <f t="shared" si="742"/>
        <v>0</v>
      </c>
      <c r="AC1816" s="228">
        <f t="shared" si="746"/>
        <v>0</v>
      </c>
      <c r="AD1816" s="19">
        <v>0</v>
      </c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29">
        <f t="shared" si="743"/>
        <v>0</v>
      </c>
      <c r="BD1816" s="48">
        <f t="shared" si="747"/>
        <v>0</v>
      </c>
      <c r="BE1816" s="19">
        <v>7</v>
      </c>
      <c r="BF1816" s="229">
        <f t="shared" si="744"/>
        <v>0</v>
      </c>
      <c r="BG1816" s="210">
        <f t="shared" si="748"/>
        <v>0</v>
      </c>
      <c r="BH1816" s="210">
        <f t="shared" si="749"/>
        <v>7</v>
      </c>
      <c r="BI1816" s="213">
        <f t="shared" si="745"/>
        <v>0</v>
      </c>
      <c r="BJ1816" s="141"/>
      <c r="BK1816" s="201"/>
      <c r="BL1816" s="4"/>
      <c r="BM1816" s="4"/>
    </row>
    <row r="1817" spans="1:65" s="38" customFormat="1" ht="18" customHeight="1">
      <c r="A1817" s="114">
        <v>79</v>
      </c>
      <c r="B1817" s="24" t="s">
        <v>1173</v>
      </c>
      <c r="C1817" s="25" t="s">
        <v>1371</v>
      </c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229">
        <f t="shared" si="742"/>
        <v>0</v>
      </c>
      <c r="AC1817" s="228">
        <f t="shared" si="746"/>
        <v>0</v>
      </c>
      <c r="AD1817" s="19">
        <v>0</v>
      </c>
      <c r="AE1817" s="28"/>
      <c r="AF1817" s="28"/>
      <c r="AG1817" s="28"/>
      <c r="AH1817" s="28"/>
      <c r="AI1817" s="28"/>
      <c r="AJ1817" s="28">
        <v>4</v>
      </c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29">
        <f t="shared" si="743"/>
        <v>0</v>
      </c>
      <c r="BD1817" s="48">
        <f t="shared" si="747"/>
        <v>4</v>
      </c>
      <c r="BE1817" s="19">
        <v>238</v>
      </c>
      <c r="BF1817" s="229">
        <f t="shared" si="744"/>
        <v>0</v>
      </c>
      <c r="BG1817" s="210">
        <f t="shared" si="748"/>
        <v>4</v>
      </c>
      <c r="BH1817" s="210">
        <f t="shared" si="749"/>
        <v>238</v>
      </c>
      <c r="BI1817" s="213">
        <f t="shared" si="745"/>
        <v>1.680672268907563</v>
      </c>
      <c r="BJ1817" s="141"/>
      <c r="BK1817" s="201"/>
      <c r="BL1817" s="4"/>
      <c r="BM1817" s="4"/>
    </row>
    <row r="1818" spans="1:65" s="38" customFormat="1" ht="18" customHeight="1">
      <c r="A1818" s="114">
        <v>80</v>
      </c>
      <c r="B1818" s="24" t="s">
        <v>1174</v>
      </c>
      <c r="C1818" s="25" t="s">
        <v>1175</v>
      </c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229"/>
      <c r="AC1818" s="228">
        <f t="shared" si="746"/>
        <v>0</v>
      </c>
      <c r="AD1818" s="19">
        <v>0</v>
      </c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>
        <v>3</v>
      </c>
      <c r="AW1818" s="28"/>
      <c r="AX1818" s="28"/>
      <c r="AY1818" s="28"/>
      <c r="AZ1818" s="28"/>
      <c r="BA1818" s="28"/>
      <c r="BB1818" s="28"/>
      <c r="BC1818" s="229"/>
      <c r="BD1818" s="48">
        <f t="shared" si="747"/>
        <v>3</v>
      </c>
      <c r="BE1818" s="19">
        <v>0</v>
      </c>
      <c r="BF1818" s="229"/>
      <c r="BG1818" s="210">
        <f t="shared" si="748"/>
        <v>3</v>
      </c>
      <c r="BH1818" s="210">
        <f t="shared" si="749"/>
        <v>0</v>
      </c>
      <c r="BI1818" s="213" t="e">
        <f t="shared" si="745"/>
        <v>#DIV/0!</v>
      </c>
      <c r="BJ1818" s="141"/>
      <c r="BK1818" s="201"/>
      <c r="BL1818" s="4"/>
      <c r="BM1818" s="4"/>
    </row>
    <row r="1819" spans="1:65" s="38" customFormat="1" ht="21.95" customHeight="1">
      <c r="A1819" s="114">
        <v>81</v>
      </c>
      <c r="B1819" s="24" t="s">
        <v>790</v>
      </c>
      <c r="C1819" s="27" t="s">
        <v>2431</v>
      </c>
      <c r="D1819" s="121"/>
      <c r="E1819" s="121"/>
      <c r="F1819" s="121"/>
      <c r="G1819" s="121"/>
      <c r="H1819" s="121"/>
      <c r="I1819" s="121">
        <f>1+121</f>
        <v>122</v>
      </c>
      <c r="J1819" s="121"/>
      <c r="K1819" s="121"/>
      <c r="L1819" s="121"/>
      <c r="M1819" s="121"/>
      <c r="N1819" s="121"/>
      <c r="O1819" s="121">
        <v>90</v>
      </c>
      <c r="P1819" s="121"/>
      <c r="Q1819" s="121"/>
      <c r="R1819" s="121"/>
      <c r="S1819" s="121"/>
      <c r="T1819" s="121"/>
      <c r="U1819" s="121">
        <v>80</v>
      </c>
      <c r="V1819" s="121"/>
      <c r="W1819" s="121"/>
      <c r="X1819" s="121"/>
      <c r="Y1819" s="121"/>
      <c r="Z1819" s="121"/>
      <c r="AA1819" s="121">
        <v>77</v>
      </c>
      <c r="AB1819" s="229">
        <f>D1819+F1819+H1819+J1819+L1819+N1819+P1819+R1819+T1819+V1819+X1819+Z1819</f>
        <v>0</v>
      </c>
      <c r="AC1819" s="228">
        <f t="shared" si="746"/>
        <v>369</v>
      </c>
      <c r="AD1819" s="19">
        <v>525</v>
      </c>
      <c r="AE1819" s="28"/>
      <c r="AF1819" s="28"/>
      <c r="AG1819" s="28"/>
      <c r="AH1819" s="28"/>
      <c r="AI1819" s="28"/>
      <c r="AJ1819" s="28">
        <f>2617+106+20</f>
        <v>2743</v>
      </c>
      <c r="AK1819" s="28"/>
      <c r="AL1819" s="28"/>
      <c r="AM1819" s="28"/>
      <c r="AN1819" s="28"/>
      <c r="AO1819" s="28"/>
      <c r="AP1819" s="28">
        <f>1744+96+19</f>
        <v>1859</v>
      </c>
      <c r="AQ1819" s="28"/>
      <c r="AR1819" s="28"/>
      <c r="AS1819" s="28"/>
      <c r="AT1819" s="28"/>
      <c r="AU1819" s="28"/>
      <c r="AV1819" s="28">
        <f>1571+89</f>
        <v>1660</v>
      </c>
      <c r="AW1819" s="28"/>
      <c r="AX1819" s="28"/>
      <c r="AY1819" s="28"/>
      <c r="AZ1819" s="28"/>
      <c r="BA1819" s="28"/>
      <c r="BB1819" s="28">
        <f>1671+69</f>
        <v>1740</v>
      </c>
      <c r="BC1819" s="229">
        <f>AE1819+AG1819+AI1819+AK1819+AM1819+AO1819+AQ1819+AS1819+AU1819+AW1819+AY1819+BA1819</f>
        <v>0</v>
      </c>
      <c r="BD1819" s="48">
        <f t="shared" si="747"/>
        <v>8002</v>
      </c>
      <c r="BE1819" s="19">
        <v>19360</v>
      </c>
      <c r="BF1819" s="229">
        <f>AB1819+BC1819</f>
        <v>0</v>
      </c>
      <c r="BG1819" s="210">
        <f t="shared" si="748"/>
        <v>8371</v>
      </c>
      <c r="BH1819" s="210">
        <f t="shared" si="749"/>
        <v>19885</v>
      </c>
      <c r="BI1819" s="213">
        <f t="shared" si="745"/>
        <v>42.097058083982901</v>
      </c>
      <c r="BJ1819" s="141"/>
      <c r="BK1819" s="201"/>
      <c r="BL1819" s="4"/>
      <c r="BM1819" s="4"/>
    </row>
    <row r="1820" spans="1:65" s="38" customFormat="1" ht="18" customHeight="1">
      <c r="A1820" s="114">
        <v>82</v>
      </c>
      <c r="B1820" s="24" t="s">
        <v>998</v>
      </c>
      <c r="C1820" s="25" t="s">
        <v>999</v>
      </c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229">
        <f>D1820+F1820+H1820+J1820+L1820+N1820+P1820+R1820+T1820+V1820+X1820+Z1820</f>
        <v>0</v>
      </c>
      <c r="AC1820" s="228">
        <f t="shared" si="746"/>
        <v>0</v>
      </c>
      <c r="AD1820" s="19">
        <v>0</v>
      </c>
      <c r="AE1820" s="28"/>
      <c r="AF1820" s="28"/>
      <c r="AG1820" s="28"/>
      <c r="AH1820" s="28"/>
      <c r="AI1820" s="28"/>
      <c r="AJ1820" s="28">
        <f>495+268</f>
        <v>763</v>
      </c>
      <c r="AK1820" s="28"/>
      <c r="AL1820" s="28"/>
      <c r="AM1820" s="28"/>
      <c r="AN1820" s="28"/>
      <c r="AO1820" s="28"/>
      <c r="AP1820" s="28">
        <f>372+191</f>
        <v>563</v>
      </c>
      <c r="AQ1820" s="28"/>
      <c r="AR1820" s="28"/>
      <c r="AS1820" s="28"/>
      <c r="AT1820" s="28"/>
      <c r="AU1820" s="28"/>
      <c r="AV1820" s="28">
        <f>468+289</f>
        <v>757</v>
      </c>
      <c r="AW1820" s="28"/>
      <c r="AX1820" s="28"/>
      <c r="AY1820" s="28"/>
      <c r="AZ1820" s="28"/>
      <c r="BA1820" s="28"/>
      <c r="BB1820" s="28">
        <f>553+289</f>
        <v>842</v>
      </c>
      <c r="BC1820" s="229">
        <f>AE1820+AG1820+AI1820+AK1820+AM1820+AO1820+AQ1820+AS1820+AU1820+AW1820+AY1820+BA1820</f>
        <v>0</v>
      </c>
      <c r="BD1820" s="48">
        <f t="shared" si="747"/>
        <v>2925</v>
      </c>
      <c r="BE1820" s="19">
        <v>2788</v>
      </c>
      <c r="BF1820" s="229">
        <f>AB1820+BC1820</f>
        <v>0</v>
      </c>
      <c r="BG1820" s="210">
        <f t="shared" si="748"/>
        <v>2925</v>
      </c>
      <c r="BH1820" s="210">
        <f t="shared" si="749"/>
        <v>2788</v>
      </c>
      <c r="BI1820" s="213">
        <f t="shared" si="745"/>
        <v>104.91391678622668</v>
      </c>
      <c r="BJ1820" s="141"/>
      <c r="BK1820" s="201"/>
      <c r="BL1820" s="4"/>
      <c r="BM1820" s="4"/>
    </row>
    <row r="1821" spans="1:65" s="38" customFormat="1" ht="18" customHeight="1">
      <c r="A1821" s="114">
        <v>83</v>
      </c>
      <c r="B1821" s="33" t="s">
        <v>1799</v>
      </c>
      <c r="C1821" s="318" t="s">
        <v>1800</v>
      </c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229">
        <f>D1821+F1821+H1821+J1821+L1821+N1821+P1821+R1821+T1821+V1821+X1821+Z1821</f>
        <v>0</v>
      </c>
      <c r="AC1821" s="228">
        <f t="shared" si="746"/>
        <v>0</v>
      </c>
      <c r="AD1821" s="19">
        <v>1</v>
      </c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29">
        <f>AE1821+AG1821+AI1821+AK1821+AM1821+AO1821+AQ1821+AS1821+AU1821+AW1821+AY1821+BA1821</f>
        <v>0</v>
      </c>
      <c r="BD1821" s="48">
        <f t="shared" si="747"/>
        <v>0</v>
      </c>
      <c r="BE1821" s="19">
        <v>0</v>
      </c>
      <c r="BF1821" s="229">
        <f>AB1821+BC1821</f>
        <v>0</v>
      </c>
      <c r="BG1821" s="210">
        <f t="shared" si="748"/>
        <v>0</v>
      </c>
      <c r="BH1821" s="210">
        <f t="shared" si="749"/>
        <v>1</v>
      </c>
      <c r="BI1821" s="213">
        <f t="shared" si="745"/>
        <v>0</v>
      </c>
      <c r="BJ1821" s="269" t="s">
        <v>2856</v>
      </c>
      <c r="BK1821" s="201"/>
      <c r="BL1821" s="4"/>
      <c r="BM1821" s="4"/>
    </row>
    <row r="1822" spans="1:65" s="38" customFormat="1" ht="18" customHeight="1">
      <c r="A1822" s="114">
        <v>84</v>
      </c>
      <c r="B1822" s="157" t="s">
        <v>1794</v>
      </c>
      <c r="C1822" s="162" t="s">
        <v>1795</v>
      </c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229">
        <f>D1822+F1822+H1822+J1822+L1822+N1822+P1822+R1822+T1822+V1822+X1822+Z1822</f>
        <v>0</v>
      </c>
      <c r="AC1822" s="228">
        <f t="shared" si="746"/>
        <v>0</v>
      </c>
      <c r="AD1822" s="19">
        <v>1</v>
      </c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29">
        <f>AE1822+AG1822+AI1822+AK1822+AM1822+AO1822+AQ1822+AS1822+AU1822+AW1822+AY1822+BA1822</f>
        <v>0</v>
      </c>
      <c r="BD1822" s="48">
        <f t="shared" si="747"/>
        <v>0</v>
      </c>
      <c r="BE1822" s="19">
        <v>0</v>
      </c>
      <c r="BF1822" s="229">
        <f>AB1822+BC1822</f>
        <v>0</v>
      </c>
      <c r="BG1822" s="210">
        <f t="shared" si="748"/>
        <v>0</v>
      </c>
      <c r="BH1822" s="210">
        <f t="shared" si="749"/>
        <v>1</v>
      </c>
      <c r="BI1822" s="213">
        <f t="shared" si="745"/>
        <v>0</v>
      </c>
      <c r="BJ1822" s="269" t="s">
        <v>2856</v>
      </c>
      <c r="BK1822" s="201"/>
      <c r="BL1822" s="4"/>
      <c r="BM1822" s="4"/>
    </row>
    <row r="1823" spans="1:65" s="38" customFormat="1" ht="18" customHeight="1">
      <c r="A1823" s="114">
        <v>85</v>
      </c>
      <c r="B1823" s="157" t="s">
        <v>1788</v>
      </c>
      <c r="C1823" s="162" t="s">
        <v>1789</v>
      </c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>
        <v>36</v>
      </c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229">
        <f>D1823+F1823+H1823+J1823+L1823+N1823+P1823+R1823+T1823+V1823+X1823+Z1823</f>
        <v>0</v>
      </c>
      <c r="AC1823" s="228">
        <f t="shared" si="746"/>
        <v>36</v>
      </c>
      <c r="AD1823" s="19">
        <v>0</v>
      </c>
      <c r="AE1823" s="28"/>
      <c r="AF1823" s="28"/>
      <c r="AG1823" s="28"/>
      <c r="AH1823" s="28"/>
      <c r="AI1823" s="28"/>
      <c r="AJ1823" s="28">
        <f>7+44</f>
        <v>51</v>
      </c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>
        <v>36</v>
      </c>
      <c r="AW1823" s="28"/>
      <c r="AX1823" s="28"/>
      <c r="AY1823" s="28"/>
      <c r="AZ1823" s="28"/>
      <c r="BA1823" s="28"/>
      <c r="BB1823" s="28">
        <f>5+21</f>
        <v>26</v>
      </c>
      <c r="BC1823" s="229">
        <f>AE1823+AG1823+AI1823+AK1823+AM1823+AO1823+AQ1823+AS1823+AU1823+AW1823+AY1823+BA1823</f>
        <v>0</v>
      </c>
      <c r="BD1823" s="48">
        <f t="shared" si="747"/>
        <v>113</v>
      </c>
      <c r="BE1823" s="19">
        <v>53</v>
      </c>
      <c r="BF1823" s="229">
        <f>AB1823+BC1823</f>
        <v>0</v>
      </c>
      <c r="BG1823" s="210">
        <f t="shared" si="748"/>
        <v>149</v>
      </c>
      <c r="BH1823" s="210">
        <f t="shared" si="749"/>
        <v>53</v>
      </c>
      <c r="BI1823" s="213">
        <f t="shared" si="745"/>
        <v>281.1320754716981</v>
      </c>
      <c r="BJ1823" s="269" t="s">
        <v>2856</v>
      </c>
      <c r="BK1823" s="201"/>
      <c r="BL1823" s="4"/>
      <c r="BM1823" s="4"/>
    </row>
    <row r="1824" spans="1:65" s="38" customFormat="1" ht="21.95" customHeight="1">
      <c r="A1824" s="373" t="s">
        <v>844</v>
      </c>
      <c r="B1824" s="373"/>
      <c r="C1824" s="373"/>
      <c r="D1824" s="220">
        <f t="shared" ref="D1824:BE1824" si="750">SUM(D1825:D1825)</f>
        <v>0</v>
      </c>
      <c r="E1824" s="220">
        <f t="shared" si="750"/>
        <v>0</v>
      </c>
      <c r="F1824" s="220">
        <f t="shared" si="750"/>
        <v>0</v>
      </c>
      <c r="G1824" s="220">
        <f t="shared" si="750"/>
        <v>0</v>
      </c>
      <c r="H1824" s="220">
        <f t="shared" si="750"/>
        <v>0</v>
      </c>
      <c r="I1824" s="220">
        <f t="shared" si="750"/>
        <v>0</v>
      </c>
      <c r="J1824" s="220">
        <f t="shared" si="750"/>
        <v>0</v>
      </c>
      <c r="K1824" s="220">
        <f t="shared" si="750"/>
        <v>0</v>
      </c>
      <c r="L1824" s="220">
        <f t="shared" si="750"/>
        <v>0</v>
      </c>
      <c r="M1824" s="220">
        <f t="shared" si="750"/>
        <v>0</v>
      </c>
      <c r="N1824" s="220">
        <f t="shared" si="750"/>
        <v>0</v>
      </c>
      <c r="O1824" s="220">
        <f t="shared" si="750"/>
        <v>0</v>
      </c>
      <c r="P1824" s="220">
        <f t="shared" si="750"/>
        <v>0</v>
      </c>
      <c r="Q1824" s="220">
        <f t="shared" si="750"/>
        <v>0</v>
      </c>
      <c r="R1824" s="220">
        <f t="shared" si="750"/>
        <v>0</v>
      </c>
      <c r="S1824" s="220">
        <f t="shared" si="750"/>
        <v>0</v>
      </c>
      <c r="T1824" s="220">
        <f t="shared" si="750"/>
        <v>0</v>
      </c>
      <c r="U1824" s="220">
        <f t="shared" si="750"/>
        <v>0</v>
      </c>
      <c r="V1824" s="220">
        <f t="shared" si="750"/>
        <v>0</v>
      </c>
      <c r="W1824" s="220">
        <f t="shared" si="750"/>
        <v>0</v>
      </c>
      <c r="X1824" s="220">
        <f t="shared" si="750"/>
        <v>0</v>
      </c>
      <c r="Y1824" s="220">
        <f t="shared" si="750"/>
        <v>0</v>
      </c>
      <c r="Z1824" s="220">
        <f t="shared" si="750"/>
        <v>0</v>
      </c>
      <c r="AA1824" s="220">
        <f t="shared" si="750"/>
        <v>0</v>
      </c>
      <c r="AB1824" s="220">
        <f t="shared" ref="AB1824:AB1826" si="751">D1824+F1824+H1824+J1824+L1824+N1824+P1824+R1824+T1824+V1824+X1824+Z1824</f>
        <v>0</v>
      </c>
      <c r="AC1824" s="220">
        <f t="shared" ref="AC1824:AC1826" si="752">E1824+G1824+I1824+K1824+M1824+O1824+Q1824+S1824+U1824+W1824+Y1824+AA1824</f>
        <v>0</v>
      </c>
      <c r="AD1824" s="274">
        <f t="shared" si="750"/>
        <v>0</v>
      </c>
      <c r="AE1824" s="210">
        <f t="shared" si="750"/>
        <v>0</v>
      </c>
      <c r="AF1824" s="210">
        <f t="shared" si="750"/>
        <v>0</v>
      </c>
      <c r="AG1824" s="210">
        <f t="shared" si="750"/>
        <v>0</v>
      </c>
      <c r="AH1824" s="210">
        <f t="shared" si="750"/>
        <v>0</v>
      </c>
      <c r="AI1824" s="210">
        <f t="shared" si="750"/>
        <v>0</v>
      </c>
      <c r="AJ1824" s="210">
        <f t="shared" si="750"/>
        <v>0</v>
      </c>
      <c r="AK1824" s="210">
        <f t="shared" si="750"/>
        <v>0</v>
      </c>
      <c r="AL1824" s="210">
        <f t="shared" si="750"/>
        <v>0</v>
      </c>
      <c r="AM1824" s="210">
        <f t="shared" si="750"/>
        <v>0</v>
      </c>
      <c r="AN1824" s="210">
        <f t="shared" si="750"/>
        <v>0</v>
      </c>
      <c r="AO1824" s="210">
        <f t="shared" si="750"/>
        <v>0</v>
      </c>
      <c r="AP1824" s="210">
        <f t="shared" si="750"/>
        <v>0</v>
      </c>
      <c r="AQ1824" s="210">
        <f t="shared" si="750"/>
        <v>0</v>
      </c>
      <c r="AR1824" s="210">
        <f t="shared" si="750"/>
        <v>0</v>
      </c>
      <c r="AS1824" s="210">
        <f t="shared" si="750"/>
        <v>0</v>
      </c>
      <c r="AT1824" s="210">
        <f t="shared" si="750"/>
        <v>0</v>
      </c>
      <c r="AU1824" s="210">
        <f t="shared" si="750"/>
        <v>0</v>
      </c>
      <c r="AV1824" s="210">
        <f t="shared" si="750"/>
        <v>0</v>
      </c>
      <c r="AW1824" s="210">
        <f t="shared" si="750"/>
        <v>0</v>
      </c>
      <c r="AX1824" s="210">
        <f t="shared" si="750"/>
        <v>0</v>
      </c>
      <c r="AY1824" s="210">
        <f t="shared" si="750"/>
        <v>0</v>
      </c>
      <c r="AZ1824" s="210">
        <f t="shared" si="750"/>
        <v>0</v>
      </c>
      <c r="BA1824" s="210">
        <f t="shared" si="750"/>
        <v>0</v>
      </c>
      <c r="BB1824" s="210">
        <f t="shared" si="750"/>
        <v>0</v>
      </c>
      <c r="BC1824" s="220">
        <f t="shared" ref="BC1824:BC1826" si="753">AE1824+AG1824+AI1824+AK1824+AM1824+AO1824+AQ1824+AS1824+AU1824+AW1824+AY1824+BA1824</f>
        <v>0</v>
      </c>
      <c r="BD1824" s="210">
        <f t="shared" ref="BD1824:BD1826" si="754">AF1824+AH1824+AJ1824+AL1824+AN1824+AP1824+AR1824+AT1824+AV1824+AX1824+AZ1824+BB1824</f>
        <v>0</v>
      </c>
      <c r="BE1824" s="210">
        <f t="shared" si="750"/>
        <v>0</v>
      </c>
      <c r="BF1824" s="220">
        <f t="shared" ref="BF1824:BF1826" si="755">AB1824+BC1824</f>
        <v>0</v>
      </c>
      <c r="BG1824" s="210">
        <f t="shared" ref="BG1824:BG1826" si="756">AC1824+BD1824</f>
        <v>0</v>
      </c>
      <c r="BH1824" s="210">
        <f t="shared" ref="BH1824:BH1826" si="757">AD1824+BE1824</f>
        <v>0</v>
      </c>
      <c r="BI1824" s="213" t="e">
        <f t="shared" ref="BI1824:BI1826" si="758">BG1824/BH1824*100</f>
        <v>#DIV/0!</v>
      </c>
      <c r="BJ1824" s="140">
        <v>0</v>
      </c>
      <c r="BK1824" s="203">
        <f>BJ1824-BH1824</f>
        <v>0</v>
      </c>
      <c r="BL1824" s="4"/>
      <c r="BM1824" s="4"/>
    </row>
    <row r="1825" spans="1:65" s="38" customFormat="1" ht="21.95" customHeight="1">
      <c r="A1825" s="114">
        <v>1</v>
      </c>
      <c r="B1825" s="24"/>
      <c r="C1825" s="27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229">
        <f t="shared" si="751"/>
        <v>0</v>
      </c>
      <c r="AC1825" s="228">
        <f t="shared" si="752"/>
        <v>0</v>
      </c>
      <c r="AD1825" s="19">
        <v>0</v>
      </c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29">
        <f t="shared" si="753"/>
        <v>0</v>
      </c>
      <c r="BD1825" s="48">
        <f t="shared" si="754"/>
        <v>0</v>
      </c>
      <c r="BE1825" s="19">
        <v>0</v>
      </c>
      <c r="BF1825" s="229">
        <f t="shared" si="755"/>
        <v>0</v>
      </c>
      <c r="BG1825" s="210">
        <f t="shared" si="756"/>
        <v>0</v>
      </c>
      <c r="BH1825" s="210">
        <f t="shared" si="757"/>
        <v>0</v>
      </c>
      <c r="BI1825" s="213" t="e">
        <f t="shared" si="758"/>
        <v>#DIV/0!</v>
      </c>
      <c r="BJ1825" s="141"/>
      <c r="BK1825" s="201"/>
      <c r="BL1825" s="4"/>
      <c r="BM1825" s="4"/>
    </row>
    <row r="1826" spans="1:65" s="38" customFormat="1" ht="21.95" customHeight="1">
      <c r="A1826" s="373" t="s">
        <v>2767</v>
      </c>
      <c r="B1826" s="373"/>
      <c r="C1826" s="373"/>
      <c r="D1826" s="220">
        <f t="shared" ref="D1826:AA1826" si="759">SUM(D1827:D1967)</f>
        <v>0</v>
      </c>
      <c r="E1826" s="220">
        <f t="shared" si="759"/>
        <v>0</v>
      </c>
      <c r="F1826" s="220">
        <f t="shared" si="759"/>
        <v>0</v>
      </c>
      <c r="G1826" s="220">
        <f t="shared" si="759"/>
        <v>0</v>
      </c>
      <c r="H1826" s="220">
        <f t="shared" si="759"/>
        <v>0</v>
      </c>
      <c r="I1826" s="220">
        <f t="shared" si="759"/>
        <v>3610</v>
      </c>
      <c r="J1826" s="220">
        <f t="shared" si="759"/>
        <v>0</v>
      </c>
      <c r="K1826" s="220">
        <f t="shared" si="759"/>
        <v>0</v>
      </c>
      <c r="L1826" s="220">
        <f t="shared" si="759"/>
        <v>0</v>
      </c>
      <c r="M1826" s="220">
        <f t="shared" si="759"/>
        <v>0</v>
      </c>
      <c r="N1826" s="220">
        <f t="shared" si="759"/>
        <v>0</v>
      </c>
      <c r="O1826" s="220">
        <f t="shared" si="759"/>
        <v>3863</v>
      </c>
      <c r="P1826" s="220">
        <f t="shared" si="759"/>
        <v>0</v>
      </c>
      <c r="Q1826" s="220">
        <f t="shared" si="759"/>
        <v>0</v>
      </c>
      <c r="R1826" s="220">
        <f t="shared" si="759"/>
        <v>0</v>
      </c>
      <c r="S1826" s="220">
        <f t="shared" si="759"/>
        <v>0</v>
      </c>
      <c r="T1826" s="220">
        <f t="shared" si="759"/>
        <v>0</v>
      </c>
      <c r="U1826" s="220">
        <f t="shared" si="759"/>
        <v>3683</v>
      </c>
      <c r="V1826" s="220">
        <f t="shared" si="759"/>
        <v>0</v>
      </c>
      <c r="W1826" s="220">
        <f t="shared" si="759"/>
        <v>0</v>
      </c>
      <c r="X1826" s="220">
        <f t="shared" si="759"/>
        <v>0</v>
      </c>
      <c r="Y1826" s="220">
        <f t="shared" si="759"/>
        <v>0</v>
      </c>
      <c r="Z1826" s="220">
        <f t="shared" si="759"/>
        <v>0</v>
      </c>
      <c r="AA1826" s="220">
        <f t="shared" si="759"/>
        <v>3698</v>
      </c>
      <c r="AB1826" s="220">
        <f t="shared" si="751"/>
        <v>0</v>
      </c>
      <c r="AC1826" s="220">
        <f t="shared" si="752"/>
        <v>14854</v>
      </c>
      <c r="AD1826" s="274">
        <f t="shared" ref="AD1826:BB1826" si="760">SUM(AD1827:AD1967)</f>
        <v>12262</v>
      </c>
      <c r="AE1826" s="210">
        <f t="shared" si="760"/>
        <v>0</v>
      </c>
      <c r="AF1826" s="210">
        <f t="shared" si="760"/>
        <v>0</v>
      </c>
      <c r="AG1826" s="210">
        <f t="shared" si="760"/>
        <v>0</v>
      </c>
      <c r="AH1826" s="210">
        <f t="shared" si="760"/>
        <v>0</v>
      </c>
      <c r="AI1826" s="210">
        <f t="shared" si="760"/>
        <v>0</v>
      </c>
      <c r="AJ1826" s="210">
        <f t="shared" si="760"/>
        <v>2575</v>
      </c>
      <c r="AK1826" s="210">
        <f t="shared" si="760"/>
        <v>0</v>
      </c>
      <c r="AL1826" s="210">
        <f t="shared" si="760"/>
        <v>0</v>
      </c>
      <c r="AM1826" s="210">
        <f t="shared" si="760"/>
        <v>0</v>
      </c>
      <c r="AN1826" s="210">
        <f t="shared" si="760"/>
        <v>0</v>
      </c>
      <c r="AO1826" s="210">
        <f t="shared" si="760"/>
        <v>0</v>
      </c>
      <c r="AP1826" s="210">
        <f t="shared" si="760"/>
        <v>3618</v>
      </c>
      <c r="AQ1826" s="210">
        <f t="shared" si="760"/>
        <v>0</v>
      </c>
      <c r="AR1826" s="210">
        <f t="shared" si="760"/>
        <v>0</v>
      </c>
      <c r="AS1826" s="210">
        <f t="shared" si="760"/>
        <v>0</v>
      </c>
      <c r="AT1826" s="210">
        <f t="shared" si="760"/>
        <v>0</v>
      </c>
      <c r="AU1826" s="210">
        <f t="shared" si="760"/>
        <v>0</v>
      </c>
      <c r="AV1826" s="210">
        <f t="shared" si="760"/>
        <v>2824</v>
      </c>
      <c r="AW1826" s="210">
        <f t="shared" si="760"/>
        <v>0</v>
      </c>
      <c r="AX1826" s="210">
        <f t="shared" si="760"/>
        <v>0</v>
      </c>
      <c r="AY1826" s="210">
        <f t="shared" si="760"/>
        <v>0</v>
      </c>
      <c r="AZ1826" s="210">
        <f t="shared" si="760"/>
        <v>0</v>
      </c>
      <c r="BA1826" s="210">
        <f t="shared" si="760"/>
        <v>0</v>
      </c>
      <c r="BB1826" s="210">
        <f t="shared" si="760"/>
        <v>3401</v>
      </c>
      <c r="BC1826" s="220">
        <f t="shared" si="753"/>
        <v>0</v>
      </c>
      <c r="BD1826" s="210">
        <f t="shared" si="754"/>
        <v>12418</v>
      </c>
      <c r="BE1826" s="210">
        <f>SUM(BE1827:BE1967)</f>
        <v>12269</v>
      </c>
      <c r="BF1826" s="220">
        <f t="shared" si="755"/>
        <v>0</v>
      </c>
      <c r="BG1826" s="210">
        <f t="shared" si="756"/>
        <v>27272</v>
      </c>
      <c r="BH1826" s="210">
        <f t="shared" si="757"/>
        <v>24531</v>
      </c>
      <c r="BI1826" s="213">
        <f t="shared" si="758"/>
        <v>111.17361705597</v>
      </c>
      <c r="BJ1826" s="140">
        <v>24531</v>
      </c>
      <c r="BK1826" s="203">
        <f>BH1826-BJ1826</f>
        <v>0</v>
      </c>
      <c r="BL1826" s="198">
        <v>29231</v>
      </c>
      <c r="BM1826" s="199">
        <f>BG1826-BL1826</f>
        <v>-1959</v>
      </c>
    </row>
    <row r="1827" spans="1:65" s="38" customFormat="1" ht="18" customHeight="1">
      <c r="A1827" s="114">
        <v>1</v>
      </c>
      <c r="B1827" s="24" t="s">
        <v>2122</v>
      </c>
      <c r="C1827" s="25" t="s">
        <v>2123</v>
      </c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>
        <v>1</v>
      </c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229"/>
      <c r="AC1827" s="228">
        <f t="shared" ref="AC1827:AC1858" si="761">E1827+G1827+I1827+K1827+M1827+O1827+Q1827+S1827+U1827+W1827+Y1827+AA1827</f>
        <v>1</v>
      </c>
      <c r="AD1827" s="19">
        <v>0</v>
      </c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29"/>
      <c r="BD1827" s="48">
        <f t="shared" ref="BD1827:BD1858" si="762">AF1827+AH1827+AJ1827+AL1827+AN1827+AP1827+AR1827+AT1827+AV1827+AX1827+AZ1827+BB1827</f>
        <v>0</v>
      </c>
      <c r="BE1827" s="19">
        <v>0</v>
      </c>
      <c r="BF1827" s="229"/>
      <c r="BG1827" s="210">
        <f t="shared" ref="BG1827:BG1858" si="763">AC1827+BD1827</f>
        <v>1</v>
      </c>
      <c r="BH1827" s="210">
        <f t="shared" ref="BH1827:BH1858" si="764">AD1827+BE1827</f>
        <v>0</v>
      </c>
      <c r="BI1827" s="213" t="e">
        <f t="shared" ref="BI1827:BI1858" si="765">BG1827/BH1827*100</f>
        <v>#DIV/0!</v>
      </c>
      <c r="BJ1827" s="270" t="s">
        <v>2857</v>
      </c>
      <c r="BK1827" s="201"/>
      <c r="BL1827" s="4"/>
      <c r="BM1827" s="4"/>
    </row>
    <row r="1828" spans="1:65" s="38" customFormat="1" ht="18" customHeight="1">
      <c r="A1828" s="114">
        <v>2</v>
      </c>
      <c r="B1828" s="24" t="s">
        <v>2138</v>
      </c>
      <c r="C1828" s="25" t="s">
        <v>2139</v>
      </c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229">
        <f t="shared" ref="AB1828:AB1859" si="766">D1828+F1828+H1828+J1828+L1828+N1828+P1828+R1828+T1828+V1828+X1828+Z1828</f>
        <v>0</v>
      </c>
      <c r="AC1828" s="228">
        <f t="shared" si="761"/>
        <v>0</v>
      </c>
      <c r="AD1828" s="19">
        <v>5</v>
      </c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29">
        <f t="shared" ref="BC1828:BC1859" si="767">AE1828+AG1828+AI1828+AK1828+AM1828+AO1828+AQ1828+AS1828+AU1828+AW1828+AY1828+BA1828</f>
        <v>0</v>
      </c>
      <c r="BD1828" s="48">
        <f t="shared" si="762"/>
        <v>0</v>
      </c>
      <c r="BE1828" s="19">
        <v>0</v>
      </c>
      <c r="BF1828" s="229">
        <f t="shared" ref="BF1828:BF1859" si="768">AB1828+BC1828</f>
        <v>0</v>
      </c>
      <c r="BG1828" s="210">
        <f t="shared" si="763"/>
        <v>0</v>
      </c>
      <c r="BH1828" s="210">
        <f t="shared" si="764"/>
        <v>5</v>
      </c>
      <c r="BI1828" s="213">
        <f t="shared" si="765"/>
        <v>0</v>
      </c>
      <c r="BJ1828" s="270" t="s">
        <v>2857</v>
      </c>
      <c r="BK1828" s="201"/>
      <c r="BL1828" s="4"/>
      <c r="BM1828" s="4"/>
    </row>
    <row r="1829" spans="1:65" s="38" customFormat="1" ht="18" customHeight="1">
      <c r="A1829" s="114">
        <v>3</v>
      </c>
      <c r="B1829" s="24" t="s">
        <v>549</v>
      </c>
      <c r="C1829" s="25" t="s">
        <v>1393</v>
      </c>
      <c r="D1829" s="121"/>
      <c r="E1829" s="121"/>
      <c r="F1829" s="121"/>
      <c r="G1829" s="121"/>
      <c r="H1829" s="121"/>
      <c r="I1829" s="121">
        <v>1</v>
      </c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229">
        <f t="shared" si="766"/>
        <v>0</v>
      </c>
      <c r="AC1829" s="228">
        <f t="shared" si="761"/>
        <v>1</v>
      </c>
      <c r="AD1829" s="19">
        <v>0</v>
      </c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29">
        <f t="shared" si="767"/>
        <v>0</v>
      </c>
      <c r="BD1829" s="48">
        <f t="shared" si="762"/>
        <v>0</v>
      </c>
      <c r="BE1829" s="19">
        <v>0</v>
      </c>
      <c r="BF1829" s="229">
        <f t="shared" si="768"/>
        <v>0</v>
      </c>
      <c r="BG1829" s="210">
        <f t="shared" si="763"/>
        <v>1</v>
      </c>
      <c r="BH1829" s="210">
        <f t="shared" si="764"/>
        <v>0</v>
      </c>
      <c r="BI1829" s="213" t="e">
        <f t="shared" si="765"/>
        <v>#DIV/0!</v>
      </c>
      <c r="BJ1829" s="270" t="s">
        <v>2857</v>
      </c>
      <c r="BK1829" s="201"/>
      <c r="BL1829" s="4"/>
      <c r="BM1829" s="4"/>
    </row>
    <row r="1830" spans="1:65" s="38" customFormat="1" ht="21.95" customHeight="1">
      <c r="A1830" s="114">
        <v>4</v>
      </c>
      <c r="B1830" s="24" t="s">
        <v>705</v>
      </c>
      <c r="C1830" s="27" t="s">
        <v>706</v>
      </c>
      <c r="D1830" s="121"/>
      <c r="E1830" s="121"/>
      <c r="F1830" s="121"/>
      <c r="G1830" s="121"/>
      <c r="H1830" s="121"/>
      <c r="I1830" s="121">
        <v>282</v>
      </c>
      <c r="J1830" s="121"/>
      <c r="K1830" s="121"/>
      <c r="L1830" s="121"/>
      <c r="M1830" s="121"/>
      <c r="N1830" s="121"/>
      <c r="O1830" s="121">
        <v>251</v>
      </c>
      <c r="P1830" s="121"/>
      <c r="Q1830" s="121"/>
      <c r="R1830" s="121"/>
      <c r="S1830" s="121"/>
      <c r="T1830" s="121"/>
      <c r="U1830" s="121">
        <v>296</v>
      </c>
      <c r="V1830" s="121"/>
      <c r="W1830" s="121"/>
      <c r="X1830" s="121"/>
      <c r="Y1830" s="121"/>
      <c r="Z1830" s="121"/>
      <c r="AA1830" s="121">
        <v>312</v>
      </c>
      <c r="AB1830" s="229">
        <f t="shared" si="766"/>
        <v>0</v>
      </c>
      <c r="AC1830" s="228">
        <f t="shared" si="761"/>
        <v>1141</v>
      </c>
      <c r="AD1830" s="19">
        <v>662</v>
      </c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29">
        <f t="shared" si="767"/>
        <v>0</v>
      </c>
      <c r="BD1830" s="48">
        <f t="shared" si="762"/>
        <v>0</v>
      </c>
      <c r="BE1830" s="19">
        <v>0</v>
      </c>
      <c r="BF1830" s="229">
        <f t="shared" si="768"/>
        <v>0</v>
      </c>
      <c r="BG1830" s="210">
        <f t="shared" si="763"/>
        <v>1141</v>
      </c>
      <c r="BH1830" s="210">
        <f t="shared" si="764"/>
        <v>662</v>
      </c>
      <c r="BI1830" s="213">
        <f t="shared" si="765"/>
        <v>172.35649546827793</v>
      </c>
      <c r="BJ1830" s="270" t="s">
        <v>2857</v>
      </c>
      <c r="BK1830" s="201"/>
      <c r="BL1830" s="4"/>
      <c r="BM1830" s="4"/>
    </row>
    <row r="1831" spans="1:65" s="38" customFormat="1" ht="21.95" customHeight="1">
      <c r="A1831" s="114">
        <v>5</v>
      </c>
      <c r="B1831" s="24" t="s">
        <v>1880</v>
      </c>
      <c r="C1831" s="27" t="s">
        <v>2601</v>
      </c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229">
        <f t="shared" si="766"/>
        <v>0</v>
      </c>
      <c r="AC1831" s="228">
        <f t="shared" si="761"/>
        <v>0</v>
      </c>
      <c r="AD1831" s="19">
        <v>1</v>
      </c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29">
        <f t="shared" si="767"/>
        <v>0</v>
      </c>
      <c r="BD1831" s="48">
        <f t="shared" si="762"/>
        <v>0</v>
      </c>
      <c r="BE1831" s="19">
        <v>0</v>
      </c>
      <c r="BF1831" s="229">
        <f t="shared" si="768"/>
        <v>0</v>
      </c>
      <c r="BG1831" s="210">
        <f t="shared" si="763"/>
        <v>0</v>
      </c>
      <c r="BH1831" s="210">
        <f t="shared" si="764"/>
        <v>1</v>
      </c>
      <c r="BI1831" s="213">
        <f t="shared" si="765"/>
        <v>0</v>
      </c>
      <c r="BJ1831" s="270" t="s">
        <v>2857</v>
      </c>
      <c r="BK1831" s="201"/>
      <c r="BL1831" s="4"/>
      <c r="BM1831" s="4"/>
    </row>
    <row r="1832" spans="1:65" s="38" customFormat="1" ht="18" customHeight="1">
      <c r="A1832" s="114">
        <v>6</v>
      </c>
      <c r="B1832" s="24" t="s">
        <v>846</v>
      </c>
      <c r="C1832" s="25" t="s">
        <v>2022</v>
      </c>
      <c r="D1832" s="121"/>
      <c r="E1832" s="121"/>
      <c r="F1832" s="121"/>
      <c r="G1832" s="121"/>
      <c r="H1832" s="121"/>
      <c r="I1832" s="121">
        <f>20+1+51</f>
        <v>72</v>
      </c>
      <c r="J1832" s="121"/>
      <c r="K1832" s="121"/>
      <c r="L1832" s="121"/>
      <c r="M1832" s="121"/>
      <c r="N1832" s="121"/>
      <c r="O1832" s="121">
        <f>19+46</f>
        <v>65</v>
      </c>
      <c r="P1832" s="121"/>
      <c r="Q1832" s="121"/>
      <c r="R1832" s="121"/>
      <c r="S1832" s="121"/>
      <c r="T1832" s="121"/>
      <c r="U1832" s="121">
        <f>27+1+33+32</f>
        <v>93</v>
      </c>
      <c r="V1832" s="121"/>
      <c r="W1832" s="121"/>
      <c r="X1832" s="121"/>
      <c r="Y1832" s="121"/>
      <c r="Z1832" s="121"/>
      <c r="AA1832" s="121">
        <v>16</v>
      </c>
      <c r="AB1832" s="229">
        <f t="shared" si="766"/>
        <v>0</v>
      </c>
      <c r="AC1832" s="228">
        <f t="shared" si="761"/>
        <v>246</v>
      </c>
      <c r="AD1832" s="19">
        <v>188</v>
      </c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29">
        <f t="shared" si="767"/>
        <v>0</v>
      </c>
      <c r="BD1832" s="48">
        <f t="shared" si="762"/>
        <v>0</v>
      </c>
      <c r="BE1832" s="19">
        <v>0</v>
      </c>
      <c r="BF1832" s="229">
        <f t="shared" si="768"/>
        <v>0</v>
      </c>
      <c r="BG1832" s="210">
        <f t="shared" si="763"/>
        <v>246</v>
      </c>
      <c r="BH1832" s="210">
        <f t="shared" si="764"/>
        <v>188</v>
      </c>
      <c r="BI1832" s="213">
        <f t="shared" si="765"/>
        <v>130.85106382978725</v>
      </c>
      <c r="BJ1832" s="270" t="s">
        <v>2857</v>
      </c>
      <c r="BK1832" s="201"/>
      <c r="BL1832" s="4"/>
      <c r="BM1832" s="4"/>
    </row>
    <row r="1833" spans="1:65" s="38" customFormat="1" ht="18" customHeight="1">
      <c r="A1833" s="114">
        <v>7</v>
      </c>
      <c r="B1833" s="24" t="s">
        <v>937</v>
      </c>
      <c r="C1833" s="25" t="s">
        <v>938</v>
      </c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229">
        <f t="shared" si="766"/>
        <v>0</v>
      </c>
      <c r="AC1833" s="228">
        <f t="shared" si="761"/>
        <v>0</v>
      </c>
      <c r="AD1833" s="19">
        <v>1</v>
      </c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29">
        <f t="shared" si="767"/>
        <v>0</v>
      </c>
      <c r="BD1833" s="48">
        <f t="shared" si="762"/>
        <v>0</v>
      </c>
      <c r="BE1833" s="19">
        <v>0</v>
      </c>
      <c r="BF1833" s="229">
        <f t="shared" si="768"/>
        <v>0</v>
      </c>
      <c r="BG1833" s="210">
        <f t="shared" si="763"/>
        <v>0</v>
      </c>
      <c r="BH1833" s="210">
        <f t="shared" si="764"/>
        <v>1</v>
      </c>
      <c r="BI1833" s="213">
        <f t="shared" si="765"/>
        <v>0</v>
      </c>
      <c r="BJ1833" s="270" t="s">
        <v>2857</v>
      </c>
      <c r="BK1833" s="201"/>
      <c r="BL1833" s="4"/>
      <c r="BM1833" s="4"/>
    </row>
    <row r="1834" spans="1:65" s="38" customFormat="1" ht="18" customHeight="1">
      <c r="A1834" s="114">
        <v>8</v>
      </c>
      <c r="B1834" s="24" t="s">
        <v>1468</v>
      </c>
      <c r="C1834" s="25" t="s">
        <v>1471</v>
      </c>
      <c r="D1834" s="121"/>
      <c r="E1834" s="121"/>
      <c r="F1834" s="121"/>
      <c r="G1834" s="121"/>
      <c r="H1834" s="121"/>
      <c r="I1834" s="121">
        <v>10</v>
      </c>
      <c r="J1834" s="121"/>
      <c r="K1834" s="121"/>
      <c r="L1834" s="121"/>
      <c r="M1834" s="121"/>
      <c r="N1834" s="121"/>
      <c r="O1834" s="121">
        <v>14</v>
      </c>
      <c r="P1834" s="121"/>
      <c r="Q1834" s="121"/>
      <c r="R1834" s="121"/>
      <c r="S1834" s="121"/>
      <c r="T1834" s="121"/>
      <c r="U1834" s="121">
        <f>8+7</f>
        <v>15</v>
      </c>
      <c r="V1834" s="121"/>
      <c r="W1834" s="121"/>
      <c r="X1834" s="121"/>
      <c r="Y1834" s="121"/>
      <c r="Z1834" s="121"/>
      <c r="AA1834" s="121"/>
      <c r="AB1834" s="229">
        <f t="shared" si="766"/>
        <v>0</v>
      </c>
      <c r="AC1834" s="228">
        <f t="shared" si="761"/>
        <v>39</v>
      </c>
      <c r="AD1834" s="19">
        <v>5</v>
      </c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29">
        <f t="shared" si="767"/>
        <v>0</v>
      </c>
      <c r="BD1834" s="48">
        <f t="shared" si="762"/>
        <v>0</v>
      </c>
      <c r="BE1834" s="19">
        <v>0</v>
      </c>
      <c r="BF1834" s="229">
        <f t="shared" si="768"/>
        <v>0</v>
      </c>
      <c r="BG1834" s="210">
        <f t="shared" si="763"/>
        <v>39</v>
      </c>
      <c r="BH1834" s="210">
        <f t="shared" si="764"/>
        <v>5</v>
      </c>
      <c r="BI1834" s="213">
        <f t="shared" si="765"/>
        <v>780</v>
      </c>
      <c r="BJ1834" s="270" t="s">
        <v>2857</v>
      </c>
      <c r="BK1834" s="201"/>
      <c r="BL1834" s="4"/>
      <c r="BM1834" s="4"/>
    </row>
    <row r="1835" spans="1:65" s="38" customFormat="1" ht="18" customHeight="1">
      <c r="A1835" s="114">
        <v>9</v>
      </c>
      <c r="B1835" s="24" t="s">
        <v>1482</v>
      </c>
      <c r="C1835" s="25" t="s">
        <v>1483</v>
      </c>
      <c r="D1835" s="121"/>
      <c r="E1835" s="121"/>
      <c r="F1835" s="121"/>
      <c r="G1835" s="121"/>
      <c r="H1835" s="121"/>
      <c r="I1835" s="121">
        <f>1695+10</f>
        <v>1705</v>
      </c>
      <c r="J1835" s="121"/>
      <c r="K1835" s="121"/>
      <c r="L1835" s="121"/>
      <c r="M1835" s="121"/>
      <c r="N1835" s="121"/>
      <c r="O1835" s="121">
        <f>1549+14</f>
        <v>1563</v>
      </c>
      <c r="P1835" s="121"/>
      <c r="Q1835" s="121"/>
      <c r="R1835" s="121"/>
      <c r="S1835" s="121"/>
      <c r="T1835" s="121"/>
      <c r="U1835" s="121">
        <f>1343+9+10</f>
        <v>1362</v>
      </c>
      <c r="V1835" s="121"/>
      <c r="W1835" s="121"/>
      <c r="X1835" s="121"/>
      <c r="Y1835" s="121"/>
      <c r="Z1835" s="121"/>
      <c r="AA1835" s="121">
        <v>1498</v>
      </c>
      <c r="AB1835" s="229">
        <f t="shared" si="766"/>
        <v>0</v>
      </c>
      <c r="AC1835" s="228">
        <f t="shared" si="761"/>
        <v>6128</v>
      </c>
      <c r="AD1835" s="19">
        <v>5493</v>
      </c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>
        <f>8+1</f>
        <v>9</v>
      </c>
      <c r="AW1835" s="28"/>
      <c r="AX1835" s="28"/>
      <c r="AY1835" s="28"/>
      <c r="AZ1835" s="28"/>
      <c r="BA1835" s="28"/>
      <c r="BB1835" s="28"/>
      <c r="BC1835" s="229">
        <f t="shared" si="767"/>
        <v>0</v>
      </c>
      <c r="BD1835" s="48">
        <f t="shared" si="762"/>
        <v>9</v>
      </c>
      <c r="BE1835" s="19">
        <v>0</v>
      </c>
      <c r="BF1835" s="229">
        <f t="shared" si="768"/>
        <v>0</v>
      </c>
      <c r="BG1835" s="210">
        <f t="shared" si="763"/>
        <v>6137</v>
      </c>
      <c r="BH1835" s="210">
        <f t="shared" si="764"/>
        <v>5493</v>
      </c>
      <c r="BI1835" s="213">
        <f t="shared" si="765"/>
        <v>111.72401237939195</v>
      </c>
      <c r="BJ1835" s="270" t="s">
        <v>2857</v>
      </c>
      <c r="BK1835" s="201"/>
      <c r="BL1835" s="4"/>
      <c r="BM1835" s="4"/>
    </row>
    <row r="1836" spans="1:65" s="38" customFormat="1" ht="18" customHeight="1">
      <c r="A1836" s="114">
        <v>10</v>
      </c>
      <c r="B1836" s="24" t="s">
        <v>2694</v>
      </c>
      <c r="C1836" s="25" t="s">
        <v>2695</v>
      </c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229">
        <f t="shared" si="766"/>
        <v>0</v>
      </c>
      <c r="AC1836" s="228">
        <f t="shared" si="761"/>
        <v>0</v>
      </c>
      <c r="AD1836" s="19">
        <v>0</v>
      </c>
      <c r="AE1836" s="28"/>
      <c r="AF1836" s="28"/>
      <c r="AG1836" s="28"/>
      <c r="AH1836" s="28"/>
      <c r="AI1836" s="28"/>
      <c r="AJ1836" s="28">
        <v>1</v>
      </c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>
        <v>1</v>
      </c>
      <c r="BC1836" s="229">
        <f t="shared" si="767"/>
        <v>0</v>
      </c>
      <c r="BD1836" s="48">
        <f t="shared" si="762"/>
        <v>2</v>
      </c>
      <c r="BE1836" s="19">
        <v>0</v>
      </c>
      <c r="BF1836" s="229">
        <f t="shared" si="768"/>
        <v>0</v>
      </c>
      <c r="BG1836" s="210">
        <f t="shared" si="763"/>
        <v>2</v>
      </c>
      <c r="BH1836" s="210">
        <f t="shared" si="764"/>
        <v>0</v>
      </c>
      <c r="BI1836" s="213" t="e">
        <f t="shared" si="765"/>
        <v>#DIV/0!</v>
      </c>
      <c r="BJ1836" s="165"/>
      <c r="BK1836" s="201"/>
      <c r="BL1836" s="4"/>
      <c r="BM1836" s="4"/>
    </row>
    <row r="1837" spans="1:65" s="38" customFormat="1" ht="18" customHeight="1">
      <c r="A1837" s="114">
        <v>11</v>
      </c>
      <c r="B1837" s="24" t="s">
        <v>2313</v>
      </c>
      <c r="C1837" s="25" t="s">
        <v>2315</v>
      </c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229">
        <f t="shared" si="766"/>
        <v>0</v>
      </c>
      <c r="AC1837" s="228">
        <f t="shared" si="761"/>
        <v>0</v>
      </c>
      <c r="AD1837" s="19">
        <v>0</v>
      </c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29">
        <f t="shared" si="767"/>
        <v>0</v>
      </c>
      <c r="BD1837" s="48">
        <f t="shared" si="762"/>
        <v>0</v>
      </c>
      <c r="BE1837" s="19">
        <v>3</v>
      </c>
      <c r="BF1837" s="229">
        <f t="shared" si="768"/>
        <v>0</v>
      </c>
      <c r="BG1837" s="210">
        <f t="shared" si="763"/>
        <v>0</v>
      </c>
      <c r="BH1837" s="210">
        <f t="shared" si="764"/>
        <v>3</v>
      </c>
      <c r="BI1837" s="213">
        <f t="shared" si="765"/>
        <v>0</v>
      </c>
      <c r="BJ1837" s="141"/>
      <c r="BK1837" s="201"/>
      <c r="BL1837" s="4"/>
      <c r="BM1837" s="4"/>
    </row>
    <row r="1838" spans="1:65" s="38" customFormat="1" ht="18" customHeight="1">
      <c r="A1838" s="114">
        <v>12</v>
      </c>
      <c r="B1838" s="24" t="s">
        <v>2314</v>
      </c>
      <c r="C1838" s="25" t="s">
        <v>2316</v>
      </c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229">
        <f t="shared" si="766"/>
        <v>0</v>
      </c>
      <c r="AC1838" s="228">
        <f t="shared" si="761"/>
        <v>0</v>
      </c>
      <c r="AD1838" s="19">
        <v>0</v>
      </c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29">
        <f t="shared" si="767"/>
        <v>0</v>
      </c>
      <c r="BD1838" s="48">
        <f t="shared" si="762"/>
        <v>0</v>
      </c>
      <c r="BE1838" s="19">
        <v>3</v>
      </c>
      <c r="BF1838" s="229">
        <f t="shared" si="768"/>
        <v>0</v>
      </c>
      <c r="BG1838" s="210">
        <f t="shared" si="763"/>
        <v>0</v>
      </c>
      <c r="BH1838" s="210">
        <f t="shared" si="764"/>
        <v>3</v>
      </c>
      <c r="BI1838" s="213">
        <f t="shared" si="765"/>
        <v>0</v>
      </c>
      <c r="BJ1838" s="141"/>
      <c r="BK1838" s="201"/>
      <c r="BL1838" s="4"/>
      <c r="BM1838" s="4"/>
    </row>
    <row r="1839" spans="1:65" s="38" customFormat="1" ht="18" customHeight="1">
      <c r="A1839" s="114">
        <v>13</v>
      </c>
      <c r="B1839" s="24" t="s">
        <v>551</v>
      </c>
      <c r="C1839" s="25" t="s">
        <v>552</v>
      </c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229">
        <f t="shared" si="766"/>
        <v>0</v>
      </c>
      <c r="AC1839" s="228">
        <f t="shared" si="761"/>
        <v>0</v>
      </c>
      <c r="AD1839" s="19">
        <v>0</v>
      </c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29">
        <f t="shared" si="767"/>
        <v>0</v>
      </c>
      <c r="BD1839" s="48">
        <f t="shared" si="762"/>
        <v>0</v>
      </c>
      <c r="BE1839" s="19">
        <v>1</v>
      </c>
      <c r="BF1839" s="229">
        <f t="shared" si="768"/>
        <v>0</v>
      </c>
      <c r="BG1839" s="210">
        <f t="shared" si="763"/>
        <v>0</v>
      </c>
      <c r="BH1839" s="210">
        <f t="shared" si="764"/>
        <v>1</v>
      </c>
      <c r="BI1839" s="213">
        <f t="shared" si="765"/>
        <v>0</v>
      </c>
      <c r="BJ1839" s="141"/>
      <c r="BK1839" s="201"/>
      <c r="BL1839" s="4"/>
      <c r="BM1839" s="4"/>
    </row>
    <row r="1840" spans="1:65" s="38" customFormat="1" ht="18" customHeight="1">
      <c r="A1840" s="114">
        <v>14</v>
      </c>
      <c r="B1840" s="24" t="s">
        <v>553</v>
      </c>
      <c r="C1840" s="25" t="s">
        <v>554</v>
      </c>
      <c r="D1840" s="121"/>
      <c r="E1840" s="121"/>
      <c r="F1840" s="121"/>
      <c r="G1840" s="121"/>
      <c r="H1840" s="121"/>
      <c r="I1840" s="121">
        <v>28</v>
      </c>
      <c r="J1840" s="121"/>
      <c r="K1840" s="121"/>
      <c r="L1840" s="121"/>
      <c r="M1840" s="121"/>
      <c r="N1840" s="121"/>
      <c r="O1840" s="121">
        <v>445</v>
      </c>
      <c r="P1840" s="121"/>
      <c r="Q1840" s="121"/>
      <c r="R1840" s="121"/>
      <c r="S1840" s="121"/>
      <c r="T1840" s="121"/>
      <c r="U1840" s="121">
        <v>346</v>
      </c>
      <c r="V1840" s="121"/>
      <c r="W1840" s="121"/>
      <c r="X1840" s="121"/>
      <c r="Y1840" s="121"/>
      <c r="Z1840" s="121"/>
      <c r="AA1840" s="121">
        <v>360</v>
      </c>
      <c r="AB1840" s="229">
        <f t="shared" si="766"/>
        <v>0</v>
      </c>
      <c r="AC1840" s="228">
        <f t="shared" si="761"/>
        <v>1179</v>
      </c>
      <c r="AD1840" s="19">
        <v>1</v>
      </c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29">
        <f t="shared" si="767"/>
        <v>0</v>
      </c>
      <c r="BD1840" s="48">
        <f t="shared" si="762"/>
        <v>0</v>
      </c>
      <c r="BE1840" s="19">
        <v>12</v>
      </c>
      <c r="BF1840" s="229">
        <f t="shared" si="768"/>
        <v>0</v>
      </c>
      <c r="BG1840" s="210">
        <f t="shared" si="763"/>
        <v>1179</v>
      </c>
      <c r="BH1840" s="210">
        <f t="shared" si="764"/>
        <v>13</v>
      </c>
      <c r="BI1840" s="213">
        <f t="shared" si="765"/>
        <v>9069.2307692307695</v>
      </c>
      <c r="BJ1840" s="141"/>
      <c r="BK1840" s="201"/>
      <c r="BL1840" s="4"/>
      <c r="BM1840" s="4"/>
    </row>
    <row r="1841" spans="1:65" s="38" customFormat="1" ht="18" customHeight="1">
      <c r="A1841" s="114">
        <v>15</v>
      </c>
      <c r="B1841" s="24" t="s">
        <v>555</v>
      </c>
      <c r="C1841" s="25" t="s">
        <v>556</v>
      </c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229">
        <f t="shared" si="766"/>
        <v>0</v>
      </c>
      <c r="AC1841" s="228">
        <f t="shared" si="761"/>
        <v>0</v>
      </c>
      <c r="AD1841" s="19">
        <v>0</v>
      </c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>
        <v>1</v>
      </c>
      <c r="AQ1841" s="28"/>
      <c r="AR1841" s="28"/>
      <c r="AS1841" s="28"/>
      <c r="AT1841" s="28"/>
      <c r="AU1841" s="28"/>
      <c r="AV1841" s="28">
        <v>6</v>
      </c>
      <c r="AW1841" s="28"/>
      <c r="AX1841" s="28"/>
      <c r="AY1841" s="28"/>
      <c r="AZ1841" s="28"/>
      <c r="BA1841" s="28"/>
      <c r="BB1841" s="28">
        <v>1</v>
      </c>
      <c r="BC1841" s="229">
        <f t="shared" si="767"/>
        <v>0</v>
      </c>
      <c r="BD1841" s="48">
        <f t="shared" si="762"/>
        <v>8</v>
      </c>
      <c r="BE1841" s="19">
        <v>12</v>
      </c>
      <c r="BF1841" s="229">
        <f t="shared" si="768"/>
        <v>0</v>
      </c>
      <c r="BG1841" s="210">
        <f t="shared" si="763"/>
        <v>8</v>
      </c>
      <c r="BH1841" s="210">
        <f t="shared" si="764"/>
        <v>12</v>
      </c>
      <c r="BI1841" s="213">
        <f t="shared" si="765"/>
        <v>66.666666666666657</v>
      </c>
      <c r="BJ1841" s="141"/>
      <c r="BK1841" s="201"/>
      <c r="BL1841" s="4"/>
      <c r="BM1841" s="4"/>
    </row>
    <row r="1842" spans="1:65" s="38" customFormat="1" ht="18" customHeight="1">
      <c r="A1842" s="114">
        <v>16</v>
      </c>
      <c r="B1842" s="24" t="s">
        <v>561</v>
      </c>
      <c r="C1842" s="25" t="s">
        <v>562</v>
      </c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229">
        <f t="shared" si="766"/>
        <v>0</v>
      </c>
      <c r="AC1842" s="228">
        <f t="shared" si="761"/>
        <v>0</v>
      </c>
      <c r="AD1842" s="19">
        <v>1</v>
      </c>
      <c r="AE1842" s="28"/>
      <c r="AF1842" s="28"/>
      <c r="AG1842" s="28"/>
      <c r="AH1842" s="28"/>
      <c r="AI1842" s="28"/>
      <c r="AJ1842" s="28">
        <v>10</v>
      </c>
      <c r="AK1842" s="28"/>
      <c r="AL1842" s="28"/>
      <c r="AM1842" s="28"/>
      <c r="AN1842" s="28"/>
      <c r="AO1842" s="28"/>
      <c r="AP1842" s="28">
        <f>2+15</f>
        <v>17</v>
      </c>
      <c r="AQ1842" s="28"/>
      <c r="AR1842" s="28"/>
      <c r="AS1842" s="28"/>
      <c r="AT1842" s="28"/>
      <c r="AU1842" s="28"/>
      <c r="AV1842" s="28">
        <v>8</v>
      </c>
      <c r="AW1842" s="28"/>
      <c r="AX1842" s="28"/>
      <c r="AY1842" s="28"/>
      <c r="AZ1842" s="28"/>
      <c r="BA1842" s="28"/>
      <c r="BB1842" s="28">
        <v>7</v>
      </c>
      <c r="BC1842" s="229">
        <f t="shared" si="767"/>
        <v>0</v>
      </c>
      <c r="BD1842" s="48">
        <f t="shared" si="762"/>
        <v>42</v>
      </c>
      <c r="BE1842" s="19">
        <v>5</v>
      </c>
      <c r="BF1842" s="229">
        <f t="shared" si="768"/>
        <v>0</v>
      </c>
      <c r="BG1842" s="210">
        <f t="shared" si="763"/>
        <v>42</v>
      </c>
      <c r="BH1842" s="210">
        <f t="shared" si="764"/>
        <v>6</v>
      </c>
      <c r="BI1842" s="213">
        <f t="shared" si="765"/>
        <v>700</v>
      </c>
      <c r="BJ1842" s="141"/>
      <c r="BK1842" s="201"/>
      <c r="BL1842" s="4"/>
      <c r="BM1842" s="4"/>
    </row>
    <row r="1843" spans="1:65" s="38" customFormat="1" ht="18" customHeight="1">
      <c r="A1843" s="114">
        <v>17</v>
      </c>
      <c r="B1843" s="24" t="s">
        <v>672</v>
      </c>
      <c r="C1843" s="25" t="s">
        <v>673</v>
      </c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229">
        <f t="shared" si="766"/>
        <v>0</v>
      </c>
      <c r="AC1843" s="228">
        <f t="shared" si="761"/>
        <v>0</v>
      </c>
      <c r="AD1843" s="19">
        <v>0</v>
      </c>
      <c r="AE1843" s="28"/>
      <c r="AF1843" s="28"/>
      <c r="AG1843" s="28"/>
      <c r="AH1843" s="28"/>
      <c r="AI1843" s="28"/>
      <c r="AJ1843" s="28">
        <f>125+10</f>
        <v>135</v>
      </c>
      <c r="AK1843" s="28"/>
      <c r="AL1843" s="28"/>
      <c r="AM1843" s="28"/>
      <c r="AN1843" s="28"/>
      <c r="AO1843" s="28"/>
      <c r="AP1843" s="28">
        <f>223+14</f>
        <v>237</v>
      </c>
      <c r="AQ1843" s="28"/>
      <c r="AR1843" s="28"/>
      <c r="AS1843" s="28"/>
      <c r="AT1843" s="28"/>
      <c r="AU1843" s="28"/>
      <c r="AV1843" s="28">
        <f>116+8</f>
        <v>124</v>
      </c>
      <c r="AW1843" s="28"/>
      <c r="AX1843" s="28"/>
      <c r="AY1843" s="28"/>
      <c r="AZ1843" s="28"/>
      <c r="BA1843" s="28"/>
      <c r="BB1843" s="28">
        <f>177+7</f>
        <v>184</v>
      </c>
      <c r="BC1843" s="229">
        <f t="shared" si="767"/>
        <v>0</v>
      </c>
      <c r="BD1843" s="48">
        <f t="shared" si="762"/>
        <v>680</v>
      </c>
      <c r="BE1843" s="19">
        <f>504+1</f>
        <v>505</v>
      </c>
      <c r="BF1843" s="229">
        <f t="shared" si="768"/>
        <v>0</v>
      </c>
      <c r="BG1843" s="210">
        <f t="shared" si="763"/>
        <v>680</v>
      </c>
      <c r="BH1843" s="210">
        <f t="shared" si="764"/>
        <v>505</v>
      </c>
      <c r="BI1843" s="213">
        <f t="shared" si="765"/>
        <v>134.65346534653466</v>
      </c>
      <c r="BJ1843" s="141"/>
      <c r="BK1843" s="201"/>
      <c r="BL1843" s="4"/>
      <c r="BM1843" s="4"/>
    </row>
    <row r="1844" spans="1:65" s="38" customFormat="1" ht="18" customHeight="1">
      <c r="A1844" s="114">
        <v>18</v>
      </c>
      <c r="B1844" s="24" t="s">
        <v>565</v>
      </c>
      <c r="C1844" s="25" t="s">
        <v>566</v>
      </c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229">
        <f t="shared" si="766"/>
        <v>0</v>
      </c>
      <c r="AC1844" s="228">
        <f t="shared" si="761"/>
        <v>0</v>
      </c>
      <c r="AD1844" s="19">
        <v>0</v>
      </c>
      <c r="AE1844" s="28"/>
      <c r="AF1844" s="28"/>
      <c r="AG1844" s="28"/>
      <c r="AH1844" s="28"/>
      <c r="AI1844" s="28"/>
      <c r="AJ1844" s="28">
        <f>5+2</f>
        <v>7</v>
      </c>
      <c r="AK1844" s="28"/>
      <c r="AL1844" s="28"/>
      <c r="AM1844" s="28"/>
      <c r="AN1844" s="28"/>
      <c r="AO1844" s="28"/>
      <c r="AP1844" s="28">
        <v>16</v>
      </c>
      <c r="AQ1844" s="28"/>
      <c r="AR1844" s="28"/>
      <c r="AS1844" s="28"/>
      <c r="AT1844" s="28"/>
      <c r="AU1844" s="28"/>
      <c r="AV1844" s="28">
        <f>8+6</f>
        <v>14</v>
      </c>
      <c r="AW1844" s="28"/>
      <c r="AX1844" s="28"/>
      <c r="AY1844" s="28"/>
      <c r="AZ1844" s="28"/>
      <c r="BA1844" s="28"/>
      <c r="BB1844" s="28">
        <f>20+4</f>
        <v>24</v>
      </c>
      <c r="BC1844" s="229">
        <f t="shared" si="767"/>
        <v>0</v>
      </c>
      <c r="BD1844" s="48">
        <f t="shared" si="762"/>
        <v>61</v>
      </c>
      <c r="BE1844" s="19">
        <v>48</v>
      </c>
      <c r="BF1844" s="229">
        <f t="shared" si="768"/>
        <v>0</v>
      </c>
      <c r="BG1844" s="210">
        <f t="shared" si="763"/>
        <v>61</v>
      </c>
      <c r="BH1844" s="210">
        <f t="shared" si="764"/>
        <v>48</v>
      </c>
      <c r="BI1844" s="213">
        <f t="shared" si="765"/>
        <v>127.08333333333333</v>
      </c>
      <c r="BJ1844" s="141"/>
      <c r="BK1844" s="201"/>
      <c r="BL1844" s="4"/>
      <c r="BM1844" s="4"/>
    </row>
    <row r="1845" spans="1:65" s="38" customFormat="1" ht="18" customHeight="1">
      <c r="A1845" s="114">
        <v>19</v>
      </c>
      <c r="B1845" s="24" t="s">
        <v>567</v>
      </c>
      <c r="C1845" s="25" t="s">
        <v>568</v>
      </c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229">
        <f t="shared" si="766"/>
        <v>0</v>
      </c>
      <c r="AC1845" s="228">
        <f t="shared" si="761"/>
        <v>0</v>
      </c>
      <c r="AD1845" s="19">
        <v>0</v>
      </c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29">
        <f t="shared" si="767"/>
        <v>0</v>
      </c>
      <c r="BD1845" s="48">
        <f t="shared" si="762"/>
        <v>0</v>
      </c>
      <c r="BE1845" s="19">
        <v>1</v>
      </c>
      <c r="BF1845" s="229">
        <f t="shared" si="768"/>
        <v>0</v>
      </c>
      <c r="BG1845" s="210">
        <f t="shared" si="763"/>
        <v>0</v>
      </c>
      <c r="BH1845" s="210">
        <f t="shared" si="764"/>
        <v>1</v>
      </c>
      <c r="BI1845" s="213">
        <f t="shared" si="765"/>
        <v>0</v>
      </c>
      <c r="BJ1845" s="141"/>
      <c r="BK1845" s="201"/>
      <c r="BL1845" s="4"/>
      <c r="BM1845" s="4"/>
    </row>
    <row r="1846" spans="1:65" s="38" customFormat="1" ht="18" customHeight="1">
      <c r="A1846" s="114">
        <v>20</v>
      </c>
      <c r="B1846" s="24" t="s">
        <v>569</v>
      </c>
      <c r="C1846" s="25" t="s">
        <v>680</v>
      </c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229">
        <f t="shared" si="766"/>
        <v>0</v>
      </c>
      <c r="AC1846" s="228">
        <f t="shared" si="761"/>
        <v>0</v>
      </c>
      <c r="AD1846" s="19">
        <v>0</v>
      </c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>
        <v>1</v>
      </c>
      <c r="AQ1846" s="28"/>
      <c r="AR1846" s="28"/>
      <c r="AS1846" s="28"/>
      <c r="AT1846" s="28"/>
      <c r="AU1846" s="28"/>
      <c r="AV1846" s="28">
        <v>1</v>
      </c>
      <c r="AW1846" s="28"/>
      <c r="AX1846" s="28"/>
      <c r="AY1846" s="28"/>
      <c r="AZ1846" s="28"/>
      <c r="BA1846" s="28"/>
      <c r="BB1846" s="28">
        <v>2</v>
      </c>
      <c r="BC1846" s="229">
        <f t="shared" si="767"/>
        <v>0</v>
      </c>
      <c r="BD1846" s="48">
        <f t="shared" si="762"/>
        <v>4</v>
      </c>
      <c r="BE1846" s="19">
        <v>1</v>
      </c>
      <c r="BF1846" s="229">
        <f t="shared" si="768"/>
        <v>0</v>
      </c>
      <c r="BG1846" s="210">
        <f t="shared" si="763"/>
        <v>4</v>
      </c>
      <c r="BH1846" s="210">
        <f t="shared" si="764"/>
        <v>1</v>
      </c>
      <c r="BI1846" s="213">
        <f t="shared" si="765"/>
        <v>400</v>
      </c>
      <c r="BJ1846" s="141"/>
      <c r="BK1846" s="201"/>
      <c r="BL1846" s="4"/>
      <c r="BM1846" s="4"/>
    </row>
    <row r="1847" spans="1:65" s="38" customFormat="1" ht="18" customHeight="1">
      <c r="A1847" s="114">
        <v>21</v>
      </c>
      <c r="B1847" s="24" t="s">
        <v>571</v>
      </c>
      <c r="C1847" s="25" t="s">
        <v>572</v>
      </c>
      <c r="D1847" s="121"/>
      <c r="E1847" s="121"/>
      <c r="F1847" s="121"/>
      <c r="G1847" s="121"/>
      <c r="H1847" s="121"/>
      <c r="I1847" s="121">
        <v>45</v>
      </c>
      <c r="J1847" s="121"/>
      <c r="K1847" s="121"/>
      <c r="L1847" s="121"/>
      <c r="M1847" s="121"/>
      <c r="N1847" s="121"/>
      <c r="O1847" s="121">
        <v>40</v>
      </c>
      <c r="P1847" s="121"/>
      <c r="Q1847" s="121"/>
      <c r="R1847" s="121"/>
      <c r="S1847" s="121"/>
      <c r="T1847" s="121"/>
      <c r="U1847" s="121">
        <v>66</v>
      </c>
      <c r="V1847" s="121"/>
      <c r="W1847" s="121"/>
      <c r="X1847" s="121"/>
      <c r="Y1847" s="121"/>
      <c r="Z1847" s="121"/>
      <c r="AA1847" s="121">
        <v>57</v>
      </c>
      <c r="AB1847" s="229">
        <f t="shared" si="766"/>
        <v>0</v>
      </c>
      <c r="AC1847" s="228">
        <f t="shared" si="761"/>
        <v>208</v>
      </c>
      <c r="AD1847" s="19">
        <v>275</v>
      </c>
      <c r="AE1847" s="28"/>
      <c r="AF1847" s="28"/>
      <c r="AG1847" s="28"/>
      <c r="AH1847" s="28"/>
      <c r="AI1847" s="28"/>
      <c r="AJ1847" s="28">
        <f>255+1+10</f>
        <v>266</v>
      </c>
      <c r="AK1847" s="28"/>
      <c r="AL1847" s="28"/>
      <c r="AM1847" s="28"/>
      <c r="AN1847" s="28"/>
      <c r="AO1847" s="28"/>
      <c r="AP1847" s="28">
        <f>337+1+14</f>
        <v>352</v>
      </c>
      <c r="AQ1847" s="28"/>
      <c r="AR1847" s="28"/>
      <c r="AS1847" s="28"/>
      <c r="AT1847" s="28"/>
      <c r="AU1847" s="28"/>
      <c r="AV1847" s="28">
        <f>243+2+15</f>
        <v>260</v>
      </c>
      <c r="AW1847" s="28"/>
      <c r="AX1847" s="28"/>
      <c r="AY1847" s="28"/>
      <c r="AZ1847" s="28"/>
      <c r="BA1847" s="28"/>
      <c r="BB1847" s="28">
        <f>347+1+4+7</f>
        <v>359</v>
      </c>
      <c r="BC1847" s="229">
        <f t="shared" si="767"/>
        <v>0</v>
      </c>
      <c r="BD1847" s="48">
        <f t="shared" si="762"/>
        <v>1237</v>
      </c>
      <c r="BE1847" s="19">
        <v>1398</v>
      </c>
      <c r="BF1847" s="229">
        <f t="shared" si="768"/>
        <v>0</v>
      </c>
      <c r="BG1847" s="210">
        <f t="shared" si="763"/>
        <v>1445</v>
      </c>
      <c r="BH1847" s="210">
        <f t="shared" si="764"/>
        <v>1673</v>
      </c>
      <c r="BI1847" s="213">
        <f t="shared" si="765"/>
        <v>86.371787208607287</v>
      </c>
      <c r="BJ1847" s="141"/>
      <c r="BK1847" s="201"/>
      <c r="BL1847" s="4"/>
      <c r="BM1847" s="4"/>
    </row>
    <row r="1848" spans="1:65" s="38" customFormat="1" ht="18" customHeight="1">
      <c r="A1848" s="114">
        <v>22</v>
      </c>
      <c r="B1848" s="24" t="s">
        <v>573</v>
      </c>
      <c r="C1848" s="25" t="s">
        <v>574</v>
      </c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229">
        <f t="shared" si="766"/>
        <v>0</v>
      </c>
      <c r="AC1848" s="228">
        <f t="shared" si="761"/>
        <v>0</v>
      </c>
      <c r="AD1848" s="19">
        <v>1</v>
      </c>
      <c r="AE1848" s="28"/>
      <c r="AF1848" s="28"/>
      <c r="AG1848" s="28"/>
      <c r="AH1848" s="28"/>
      <c r="AI1848" s="28"/>
      <c r="AJ1848" s="28">
        <v>3</v>
      </c>
      <c r="AK1848" s="28"/>
      <c r="AL1848" s="28"/>
      <c r="AM1848" s="28"/>
      <c r="AN1848" s="28"/>
      <c r="AO1848" s="28"/>
      <c r="AP1848" s="28">
        <f>1+1</f>
        <v>2</v>
      </c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>
        <v>1</v>
      </c>
      <c r="BC1848" s="229">
        <f t="shared" si="767"/>
        <v>0</v>
      </c>
      <c r="BD1848" s="48">
        <f t="shared" si="762"/>
        <v>6</v>
      </c>
      <c r="BE1848" s="19">
        <v>1</v>
      </c>
      <c r="BF1848" s="229">
        <f t="shared" si="768"/>
        <v>0</v>
      </c>
      <c r="BG1848" s="210">
        <f t="shared" si="763"/>
        <v>6</v>
      </c>
      <c r="BH1848" s="210">
        <f t="shared" si="764"/>
        <v>2</v>
      </c>
      <c r="BI1848" s="213">
        <f t="shared" si="765"/>
        <v>300</v>
      </c>
      <c r="BJ1848" s="141"/>
      <c r="BK1848" s="201"/>
      <c r="BL1848" s="4"/>
      <c r="BM1848" s="4"/>
    </row>
    <row r="1849" spans="1:65" s="38" customFormat="1" ht="18" customHeight="1">
      <c r="A1849" s="114">
        <v>23</v>
      </c>
      <c r="B1849" s="24" t="s">
        <v>575</v>
      </c>
      <c r="C1849" s="25" t="s">
        <v>711</v>
      </c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229">
        <f t="shared" si="766"/>
        <v>0</v>
      </c>
      <c r="AC1849" s="228">
        <f t="shared" si="761"/>
        <v>0</v>
      </c>
      <c r="AD1849" s="19">
        <v>0</v>
      </c>
      <c r="AE1849" s="28"/>
      <c r="AF1849" s="28"/>
      <c r="AG1849" s="28"/>
      <c r="AH1849" s="28"/>
      <c r="AI1849" s="28"/>
      <c r="AJ1849" s="28">
        <v>1</v>
      </c>
      <c r="AK1849" s="28"/>
      <c r="AL1849" s="28"/>
      <c r="AM1849" s="28"/>
      <c r="AN1849" s="28"/>
      <c r="AO1849" s="28"/>
      <c r="AP1849" s="28">
        <v>3</v>
      </c>
      <c r="AQ1849" s="28"/>
      <c r="AR1849" s="28"/>
      <c r="AS1849" s="28"/>
      <c r="AT1849" s="28"/>
      <c r="AU1849" s="28"/>
      <c r="AV1849" s="28">
        <v>1</v>
      </c>
      <c r="AW1849" s="28"/>
      <c r="AX1849" s="28"/>
      <c r="AY1849" s="28"/>
      <c r="AZ1849" s="28"/>
      <c r="BA1849" s="28"/>
      <c r="BB1849" s="28">
        <v>1</v>
      </c>
      <c r="BC1849" s="229">
        <f t="shared" si="767"/>
        <v>0</v>
      </c>
      <c r="BD1849" s="48">
        <f t="shared" si="762"/>
        <v>6</v>
      </c>
      <c r="BE1849" s="19">
        <v>1</v>
      </c>
      <c r="BF1849" s="229">
        <f t="shared" si="768"/>
        <v>0</v>
      </c>
      <c r="BG1849" s="210">
        <f t="shared" si="763"/>
        <v>6</v>
      </c>
      <c r="BH1849" s="210">
        <f t="shared" si="764"/>
        <v>1</v>
      </c>
      <c r="BI1849" s="213">
        <f t="shared" si="765"/>
        <v>600</v>
      </c>
      <c r="BJ1849" s="141"/>
      <c r="BK1849" s="201"/>
      <c r="BL1849" s="4"/>
      <c r="BM1849" s="4"/>
    </row>
    <row r="1850" spans="1:65" s="38" customFormat="1" ht="18" customHeight="1">
      <c r="A1850" s="114">
        <v>24</v>
      </c>
      <c r="B1850" s="24" t="s">
        <v>578</v>
      </c>
      <c r="C1850" s="25" t="s">
        <v>1587</v>
      </c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229">
        <f t="shared" si="766"/>
        <v>0</v>
      </c>
      <c r="AC1850" s="228">
        <f t="shared" si="761"/>
        <v>0</v>
      </c>
      <c r="AD1850" s="19">
        <v>0</v>
      </c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29">
        <f t="shared" si="767"/>
        <v>0</v>
      </c>
      <c r="BD1850" s="48">
        <f t="shared" si="762"/>
        <v>0</v>
      </c>
      <c r="BE1850" s="19">
        <v>1</v>
      </c>
      <c r="BF1850" s="229">
        <f t="shared" si="768"/>
        <v>0</v>
      </c>
      <c r="BG1850" s="210">
        <f t="shared" si="763"/>
        <v>0</v>
      </c>
      <c r="BH1850" s="210">
        <f t="shared" si="764"/>
        <v>1</v>
      </c>
      <c r="BI1850" s="213">
        <f t="shared" si="765"/>
        <v>0</v>
      </c>
      <c r="BJ1850" s="141"/>
      <c r="BK1850" s="201"/>
      <c r="BL1850" s="4"/>
      <c r="BM1850" s="4"/>
    </row>
    <row r="1851" spans="1:65" s="38" customFormat="1" ht="18" customHeight="1">
      <c r="A1851" s="114">
        <v>25</v>
      </c>
      <c r="B1851" s="24" t="s">
        <v>579</v>
      </c>
      <c r="C1851" s="25" t="s">
        <v>580</v>
      </c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229">
        <f t="shared" si="766"/>
        <v>0</v>
      </c>
      <c r="AC1851" s="228">
        <f t="shared" si="761"/>
        <v>0</v>
      </c>
      <c r="AD1851" s="19">
        <v>0</v>
      </c>
      <c r="AE1851" s="28"/>
      <c r="AF1851" s="28"/>
      <c r="AG1851" s="28"/>
      <c r="AH1851" s="28"/>
      <c r="AI1851" s="28"/>
      <c r="AJ1851" s="28">
        <v>1</v>
      </c>
      <c r="AK1851" s="28"/>
      <c r="AL1851" s="28"/>
      <c r="AM1851" s="28"/>
      <c r="AN1851" s="28"/>
      <c r="AO1851" s="28"/>
      <c r="AP1851" s="28">
        <v>2</v>
      </c>
      <c r="AQ1851" s="28"/>
      <c r="AR1851" s="28"/>
      <c r="AS1851" s="28"/>
      <c r="AT1851" s="28"/>
      <c r="AU1851" s="28"/>
      <c r="AV1851" s="28">
        <v>1</v>
      </c>
      <c r="AW1851" s="28"/>
      <c r="AX1851" s="28"/>
      <c r="AY1851" s="28"/>
      <c r="AZ1851" s="28"/>
      <c r="BA1851" s="28"/>
      <c r="BB1851" s="28">
        <v>1</v>
      </c>
      <c r="BC1851" s="229">
        <f t="shared" si="767"/>
        <v>0</v>
      </c>
      <c r="BD1851" s="48">
        <f t="shared" si="762"/>
        <v>5</v>
      </c>
      <c r="BE1851" s="19">
        <v>1</v>
      </c>
      <c r="BF1851" s="229">
        <f t="shared" si="768"/>
        <v>0</v>
      </c>
      <c r="BG1851" s="210">
        <f t="shared" si="763"/>
        <v>5</v>
      </c>
      <c r="BH1851" s="210">
        <f t="shared" si="764"/>
        <v>1</v>
      </c>
      <c r="BI1851" s="213">
        <f t="shared" si="765"/>
        <v>500</v>
      </c>
      <c r="BJ1851" s="141"/>
      <c r="BK1851" s="201"/>
      <c r="BL1851" s="4"/>
      <c r="BM1851" s="4"/>
    </row>
    <row r="1852" spans="1:65" s="38" customFormat="1" ht="18" customHeight="1">
      <c r="A1852" s="114">
        <v>26</v>
      </c>
      <c r="B1852" s="24" t="s">
        <v>849</v>
      </c>
      <c r="C1852" s="25" t="s">
        <v>850</v>
      </c>
      <c r="D1852" s="121"/>
      <c r="E1852" s="121"/>
      <c r="F1852" s="121"/>
      <c r="G1852" s="121"/>
      <c r="H1852" s="121"/>
      <c r="I1852" s="121">
        <v>440</v>
      </c>
      <c r="J1852" s="121"/>
      <c r="K1852" s="121"/>
      <c r="L1852" s="121"/>
      <c r="M1852" s="121"/>
      <c r="N1852" s="121"/>
      <c r="O1852" s="121">
        <v>440</v>
      </c>
      <c r="P1852" s="121"/>
      <c r="Q1852" s="121"/>
      <c r="R1852" s="121"/>
      <c r="S1852" s="121"/>
      <c r="T1852" s="121"/>
      <c r="U1852" s="121">
        <v>339</v>
      </c>
      <c r="V1852" s="121"/>
      <c r="W1852" s="121"/>
      <c r="X1852" s="121"/>
      <c r="Y1852" s="121"/>
      <c r="Z1852" s="121"/>
      <c r="AA1852" s="121">
        <v>360</v>
      </c>
      <c r="AB1852" s="229">
        <f t="shared" si="766"/>
        <v>0</v>
      </c>
      <c r="AC1852" s="228">
        <f t="shared" si="761"/>
        <v>1579</v>
      </c>
      <c r="AD1852" s="19">
        <v>1892</v>
      </c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29">
        <f t="shared" si="767"/>
        <v>0</v>
      </c>
      <c r="BD1852" s="48">
        <f t="shared" si="762"/>
        <v>0</v>
      </c>
      <c r="BE1852" s="19">
        <v>0</v>
      </c>
      <c r="BF1852" s="229">
        <f t="shared" si="768"/>
        <v>0</v>
      </c>
      <c r="BG1852" s="210">
        <f t="shared" si="763"/>
        <v>1579</v>
      </c>
      <c r="BH1852" s="210">
        <f t="shared" si="764"/>
        <v>1892</v>
      </c>
      <c r="BI1852" s="213">
        <f t="shared" si="765"/>
        <v>83.456659619450306</v>
      </c>
      <c r="BJ1852" s="141"/>
      <c r="BK1852" s="201"/>
      <c r="BL1852" s="4"/>
      <c r="BM1852" s="4"/>
    </row>
    <row r="1853" spans="1:65" s="38" customFormat="1" ht="21.95" customHeight="1">
      <c r="A1853" s="114">
        <v>27</v>
      </c>
      <c r="B1853" s="24" t="s">
        <v>851</v>
      </c>
      <c r="C1853" s="27" t="s">
        <v>2605</v>
      </c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229">
        <f t="shared" si="766"/>
        <v>0</v>
      </c>
      <c r="AC1853" s="228">
        <f t="shared" si="761"/>
        <v>0</v>
      </c>
      <c r="AD1853" s="19">
        <v>0</v>
      </c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29">
        <f t="shared" si="767"/>
        <v>0</v>
      </c>
      <c r="BD1853" s="48">
        <f t="shared" si="762"/>
        <v>0</v>
      </c>
      <c r="BE1853" s="19">
        <v>1</v>
      </c>
      <c r="BF1853" s="229">
        <f t="shared" si="768"/>
        <v>0</v>
      </c>
      <c r="BG1853" s="210">
        <f t="shared" si="763"/>
        <v>0</v>
      </c>
      <c r="BH1853" s="210">
        <f t="shared" si="764"/>
        <v>1</v>
      </c>
      <c r="BI1853" s="213">
        <f t="shared" si="765"/>
        <v>0</v>
      </c>
      <c r="BJ1853" s="141"/>
      <c r="BK1853" s="201"/>
      <c r="BL1853" s="4"/>
      <c r="BM1853" s="4"/>
    </row>
    <row r="1854" spans="1:65" s="38" customFormat="1" ht="18" customHeight="1">
      <c r="A1854" s="114">
        <v>28</v>
      </c>
      <c r="B1854" s="24" t="s">
        <v>582</v>
      </c>
      <c r="C1854" s="25" t="s">
        <v>583</v>
      </c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229">
        <f t="shared" si="766"/>
        <v>0</v>
      </c>
      <c r="AC1854" s="228">
        <f t="shared" si="761"/>
        <v>0</v>
      </c>
      <c r="AD1854" s="19">
        <v>0</v>
      </c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29">
        <f t="shared" si="767"/>
        <v>0</v>
      </c>
      <c r="BD1854" s="48">
        <f t="shared" si="762"/>
        <v>0</v>
      </c>
      <c r="BE1854" s="19">
        <v>1</v>
      </c>
      <c r="BF1854" s="229">
        <f t="shared" si="768"/>
        <v>0</v>
      </c>
      <c r="BG1854" s="210">
        <f t="shared" si="763"/>
        <v>0</v>
      </c>
      <c r="BH1854" s="210">
        <f t="shared" si="764"/>
        <v>1</v>
      </c>
      <c r="BI1854" s="213">
        <f t="shared" si="765"/>
        <v>0</v>
      </c>
      <c r="BJ1854" s="141"/>
      <c r="BK1854" s="201"/>
      <c r="BL1854" s="4"/>
      <c r="BM1854" s="4"/>
    </row>
    <row r="1855" spans="1:65" s="38" customFormat="1" ht="18" customHeight="1">
      <c r="A1855" s="114">
        <v>29</v>
      </c>
      <c r="B1855" s="24" t="s">
        <v>584</v>
      </c>
      <c r="C1855" s="25" t="s">
        <v>2603</v>
      </c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229">
        <f t="shared" si="766"/>
        <v>0</v>
      </c>
      <c r="AC1855" s="228">
        <f t="shared" si="761"/>
        <v>0</v>
      </c>
      <c r="AD1855" s="19">
        <v>0</v>
      </c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29">
        <f t="shared" si="767"/>
        <v>0</v>
      </c>
      <c r="BD1855" s="48">
        <f t="shared" si="762"/>
        <v>0</v>
      </c>
      <c r="BE1855" s="19">
        <v>1</v>
      </c>
      <c r="BF1855" s="229">
        <f t="shared" si="768"/>
        <v>0</v>
      </c>
      <c r="BG1855" s="210">
        <f t="shared" si="763"/>
        <v>0</v>
      </c>
      <c r="BH1855" s="210">
        <f t="shared" si="764"/>
        <v>1</v>
      </c>
      <c r="BI1855" s="213">
        <f t="shared" si="765"/>
        <v>0</v>
      </c>
      <c r="BJ1855" s="141"/>
      <c r="BK1855" s="201"/>
      <c r="BL1855" s="4"/>
      <c r="BM1855" s="4"/>
    </row>
    <row r="1856" spans="1:65" s="38" customFormat="1" ht="18" customHeight="1">
      <c r="A1856" s="114">
        <v>30</v>
      </c>
      <c r="B1856" s="24" t="s">
        <v>585</v>
      </c>
      <c r="C1856" s="25" t="s">
        <v>586</v>
      </c>
      <c r="D1856" s="121"/>
      <c r="E1856" s="121"/>
      <c r="F1856" s="121"/>
      <c r="G1856" s="121"/>
      <c r="H1856" s="121"/>
      <c r="I1856" s="121">
        <f>10+11</f>
        <v>21</v>
      </c>
      <c r="J1856" s="121"/>
      <c r="K1856" s="121"/>
      <c r="L1856" s="121"/>
      <c r="M1856" s="121"/>
      <c r="N1856" s="121"/>
      <c r="O1856" s="121">
        <f>15+23</f>
        <v>38</v>
      </c>
      <c r="P1856" s="121"/>
      <c r="Q1856" s="121"/>
      <c r="R1856" s="121"/>
      <c r="S1856" s="121"/>
      <c r="T1856" s="121"/>
      <c r="U1856" s="121">
        <f>10+8</f>
        <v>18</v>
      </c>
      <c r="V1856" s="121"/>
      <c r="W1856" s="121"/>
      <c r="X1856" s="121"/>
      <c r="Y1856" s="121"/>
      <c r="Z1856" s="121"/>
      <c r="AA1856" s="121">
        <f>27+3</f>
        <v>30</v>
      </c>
      <c r="AB1856" s="229">
        <f t="shared" si="766"/>
        <v>0</v>
      </c>
      <c r="AC1856" s="228">
        <f t="shared" si="761"/>
        <v>107</v>
      </c>
      <c r="AD1856" s="19">
        <v>136</v>
      </c>
      <c r="AE1856" s="28"/>
      <c r="AF1856" s="28"/>
      <c r="AG1856" s="28"/>
      <c r="AH1856" s="28"/>
      <c r="AI1856" s="28"/>
      <c r="AJ1856" s="28">
        <f>72+12</f>
        <v>84</v>
      </c>
      <c r="AK1856" s="28"/>
      <c r="AL1856" s="28"/>
      <c r="AM1856" s="28"/>
      <c r="AN1856" s="28"/>
      <c r="AO1856" s="28"/>
      <c r="AP1856" s="28">
        <f>108+16+4</f>
        <v>128</v>
      </c>
      <c r="AQ1856" s="28"/>
      <c r="AR1856" s="28"/>
      <c r="AS1856" s="28"/>
      <c r="AT1856" s="28"/>
      <c r="AU1856" s="28"/>
      <c r="AV1856" s="28">
        <f>62+7</f>
        <v>69</v>
      </c>
      <c r="AW1856" s="28"/>
      <c r="AX1856" s="28"/>
      <c r="AY1856" s="28"/>
      <c r="AZ1856" s="28"/>
      <c r="BA1856" s="28"/>
      <c r="BB1856" s="28">
        <f>59+1+7</f>
        <v>67</v>
      </c>
      <c r="BC1856" s="229">
        <f t="shared" si="767"/>
        <v>0</v>
      </c>
      <c r="BD1856" s="48">
        <f t="shared" si="762"/>
        <v>348</v>
      </c>
      <c r="BE1856" s="19">
        <v>344</v>
      </c>
      <c r="BF1856" s="229">
        <f t="shared" si="768"/>
        <v>0</v>
      </c>
      <c r="BG1856" s="210">
        <f t="shared" si="763"/>
        <v>455</v>
      </c>
      <c r="BH1856" s="210">
        <f t="shared" si="764"/>
        <v>480</v>
      </c>
      <c r="BI1856" s="213">
        <f t="shared" si="765"/>
        <v>94.791666666666657</v>
      </c>
      <c r="BJ1856" s="141"/>
      <c r="BK1856" s="201"/>
      <c r="BL1856" s="4"/>
      <c r="BM1856" s="4"/>
    </row>
    <row r="1857" spans="1:65" s="38" customFormat="1" ht="18" customHeight="1">
      <c r="A1857" s="114">
        <v>31</v>
      </c>
      <c r="B1857" s="24" t="s">
        <v>593</v>
      </c>
      <c r="C1857" s="25" t="s">
        <v>755</v>
      </c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229">
        <f t="shared" si="766"/>
        <v>0</v>
      </c>
      <c r="AC1857" s="228">
        <f t="shared" si="761"/>
        <v>0</v>
      </c>
      <c r="AD1857" s="19">
        <v>3</v>
      </c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>
        <v>1</v>
      </c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>
        <v>2</v>
      </c>
      <c r="BC1857" s="229">
        <f t="shared" si="767"/>
        <v>0</v>
      </c>
      <c r="BD1857" s="48">
        <f t="shared" si="762"/>
        <v>3</v>
      </c>
      <c r="BE1857" s="19">
        <v>4</v>
      </c>
      <c r="BF1857" s="229">
        <f t="shared" si="768"/>
        <v>0</v>
      </c>
      <c r="BG1857" s="210">
        <f t="shared" si="763"/>
        <v>3</v>
      </c>
      <c r="BH1857" s="210">
        <f t="shared" si="764"/>
        <v>7</v>
      </c>
      <c r="BI1857" s="213">
        <f t="shared" si="765"/>
        <v>42.857142857142854</v>
      </c>
      <c r="BJ1857" s="141"/>
      <c r="BK1857" s="201"/>
      <c r="BL1857" s="4"/>
      <c r="BM1857" s="4"/>
    </row>
    <row r="1858" spans="1:65" s="38" customFormat="1" ht="18" customHeight="1">
      <c r="A1858" s="114">
        <v>32</v>
      </c>
      <c r="B1858" s="24" t="s">
        <v>1410</v>
      </c>
      <c r="C1858" s="25" t="s">
        <v>2537</v>
      </c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229">
        <f t="shared" si="766"/>
        <v>0</v>
      </c>
      <c r="AC1858" s="228">
        <f t="shared" si="761"/>
        <v>0</v>
      </c>
      <c r="AD1858" s="19">
        <v>0</v>
      </c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29">
        <f t="shared" si="767"/>
        <v>0</v>
      </c>
      <c r="BD1858" s="48">
        <f t="shared" si="762"/>
        <v>0</v>
      </c>
      <c r="BE1858" s="19">
        <v>4</v>
      </c>
      <c r="BF1858" s="229">
        <f t="shared" si="768"/>
        <v>0</v>
      </c>
      <c r="BG1858" s="210">
        <f t="shared" si="763"/>
        <v>0</v>
      </c>
      <c r="BH1858" s="210">
        <f t="shared" si="764"/>
        <v>4</v>
      </c>
      <c r="BI1858" s="213">
        <f t="shared" si="765"/>
        <v>0</v>
      </c>
      <c r="BJ1858" s="141"/>
      <c r="BK1858" s="201"/>
      <c r="BL1858" s="4"/>
      <c r="BM1858" s="4"/>
    </row>
    <row r="1859" spans="1:65" s="38" customFormat="1" ht="18" customHeight="1">
      <c r="A1859" s="114">
        <v>33</v>
      </c>
      <c r="B1859" s="24" t="s">
        <v>826</v>
      </c>
      <c r="C1859" s="25" t="s">
        <v>827</v>
      </c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229">
        <f t="shared" si="766"/>
        <v>0</v>
      </c>
      <c r="AC1859" s="228">
        <f t="shared" ref="AC1859:AC1890" si="769">E1859+G1859+I1859+K1859+M1859+O1859+Q1859+S1859+U1859+W1859+Y1859+AA1859</f>
        <v>0</v>
      </c>
      <c r="AD1859" s="19">
        <v>0</v>
      </c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>
        <v>1</v>
      </c>
      <c r="AW1859" s="28"/>
      <c r="AX1859" s="28"/>
      <c r="AY1859" s="28"/>
      <c r="AZ1859" s="28"/>
      <c r="BA1859" s="28"/>
      <c r="BB1859" s="28"/>
      <c r="BC1859" s="229">
        <f t="shared" si="767"/>
        <v>0</v>
      </c>
      <c r="BD1859" s="48">
        <f t="shared" ref="BD1859:BD1890" si="770">AF1859+AH1859+AJ1859+AL1859+AN1859+AP1859+AR1859+AT1859+AV1859+AX1859+AZ1859+BB1859</f>
        <v>1</v>
      </c>
      <c r="BE1859" s="19">
        <v>1</v>
      </c>
      <c r="BF1859" s="229">
        <f t="shared" si="768"/>
        <v>0</v>
      </c>
      <c r="BG1859" s="210">
        <f t="shared" ref="BG1859:BG1890" si="771">AC1859+BD1859</f>
        <v>1</v>
      </c>
      <c r="BH1859" s="210">
        <f t="shared" ref="BH1859:BH1890" si="772">AD1859+BE1859</f>
        <v>1</v>
      </c>
      <c r="BI1859" s="213">
        <f t="shared" ref="BI1859:BI1890" si="773">BG1859/BH1859*100</f>
        <v>100</v>
      </c>
      <c r="BJ1859" s="141"/>
      <c r="BK1859" s="201"/>
      <c r="BL1859" s="4"/>
      <c r="BM1859" s="4"/>
    </row>
    <row r="1860" spans="1:65" s="38" customFormat="1" ht="18" customHeight="1">
      <c r="A1860" s="114">
        <v>34</v>
      </c>
      <c r="B1860" s="24" t="s">
        <v>855</v>
      </c>
      <c r="C1860" s="25" t="s">
        <v>856</v>
      </c>
      <c r="D1860" s="121"/>
      <c r="E1860" s="121"/>
      <c r="F1860" s="121"/>
      <c r="G1860" s="121"/>
      <c r="H1860" s="121"/>
      <c r="I1860" s="121">
        <f>469+166</f>
        <v>635</v>
      </c>
      <c r="J1860" s="121"/>
      <c r="K1860" s="121"/>
      <c r="L1860" s="121"/>
      <c r="M1860" s="121"/>
      <c r="N1860" s="121"/>
      <c r="O1860" s="121">
        <f>477+1+169</f>
        <v>647</v>
      </c>
      <c r="P1860" s="121"/>
      <c r="Q1860" s="121"/>
      <c r="R1860" s="121"/>
      <c r="S1860" s="121"/>
      <c r="T1860" s="121"/>
      <c r="U1860" s="121">
        <f>609+2+133</f>
        <v>744</v>
      </c>
      <c r="V1860" s="121"/>
      <c r="W1860" s="121"/>
      <c r="X1860" s="121"/>
      <c r="Y1860" s="121"/>
      <c r="Z1860" s="121"/>
      <c r="AA1860" s="121">
        <f>535+145+3</f>
        <v>683</v>
      </c>
      <c r="AB1860" s="229">
        <f t="shared" ref="AB1860:AB1892" si="774">D1860+F1860+H1860+J1860+L1860+N1860+P1860+R1860+T1860+V1860+X1860+Z1860</f>
        <v>0</v>
      </c>
      <c r="AC1860" s="228">
        <f t="shared" si="769"/>
        <v>2709</v>
      </c>
      <c r="AD1860" s="19">
        <v>2298</v>
      </c>
      <c r="AE1860" s="28"/>
      <c r="AF1860" s="28"/>
      <c r="AG1860" s="28"/>
      <c r="AH1860" s="28"/>
      <c r="AI1860" s="28"/>
      <c r="AJ1860" s="28">
        <f>50+4+36</f>
        <v>90</v>
      </c>
      <c r="AK1860" s="28"/>
      <c r="AL1860" s="28"/>
      <c r="AM1860" s="28"/>
      <c r="AN1860" s="28"/>
      <c r="AO1860" s="28"/>
      <c r="AP1860" s="28">
        <f>48+22+36</f>
        <v>106</v>
      </c>
      <c r="AQ1860" s="28"/>
      <c r="AR1860" s="28"/>
      <c r="AS1860" s="28"/>
      <c r="AT1860" s="28"/>
      <c r="AU1860" s="28"/>
      <c r="AV1860" s="28">
        <f>40+1+8+53</f>
        <v>102</v>
      </c>
      <c r="AW1860" s="28"/>
      <c r="AX1860" s="28"/>
      <c r="AY1860" s="28"/>
      <c r="AZ1860" s="28"/>
      <c r="BA1860" s="28"/>
      <c r="BB1860" s="28">
        <f>45+1+7+33</f>
        <v>86</v>
      </c>
      <c r="BC1860" s="229">
        <f t="shared" ref="BC1860:BC1892" si="775">AE1860+AG1860+AI1860+AK1860+AM1860+AO1860+AQ1860+AS1860+AU1860+AW1860+AY1860+BA1860</f>
        <v>0</v>
      </c>
      <c r="BD1860" s="48">
        <f t="shared" si="770"/>
        <v>384</v>
      </c>
      <c r="BE1860" s="19">
        <v>398</v>
      </c>
      <c r="BF1860" s="229">
        <f t="shared" ref="BF1860:BF1892" si="776">AB1860+BC1860</f>
        <v>0</v>
      </c>
      <c r="BG1860" s="210">
        <f t="shared" si="771"/>
        <v>3093</v>
      </c>
      <c r="BH1860" s="210">
        <f t="shared" si="772"/>
        <v>2696</v>
      </c>
      <c r="BI1860" s="213">
        <f t="shared" si="773"/>
        <v>114.72551928783383</v>
      </c>
      <c r="BJ1860" s="141"/>
      <c r="BK1860" s="201"/>
      <c r="BL1860" s="4"/>
      <c r="BM1860" s="4"/>
    </row>
    <row r="1861" spans="1:65" s="38" customFormat="1" ht="18" customHeight="1">
      <c r="A1861" s="114">
        <v>35</v>
      </c>
      <c r="B1861" s="24" t="s">
        <v>857</v>
      </c>
      <c r="C1861" s="25" t="s">
        <v>858</v>
      </c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>
        <v>1</v>
      </c>
      <c r="V1861" s="121"/>
      <c r="W1861" s="121"/>
      <c r="X1861" s="121"/>
      <c r="Y1861" s="121"/>
      <c r="Z1861" s="121"/>
      <c r="AA1861" s="121">
        <f>1+2</f>
        <v>3</v>
      </c>
      <c r="AB1861" s="229">
        <f t="shared" si="774"/>
        <v>0</v>
      </c>
      <c r="AC1861" s="228">
        <f t="shared" si="769"/>
        <v>4</v>
      </c>
      <c r="AD1861" s="19">
        <v>17</v>
      </c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>
        <v>5</v>
      </c>
      <c r="AQ1861" s="28"/>
      <c r="AR1861" s="28"/>
      <c r="AS1861" s="28"/>
      <c r="AT1861" s="28"/>
      <c r="AU1861" s="28"/>
      <c r="AV1861" s="28">
        <v>4</v>
      </c>
      <c r="AW1861" s="28"/>
      <c r="AX1861" s="28"/>
      <c r="AY1861" s="28"/>
      <c r="AZ1861" s="28"/>
      <c r="BA1861" s="28"/>
      <c r="BB1861" s="28">
        <v>1</v>
      </c>
      <c r="BC1861" s="229">
        <f t="shared" si="775"/>
        <v>0</v>
      </c>
      <c r="BD1861" s="48">
        <f t="shared" si="770"/>
        <v>10</v>
      </c>
      <c r="BE1861" s="19">
        <v>8</v>
      </c>
      <c r="BF1861" s="229">
        <f t="shared" si="776"/>
        <v>0</v>
      </c>
      <c r="BG1861" s="210">
        <f t="shared" si="771"/>
        <v>14</v>
      </c>
      <c r="BH1861" s="210">
        <f t="shared" si="772"/>
        <v>25</v>
      </c>
      <c r="BI1861" s="213">
        <f t="shared" si="773"/>
        <v>56.000000000000007</v>
      </c>
      <c r="BJ1861" s="141"/>
      <c r="BK1861" s="201"/>
      <c r="BL1861" s="4"/>
      <c r="BM1861" s="4"/>
    </row>
    <row r="1862" spans="1:65" s="38" customFormat="1" ht="18" customHeight="1">
      <c r="A1862" s="114">
        <v>36</v>
      </c>
      <c r="B1862" s="24" t="s">
        <v>2360</v>
      </c>
      <c r="C1862" s="25" t="s">
        <v>2361</v>
      </c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229">
        <f t="shared" si="774"/>
        <v>0</v>
      </c>
      <c r="AC1862" s="228">
        <f t="shared" si="769"/>
        <v>0</v>
      </c>
      <c r="AD1862" s="19">
        <v>0</v>
      </c>
      <c r="AE1862" s="28"/>
      <c r="AF1862" s="28"/>
      <c r="AG1862" s="28"/>
      <c r="AH1862" s="28"/>
      <c r="AI1862" s="28"/>
      <c r="AJ1862" s="28">
        <v>1</v>
      </c>
      <c r="AK1862" s="28"/>
      <c r="AL1862" s="28"/>
      <c r="AM1862" s="28"/>
      <c r="AN1862" s="28"/>
      <c r="AO1862" s="28"/>
      <c r="AP1862" s="28">
        <v>1</v>
      </c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29">
        <f t="shared" si="775"/>
        <v>0</v>
      </c>
      <c r="BD1862" s="48">
        <f t="shared" si="770"/>
        <v>2</v>
      </c>
      <c r="BE1862" s="19">
        <v>3</v>
      </c>
      <c r="BF1862" s="229">
        <f t="shared" si="776"/>
        <v>0</v>
      </c>
      <c r="BG1862" s="210">
        <f t="shared" si="771"/>
        <v>2</v>
      </c>
      <c r="BH1862" s="210">
        <f t="shared" si="772"/>
        <v>3</v>
      </c>
      <c r="BI1862" s="213">
        <f t="shared" si="773"/>
        <v>66.666666666666657</v>
      </c>
      <c r="BJ1862" s="141"/>
      <c r="BK1862" s="201"/>
      <c r="BL1862" s="4"/>
      <c r="BM1862" s="4"/>
    </row>
    <row r="1863" spans="1:65" s="38" customFormat="1" ht="18" customHeight="1">
      <c r="A1863" s="114">
        <v>37</v>
      </c>
      <c r="B1863" s="24" t="s">
        <v>687</v>
      </c>
      <c r="C1863" s="25" t="s">
        <v>2527</v>
      </c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229">
        <f t="shared" si="774"/>
        <v>0</v>
      </c>
      <c r="AC1863" s="228">
        <f t="shared" si="769"/>
        <v>0</v>
      </c>
      <c r="AD1863" s="21">
        <v>2</v>
      </c>
      <c r="AE1863" s="28"/>
      <c r="AF1863" s="28"/>
      <c r="AG1863" s="28"/>
      <c r="AH1863" s="28"/>
      <c r="AI1863" s="28"/>
      <c r="AJ1863" s="28">
        <v>2</v>
      </c>
      <c r="AK1863" s="28"/>
      <c r="AL1863" s="28"/>
      <c r="AM1863" s="28"/>
      <c r="AN1863" s="28"/>
      <c r="AO1863" s="28"/>
      <c r="AP1863" s="28">
        <v>1</v>
      </c>
      <c r="AQ1863" s="28"/>
      <c r="AR1863" s="28"/>
      <c r="AS1863" s="28"/>
      <c r="AT1863" s="28"/>
      <c r="AU1863" s="28"/>
      <c r="AV1863" s="28">
        <f>2+3</f>
        <v>5</v>
      </c>
      <c r="AW1863" s="28"/>
      <c r="AX1863" s="28"/>
      <c r="AY1863" s="28"/>
      <c r="AZ1863" s="28"/>
      <c r="BA1863" s="28"/>
      <c r="BB1863" s="28">
        <v>2</v>
      </c>
      <c r="BC1863" s="229">
        <f t="shared" si="775"/>
        <v>0</v>
      </c>
      <c r="BD1863" s="48">
        <f t="shared" si="770"/>
        <v>10</v>
      </c>
      <c r="BE1863" s="19">
        <v>5</v>
      </c>
      <c r="BF1863" s="229">
        <f t="shared" si="776"/>
        <v>0</v>
      </c>
      <c r="BG1863" s="210">
        <f t="shared" si="771"/>
        <v>10</v>
      </c>
      <c r="BH1863" s="210">
        <f t="shared" si="772"/>
        <v>7</v>
      </c>
      <c r="BI1863" s="213">
        <f t="shared" si="773"/>
        <v>142.85714285714286</v>
      </c>
      <c r="BJ1863" s="165"/>
      <c r="BK1863" s="201"/>
      <c r="BL1863" s="4"/>
      <c r="BM1863" s="4"/>
    </row>
    <row r="1864" spans="1:65" s="38" customFormat="1" ht="18" customHeight="1">
      <c r="A1864" s="114">
        <v>38</v>
      </c>
      <c r="B1864" s="24" t="s">
        <v>859</v>
      </c>
      <c r="C1864" s="25" t="s">
        <v>860</v>
      </c>
      <c r="D1864" s="121"/>
      <c r="E1864" s="121"/>
      <c r="F1864" s="121"/>
      <c r="G1864" s="121"/>
      <c r="H1864" s="121"/>
      <c r="I1864" s="121">
        <v>1</v>
      </c>
      <c r="J1864" s="121"/>
      <c r="K1864" s="121"/>
      <c r="L1864" s="121"/>
      <c r="M1864" s="121"/>
      <c r="N1864" s="121"/>
      <c r="O1864" s="121">
        <v>2</v>
      </c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>
        <v>1</v>
      </c>
      <c r="AB1864" s="229">
        <f t="shared" si="774"/>
        <v>0</v>
      </c>
      <c r="AC1864" s="228">
        <f t="shared" si="769"/>
        <v>4</v>
      </c>
      <c r="AD1864" s="21">
        <v>1</v>
      </c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29">
        <f t="shared" si="775"/>
        <v>0</v>
      </c>
      <c r="BD1864" s="48">
        <f t="shared" si="770"/>
        <v>0</v>
      </c>
      <c r="BE1864" s="19">
        <v>3</v>
      </c>
      <c r="BF1864" s="229">
        <f t="shared" si="776"/>
        <v>0</v>
      </c>
      <c r="BG1864" s="210">
        <f t="shared" si="771"/>
        <v>4</v>
      </c>
      <c r="BH1864" s="210">
        <f t="shared" si="772"/>
        <v>4</v>
      </c>
      <c r="BI1864" s="213">
        <f t="shared" si="773"/>
        <v>100</v>
      </c>
      <c r="BJ1864" s="165"/>
      <c r="BK1864" s="201"/>
      <c r="BL1864" s="4"/>
      <c r="BM1864" s="4"/>
    </row>
    <row r="1865" spans="1:65" s="38" customFormat="1" ht="18" customHeight="1">
      <c r="A1865" s="114">
        <v>39</v>
      </c>
      <c r="B1865" s="24" t="s">
        <v>2986</v>
      </c>
      <c r="C1865" s="25" t="s">
        <v>2987</v>
      </c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229">
        <f t="shared" si="774"/>
        <v>0</v>
      </c>
      <c r="AC1865" s="228">
        <f t="shared" si="769"/>
        <v>0</v>
      </c>
      <c r="AD1865" s="21">
        <v>0</v>
      </c>
      <c r="AE1865" s="28"/>
      <c r="AF1865" s="28"/>
      <c r="AG1865" s="28"/>
      <c r="AH1865" s="28"/>
      <c r="AI1865" s="28"/>
      <c r="AJ1865" s="28">
        <v>1</v>
      </c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29">
        <f t="shared" si="775"/>
        <v>0</v>
      </c>
      <c r="BD1865" s="48">
        <f t="shared" si="770"/>
        <v>1</v>
      </c>
      <c r="BE1865" s="19">
        <v>0</v>
      </c>
      <c r="BF1865" s="229">
        <f t="shared" si="776"/>
        <v>0</v>
      </c>
      <c r="BG1865" s="210">
        <f t="shared" si="771"/>
        <v>1</v>
      </c>
      <c r="BH1865" s="210">
        <f t="shared" si="772"/>
        <v>0</v>
      </c>
      <c r="BI1865" s="213" t="e">
        <f t="shared" si="773"/>
        <v>#DIV/0!</v>
      </c>
      <c r="BJ1865" s="165"/>
      <c r="BK1865" s="201"/>
      <c r="BL1865" s="4"/>
      <c r="BM1865" s="4"/>
    </row>
    <row r="1866" spans="1:65" s="38" customFormat="1" ht="18" customHeight="1">
      <c r="A1866" s="114">
        <v>40</v>
      </c>
      <c r="B1866" s="24" t="s">
        <v>861</v>
      </c>
      <c r="C1866" s="25" t="s">
        <v>2526</v>
      </c>
      <c r="D1866" s="121"/>
      <c r="E1866" s="121"/>
      <c r="F1866" s="121"/>
      <c r="G1866" s="121"/>
      <c r="H1866" s="121"/>
      <c r="I1866" s="121">
        <v>6</v>
      </c>
      <c r="J1866" s="121"/>
      <c r="K1866" s="121"/>
      <c r="L1866" s="121"/>
      <c r="M1866" s="121"/>
      <c r="N1866" s="121"/>
      <c r="O1866" s="121">
        <v>1</v>
      </c>
      <c r="P1866" s="121"/>
      <c r="Q1866" s="121"/>
      <c r="R1866" s="121"/>
      <c r="S1866" s="121"/>
      <c r="T1866" s="121"/>
      <c r="U1866" s="121">
        <v>2</v>
      </c>
      <c r="V1866" s="121"/>
      <c r="W1866" s="121"/>
      <c r="X1866" s="121"/>
      <c r="Y1866" s="121"/>
      <c r="Z1866" s="121"/>
      <c r="AA1866" s="121">
        <v>1</v>
      </c>
      <c r="AB1866" s="229">
        <f t="shared" si="774"/>
        <v>0</v>
      </c>
      <c r="AC1866" s="228">
        <f t="shared" si="769"/>
        <v>10</v>
      </c>
      <c r="AD1866" s="21">
        <v>5</v>
      </c>
      <c r="AE1866" s="28"/>
      <c r="AF1866" s="28"/>
      <c r="AG1866" s="28"/>
      <c r="AH1866" s="28"/>
      <c r="AI1866" s="28"/>
      <c r="AJ1866" s="28">
        <v>1</v>
      </c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>
        <v>1</v>
      </c>
      <c r="BC1866" s="229">
        <f t="shared" si="775"/>
        <v>0</v>
      </c>
      <c r="BD1866" s="48">
        <f t="shared" si="770"/>
        <v>2</v>
      </c>
      <c r="BE1866" s="19">
        <v>0</v>
      </c>
      <c r="BF1866" s="229">
        <f t="shared" si="776"/>
        <v>0</v>
      </c>
      <c r="BG1866" s="210">
        <f t="shared" si="771"/>
        <v>12</v>
      </c>
      <c r="BH1866" s="210">
        <f t="shared" si="772"/>
        <v>5</v>
      </c>
      <c r="BI1866" s="213">
        <f t="shared" si="773"/>
        <v>240</v>
      </c>
      <c r="BJ1866" s="165"/>
      <c r="BK1866" s="201"/>
      <c r="BL1866" s="4"/>
      <c r="BM1866" s="4"/>
    </row>
    <row r="1867" spans="1:65" s="38" customFormat="1" ht="18" customHeight="1">
      <c r="A1867" s="114">
        <v>41</v>
      </c>
      <c r="B1867" s="24" t="s">
        <v>39</v>
      </c>
      <c r="C1867" s="25" t="s">
        <v>40</v>
      </c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229">
        <f t="shared" si="774"/>
        <v>0</v>
      </c>
      <c r="AC1867" s="228">
        <f t="shared" si="769"/>
        <v>0</v>
      </c>
      <c r="AD1867" s="21">
        <v>3</v>
      </c>
      <c r="AE1867" s="28"/>
      <c r="AF1867" s="28"/>
      <c r="AG1867" s="28"/>
      <c r="AH1867" s="28"/>
      <c r="AI1867" s="28"/>
      <c r="AJ1867" s="28">
        <v>1</v>
      </c>
      <c r="AK1867" s="28"/>
      <c r="AL1867" s="28"/>
      <c r="AM1867" s="28"/>
      <c r="AN1867" s="28"/>
      <c r="AO1867" s="28"/>
      <c r="AP1867" s="28">
        <v>2</v>
      </c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>
        <v>1</v>
      </c>
      <c r="BC1867" s="229">
        <f t="shared" si="775"/>
        <v>0</v>
      </c>
      <c r="BD1867" s="48">
        <f t="shared" si="770"/>
        <v>4</v>
      </c>
      <c r="BE1867" s="19">
        <v>1</v>
      </c>
      <c r="BF1867" s="229">
        <f t="shared" si="776"/>
        <v>0</v>
      </c>
      <c r="BG1867" s="210">
        <f t="shared" si="771"/>
        <v>4</v>
      </c>
      <c r="BH1867" s="210">
        <f t="shared" si="772"/>
        <v>4</v>
      </c>
      <c r="BI1867" s="213">
        <f t="shared" si="773"/>
        <v>100</v>
      </c>
      <c r="BJ1867" s="165"/>
      <c r="BK1867" s="201"/>
      <c r="BL1867" s="4"/>
      <c r="BM1867" s="4"/>
    </row>
    <row r="1868" spans="1:65" s="38" customFormat="1" ht="18" customHeight="1">
      <c r="A1868" s="114">
        <v>42</v>
      </c>
      <c r="B1868" s="24" t="s">
        <v>45</v>
      </c>
      <c r="C1868" s="25" t="s">
        <v>46</v>
      </c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229">
        <f t="shared" si="774"/>
        <v>0</v>
      </c>
      <c r="AC1868" s="228">
        <f t="shared" si="769"/>
        <v>0</v>
      </c>
      <c r="AD1868" s="21">
        <v>1</v>
      </c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>
        <v>1</v>
      </c>
      <c r="BC1868" s="229">
        <f t="shared" si="775"/>
        <v>0</v>
      </c>
      <c r="BD1868" s="48">
        <f t="shared" si="770"/>
        <v>1</v>
      </c>
      <c r="BE1868" s="19">
        <v>3</v>
      </c>
      <c r="BF1868" s="229">
        <f t="shared" si="776"/>
        <v>0</v>
      </c>
      <c r="BG1868" s="210">
        <f t="shared" si="771"/>
        <v>1</v>
      </c>
      <c r="BH1868" s="210">
        <f t="shared" si="772"/>
        <v>4</v>
      </c>
      <c r="BI1868" s="213">
        <f t="shared" si="773"/>
        <v>25</v>
      </c>
      <c r="BJ1868" s="165"/>
      <c r="BK1868" s="201"/>
      <c r="BL1868" s="4"/>
      <c r="BM1868" s="4"/>
    </row>
    <row r="1869" spans="1:65" s="38" customFormat="1" ht="18" customHeight="1">
      <c r="A1869" s="114">
        <v>43</v>
      </c>
      <c r="B1869" s="24" t="s">
        <v>862</v>
      </c>
      <c r="C1869" s="25" t="s">
        <v>863</v>
      </c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229">
        <f t="shared" si="774"/>
        <v>0</v>
      </c>
      <c r="AC1869" s="228">
        <f t="shared" si="769"/>
        <v>0</v>
      </c>
      <c r="AD1869" s="21">
        <v>2</v>
      </c>
      <c r="AE1869" s="28"/>
      <c r="AF1869" s="28"/>
      <c r="AG1869" s="28"/>
      <c r="AH1869" s="28"/>
      <c r="AI1869" s="28"/>
      <c r="AJ1869" s="28">
        <v>1</v>
      </c>
      <c r="AK1869" s="28"/>
      <c r="AL1869" s="28"/>
      <c r="AM1869" s="28"/>
      <c r="AN1869" s="28"/>
      <c r="AO1869" s="28"/>
      <c r="AP1869" s="28">
        <v>1</v>
      </c>
      <c r="AQ1869" s="28"/>
      <c r="AR1869" s="28"/>
      <c r="AS1869" s="28"/>
      <c r="AT1869" s="28"/>
      <c r="AU1869" s="28"/>
      <c r="AV1869" s="28">
        <v>2</v>
      </c>
      <c r="AW1869" s="28"/>
      <c r="AX1869" s="28"/>
      <c r="AY1869" s="28"/>
      <c r="AZ1869" s="28"/>
      <c r="BA1869" s="28"/>
      <c r="BB1869" s="28">
        <v>4</v>
      </c>
      <c r="BC1869" s="229">
        <f t="shared" si="775"/>
        <v>0</v>
      </c>
      <c r="BD1869" s="48">
        <f t="shared" si="770"/>
        <v>8</v>
      </c>
      <c r="BE1869" s="19">
        <v>6</v>
      </c>
      <c r="BF1869" s="229">
        <f t="shared" si="776"/>
        <v>0</v>
      </c>
      <c r="BG1869" s="210">
        <f t="shared" si="771"/>
        <v>8</v>
      </c>
      <c r="BH1869" s="210">
        <f t="shared" si="772"/>
        <v>8</v>
      </c>
      <c r="BI1869" s="213">
        <f t="shared" si="773"/>
        <v>100</v>
      </c>
      <c r="BJ1869" s="165"/>
      <c r="BK1869" s="201"/>
      <c r="BL1869" s="4"/>
      <c r="BM1869" s="4"/>
    </row>
    <row r="1870" spans="1:65" s="38" customFormat="1" ht="18" customHeight="1">
      <c r="A1870" s="114">
        <v>44</v>
      </c>
      <c r="B1870" s="24" t="s">
        <v>1402</v>
      </c>
      <c r="C1870" s="25" t="s">
        <v>1403</v>
      </c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>
        <v>1</v>
      </c>
      <c r="P1870" s="121"/>
      <c r="Q1870" s="121"/>
      <c r="R1870" s="121"/>
      <c r="S1870" s="121"/>
      <c r="T1870" s="121"/>
      <c r="U1870" s="121">
        <v>1</v>
      </c>
      <c r="V1870" s="121"/>
      <c r="W1870" s="121"/>
      <c r="X1870" s="121"/>
      <c r="Y1870" s="121"/>
      <c r="Z1870" s="121"/>
      <c r="AA1870" s="121"/>
      <c r="AB1870" s="229">
        <f t="shared" si="774"/>
        <v>0</v>
      </c>
      <c r="AC1870" s="228">
        <f t="shared" si="769"/>
        <v>2</v>
      </c>
      <c r="AD1870" s="19">
        <v>0</v>
      </c>
      <c r="AE1870" s="28"/>
      <c r="AF1870" s="28"/>
      <c r="AG1870" s="28"/>
      <c r="AH1870" s="28"/>
      <c r="AI1870" s="28"/>
      <c r="AJ1870" s="28">
        <f>2+9</f>
        <v>11</v>
      </c>
      <c r="AK1870" s="28"/>
      <c r="AL1870" s="28"/>
      <c r="AM1870" s="28"/>
      <c r="AN1870" s="28"/>
      <c r="AO1870" s="28"/>
      <c r="AP1870" s="28">
        <f>1+9</f>
        <v>10</v>
      </c>
      <c r="AQ1870" s="28"/>
      <c r="AR1870" s="28"/>
      <c r="AS1870" s="28"/>
      <c r="AT1870" s="28"/>
      <c r="AU1870" s="28"/>
      <c r="AV1870" s="28">
        <f>1+6+1</f>
        <v>8</v>
      </c>
      <c r="AW1870" s="28"/>
      <c r="AX1870" s="28"/>
      <c r="AY1870" s="28"/>
      <c r="AZ1870" s="28"/>
      <c r="BA1870" s="28"/>
      <c r="BB1870" s="28">
        <f>2+4</f>
        <v>6</v>
      </c>
      <c r="BC1870" s="229">
        <f t="shared" si="775"/>
        <v>0</v>
      </c>
      <c r="BD1870" s="48">
        <f t="shared" si="770"/>
        <v>35</v>
      </c>
      <c r="BE1870" s="19">
        <v>28</v>
      </c>
      <c r="BF1870" s="229">
        <f t="shared" si="776"/>
        <v>0</v>
      </c>
      <c r="BG1870" s="210">
        <f t="shared" si="771"/>
        <v>37</v>
      </c>
      <c r="BH1870" s="210">
        <f t="shared" si="772"/>
        <v>28</v>
      </c>
      <c r="BI1870" s="213">
        <f t="shared" si="773"/>
        <v>132.14285714285714</v>
      </c>
      <c r="BJ1870" s="165"/>
      <c r="BK1870" s="201"/>
      <c r="BL1870" s="4"/>
      <c r="BM1870" s="4"/>
    </row>
    <row r="1871" spans="1:65" s="38" customFormat="1" ht="18" customHeight="1">
      <c r="A1871" s="114">
        <v>45</v>
      </c>
      <c r="B1871" s="24" t="s">
        <v>49</v>
      </c>
      <c r="C1871" s="25" t="s">
        <v>50</v>
      </c>
      <c r="D1871" s="121"/>
      <c r="E1871" s="121"/>
      <c r="F1871" s="121"/>
      <c r="G1871" s="121"/>
      <c r="H1871" s="121"/>
      <c r="I1871" s="121">
        <v>1</v>
      </c>
      <c r="J1871" s="121"/>
      <c r="K1871" s="121"/>
      <c r="L1871" s="121"/>
      <c r="M1871" s="121"/>
      <c r="N1871" s="121"/>
      <c r="O1871" s="121">
        <f>1+3</f>
        <v>4</v>
      </c>
      <c r="P1871" s="121"/>
      <c r="Q1871" s="121"/>
      <c r="R1871" s="121"/>
      <c r="S1871" s="121"/>
      <c r="T1871" s="121"/>
      <c r="U1871" s="121">
        <v>5</v>
      </c>
      <c r="V1871" s="121"/>
      <c r="W1871" s="121"/>
      <c r="X1871" s="121"/>
      <c r="Y1871" s="121"/>
      <c r="Z1871" s="121"/>
      <c r="AA1871" s="121">
        <f>1+3</f>
        <v>4</v>
      </c>
      <c r="AB1871" s="229">
        <f t="shared" si="774"/>
        <v>0</v>
      </c>
      <c r="AC1871" s="228">
        <f t="shared" si="769"/>
        <v>14</v>
      </c>
      <c r="AD1871" s="21">
        <v>22</v>
      </c>
      <c r="AE1871" s="28"/>
      <c r="AF1871" s="28"/>
      <c r="AG1871" s="28"/>
      <c r="AH1871" s="28"/>
      <c r="AI1871" s="28"/>
      <c r="AJ1871" s="28">
        <f>11+70</f>
        <v>81</v>
      </c>
      <c r="AK1871" s="28"/>
      <c r="AL1871" s="28"/>
      <c r="AM1871" s="28"/>
      <c r="AN1871" s="28"/>
      <c r="AO1871" s="28"/>
      <c r="AP1871" s="28">
        <f>17+58+3</f>
        <v>78</v>
      </c>
      <c r="AQ1871" s="28"/>
      <c r="AR1871" s="28"/>
      <c r="AS1871" s="28"/>
      <c r="AT1871" s="28"/>
      <c r="AU1871" s="28"/>
      <c r="AV1871" s="28">
        <f>12+51+2+2</f>
        <v>67</v>
      </c>
      <c r="AW1871" s="28"/>
      <c r="AX1871" s="28"/>
      <c r="AY1871" s="28"/>
      <c r="AZ1871" s="28"/>
      <c r="BA1871" s="28"/>
      <c r="BB1871" s="28">
        <f>20+69+1+2</f>
        <v>92</v>
      </c>
      <c r="BC1871" s="229">
        <f t="shared" si="775"/>
        <v>0</v>
      </c>
      <c r="BD1871" s="48">
        <f t="shared" si="770"/>
        <v>318</v>
      </c>
      <c r="BE1871" s="19">
        <v>167</v>
      </c>
      <c r="BF1871" s="229">
        <f t="shared" si="776"/>
        <v>0</v>
      </c>
      <c r="BG1871" s="210">
        <f t="shared" si="771"/>
        <v>332</v>
      </c>
      <c r="BH1871" s="210">
        <f t="shared" si="772"/>
        <v>189</v>
      </c>
      <c r="BI1871" s="213">
        <f t="shared" si="773"/>
        <v>175.66137566137564</v>
      </c>
      <c r="BJ1871" s="165"/>
      <c r="BK1871" s="201"/>
      <c r="BL1871" s="4"/>
      <c r="BM1871" s="4"/>
    </row>
    <row r="1872" spans="1:65" s="38" customFormat="1" ht="18" customHeight="1">
      <c r="A1872" s="114">
        <v>46</v>
      </c>
      <c r="B1872" s="24" t="s">
        <v>51</v>
      </c>
      <c r="C1872" s="25" t="s">
        <v>52</v>
      </c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>
        <v>1</v>
      </c>
      <c r="P1872" s="121"/>
      <c r="Q1872" s="121"/>
      <c r="R1872" s="121"/>
      <c r="S1872" s="121"/>
      <c r="T1872" s="121"/>
      <c r="U1872" s="121">
        <v>2</v>
      </c>
      <c r="V1872" s="121"/>
      <c r="W1872" s="121"/>
      <c r="X1872" s="121"/>
      <c r="Y1872" s="121"/>
      <c r="Z1872" s="121"/>
      <c r="AA1872" s="121">
        <v>1</v>
      </c>
      <c r="AB1872" s="229">
        <f t="shared" si="774"/>
        <v>0</v>
      </c>
      <c r="AC1872" s="228">
        <f t="shared" si="769"/>
        <v>4</v>
      </c>
      <c r="AD1872" s="21">
        <v>8</v>
      </c>
      <c r="AE1872" s="28"/>
      <c r="AF1872" s="28"/>
      <c r="AG1872" s="28"/>
      <c r="AH1872" s="28"/>
      <c r="AI1872" s="28"/>
      <c r="AJ1872" s="28">
        <f>1+23</f>
        <v>24</v>
      </c>
      <c r="AK1872" s="28"/>
      <c r="AL1872" s="28"/>
      <c r="AM1872" s="28"/>
      <c r="AN1872" s="28"/>
      <c r="AO1872" s="28"/>
      <c r="AP1872" s="28">
        <f>2+22</f>
        <v>24</v>
      </c>
      <c r="AQ1872" s="28"/>
      <c r="AR1872" s="28"/>
      <c r="AS1872" s="28"/>
      <c r="AT1872" s="28"/>
      <c r="AU1872" s="28"/>
      <c r="AV1872" s="28">
        <f>20+1</f>
        <v>21</v>
      </c>
      <c r="AW1872" s="28"/>
      <c r="AX1872" s="28"/>
      <c r="AY1872" s="28"/>
      <c r="AZ1872" s="28"/>
      <c r="BA1872" s="28"/>
      <c r="BB1872" s="28">
        <f>17+1</f>
        <v>18</v>
      </c>
      <c r="BC1872" s="229">
        <f t="shared" si="775"/>
        <v>0</v>
      </c>
      <c r="BD1872" s="48">
        <f t="shared" si="770"/>
        <v>87</v>
      </c>
      <c r="BE1872" s="19">
        <v>57</v>
      </c>
      <c r="BF1872" s="229">
        <f t="shared" si="776"/>
        <v>0</v>
      </c>
      <c r="BG1872" s="210">
        <f t="shared" si="771"/>
        <v>91</v>
      </c>
      <c r="BH1872" s="210">
        <f t="shared" si="772"/>
        <v>65</v>
      </c>
      <c r="BI1872" s="213">
        <f t="shared" si="773"/>
        <v>140</v>
      </c>
      <c r="BJ1872" s="165"/>
      <c r="BK1872" s="201"/>
      <c r="BL1872" s="4"/>
      <c r="BM1872" s="4"/>
    </row>
    <row r="1873" spans="1:65" s="38" customFormat="1" ht="18" customHeight="1">
      <c r="A1873" s="114">
        <v>47</v>
      </c>
      <c r="B1873" s="24" t="s">
        <v>1964</v>
      </c>
      <c r="C1873" s="25" t="s">
        <v>1965</v>
      </c>
      <c r="D1873" s="121"/>
      <c r="E1873" s="121"/>
      <c r="F1873" s="121"/>
      <c r="G1873" s="121"/>
      <c r="H1873" s="121"/>
      <c r="I1873" s="121">
        <v>114</v>
      </c>
      <c r="J1873" s="121"/>
      <c r="K1873" s="121"/>
      <c r="L1873" s="121"/>
      <c r="M1873" s="121"/>
      <c r="N1873" s="121"/>
      <c r="O1873" s="121">
        <v>89</v>
      </c>
      <c r="P1873" s="121"/>
      <c r="Q1873" s="121"/>
      <c r="R1873" s="121"/>
      <c r="S1873" s="121"/>
      <c r="T1873" s="121"/>
      <c r="U1873" s="121">
        <v>87</v>
      </c>
      <c r="V1873" s="121"/>
      <c r="W1873" s="121"/>
      <c r="X1873" s="121"/>
      <c r="Y1873" s="121"/>
      <c r="Z1873" s="121"/>
      <c r="AA1873" s="121">
        <v>103</v>
      </c>
      <c r="AB1873" s="229">
        <f t="shared" si="774"/>
        <v>0</v>
      </c>
      <c r="AC1873" s="228">
        <f t="shared" si="769"/>
        <v>393</v>
      </c>
      <c r="AD1873" s="19">
        <v>315</v>
      </c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29">
        <f t="shared" si="775"/>
        <v>0</v>
      </c>
      <c r="BD1873" s="48">
        <f t="shared" si="770"/>
        <v>0</v>
      </c>
      <c r="BE1873" s="19">
        <v>0</v>
      </c>
      <c r="BF1873" s="229">
        <f t="shared" si="776"/>
        <v>0</v>
      </c>
      <c r="BG1873" s="210">
        <f t="shared" si="771"/>
        <v>393</v>
      </c>
      <c r="BH1873" s="210">
        <f t="shared" si="772"/>
        <v>315</v>
      </c>
      <c r="BI1873" s="213">
        <f t="shared" si="773"/>
        <v>124.76190476190476</v>
      </c>
      <c r="BJ1873" s="165"/>
      <c r="BK1873" s="201"/>
      <c r="BL1873" s="4"/>
      <c r="BM1873" s="4"/>
    </row>
    <row r="1874" spans="1:65" s="111" customFormat="1" ht="18" customHeight="1">
      <c r="A1874" s="114">
        <v>48</v>
      </c>
      <c r="B1874" s="24" t="s">
        <v>864</v>
      </c>
      <c r="C1874" s="25" t="s">
        <v>1446</v>
      </c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229">
        <f t="shared" si="774"/>
        <v>0</v>
      </c>
      <c r="AC1874" s="228">
        <f t="shared" si="769"/>
        <v>0</v>
      </c>
      <c r="AD1874" s="21">
        <v>0</v>
      </c>
      <c r="AE1874" s="28"/>
      <c r="AF1874" s="28"/>
      <c r="AG1874" s="28"/>
      <c r="AH1874" s="28"/>
      <c r="AI1874" s="28"/>
      <c r="AJ1874" s="28">
        <v>1</v>
      </c>
      <c r="AK1874" s="28"/>
      <c r="AL1874" s="28"/>
      <c r="AM1874" s="28"/>
      <c r="AN1874" s="28"/>
      <c r="AO1874" s="28"/>
      <c r="AP1874" s="28">
        <v>1</v>
      </c>
      <c r="AQ1874" s="28"/>
      <c r="AR1874" s="28"/>
      <c r="AS1874" s="28"/>
      <c r="AT1874" s="28"/>
      <c r="AU1874" s="28"/>
      <c r="AV1874" s="28">
        <v>1</v>
      </c>
      <c r="AW1874" s="28"/>
      <c r="AX1874" s="28"/>
      <c r="AY1874" s="28"/>
      <c r="AZ1874" s="28"/>
      <c r="BA1874" s="28"/>
      <c r="BB1874" s="28">
        <f>1+1</f>
        <v>2</v>
      </c>
      <c r="BC1874" s="229">
        <f t="shared" si="775"/>
        <v>0</v>
      </c>
      <c r="BD1874" s="48">
        <f t="shared" si="770"/>
        <v>5</v>
      </c>
      <c r="BE1874" s="19">
        <v>3</v>
      </c>
      <c r="BF1874" s="229">
        <f t="shared" si="776"/>
        <v>0</v>
      </c>
      <c r="BG1874" s="210">
        <f t="shared" si="771"/>
        <v>5</v>
      </c>
      <c r="BH1874" s="210">
        <f t="shared" si="772"/>
        <v>3</v>
      </c>
      <c r="BI1874" s="213">
        <f t="shared" si="773"/>
        <v>166.66666666666669</v>
      </c>
      <c r="BJ1874" s="165"/>
      <c r="BK1874" s="201"/>
      <c r="BL1874" s="4"/>
      <c r="BM1874" s="4"/>
    </row>
    <row r="1875" spans="1:65" s="38" customFormat="1" ht="18" customHeight="1">
      <c r="A1875" s="114">
        <v>49</v>
      </c>
      <c r="B1875" s="24" t="s">
        <v>59</v>
      </c>
      <c r="C1875" s="25" t="s">
        <v>60</v>
      </c>
      <c r="D1875" s="121"/>
      <c r="E1875" s="121"/>
      <c r="F1875" s="121"/>
      <c r="G1875" s="121"/>
      <c r="H1875" s="121"/>
      <c r="I1875" s="121">
        <f>7+2</f>
        <v>9</v>
      </c>
      <c r="J1875" s="121"/>
      <c r="K1875" s="121"/>
      <c r="L1875" s="121"/>
      <c r="M1875" s="121"/>
      <c r="N1875" s="121"/>
      <c r="O1875" s="121">
        <f>1+9+3</f>
        <v>13</v>
      </c>
      <c r="P1875" s="121"/>
      <c r="Q1875" s="121"/>
      <c r="R1875" s="121"/>
      <c r="S1875" s="121"/>
      <c r="T1875" s="121"/>
      <c r="U1875" s="121">
        <f>15+6</f>
        <v>21</v>
      </c>
      <c r="V1875" s="121"/>
      <c r="W1875" s="121"/>
      <c r="X1875" s="121"/>
      <c r="Y1875" s="121"/>
      <c r="Z1875" s="121"/>
      <c r="AA1875" s="121">
        <f>1+10+3</f>
        <v>14</v>
      </c>
      <c r="AB1875" s="229">
        <f t="shared" si="774"/>
        <v>0</v>
      </c>
      <c r="AC1875" s="228">
        <f t="shared" si="769"/>
        <v>57</v>
      </c>
      <c r="AD1875" s="21">
        <v>50</v>
      </c>
      <c r="AE1875" s="28"/>
      <c r="AF1875" s="28"/>
      <c r="AG1875" s="28"/>
      <c r="AH1875" s="28"/>
      <c r="AI1875" s="28"/>
      <c r="AJ1875" s="28">
        <f>38+90</f>
        <v>128</v>
      </c>
      <c r="AK1875" s="28"/>
      <c r="AL1875" s="28"/>
      <c r="AM1875" s="28"/>
      <c r="AN1875" s="28"/>
      <c r="AO1875" s="28"/>
      <c r="AP1875" s="28">
        <f>38+40+2</f>
        <v>80</v>
      </c>
      <c r="AQ1875" s="28"/>
      <c r="AR1875" s="28"/>
      <c r="AS1875" s="28"/>
      <c r="AT1875" s="28"/>
      <c r="AU1875" s="28"/>
      <c r="AV1875" s="28">
        <f>39+80+1</f>
        <v>120</v>
      </c>
      <c r="AW1875" s="28"/>
      <c r="AX1875" s="28"/>
      <c r="AY1875" s="28"/>
      <c r="AZ1875" s="28"/>
      <c r="BA1875" s="28"/>
      <c r="BB1875" s="28">
        <f>43+90+1+2</f>
        <v>136</v>
      </c>
      <c r="BC1875" s="229">
        <f t="shared" si="775"/>
        <v>0</v>
      </c>
      <c r="BD1875" s="48">
        <f t="shared" si="770"/>
        <v>464</v>
      </c>
      <c r="BE1875" s="19">
        <v>182</v>
      </c>
      <c r="BF1875" s="229">
        <f t="shared" si="776"/>
        <v>0</v>
      </c>
      <c r="BG1875" s="210">
        <f t="shared" si="771"/>
        <v>521</v>
      </c>
      <c r="BH1875" s="210">
        <f t="shared" si="772"/>
        <v>232</v>
      </c>
      <c r="BI1875" s="213">
        <f t="shared" si="773"/>
        <v>224.56896551724137</v>
      </c>
      <c r="BJ1875" s="165"/>
      <c r="BK1875" s="201"/>
      <c r="BL1875" s="4"/>
      <c r="BM1875" s="4"/>
    </row>
    <row r="1876" spans="1:65" s="38" customFormat="1" ht="18" customHeight="1">
      <c r="A1876" s="114">
        <v>50</v>
      </c>
      <c r="B1876" s="24" t="s">
        <v>61</v>
      </c>
      <c r="C1876" s="25" t="s">
        <v>2523</v>
      </c>
      <c r="D1876" s="121"/>
      <c r="E1876" s="121"/>
      <c r="F1876" s="121"/>
      <c r="G1876" s="121"/>
      <c r="H1876" s="121"/>
      <c r="I1876" s="121">
        <v>2</v>
      </c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>
        <v>1</v>
      </c>
      <c r="AB1876" s="229">
        <f t="shared" si="774"/>
        <v>0</v>
      </c>
      <c r="AC1876" s="228">
        <f t="shared" si="769"/>
        <v>3</v>
      </c>
      <c r="AD1876" s="21">
        <v>7</v>
      </c>
      <c r="AE1876" s="28"/>
      <c r="AF1876" s="28"/>
      <c r="AG1876" s="28"/>
      <c r="AH1876" s="28"/>
      <c r="AI1876" s="28"/>
      <c r="AJ1876" s="28">
        <f>3+3</f>
        <v>6</v>
      </c>
      <c r="AK1876" s="28"/>
      <c r="AL1876" s="28"/>
      <c r="AM1876" s="28"/>
      <c r="AN1876" s="28"/>
      <c r="AO1876" s="28"/>
      <c r="AP1876" s="28">
        <f>5+1</f>
        <v>6</v>
      </c>
      <c r="AQ1876" s="28"/>
      <c r="AR1876" s="28"/>
      <c r="AS1876" s="28"/>
      <c r="AT1876" s="28"/>
      <c r="AU1876" s="28"/>
      <c r="AV1876" s="28">
        <f>1+1</f>
        <v>2</v>
      </c>
      <c r="AW1876" s="28"/>
      <c r="AX1876" s="28"/>
      <c r="AY1876" s="28"/>
      <c r="AZ1876" s="28"/>
      <c r="BA1876" s="28"/>
      <c r="BB1876" s="28">
        <f>2+1</f>
        <v>3</v>
      </c>
      <c r="BC1876" s="229">
        <f t="shared" si="775"/>
        <v>0</v>
      </c>
      <c r="BD1876" s="48">
        <f t="shared" si="770"/>
        <v>17</v>
      </c>
      <c r="BE1876" s="19">
        <v>29</v>
      </c>
      <c r="BF1876" s="229">
        <f t="shared" si="776"/>
        <v>0</v>
      </c>
      <c r="BG1876" s="210">
        <f t="shared" si="771"/>
        <v>20</v>
      </c>
      <c r="BH1876" s="210">
        <f t="shared" si="772"/>
        <v>36</v>
      </c>
      <c r="BI1876" s="213">
        <f t="shared" si="773"/>
        <v>55.555555555555557</v>
      </c>
      <c r="BJ1876" s="165"/>
      <c r="BK1876" s="201"/>
      <c r="BL1876" s="4"/>
      <c r="BM1876" s="4"/>
    </row>
    <row r="1877" spans="1:65" s="38" customFormat="1" ht="18" customHeight="1">
      <c r="A1877" s="114">
        <v>51</v>
      </c>
      <c r="B1877" s="24" t="s">
        <v>865</v>
      </c>
      <c r="C1877" s="25" t="s">
        <v>1331</v>
      </c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>
        <v>2</v>
      </c>
      <c r="V1877" s="121"/>
      <c r="W1877" s="121"/>
      <c r="X1877" s="121"/>
      <c r="Y1877" s="121"/>
      <c r="Z1877" s="121"/>
      <c r="AA1877" s="121">
        <f>1+1</f>
        <v>2</v>
      </c>
      <c r="AB1877" s="229">
        <f t="shared" si="774"/>
        <v>0</v>
      </c>
      <c r="AC1877" s="228">
        <f t="shared" si="769"/>
        <v>4</v>
      </c>
      <c r="AD1877" s="21">
        <v>7</v>
      </c>
      <c r="AE1877" s="28"/>
      <c r="AF1877" s="28"/>
      <c r="AG1877" s="28"/>
      <c r="AH1877" s="28"/>
      <c r="AI1877" s="28"/>
      <c r="AJ1877" s="28">
        <f>1+4</f>
        <v>5</v>
      </c>
      <c r="AK1877" s="28"/>
      <c r="AL1877" s="28"/>
      <c r="AM1877" s="28"/>
      <c r="AN1877" s="28"/>
      <c r="AO1877" s="28"/>
      <c r="AP1877" s="28">
        <f>3+11</f>
        <v>14</v>
      </c>
      <c r="AQ1877" s="28"/>
      <c r="AR1877" s="28"/>
      <c r="AS1877" s="28"/>
      <c r="AT1877" s="28"/>
      <c r="AU1877" s="28"/>
      <c r="AV1877" s="28">
        <v>6</v>
      </c>
      <c r="AW1877" s="28"/>
      <c r="AX1877" s="28"/>
      <c r="AY1877" s="28"/>
      <c r="AZ1877" s="28"/>
      <c r="BA1877" s="28"/>
      <c r="BB1877" s="28">
        <f>3+8</f>
        <v>11</v>
      </c>
      <c r="BC1877" s="229">
        <f t="shared" si="775"/>
        <v>0</v>
      </c>
      <c r="BD1877" s="48">
        <f t="shared" si="770"/>
        <v>36</v>
      </c>
      <c r="BE1877" s="19">
        <v>18</v>
      </c>
      <c r="BF1877" s="229">
        <f t="shared" si="776"/>
        <v>0</v>
      </c>
      <c r="BG1877" s="210">
        <f t="shared" si="771"/>
        <v>40</v>
      </c>
      <c r="BH1877" s="210">
        <f t="shared" si="772"/>
        <v>25</v>
      </c>
      <c r="BI1877" s="213">
        <f t="shared" si="773"/>
        <v>160</v>
      </c>
      <c r="BJ1877" s="165"/>
      <c r="BK1877" s="201"/>
      <c r="BL1877" s="4"/>
      <c r="BM1877" s="4"/>
    </row>
    <row r="1878" spans="1:65" s="38" customFormat="1" ht="18" customHeight="1">
      <c r="A1878" s="114">
        <v>52</v>
      </c>
      <c r="B1878" s="24" t="s">
        <v>62</v>
      </c>
      <c r="C1878" s="25" t="s">
        <v>101</v>
      </c>
      <c r="D1878" s="121"/>
      <c r="E1878" s="121"/>
      <c r="F1878" s="121"/>
      <c r="G1878" s="121"/>
      <c r="H1878" s="121"/>
      <c r="I1878" s="121">
        <f>1+24</f>
        <v>25</v>
      </c>
      <c r="J1878" s="121"/>
      <c r="K1878" s="121"/>
      <c r="L1878" s="121"/>
      <c r="M1878" s="121"/>
      <c r="N1878" s="121"/>
      <c r="O1878" s="121">
        <v>18</v>
      </c>
      <c r="P1878" s="121"/>
      <c r="Q1878" s="121"/>
      <c r="R1878" s="121"/>
      <c r="S1878" s="121"/>
      <c r="T1878" s="121"/>
      <c r="U1878" s="121">
        <f>2+1</f>
        <v>3</v>
      </c>
      <c r="V1878" s="121"/>
      <c r="W1878" s="121"/>
      <c r="X1878" s="121"/>
      <c r="Y1878" s="121"/>
      <c r="Z1878" s="121"/>
      <c r="AA1878" s="121">
        <v>18</v>
      </c>
      <c r="AB1878" s="229">
        <f t="shared" si="774"/>
        <v>0</v>
      </c>
      <c r="AC1878" s="228">
        <f t="shared" si="769"/>
        <v>64</v>
      </c>
      <c r="AD1878" s="21">
        <v>54</v>
      </c>
      <c r="AE1878" s="28"/>
      <c r="AF1878" s="28"/>
      <c r="AG1878" s="28"/>
      <c r="AH1878" s="28"/>
      <c r="AI1878" s="28"/>
      <c r="AJ1878" s="28">
        <f>28+11</f>
        <v>39</v>
      </c>
      <c r="AK1878" s="28"/>
      <c r="AL1878" s="28"/>
      <c r="AM1878" s="28"/>
      <c r="AN1878" s="28"/>
      <c r="AO1878" s="28"/>
      <c r="AP1878" s="28">
        <f>24+12</f>
        <v>36</v>
      </c>
      <c r="AQ1878" s="28"/>
      <c r="AR1878" s="28"/>
      <c r="AS1878" s="28"/>
      <c r="AT1878" s="28"/>
      <c r="AU1878" s="28"/>
      <c r="AV1878" s="28">
        <f>8+9</f>
        <v>17</v>
      </c>
      <c r="AW1878" s="28"/>
      <c r="AX1878" s="28"/>
      <c r="AY1878" s="28"/>
      <c r="AZ1878" s="28"/>
      <c r="BA1878" s="28"/>
      <c r="BB1878" s="28">
        <f>18+15+1</f>
        <v>34</v>
      </c>
      <c r="BC1878" s="229">
        <f t="shared" si="775"/>
        <v>0</v>
      </c>
      <c r="BD1878" s="48">
        <f t="shared" si="770"/>
        <v>126</v>
      </c>
      <c r="BE1878" s="19">
        <v>58</v>
      </c>
      <c r="BF1878" s="229">
        <f t="shared" si="776"/>
        <v>0</v>
      </c>
      <c r="BG1878" s="210">
        <f t="shared" si="771"/>
        <v>190</v>
      </c>
      <c r="BH1878" s="210">
        <f t="shared" si="772"/>
        <v>112</v>
      </c>
      <c r="BI1878" s="213">
        <f t="shared" si="773"/>
        <v>169.64285714285714</v>
      </c>
      <c r="BJ1878" s="165"/>
      <c r="BK1878" s="201"/>
      <c r="BL1878" s="4"/>
      <c r="BM1878" s="4"/>
    </row>
    <row r="1879" spans="1:65" s="38" customFormat="1" ht="18" customHeight="1">
      <c r="A1879" s="114">
        <v>53</v>
      </c>
      <c r="B1879" s="24" t="s">
        <v>489</v>
      </c>
      <c r="C1879" s="25" t="s">
        <v>2522</v>
      </c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229">
        <f t="shared" si="774"/>
        <v>0</v>
      </c>
      <c r="AC1879" s="228">
        <f t="shared" si="769"/>
        <v>0</v>
      </c>
      <c r="AD1879" s="21">
        <v>0</v>
      </c>
      <c r="AE1879" s="28"/>
      <c r="AF1879" s="28"/>
      <c r="AG1879" s="28"/>
      <c r="AH1879" s="28"/>
      <c r="AI1879" s="28"/>
      <c r="AJ1879" s="28">
        <v>3</v>
      </c>
      <c r="AK1879" s="28"/>
      <c r="AL1879" s="28"/>
      <c r="AM1879" s="28"/>
      <c r="AN1879" s="28"/>
      <c r="AO1879" s="28"/>
      <c r="AP1879" s="28">
        <v>1</v>
      </c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>
        <v>1</v>
      </c>
      <c r="BC1879" s="229">
        <f t="shared" si="775"/>
        <v>0</v>
      </c>
      <c r="BD1879" s="48">
        <f t="shared" si="770"/>
        <v>5</v>
      </c>
      <c r="BE1879" s="19">
        <v>1</v>
      </c>
      <c r="BF1879" s="229">
        <f t="shared" si="776"/>
        <v>0</v>
      </c>
      <c r="BG1879" s="210">
        <f t="shared" si="771"/>
        <v>5</v>
      </c>
      <c r="BH1879" s="210">
        <f t="shared" si="772"/>
        <v>1</v>
      </c>
      <c r="BI1879" s="213">
        <f t="shared" si="773"/>
        <v>500</v>
      </c>
      <c r="BJ1879" s="165"/>
      <c r="BK1879" s="201"/>
      <c r="BL1879" s="4"/>
      <c r="BM1879" s="4"/>
    </row>
    <row r="1880" spans="1:65" s="38" customFormat="1" ht="18" customHeight="1">
      <c r="A1880" s="114">
        <v>54</v>
      </c>
      <c r="B1880" s="24" t="s">
        <v>1651</v>
      </c>
      <c r="C1880" s="25" t="s">
        <v>1652</v>
      </c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229">
        <f t="shared" si="774"/>
        <v>0</v>
      </c>
      <c r="AC1880" s="228">
        <f t="shared" si="769"/>
        <v>0</v>
      </c>
      <c r="AD1880" s="21">
        <v>0</v>
      </c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>
        <v>1</v>
      </c>
      <c r="BC1880" s="229">
        <f t="shared" si="775"/>
        <v>0</v>
      </c>
      <c r="BD1880" s="48">
        <f t="shared" si="770"/>
        <v>1</v>
      </c>
      <c r="BE1880" s="19">
        <v>2</v>
      </c>
      <c r="BF1880" s="229">
        <f t="shared" si="776"/>
        <v>0</v>
      </c>
      <c r="BG1880" s="210">
        <f t="shared" si="771"/>
        <v>1</v>
      </c>
      <c r="BH1880" s="210">
        <f t="shared" si="772"/>
        <v>2</v>
      </c>
      <c r="BI1880" s="213">
        <f t="shared" si="773"/>
        <v>50</v>
      </c>
      <c r="BJ1880" s="165"/>
      <c r="BK1880" s="201"/>
      <c r="BL1880" s="4"/>
      <c r="BM1880" s="4"/>
    </row>
    <row r="1881" spans="1:65" s="38" customFormat="1" ht="18" customHeight="1">
      <c r="A1881" s="114">
        <v>55</v>
      </c>
      <c r="B1881" s="24" t="s">
        <v>596</v>
      </c>
      <c r="C1881" s="25" t="s">
        <v>597</v>
      </c>
      <c r="D1881" s="121"/>
      <c r="E1881" s="121"/>
      <c r="F1881" s="121"/>
      <c r="G1881" s="121"/>
      <c r="H1881" s="121"/>
      <c r="I1881" s="121">
        <v>2</v>
      </c>
      <c r="J1881" s="121"/>
      <c r="K1881" s="121"/>
      <c r="L1881" s="121"/>
      <c r="M1881" s="121"/>
      <c r="N1881" s="121"/>
      <c r="O1881" s="121">
        <v>2</v>
      </c>
      <c r="P1881" s="121"/>
      <c r="Q1881" s="121"/>
      <c r="R1881" s="121"/>
      <c r="S1881" s="121"/>
      <c r="T1881" s="121"/>
      <c r="U1881" s="121">
        <v>5</v>
      </c>
      <c r="V1881" s="121"/>
      <c r="W1881" s="121"/>
      <c r="X1881" s="121"/>
      <c r="Y1881" s="121"/>
      <c r="Z1881" s="121"/>
      <c r="AA1881" s="121">
        <v>1</v>
      </c>
      <c r="AB1881" s="229">
        <f t="shared" si="774"/>
        <v>0</v>
      </c>
      <c r="AC1881" s="228">
        <f t="shared" si="769"/>
        <v>10</v>
      </c>
      <c r="AD1881" s="19">
        <v>8</v>
      </c>
      <c r="AE1881" s="28"/>
      <c r="AF1881" s="28"/>
      <c r="AG1881" s="28"/>
      <c r="AH1881" s="28"/>
      <c r="AI1881" s="28"/>
      <c r="AJ1881" s="28">
        <v>50</v>
      </c>
      <c r="AK1881" s="28"/>
      <c r="AL1881" s="28"/>
      <c r="AM1881" s="28"/>
      <c r="AN1881" s="28"/>
      <c r="AO1881" s="28"/>
      <c r="AP1881" s="28">
        <f>66+1</f>
        <v>67</v>
      </c>
      <c r="AQ1881" s="28"/>
      <c r="AR1881" s="28"/>
      <c r="AS1881" s="28"/>
      <c r="AT1881" s="28"/>
      <c r="AU1881" s="28"/>
      <c r="AV1881" s="28">
        <f>60+4</f>
        <v>64</v>
      </c>
      <c r="AW1881" s="28"/>
      <c r="AX1881" s="28"/>
      <c r="AY1881" s="28"/>
      <c r="AZ1881" s="28"/>
      <c r="BA1881" s="28"/>
      <c r="BB1881" s="28">
        <f>69+1</f>
        <v>70</v>
      </c>
      <c r="BC1881" s="229">
        <f t="shared" si="775"/>
        <v>0</v>
      </c>
      <c r="BD1881" s="48">
        <f t="shared" si="770"/>
        <v>251</v>
      </c>
      <c r="BE1881" s="19">
        <v>197</v>
      </c>
      <c r="BF1881" s="229">
        <f t="shared" si="776"/>
        <v>0</v>
      </c>
      <c r="BG1881" s="210">
        <f t="shared" si="771"/>
        <v>261</v>
      </c>
      <c r="BH1881" s="210">
        <f t="shared" si="772"/>
        <v>205</v>
      </c>
      <c r="BI1881" s="213">
        <f t="shared" si="773"/>
        <v>127.3170731707317</v>
      </c>
      <c r="BJ1881" s="165"/>
      <c r="BK1881" s="201"/>
      <c r="BL1881" s="4"/>
      <c r="BM1881" s="4"/>
    </row>
    <row r="1882" spans="1:65" s="38" customFormat="1" ht="18" customHeight="1">
      <c r="A1882" s="114">
        <v>56</v>
      </c>
      <c r="B1882" s="24" t="s">
        <v>2174</v>
      </c>
      <c r="C1882" s="25" t="s">
        <v>2175</v>
      </c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229">
        <f t="shared" si="774"/>
        <v>0</v>
      </c>
      <c r="AC1882" s="228">
        <f t="shared" si="769"/>
        <v>0</v>
      </c>
      <c r="AD1882" s="21">
        <v>0</v>
      </c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29">
        <f t="shared" si="775"/>
        <v>0</v>
      </c>
      <c r="BD1882" s="48">
        <f t="shared" si="770"/>
        <v>0</v>
      </c>
      <c r="BE1882" s="19">
        <v>1</v>
      </c>
      <c r="BF1882" s="229">
        <f t="shared" si="776"/>
        <v>0</v>
      </c>
      <c r="BG1882" s="210">
        <f t="shared" si="771"/>
        <v>0</v>
      </c>
      <c r="BH1882" s="210">
        <f t="shared" si="772"/>
        <v>1</v>
      </c>
      <c r="BI1882" s="213">
        <f t="shared" si="773"/>
        <v>0</v>
      </c>
      <c r="BJ1882" s="165"/>
      <c r="BK1882" s="201"/>
      <c r="BL1882" s="4"/>
      <c r="BM1882" s="4"/>
    </row>
    <row r="1883" spans="1:65" s="38" customFormat="1" ht="18" customHeight="1">
      <c r="A1883" s="114">
        <v>57</v>
      </c>
      <c r="B1883" s="24" t="s">
        <v>1701</v>
      </c>
      <c r="C1883" s="25" t="s">
        <v>1702</v>
      </c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229">
        <f t="shared" si="774"/>
        <v>0</v>
      </c>
      <c r="AC1883" s="228">
        <f t="shared" si="769"/>
        <v>0</v>
      </c>
      <c r="AD1883" s="19">
        <v>0</v>
      </c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29">
        <f t="shared" si="775"/>
        <v>0</v>
      </c>
      <c r="BD1883" s="48">
        <f t="shared" si="770"/>
        <v>0</v>
      </c>
      <c r="BE1883" s="19">
        <v>1</v>
      </c>
      <c r="BF1883" s="229">
        <f t="shared" si="776"/>
        <v>0</v>
      </c>
      <c r="BG1883" s="210">
        <f t="shared" si="771"/>
        <v>0</v>
      </c>
      <c r="BH1883" s="210">
        <f t="shared" si="772"/>
        <v>1</v>
      </c>
      <c r="BI1883" s="213">
        <f t="shared" si="773"/>
        <v>0</v>
      </c>
      <c r="BJ1883" s="141"/>
      <c r="BK1883" s="201"/>
      <c r="BL1883" s="4"/>
      <c r="BM1883" s="4"/>
    </row>
    <row r="1884" spans="1:65" s="38" customFormat="1" ht="18" customHeight="1">
      <c r="A1884" s="114">
        <v>58</v>
      </c>
      <c r="B1884" s="24" t="s">
        <v>761</v>
      </c>
      <c r="C1884" s="25" t="s">
        <v>762</v>
      </c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229">
        <f t="shared" si="774"/>
        <v>0</v>
      </c>
      <c r="AC1884" s="228">
        <f t="shared" si="769"/>
        <v>0</v>
      </c>
      <c r="AD1884" s="19">
        <v>1</v>
      </c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29">
        <f t="shared" si="775"/>
        <v>0</v>
      </c>
      <c r="BD1884" s="48">
        <f t="shared" si="770"/>
        <v>0</v>
      </c>
      <c r="BE1884" s="19">
        <v>0</v>
      </c>
      <c r="BF1884" s="229">
        <f t="shared" si="776"/>
        <v>0</v>
      </c>
      <c r="BG1884" s="210">
        <f t="shared" si="771"/>
        <v>0</v>
      </c>
      <c r="BH1884" s="210">
        <f t="shared" si="772"/>
        <v>1</v>
      </c>
      <c r="BI1884" s="213">
        <f t="shared" si="773"/>
        <v>0</v>
      </c>
      <c r="BJ1884" s="141"/>
      <c r="BK1884" s="201"/>
      <c r="BL1884" s="4"/>
      <c r="BM1884" s="4"/>
    </row>
    <row r="1885" spans="1:65" s="38" customFormat="1" ht="18" customHeight="1">
      <c r="A1885" s="114">
        <v>59</v>
      </c>
      <c r="B1885" s="24" t="s">
        <v>1212</v>
      </c>
      <c r="C1885" s="25" t="s">
        <v>1444</v>
      </c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229">
        <f t="shared" si="774"/>
        <v>0</v>
      </c>
      <c r="AC1885" s="228">
        <f t="shared" si="769"/>
        <v>0</v>
      </c>
      <c r="AD1885" s="19">
        <v>1</v>
      </c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29">
        <f t="shared" si="775"/>
        <v>0</v>
      </c>
      <c r="BD1885" s="48">
        <f t="shared" si="770"/>
        <v>0</v>
      </c>
      <c r="BE1885" s="19">
        <v>0</v>
      </c>
      <c r="BF1885" s="229">
        <f t="shared" si="776"/>
        <v>0</v>
      </c>
      <c r="BG1885" s="210">
        <f t="shared" si="771"/>
        <v>0</v>
      </c>
      <c r="BH1885" s="210">
        <f t="shared" si="772"/>
        <v>1</v>
      </c>
      <c r="BI1885" s="213">
        <f t="shared" si="773"/>
        <v>0</v>
      </c>
      <c r="BJ1885" s="141"/>
      <c r="BK1885" s="201"/>
      <c r="BL1885" s="4"/>
      <c r="BM1885" s="4"/>
    </row>
    <row r="1886" spans="1:65" s="38" customFormat="1" ht="21.95" customHeight="1">
      <c r="A1886" s="114">
        <v>60</v>
      </c>
      <c r="B1886" s="24" t="s">
        <v>626</v>
      </c>
      <c r="C1886" s="25" t="s">
        <v>627</v>
      </c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229">
        <f t="shared" si="774"/>
        <v>0</v>
      </c>
      <c r="AC1886" s="228">
        <f t="shared" si="769"/>
        <v>0</v>
      </c>
      <c r="AD1886" s="19">
        <v>0</v>
      </c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29">
        <f t="shared" si="775"/>
        <v>0</v>
      </c>
      <c r="BD1886" s="48">
        <f t="shared" si="770"/>
        <v>0</v>
      </c>
      <c r="BE1886" s="19">
        <v>1</v>
      </c>
      <c r="BF1886" s="229">
        <f t="shared" si="776"/>
        <v>0</v>
      </c>
      <c r="BG1886" s="210">
        <f t="shared" si="771"/>
        <v>0</v>
      </c>
      <c r="BH1886" s="210">
        <f t="shared" si="772"/>
        <v>1</v>
      </c>
      <c r="BI1886" s="213">
        <f t="shared" si="773"/>
        <v>0</v>
      </c>
      <c r="BJ1886" s="141"/>
      <c r="BK1886" s="201"/>
      <c r="BL1886" s="4"/>
      <c r="BM1886" s="4"/>
    </row>
    <row r="1887" spans="1:65" s="38" customFormat="1" ht="18" customHeight="1">
      <c r="A1887" s="114">
        <v>61</v>
      </c>
      <c r="B1887" s="24" t="s">
        <v>86</v>
      </c>
      <c r="C1887" s="25" t="s">
        <v>871</v>
      </c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229">
        <f t="shared" si="774"/>
        <v>0</v>
      </c>
      <c r="AC1887" s="228">
        <f t="shared" si="769"/>
        <v>0</v>
      </c>
      <c r="AD1887" s="19">
        <v>0</v>
      </c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>
        <v>1</v>
      </c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29">
        <f t="shared" si="775"/>
        <v>0</v>
      </c>
      <c r="BD1887" s="48">
        <f t="shared" si="770"/>
        <v>1</v>
      </c>
      <c r="BE1887" s="19">
        <v>3</v>
      </c>
      <c r="BF1887" s="229">
        <f t="shared" si="776"/>
        <v>0</v>
      </c>
      <c r="BG1887" s="210">
        <f t="shared" si="771"/>
        <v>1</v>
      </c>
      <c r="BH1887" s="210">
        <f t="shared" si="772"/>
        <v>3</v>
      </c>
      <c r="BI1887" s="213">
        <f t="shared" si="773"/>
        <v>33.333333333333329</v>
      </c>
      <c r="BJ1887" s="141"/>
      <c r="BK1887" s="201"/>
      <c r="BL1887" s="4"/>
      <c r="BM1887" s="4"/>
    </row>
    <row r="1888" spans="1:65" s="38" customFormat="1" ht="18" customHeight="1">
      <c r="A1888" s="114">
        <v>62</v>
      </c>
      <c r="B1888" s="24" t="s">
        <v>812</v>
      </c>
      <c r="C1888" s="25" t="s">
        <v>813</v>
      </c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229">
        <f t="shared" si="774"/>
        <v>0</v>
      </c>
      <c r="AC1888" s="228">
        <f t="shared" si="769"/>
        <v>0</v>
      </c>
      <c r="AD1888" s="19">
        <v>1</v>
      </c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29">
        <f t="shared" si="775"/>
        <v>0</v>
      </c>
      <c r="BD1888" s="48">
        <f t="shared" si="770"/>
        <v>0</v>
      </c>
      <c r="BE1888" s="19">
        <v>0</v>
      </c>
      <c r="BF1888" s="229">
        <f t="shared" si="776"/>
        <v>0</v>
      </c>
      <c r="BG1888" s="210">
        <f t="shared" si="771"/>
        <v>0</v>
      </c>
      <c r="BH1888" s="210">
        <f t="shared" si="772"/>
        <v>1</v>
      </c>
      <c r="BI1888" s="213">
        <f t="shared" si="773"/>
        <v>0</v>
      </c>
      <c r="BJ1888" s="141"/>
      <c r="BK1888" s="201"/>
      <c r="BL1888" s="4"/>
      <c r="BM1888" s="4"/>
    </row>
    <row r="1889" spans="1:65" s="38" customFormat="1" ht="18" customHeight="1">
      <c r="A1889" s="114">
        <v>63</v>
      </c>
      <c r="B1889" s="24" t="s">
        <v>628</v>
      </c>
      <c r="C1889" s="25" t="s">
        <v>629</v>
      </c>
      <c r="D1889" s="121"/>
      <c r="E1889" s="121"/>
      <c r="F1889" s="121"/>
      <c r="G1889" s="121"/>
      <c r="H1889" s="121"/>
      <c r="I1889" s="121">
        <v>5</v>
      </c>
      <c r="J1889" s="121"/>
      <c r="K1889" s="121"/>
      <c r="L1889" s="121"/>
      <c r="M1889" s="121"/>
      <c r="N1889" s="121"/>
      <c r="O1889" s="121">
        <v>2</v>
      </c>
      <c r="P1889" s="121"/>
      <c r="Q1889" s="121"/>
      <c r="R1889" s="121"/>
      <c r="S1889" s="121"/>
      <c r="T1889" s="121"/>
      <c r="U1889" s="121">
        <f>8+15+1</f>
        <v>24</v>
      </c>
      <c r="V1889" s="121"/>
      <c r="W1889" s="121"/>
      <c r="X1889" s="121"/>
      <c r="Y1889" s="121"/>
      <c r="Z1889" s="121"/>
      <c r="AA1889" s="121">
        <f>4+11</f>
        <v>15</v>
      </c>
      <c r="AB1889" s="229">
        <f t="shared" si="774"/>
        <v>0</v>
      </c>
      <c r="AC1889" s="228">
        <f t="shared" si="769"/>
        <v>46</v>
      </c>
      <c r="AD1889" s="19">
        <v>35</v>
      </c>
      <c r="AE1889" s="28"/>
      <c r="AF1889" s="28"/>
      <c r="AG1889" s="28"/>
      <c r="AH1889" s="28"/>
      <c r="AI1889" s="28"/>
      <c r="AJ1889" s="28">
        <f>92+3</f>
        <v>95</v>
      </c>
      <c r="AK1889" s="28"/>
      <c r="AL1889" s="28"/>
      <c r="AM1889" s="28"/>
      <c r="AN1889" s="28"/>
      <c r="AO1889" s="28"/>
      <c r="AP1889" s="28">
        <f>141+8+2</f>
        <v>151</v>
      </c>
      <c r="AQ1889" s="28"/>
      <c r="AR1889" s="28"/>
      <c r="AS1889" s="28"/>
      <c r="AT1889" s="28"/>
      <c r="AU1889" s="28"/>
      <c r="AV1889" s="28">
        <f>144+75+3</f>
        <v>222</v>
      </c>
      <c r="AW1889" s="28"/>
      <c r="AX1889" s="28"/>
      <c r="AY1889" s="28"/>
      <c r="AZ1889" s="28"/>
      <c r="BA1889" s="28"/>
      <c r="BB1889" s="28">
        <f>172+1+72+2</f>
        <v>247</v>
      </c>
      <c r="BC1889" s="229">
        <f t="shared" si="775"/>
        <v>0</v>
      </c>
      <c r="BD1889" s="48">
        <f t="shared" si="770"/>
        <v>715</v>
      </c>
      <c r="BE1889" s="19">
        <v>487</v>
      </c>
      <c r="BF1889" s="229">
        <f t="shared" si="776"/>
        <v>0</v>
      </c>
      <c r="BG1889" s="210">
        <f t="shared" si="771"/>
        <v>761</v>
      </c>
      <c r="BH1889" s="210">
        <f t="shared" si="772"/>
        <v>522</v>
      </c>
      <c r="BI1889" s="213">
        <f t="shared" si="773"/>
        <v>145.78544061302682</v>
      </c>
      <c r="BJ1889" s="141"/>
      <c r="BK1889" s="201"/>
      <c r="BL1889" s="4"/>
      <c r="BM1889" s="4"/>
    </row>
    <row r="1890" spans="1:65" s="38" customFormat="1" ht="18" customHeight="1">
      <c r="A1890" s="114">
        <v>64</v>
      </c>
      <c r="B1890" s="24" t="s">
        <v>90</v>
      </c>
      <c r="C1890" s="25" t="s">
        <v>91</v>
      </c>
      <c r="D1890" s="121"/>
      <c r="E1890" s="121"/>
      <c r="F1890" s="121"/>
      <c r="G1890" s="121"/>
      <c r="H1890" s="121"/>
      <c r="I1890" s="121">
        <v>1</v>
      </c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229">
        <f t="shared" si="774"/>
        <v>0</v>
      </c>
      <c r="AC1890" s="228">
        <f t="shared" si="769"/>
        <v>1</v>
      </c>
      <c r="AD1890" s="21">
        <v>0</v>
      </c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>
        <v>1</v>
      </c>
      <c r="AW1890" s="28"/>
      <c r="AX1890" s="28"/>
      <c r="AY1890" s="28"/>
      <c r="AZ1890" s="28"/>
      <c r="BA1890" s="28"/>
      <c r="BB1890" s="28"/>
      <c r="BC1890" s="229">
        <f t="shared" si="775"/>
        <v>0</v>
      </c>
      <c r="BD1890" s="48">
        <f t="shared" si="770"/>
        <v>1</v>
      </c>
      <c r="BE1890" s="19">
        <v>2</v>
      </c>
      <c r="BF1890" s="229">
        <f t="shared" si="776"/>
        <v>0</v>
      </c>
      <c r="BG1890" s="210">
        <f t="shared" si="771"/>
        <v>2</v>
      </c>
      <c r="BH1890" s="210">
        <f t="shared" si="772"/>
        <v>2</v>
      </c>
      <c r="BI1890" s="213">
        <f t="shared" si="773"/>
        <v>100</v>
      </c>
      <c r="BJ1890" s="165"/>
      <c r="BK1890" s="201"/>
      <c r="BL1890" s="4"/>
      <c r="BM1890" s="4"/>
    </row>
    <row r="1891" spans="1:65" s="38" customFormat="1" ht="18" customHeight="1">
      <c r="A1891" s="114">
        <v>65</v>
      </c>
      <c r="B1891" s="24" t="s">
        <v>1537</v>
      </c>
      <c r="C1891" s="25" t="s">
        <v>1538</v>
      </c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229">
        <f t="shared" si="774"/>
        <v>0</v>
      </c>
      <c r="AC1891" s="228">
        <f t="shared" ref="AC1891:AC1922" si="777">E1891+G1891+I1891+K1891+M1891+O1891+Q1891+S1891+U1891+W1891+Y1891+AA1891</f>
        <v>0</v>
      </c>
      <c r="AD1891" s="21">
        <v>0</v>
      </c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29">
        <f t="shared" si="775"/>
        <v>0</v>
      </c>
      <c r="BD1891" s="48">
        <f t="shared" ref="BD1891:BD1922" si="778">AF1891+AH1891+AJ1891+AL1891+AN1891+AP1891+AR1891+AT1891+AV1891+AX1891+AZ1891+BB1891</f>
        <v>0</v>
      </c>
      <c r="BE1891" s="19">
        <v>3</v>
      </c>
      <c r="BF1891" s="229">
        <f t="shared" si="776"/>
        <v>0</v>
      </c>
      <c r="BG1891" s="210">
        <f t="shared" ref="BG1891:BG1922" si="779">AC1891+BD1891</f>
        <v>0</v>
      </c>
      <c r="BH1891" s="210">
        <f t="shared" ref="BH1891:BH1922" si="780">AD1891+BE1891</f>
        <v>3</v>
      </c>
      <c r="BI1891" s="213">
        <f t="shared" ref="BI1891:BI1922" si="781">BG1891/BH1891*100</f>
        <v>0</v>
      </c>
      <c r="BJ1891" s="165"/>
      <c r="BK1891" s="201"/>
      <c r="BL1891" s="4"/>
      <c r="BM1891" s="4"/>
    </row>
    <row r="1892" spans="1:65" s="38" customFormat="1" ht="18" customHeight="1">
      <c r="A1892" s="114">
        <v>66</v>
      </c>
      <c r="B1892" s="24" t="s">
        <v>914</v>
      </c>
      <c r="C1892" s="25" t="s">
        <v>1595</v>
      </c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229">
        <f t="shared" si="774"/>
        <v>0</v>
      </c>
      <c r="AC1892" s="228">
        <f t="shared" si="777"/>
        <v>0</v>
      </c>
      <c r="AD1892" s="19">
        <v>0</v>
      </c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29">
        <f t="shared" si="775"/>
        <v>0</v>
      </c>
      <c r="BD1892" s="48">
        <f t="shared" si="778"/>
        <v>0</v>
      </c>
      <c r="BE1892" s="19">
        <v>5</v>
      </c>
      <c r="BF1892" s="229">
        <f t="shared" si="776"/>
        <v>0</v>
      </c>
      <c r="BG1892" s="210">
        <f t="shared" si="779"/>
        <v>0</v>
      </c>
      <c r="BH1892" s="210">
        <f t="shared" si="780"/>
        <v>5</v>
      </c>
      <c r="BI1892" s="213">
        <f t="shared" si="781"/>
        <v>0</v>
      </c>
      <c r="BJ1892" s="165"/>
      <c r="BK1892" s="201"/>
      <c r="BL1892" s="4"/>
      <c r="BM1892" s="4"/>
    </row>
    <row r="1893" spans="1:65" s="38" customFormat="1" ht="18" customHeight="1">
      <c r="A1893" s="114">
        <v>67</v>
      </c>
      <c r="B1893" s="24" t="s">
        <v>1924</v>
      </c>
      <c r="C1893" s="25" t="s">
        <v>3180</v>
      </c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229"/>
      <c r="AC1893" s="228">
        <f t="shared" si="777"/>
        <v>0</v>
      </c>
      <c r="AD1893" s="19">
        <v>0</v>
      </c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>
        <v>1</v>
      </c>
      <c r="AW1893" s="28"/>
      <c r="AX1893" s="28"/>
      <c r="AY1893" s="28"/>
      <c r="AZ1893" s="28"/>
      <c r="BA1893" s="28"/>
      <c r="BB1893" s="28"/>
      <c r="BC1893" s="229"/>
      <c r="BD1893" s="48">
        <f t="shared" si="778"/>
        <v>1</v>
      </c>
      <c r="BE1893" s="19">
        <v>0</v>
      </c>
      <c r="BF1893" s="229"/>
      <c r="BG1893" s="210">
        <f t="shared" si="779"/>
        <v>1</v>
      </c>
      <c r="BH1893" s="210">
        <f t="shared" si="780"/>
        <v>0</v>
      </c>
      <c r="BI1893" s="213" t="e">
        <f t="shared" si="781"/>
        <v>#DIV/0!</v>
      </c>
      <c r="BJ1893" s="165"/>
      <c r="BK1893" s="201"/>
      <c r="BL1893" s="4"/>
      <c r="BM1893" s="4"/>
    </row>
    <row r="1894" spans="1:65" s="38" customFormat="1" ht="18" customHeight="1">
      <c r="A1894" s="114">
        <v>68</v>
      </c>
      <c r="B1894" s="24" t="s">
        <v>512</v>
      </c>
      <c r="C1894" s="25" t="s">
        <v>513</v>
      </c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229">
        <f t="shared" ref="AB1894:AB1904" si="782">D1894+F1894+H1894+J1894+L1894+N1894+P1894+R1894+T1894+V1894+X1894+Z1894</f>
        <v>0</v>
      </c>
      <c r="AC1894" s="228">
        <f t="shared" si="777"/>
        <v>0</v>
      </c>
      <c r="AD1894" s="21">
        <v>0</v>
      </c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29">
        <f t="shared" ref="BC1894:BC1904" si="783">AE1894+AG1894+AI1894+AK1894+AM1894+AO1894+AQ1894+AS1894+AU1894+AW1894+AY1894+BA1894</f>
        <v>0</v>
      </c>
      <c r="BD1894" s="48">
        <f t="shared" si="778"/>
        <v>0</v>
      </c>
      <c r="BE1894" s="19">
        <v>3</v>
      </c>
      <c r="BF1894" s="229">
        <f t="shared" ref="BF1894:BF1904" si="784">AB1894+BC1894</f>
        <v>0</v>
      </c>
      <c r="BG1894" s="210">
        <f t="shared" si="779"/>
        <v>0</v>
      </c>
      <c r="BH1894" s="210">
        <f t="shared" si="780"/>
        <v>3</v>
      </c>
      <c r="BI1894" s="213">
        <f t="shared" si="781"/>
        <v>0</v>
      </c>
      <c r="BJ1894" s="165"/>
      <c r="BK1894" s="201"/>
      <c r="BL1894" s="4"/>
      <c r="BM1894" s="4"/>
    </row>
    <row r="1895" spans="1:65" s="38" customFormat="1" ht="18" customHeight="1">
      <c r="A1895" s="114">
        <v>69</v>
      </c>
      <c r="B1895" s="24" t="s">
        <v>720</v>
      </c>
      <c r="C1895" s="25" t="s">
        <v>721</v>
      </c>
      <c r="D1895" s="121"/>
      <c r="E1895" s="121"/>
      <c r="F1895" s="121"/>
      <c r="G1895" s="121"/>
      <c r="H1895" s="121"/>
      <c r="I1895" s="121">
        <v>8</v>
      </c>
      <c r="J1895" s="121"/>
      <c r="K1895" s="121"/>
      <c r="L1895" s="121"/>
      <c r="M1895" s="121"/>
      <c r="N1895" s="121"/>
      <c r="O1895" s="121">
        <v>20</v>
      </c>
      <c r="P1895" s="121"/>
      <c r="Q1895" s="121"/>
      <c r="R1895" s="121"/>
      <c r="S1895" s="121"/>
      <c r="T1895" s="121"/>
      <c r="U1895" s="121">
        <v>23</v>
      </c>
      <c r="V1895" s="121"/>
      <c r="W1895" s="121"/>
      <c r="X1895" s="121"/>
      <c r="Y1895" s="121"/>
      <c r="Z1895" s="121"/>
      <c r="AA1895" s="121">
        <v>17</v>
      </c>
      <c r="AB1895" s="229">
        <f t="shared" si="782"/>
        <v>0</v>
      </c>
      <c r="AC1895" s="228">
        <f t="shared" si="777"/>
        <v>68</v>
      </c>
      <c r="AD1895" s="21">
        <v>0</v>
      </c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>
        <f>4+1</f>
        <v>5</v>
      </c>
      <c r="AQ1895" s="28"/>
      <c r="AR1895" s="28"/>
      <c r="AS1895" s="28"/>
      <c r="AT1895" s="28"/>
      <c r="AU1895" s="28"/>
      <c r="AV1895" s="28">
        <v>3</v>
      </c>
      <c r="AW1895" s="28"/>
      <c r="AX1895" s="28"/>
      <c r="AY1895" s="28"/>
      <c r="AZ1895" s="28"/>
      <c r="BA1895" s="28"/>
      <c r="BB1895" s="28"/>
      <c r="BC1895" s="229">
        <f t="shared" si="783"/>
        <v>0</v>
      </c>
      <c r="BD1895" s="48">
        <f t="shared" si="778"/>
        <v>8</v>
      </c>
      <c r="BE1895" s="19">
        <v>0</v>
      </c>
      <c r="BF1895" s="229">
        <f t="shared" si="784"/>
        <v>0</v>
      </c>
      <c r="BG1895" s="210">
        <f t="shared" si="779"/>
        <v>76</v>
      </c>
      <c r="BH1895" s="210">
        <f t="shared" si="780"/>
        <v>0</v>
      </c>
      <c r="BI1895" s="213" t="e">
        <f t="shared" si="781"/>
        <v>#DIV/0!</v>
      </c>
      <c r="BJ1895" s="165"/>
      <c r="BK1895" s="201"/>
      <c r="BL1895" s="4"/>
      <c r="BM1895" s="4"/>
    </row>
    <row r="1896" spans="1:65" s="38" customFormat="1" ht="18" customHeight="1">
      <c r="A1896" s="114">
        <v>70</v>
      </c>
      <c r="B1896" s="24" t="s">
        <v>829</v>
      </c>
      <c r="C1896" s="25" t="s">
        <v>830</v>
      </c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229">
        <f t="shared" si="782"/>
        <v>0</v>
      </c>
      <c r="AC1896" s="228">
        <f t="shared" si="777"/>
        <v>0</v>
      </c>
      <c r="AD1896" s="19">
        <v>0</v>
      </c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29">
        <f t="shared" si="783"/>
        <v>0</v>
      </c>
      <c r="BD1896" s="48">
        <f t="shared" si="778"/>
        <v>0</v>
      </c>
      <c r="BE1896" s="19">
        <v>1</v>
      </c>
      <c r="BF1896" s="229">
        <f t="shared" si="784"/>
        <v>0</v>
      </c>
      <c r="BG1896" s="210">
        <f t="shared" si="779"/>
        <v>0</v>
      </c>
      <c r="BH1896" s="210">
        <f t="shared" si="780"/>
        <v>1</v>
      </c>
      <c r="BI1896" s="213">
        <f t="shared" si="781"/>
        <v>0</v>
      </c>
      <c r="BJ1896" s="141"/>
      <c r="BK1896" s="201"/>
      <c r="BL1896" s="4"/>
      <c r="BM1896" s="4"/>
    </row>
    <row r="1897" spans="1:65" s="38" customFormat="1" ht="18" customHeight="1">
      <c r="A1897" s="114">
        <v>71</v>
      </c>
      <c r="B1897" s="24" t="s">
        <v>630</v>
      </c>
      <c r="C1897" s="25" t="s">
        <v>631</v>
      </c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229">
        <f t="shared" si="782"/>
        <v>0</v>
      </c>
      <c r="AC1897" s="228">
        <f t="shared" si="777"/>
        <v>0</v>
      </c>
      <c r="AD1897" s="19">
        <v>0</v>
      </c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>
        <v>1</v>
      </c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>
        <v>1</v>
      </c>
      <c r="BC1897" s="229">
        <f t="shared" si="783"/>
        <v>0</v>
      </c>
      <c r="BD1897" s="48">
        <f t="shared" si="778"/>
        <v>2</v>
      </c>
      <c r="BE1897" s="19">
        <v>1</v>
      </c>
      <c r="BF1897" s="229">
        <f t="shared" si="784"/>
        <v>0</v>
      </c>
      <c r="BG1897" s="210">
        <f t="shared" si="779"/>
        <v>2</v>
      </c>
      <c r="BH1897" s="210">
        <f t="shared" si="780"/>
        <v>1</v>
      </c>
      <c r="BI1897" s="213">
        <f t="shared" si="781"/>
        <v>200</v>
      </c>
      <c r="BJ1897" s="141"/>
      <c r="BK1897" s="201"/>
      <c r="BL1897" s="4"/>
      <c r="BM1897" s="4"/>
    </row>
    <row r="1898" spans="1:65" s="38" customFormat="1" ht="18" customHeight="1">
      <c r="A1898" s="114">
        <v>72</v>
      </c>
      <c r="B1898" s="24" t="s">
        <v>770</v>
      </c>
      <c r="C1898" s="25" t="s">
        <v>771</v>
      </c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229">
        <f t="shared" si="782"/>
        <v>0</v>
      </c>
      <c r="AC1898" s="228">
        <f t="shared" si="777"/>
        <v>0</v>
      </c>
      <c r="AD1898" s="19">
        <v>0</v>
      </c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29">
        <f t="shared" si="783"/>
        <v>0</v>
      </c>
      <c r="BD1898" s="48">
        <f t="shared" si="778"/>
        <v>0</v>
      </c>
      <c r="BE1898" s="19">
        <v>1</v>
      </c>
      <c r="BF1898" s="229">
        <f t="shared" si="784"/>
        <v>0</v>
      </c>
      <c r="BG1898" s="210">
        <f t="shared" si="779"/>
        <v>0</v>
      </c>
      <c r="BH1898" s="210">
        <f t="shared" si="780"/>
        <v>1</v>
      </c>
      <c r="BI1898" s="213">
        <f t="shared" si="781"/>
        <v>0</v>
      </c>
      <c r="BJ1898" s="141"/>
      <c r="BK1898" s="201"/>
      <c r="BL1898" s="4"/>
      <c r="BM1898" s="4"/>
    </row>
    <row r="1899" spans="1:65" s="38" customFormat="1" ht="18" customHeight="1">
      <c r="A1899" s="114">
        <v>73</v>
      </c>
      <c r="B1899" s="24" t="s">
        <v>1009</v>
      </c>
      <c r="C1899" s="183" t="s">
        <v>2423</v>
      </c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229">
        <f t="shared" si="782"/>
        <v>0</v>
      </c>
      <c r="AC1899" s="228">
        <f t="shared" si="777"/>
        <v>0</v>
      </c>
      <c r="AD1899" s="19">
        <v>0</v>
      </c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29">
        <f t="shared" si="783"/>
        <v>0</v>
      </c>
      <c r="BD1899" s="48">
        <f t="shared" si="778"/>
        <v>0</v>
      </c>
      <c r="BE1899" s="19">
        <v>1</v>
      </c>
      <c r="BF1899" s="229">
        <f t="shared" si="784"/>
        <v>0</v>
      </c>
      <c r="BG1899" s="210">
        <f t="shared" si="779"/>
        <v>0</v>
      </c>
      <c r="BH1899" s="210">
        <f t="shared" si="780"/>
        <v>1</v>
      </c>
      <c r="BI1899" s="213">
        <f t="shared" si="781"/>
        <v>0</v>
      </c>
      <c r="BJ1899" s="141"/>
      <c r="BK1899" s="201"/>
      <c r="BL1899" s="4"/>
      <c r="BM1899" s="4"/>
    </row>
    <row r="1900" spans="1:65" s="38" customFormat="1" ht="18" customHeight="1">
      <c r="A1900" s="114">
        <v>74</v>
      </c>
      <c r="B1900" s="24" t="s">
        <v>632</v>
      </c>
      <c r="C1900" s="25" t="s">
        <v>633</v>
      </c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229">
        <f t="shared" si="782"/>
        <v>0</v>
      </c>
      <c r="AC1900" s="228">
        <f t="shared" si="777"/>
        <v>0</v>
      </c>
      <c r="AD1900" s="19">
        <v>0</v>
      </c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>
        <v>7</v>
      </c>
      <c r="BC1900" s="229">
        <f t="shared" si="783"/>
        <v>0</v>
      </c>
      <c r="BD1900" s="48">
        <f t="shared" si="778"/>
        <v>7</v>
      </c>
      <c r="BE1900" s="19">
        <v>1</v>
      </c>
      <c r="BF1900" s="229">
        <f t="shared" si="784"/>
        <v>0</v>
      </c>
      <c r="BG1900" s="210">
        <f t="shared" si="779"/>
        <v>7</v>
      </c>
      <c r="BH1900" s="210">
        <f t="shared" si="780"/>
        <v>1</v>
      </c>
      <c r="BI1900" s="213">
        <f t="shared" si="781"/>
        <v>700</v>
      </c>
      <c r="BJ1900" s="141"/>
      <c r="BK1900" s="201"/>
      <c r="BL1900" s="4"/>
      <c r="BM1900" s="4"/>
    </row>
    <row r="1901" spans="1:65" s="38" customFormat="1" ht="18" customHeight="1">
      <c r="A1901" s="114">
        <v>75</v>
      </c>
      <c r="B1901" s="24" t="s">
        <v>634</v>
      </c>
      <c r="C1901" s="25" t="s">
        <v>696</v>
      </c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229">
        <f t="shared" si="782"/>
        <v>0</v>
      </c>
      <c r="AC1901" s="228">
        <f t="shared" si="777"/>
        <v>0</v>
      </c>
      <c r="AD1901" s="19">
        <v>1</v>
      </c>
      <c r="AE1901" s="28"/>
      <c r="AF1901" s="28"/>
      <c r="AG1901" s="28"/>
      <c r="AH1901" s="28"/>
      <c r="AI1901" s="28"/>
      <c r="AJ1901" s="28">
        <v>10</v>
      </c>
      <c r="AK1901" s="28"/>
      <c r="AL1901" s="28"/>
      <c r="AM1901" s="28"/>
      <c r="AN1901" s="28"/>
      <c r="AO1901" s="28"/>
      <c r="AP1901" s="28">
        <f>3+13</f>
        <v>16</v>
      </c>
      <c r="AQ1901" s="28"/>
      <c r="AR1901" s="28"/>
      <c r="AS1901" s="28"/>
      <c r="AT1901" s="28"/>
      <c r="AU1901" s="28"/>
      <c r="AV1901" s="28">
        <f>1+8</f>
        <v>9</v>
      </c>
      <c r="AW1901" s="28"/>
      <c r="AX1901" s="28"/>
      <c r="AY1901" s="28"/>
      <c r="AZ1901" s="28"/>
      <c r="BA1901" s="28"/>
      <c r="BB1901" s="28">
        <f>3+1+7</f>
        <v>11</v>
      </c>
      <c r="BC1901" s="229">
        <f t="shared" si="783"/>
        <v>0</v>
      </c>
      <c r="BD1901" s="48">
        <f t="shared" si="778"/>
        <v>46</v>
      </c>
      <c r="BE1901" s="19">
        <v>5</v>
      </c>
      <c r="BF1901" s="229">
        <f t="shared" si="784"/>
        <v>0</v>
      </c>
      <c r="BG1901" s="210">
        <f t="shared" si="779"/>
        <v>46</v>
      </c>
      <c r="BH1901" s="210">
        <f t="shared" si="780"/>
        <v>6</v>
      </c>
      <c r="BI1901" s="213">
        <f t="shared" si="781"/>
        <v>766.66666666666674</v>
      </c>
      <c r="BJ1901" s="141"/>
      <c r="BK1901" s="201"/>
      <c r="BL1901" s="4"/>
      <c r="BM1901" s="4"/>
    </row>
    <row r="1902" spans="1:65" s="38" customFormat="1" ht="18" customHeight="1">
      <c r="A1902" s="114">
        <v>76</v>
      </c>
      <c r="B1902" s="24" t="s">
        <v>636</v>
      </c>
      <c r="C1902" s="25" t="s">
        <v>637</v>
      </c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229">
        <f t="shared" si="782"/>
        <v>0</v>
      </c>
      <c r="AC1902" s="228">
        <f t="shared" si="777"/>
        <v>0</v>
      </c>
      <c r="AD1902" s="19">
        <v>0</v>
      </c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29">
        <f t="shared" si="783"/>
        <v>0</v>
      </c>
      <c r="BD1902" s="48">
        <f t="shared" si="778"/>
        <v>0</v>
      </c>
      <c r="BE1902" s="19">
        <v>1</v>
      </c>
      <c r="BF1902" s="229">
        <f t="shared" si="784"/>
        <v>0</v>
      </c>
      <c r="BG1902" s="210">
        <f t="shared" si="779"/>
        <v>0</v>
      </c>
      <c r="BH1902" s="210">
        <f t="shared" si="780"/>
        <v>1</v>
      </c>
      <c r="BI1902" s="213">
        <f t="shared" si="781"/>
        <v>0</v>
      </c>
      <c r="BJ1902" s="141"/>
      <c r="BK1902" s="201"/>
      <c r="BL1902" s="4"/>
      <c r="BM1902" s="4"/>
    </row>
    <row r="1903" spans="1:65" s="38" customFormat="1" ht="18" customHeight="1">
      <c r="A1903" s="114">
        <v>77</v>
      </c>
      <c r="B1903" s="24" t="s">
        <v>638</v>
      </c>
      <c r="C1903" s="25" t="s">
        <v>639</v>
      </c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229">
        <f t="shared" si="782"/>
        <v>0</v>
      </c>
      <c r="AC1903" s="228">
        <f t="shared" si="777"/>
        <v>0</v>
      </c>
      <c r="AD1903" s="19">
        <v>0</v>
      </c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29">
        <f t="shared" si="783"/>
        <v>0</v>
      </c>
      <c r="BD1903" s="48">
        <f t="shared" si="778"/>
        <v>0</v>
      </c>
      <c r="BE1903" s="19">
        <v>1</v>
      </c>
      <c r="BF1903" s="229">
        <f t="shared" si="784"/>
        <v>0</v>
      </c>
      <c r="BG1903" s="210">
        <f t="shared" si="779"/>
        <v>0</v>
      </c>
      <c r="BH1903" s="210">
        <f t="shared" si="780"/>
        <v>1</v>
      </c>
      <c r="BI1903" s="213">
        <f t="shared" si="781"/>
        <v>0</v>
      </c>
      <c r="BJ1903" s="141"/>
      <c r="BK1903" s="201"/>
      <c r="BL1903" s="4"/>
      <c r="BM1903" s="4"/>
    </row>
    <row r="1904" spans="1:65" s="38" customFormat="1" ht="18" customHeight="1">
      <c r="A1904" s="114">
        <v>78</v>
      </c>
      <c r="B1904" s="24" t="s">
        <v>643</v>
      </c>
      <c r="C1904" s="25" t="s">
        <v>722</v>
      </c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229">
        <f t="shared" si="782"/>
        <v>0</v>
      </c>
      <c r="AC1904" s="228">
        <f t="shared" si="777"/>
        <v>0</v>
      </c>
      <c r="AD1904" s="19">
        <v>0</v>
      </c>
      <c r="AE1904" s="28"/>
      <c r="AF1904" s="28"/>
      <c r="AG1904" s="28"/>
      <c r="AH1904" s="28"/>
      <c r="AI1904" s="28"/>
      <c r="AJ1904" s="28">
        <v>3</v>
      </c>
      <c r="AK1904" s="28"/>
      <c r="AL1904" s="28"/>
      <c r="AM1904" s="28"/>
      <c r="AN1904" s="28"/>
      <c r="AO1904" s="28"/>
      <c r="AP1904" s="28">
        <v>5</v>
      </c>
      <c r="AQ1904" s="28"/>
      <c r="AR1904" s="28"/>
      <c r="AS1904" s="28"/>
      <c r="AT1904" s="28"/>
      <c r="AU1904" s="28"/>
      <c r="AV1904" s="28">
        <v>5</v>
      </c>
      <c r="AW1904" s="28"/>
      <c r="AX1904" s="28"/>
      <c r="AY1904" s="28"/>
      <c r="AZ1904" s="28"/>
      <c r="BA1904" s="28"/>
      <c r="BB1904" s="28">
        <v>3</v>
      </c>
      <c r="BC1904" s="229">
        <f t="shared" si="783"/>
        <v>0</v>
      </c>
      <c r="BD1904" s="48">
        <f t="shared" si="778"/>
        <v>16</v>
      </c>
      <c r="BE1904" s="19">
        <v>1</v>
      </c>
      <c r="BF1904" s="229">
        <f t="shared" si="784"/>
        <v>0</v>
      </c>
      <c r="BG1904" s="210">
        <f t="shared" si="779"/>
        <v>16</v>
      </c>
      <c r="BH1904" s="210">
        <f t="shared" si="780"/>
        <v>1</v>
      </c>
      <c r="BI1904" s="213">
        <f t="shared" si="781"/>
        <v>1600</v>
      </c>
      <c r="BJ1904" s="141"/>
      <c r="BK1904" s="201"/>
      <c r="BL1904" s="4"/>
      <c r="BM1904" s="4"/>
    </row>
    <row r="1905" spans="1:65" s="38" customFormat="1" ht="18" customHeight="1">
      <c r="A1905" s="114">
        <v>79</v>
      </c>
      <c r="B1905" s="24" t="s">
        <v>773</v>
      </c>
      <c r="C1905" s="25" t="s">
        <v>1159</v>
      </c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229"/>
      <c r="AC1905" s="228">
        <f t="shared" si="777"/>
        <v>0</v>
      </c>
      <c r="AD1905" s="19">
        <v>0</v>
      </c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>
        <v>1</v>
      </c>
      <c r="AW1905" s="28"/>
      <c r="AX1905" s="28"/>
      <c r="AY1905" s="28"/>
      <c r="AZ1905" s="28"/>
      <c r="BA1905" s="28"/>
      <c r="BB1905" s="28"/>
      <c r="BC1905" s="229"/>
      <c r="BD1905" s="48">
        <f t="shared" si="778"/>
        <v>1</v>
      </c>
      <c r="BE1905" s="19">
        <v>0</v>
      </c>
      <c r="BF1905" s="229"/>
      <c r="BG1905" s="210">
        <f t="shared" si="779"/>
        <v>1</v>
      </c>
      <c r="BH1905" s="210">
        <f t="shared" si="780"/>
        <v>0</v>
      </c>
      <c r="BI1905" s="213" t="e">
        <f t="shared" si="781"/>
        <v>#DIV/0!</v>
      </c>
      <c r="BJ1905" s="141"/>
      <c r="BK1905" s="201"/>
      <c r="BL1905" s="4"/>
      <c r="BM1905" s="4"/>
    </row>
    <row r="1906" spans="1:65" s="38" customFormat="1" ht="18" customHeight="1">
      <c r="A1906" s="114">
        <v>80</v>
      </c>
      <c r="B1906" s="24" t="s">
        <v>644</v>
      </c>
      <c r="C1906" s="25" t="s">
        <v>645</v>
      </c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229">
        <f t="shared" ref="AB1906:AB1937" si="785">D1906+F1906+H1906+J1906+L1906+N1906+P1906+R1906+T1906+V1906+X1906+Z1906</f>
        <v>0</v>
      </c>
      <c r="AC1906" s="228">
        <f t="shared" si="777"/>
        <v>0</v>
      </c>
      <c r="AD1906" s="19">
        <v>0</v>
      </c>
      <c r="AE1906" s="28"/>
      <c r="AF1906" s="28"/>
      <c r="AG1906" s="28"/>
      <c r="AH1906" s="28"/>
      <c r="AI1906" s="28"/>
      <c r="AJ1906" s="28">
        <v>2</v>
      </c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>
        <v>4</v>
      </c>
      <c r="AW1906" s="28"/>
      <c r="AX1906" s="28"/>
      <c r="AY1906" s="28"/>
      <c r="AZ1906" s="28"/>
      <c r="BA1906" s="28"/>
      <c r="BB1906" s="28">
        <f>2+2</f>
        <v>4</v>
      </c>
      <c r="BC1906" s="229">
        <f t="shared" ref="BC1906:BC1937" si="786">AE1906+AG1906+AI1906+AK1906+AM1906+AO1906+AQ1906+AS1906+AU1906+AW1906+AY1906+BA1906</f>
        <v>0</v>
      </c>
      <c r="BD1906" s="48">
        <f t="shared" si="778"/>
        <v>10</v>
      </c>
      <c r="BE1906" s="19">
        <v>7</v>
      </c>
      <c r="BF1906" s="229">
        <f t="shared" ref="BF1906:BF1937" si="787">AB1906+BC1906</f>
        <v>0</v>
      </c>
      <c r="BG1906" s="210">
        <f t="shared" si="779"/>
        <v>10</v>
      </c>
      <c r="BH1906" s="210">
        <f t="shared" si="780"/>
        <v>7</v>
      </c>
      <c r="BI1906" s="213">
        <f t="shared" si="781"/>
        <v>142.85714285714286</v>
      </c>
      <c r="BJ1906" s="141"/>
      <c r="BK1906" s="201"/>
      <c r="BL1906" s="4"/>
      <c r="BM1906" s="4"/>
    </row>
    <row r="1907" spans="1:65" s="38" customFormat="1" ht="18" customHeight="1">
      <c r="A1907" s="114">
        <v>81</v>
      </c>
      <c r="B1907" s="24" t="s">
        <v>646</v>
      </c>
      <c r="C1907" s="25" t="s">
        <v>647</v>
      </c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229">
        <f t="shared" si="785"/>
        <v>0</v>
      </c>
      <c r="AC1907" s="228">
        <f t="shared" si="777"/>
        <v>0</v>
      </c>
      <c r="AD1907" s="19">
        <v>0</v>
      </c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29">
        <f t="shared" si="786"/>
        <v>0</v>
      </c>
      <c r="BD1907" s="48">
        <f t="shared" si="778"/>
        <v>0</v>
      </c>
      <c r="BE1907" s="19">
        <v>1</v>
      </c>
      <c r="BF1907" s="229">
        <f t="shared" si="787"/>
        <v>0</v>
      </c>
      <c r="BG1907" s="210">
        <f t="shared" si="779"/>
        <v>0</v>
      </c>
      <c r="BH1907" s="210">
        <f t="shared" si="780"/>
        <v>1</v>
      </c>
      <c r="BI1907" s="213">
        <f t="shared" si="781"/>
        <v>0</v>
      </c>
      <c r="BJ1907" s="141"/>
      <c r="BK1907" s="201"/>
      <c r="BL1907" s="4"/>
      <c r="BM1907" s="4"/>
    </row>
    <row r="1908" spans="1:65" s="38" customFormat="1" ht="18" customHeight="1">
      <c r="A1908" s="114">
        <v>82</v>
      </c>
      <c r="B1908" s="24" t="s">
        <v>698</v>
      </c>
      <c r="C1908" s="25" t="s">
        <v>699</v>
      </c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229">
        <f t="shared" si="785"/>
        <v>0</v>
      </c>
      <c r="AC1908" s="228">
        <f t="shared" si="777"/>
        <v>0</v>
      </c>
      <c r="AD1908" s="19">
        <v>0</v>
      </c>
      <c r="AE1908" s="28"/>
      <c r="AF1908" s="28"/>
      <c r="AG1908" s="28"/>
      <c r="AH1908" s="28"/>
      <c r="AI1908" s="28"/>
      <c r="AJ1908" s="28">
        <v>82</v>
      </c>
      <c r="AK1908" s="28"/>
      <c r="AL1908" s="28"/>
      <c r="AM1908" s="28"/>
      <c r="AN1908" s="28"/>
      <c r="AO1908" s="28"/>
      <c r="AP1908" s="28">
        <v>116</v>
      </c>
      <c r="AQ1908" s="28"/>
      <c r="AR1908" s="28"/>
      <c r="AS1908" s="28"/>
      <c r="AT1908" s="28"/>
      <c r="AU1908" s="28"/>
      <c r="AV1908" s="28">
        <v>85</v>
      </c>
      <c r="AW1908" s="28"/>
      <c r="AX1908" s="28"/>
      <c r="AY1908" s="28"/>
      <c r="AZ1908" s="28"/>
      <c r="BA1908" s="28"/>
      <c r="BB1908" s="28">
        <v>108</v>
      </c>
      <c r="BC1908" s="229">
        <f t="shared" si="786"/>
        <v>0</v>
      </c>
      <c r="BD1908" s="48">
        <f t="shared" si="778"/>
        <v>391</v>
      </c>
      <c r="BE1908" s="19">
        <v>315</v>
      </c>
      <c r="BF1908" s="229">
        <f t="shared" si="787"/>
        <v>0</v>
      </c>
      <c r="BG1908" s="210">
        <f t="shared" si="779"/>
        <v>391</v>
      </c>
      <c r="BH1908" s="210">
        <f t="shared" si="780"/>
        <v>315</v>
      </c>
      <c r="BI1908" s="213">
        <f t="shared" si="781"/>
        <v>124.12698412698413</v>
      </c>
      <c r="BJ1908" s="141"/>
      <c r="BK1908" s="201"/>
      <c r="BL1908" s="4"/>
      <c r="BM1908" s="4"/>
    </row>
    <row r="1909" spans="1:65" s="38" customFormat="1" ht="18" customHeight="1">
      <c r="A1909" s="114">
        <v>83</v>
      </c>
      <c r="B1909" s="24" t="s">
        <v>648</v>
      </c>
      <c r="C1909" s="25" t="s">
        <v>649</v>
      </c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229">
        <f t="shared" si="785"/>
        <v>0</v>
      </c>
      <c r="AC1909" s="228">
        <f t="shared" si="777"/>
        <v>0</v>
      </c>
      <c r="AD1909" s="19">
        <v>0</v>
      </c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29">
        <f t="shared" si="786"/>
        <v>0</v>
      </c>
      <c r="BD1909" s="48">
        <f t="shared" si="778"/>
        <v>0</v>
      </c>
      <c r="BE1909" s="19">
        <v>1</v>
      </c>
      <c r="BF1909" s="229">
        <f t="shared" si="787"/>
        <v>0</v>
      </c>
      <c r="BG1909" s="210">
        <f t="shared" si="779"/>
        <v>0</v>
      </c>
      <c r="BH1909" s="210">
        <f t="shared" si="780"/>
        <v>1</v>
      </c>
      <c r="BI1909" s="213">
        <f t="shared" si="781"/>
        <v>0</v>
      </c>
      <c r="BJ1909" s="141"/>
      <c r="BK1909" s="201"/>
      <c r="BL1909" s="4"/>
      <c r="BM1909" s="4"/>
    </row>
    <row r="1910" spans="1:65" s="38" customFormat="1" ht="18" customHeight="1">
      <c r="A1910" s="114">
        <v>84</v>
      </c>
      <c r="B1910" s="24" t="s">
        <v>882</v>
      </c>
      <c r="C1910" s="25" t="s">
        <v>883</v>
      </c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229">
        <f t="shared" si="785"/>
        <v>0</v>
      </c>
      <c r="AC1910" s="228">
        <f t="shared" si="777"/>
        <v>0</v>
      </c>
      <c r="AD1910" s="19">
        <v>6</v>
      </c>
      <c r="AE1910" s="28"/>
      <c r="AF1910" s="28"/>
      <c r="AG1910" s="28"/>
      <c r="AH1910" s="28"/>
      <c r="AI1910" s="28"/>
      <c r="AJ1910" s="28">
        <v>30</v>
      </c>
      <c r="AK1910" s="28"/>
      <c r="AL1910" s="28"/>
      <c r="AM1910" s="28"/>
      <c r="AN1910" s="28"/>
      <c r="AO1910" s="28"/>
      <c r="AP1910" s="28">
        <v>20</v>
      </c>
      <c r="AQ1910" s="28"/>
      <c r="AR1910" s="28"/>
      <c r="AS1910" s="28"/>
      <c r="AT1910" s="28"/>
      <c r="AU1910" s="28"/>
      <c r="AV1910" s="28">
        <v>23</v>
      </c>
      <c r="AW1910" s="28"/>
      <c r="AX1910" s="28"/>
      <c r="AY1910" s="28"/>
      <c r="AZ1910" s="28"/>
      <c r="BA1910" s="28"/>
      <c r="BB1910" s="28">
        <v>6</v>
      </c>
      <c r="BC1910" s="229">
        <f t="shared" si="786"/>
        <v>0</v>
      </c>
      <c r="BD1910" s="48">
        <f t="shared" si="778"/>
        <v>79</v>
      </c>
      <c r="BE1910" s="19">
        <v>44</v>
      </c>
      <c r="BF1910" s="229">
        <f t="shared" si="787"/>
        <v>0</v>
      </c>
      <c r="BG1910" s="210">
        <f t="shared" si="779"/>
        <v>79</v>
      </c>
      <c r="BH1910" s="210">
        <f t="shared" si="780"/>
        <v>50</v>
      </c>
      <c r="BI1910" s="213">
        <f t="shared" si="781"/>
        <v>158</v>
      </c>
      <c r="BJ1910" s="141"/>
      <c r="BK1910" s="201"/>
      <c r="BL1910" s="4"/>
      <c r="BM1910" s="4"/>
    </row>
    <row r="1911" spans="1:65" s="38" customFormat="1" ht="18" customHeight="1">
      <c r="A1911" s="114">
        <v>85</v>
      </c>
      <c r="B1911" s="24" t="s">
        <v>884</v>
      </c>
      <c r="C1911" s="25" t="s">
        <v>885</v>
      </c>
      <c r="D1911" s="121"/>
      <c r="E1911" s="121"/>
      <c r="F1911" s="121"/>
      <c r="G1911" s="121"/>
      <c r="H1911" s="121"/>
      <c r="I1911" s="121">
        <f>2+2</f>
        <v>4</v>
      </c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>
        <f>2+1</f>
        <v>3</v>
      </c>
      <c r="V1911" s="121"/>
      <c r="W1911" s="121"/>
      <c r="X1911" s="121"/>
      <c r="Y1911" s="121"/>
      <c r="Z1911" s="121"/>
      <c r="AA1911" s="121">
        <v>1</v>
      </c>
      <c r="AB1911" s="229">
        <f t="shared" si="785"/>
        <v>0</v>
      </c>
      <c r="AC1911" s="228">
        <f t="shared" si="777"/>
        <v>8</v>
      </c>
      <c r="AD1911" s="19">
        <v>6</v>
      </c>
      <c r="AE1911" s="28"/>
      <c r="AF1911" s="28"/>
      <c r="AG1911" s="28"/>
      <c r="AH1911" s="28"/>
      <c r="AI1911" s="28"/>
      <c r="AJ1911" s="28">
        <f>15+18+1</f>
        <v>34</v>
      </c>
      <c r="AK1911" s="28"/>
      <c r="AL1911" s="28"/>
      <c r="AM1911" s="28"/>
      <c r="AN1911" s="28"/>
      <c r="AO1911" s="28"/>
      <c r="AP1911" s="28">
        <f>25+5+6</f>
        <v>36</v>
      </c>
      <c r="AQ1911" s="28"/>
      <c r="AR1911" s="28"/>
      <c r="AS1911" s="28"/>
      <c r="AT1911" s="28"/>
      <c r="AU1911" s="28"/>
      <c r="AV1911" s="28">
        <f>17+8+2</f>
        <v>27</v>
      </c>
      <c r="AW1911" s="28"/>
      <c r="AX1911" s="28"/>
      <c r="AY1911" s="28"/>
      <c r="AZ1911" s="28"/>
      <c r="BA1911" s="28"/>
      <c r="BB1911" s="28">
        <f>31+19+3+1</f>
        <v>54</v>
      </c>
      <c r="BC1911" s="229">
        <f t="shared" si="786"/>
        <v>0</v>
      </c>
      <c r="BD1911" s="48">
        <f t="shared" si="778"/>
        <v>151</v>
      </c>
      <c r="BE1911" s="19">
        <v>95</v>
      </c>
      <c r="BF1911" s="229">
        <f t="shared" si="787"/>
        <v>0</v>
      </c>
      <c r="BG1911" s="210">
        <f t="shared" si="779"/>
        <v>159</v>
      </c>
      <c r="BH1911" s="210">
        <f t="shared" si="780"/>
        <v>101</v>
      </c>
      <c r="BI1911" s="213">
        <f t="shared" si="781"/>
        <v>157.42574257425744</v>
      </c>
      <c r="BJ1911" s="141"/>
      <c r="BK1911" s="201"/>
      <c r="BL1911" s="4"/>
      <c r="BM1911" s="4"/>
    </row>
    <row r="1912" spans="1:65" s="38" customFormat="1" ht="18" customHeight="1">
      <c r="A1912" s="114">
        <v>86</v>
      </c>
      <c r="B1912" s="24" t="s">
        <v>1966</v>
      </c>
      <c r="C1912" s="25" t="s">
        <v>1967</v>
      </c>
      <c r="D1912" s="121"/>
      <c r="E1912" s="121"/>
      <c r="F1912" s="121"/>
      <c r="G1912" s="121"/>
      <c r="H1912" s="121"/>
      <c r="I1912" s="121">
        <v>11</v>
      </c>
      <c r="J1912" s="121"/>
      <c r="K1912" s="121"/>
      <c r="L1912" s="121"/>
      <c r="M1912" s="121"/>
      <c r="N1912" s="121"/>
      <c r="O1912" s="121">
        <f>1+17</f>
        <v>18</v>
      </c>
      <c r="P1912" s="121"/>
      <c r="Q1912" s="121"/>
      <c r="R1912" s="121"/>
      <c r="S1912" s="121"/>
      <c r="T1912" s="121"/>
      <c r="U1912" s="121">
        <v>17</v>
      </c>
      <c r="V1912" s="121"/>
      <c r="W1912" s="121"/>
      <c r="X1912" s="121"/>
      <c r="Y1912" s="121"/>
      <c r="Z1912" s="121"/>
      <c r="AA1912" s="121">
        <v>8</v>
      </c>
      <c r="AB1912" s="229">
        <f t="shared" si="785"/>
        <v>0</v>
      </c>
      <c r="AC1912" s="228">
        <f t="shared" si="777"/>
        <v>54</v>
      </c>
      <c r="AD1912" s="19">
        <v>6</v>
      </c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29">
        <f t="shared" si="786"/>
        <v>0</v>
      </c>
      <c r="BD1912" s="48">
        <f t="shared" si="778"/>
        <v>0</v>
      </c>
      <c r="BE1912" s="19">
        <v>5</v>
      </c>
      <c r="BF1912" s="229">
        <f t="shared" si="787"/>
        <v>0</v>
      </c>
      <c r="BG1912" s="210">
        <f t="shared" si="779"/>
        <v>54</v>
      </c>
      <c r="BH1912" s="210">
        <f t="shared" si="780"/>
        <v>11</v>
      </c>
      <c r="BI1912" s="213">
        <f t="shared" si="781"/>
        <v>490.90909090909093</v>
      </c>
      <c r="BJ1912" s="141"/>
      <c r="BK1912" s="201"/>
      <c r="BL1912" s="4"/>
      <c r="BM1912" s="4"/>
    </row>
    <row r="1913" spans="1:65" s="38" customFormat="1" ht="18" customHeight="1">
      <c r="A1913" s="114">
        <v>87</v>
      </c>
      <c r="B1913" s="24" t="s">
        <v>1578</v>
      </c>
      <c r="C1913" s="25" t="s">
        <v>1579</v>
      </c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229">
        <f t="shared" si="785"/>
        <v>0</v>
      </c>
      <c r="AC1913" s="228">
        <f t="shared" si="777"/>
        <v>0</v>
      </c>
      <c r="AD1913" s="19">
        <v>3</v>
      </c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29">
        <f t="shared" si="786"/>
        <v>0</v>
      </c>
      <c r="BD1913" s="48">
        <f t="shared" si="778"/>
        <v>0</v>
      </c>
      <c r="BE1913" s="19">
        <v>0</v>
      </c>
      <c r="BF1913" s="229">
        <f t="shared" si="787"/>
        <v>0</v>
      </c>
      <c r="BG1913" s="210">
        <f t="shared" si="779"/>
        <v>0</v>
      </c>
      <c r="BH1913" s="210">
        <f t="shared" si="780"/>
        <v>3</v>
      </c>
      <c r="BI1913" s="213">
        <f t="shared" si="781"/>
        <v>0</v>
      </c>
      <c r="BJ1913" s="141"/>
      <c r="BK1913" s="201"/>
      <c r="BL1913" s="4"/>
      <c r="BM1913" s="4"/>
    </row>
    <row r="1914" spans="1:65" s="38" customFormat="1" ht="18" customHeight="1">
      <c r="A1914" s="114">
        <v>88</v>
      </c>
      <c r="B1914" s="24" t="s">
        <v>886</v>
      </c>
      <c r="C1914" s="25" t="s">
        <v>887</v>
      </c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229">
        <f t="shared" si="785"/>
        <v>0</v>
      </c>
      <c r="AC1914" s="228">
        <f t="shared" si="777"/>
        <v>0</v>
      </c>
      <c r="AD1914" s="19">
        <v>0</v>
      </c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29">
        <f t="shared" si="786"/>
        <v>0</v>
      </c>
      <c r="BD1914" s="48">
        <f t="shared" si="778"/>
        <v>0</v>
      </c>
      <c r="BE1914" s="19">
        <v>3</v>
      </c>
      <c r="BF1914" s="229">
        <f t="shared" si="787"/>
        <v>0</v>
      </c>
      <c r="BG1914" s="210">
        <f t="shared" si="779"/>
        <v>0</v>
      </c>
      <c r="BH1914" s="210">
        <f t="shared" si="780"/>
        <v>3</v>
      </c>
      <c r="BI1914" s="213">
        <f t="shared" si="781"/>
        <v>0</v>
      </c>
      <c r="BJ1914" s="141"/>
      <c r="BK1914" s="201"/>
      <c r="BL1914" s="4"/>
      <c r="BM1914" s="4"/>
    </row>
    <row r="1915" spans="1:65" s="38" customFormat="1" ht="18" customHeight="1">
      <c r="A1915" s="114">
        <v>89</v>
      </c>
      <c r="B1915" s="24" t="s">
        <v>888</v>
      </c>
      <c r="C1915" s="25" t="s">
        <v>889</v>
      </c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229">
        <f t="shared" si="785"/>
        <v>0</v>
      </c>
      <c r="AC1915" s="228">
        <f t="shared" si="777"/>
        <v>0</v>
      </c>
      <c r="AD1915" s="19">
        <v>0</v>
      </c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29">
        <f t="shared" si="786"/>
        <v>0</v>
      </c>
      <c r="BD1915" s="48">
        <f t="shared" si="778"/>
        <v>0</v>
      </c>
      <c r="BE1915" s="19">
        <v>1</v>
      </c>
      <c r="BF1915" s="229">
        <f t="shared" si="787"/>
        <v>0</v>
      </c>
      <c r="BG1915" s="210">
        <f t="shared" si="779"/>
        <v>0</v>
      </c>
      <c r="BH1915" s="210">
        <f t="shared" si="780"/>
        <v>1</v>
      </c>
      <c r="BI1915" s="213">
        <f t="shared" si="781"/>
        <v>0</v>
      </c>
      <c r="BJ1915" s="141"/>
      <c r="BK1915" s="201"/>
      <c r="BL1915" s="4"/>
      <c r="BM1915" s="4"/>
    </row>
    <row r="1916" spans="1:65" s="38" customFormat="1" ht="18" customHeight="1">
      <c r="A1916" s="114">
        <v>90</v>
      </c>
      <c r="B1916" s="24" t="s">
        <v>890</v>
      </c>
      <c r="C1916" s="25" t="s">
        <v>1734</v>
      </c>
      <c r="D1916" s="121"/>
      <c r="E1916" s="121"/>
      <c r="F1916" s="121"/>
      <c r="G1916" s="121"/>
      <c r="H1916" s="121"/>
      <c r="I1916" s="121">
        <v>12</v>
      </c>
      <c r="J1916" s="121"/>
      <c r="K1916" s="121"/>
      <c r="L1916" s="121"/>
      <c r="M1916" s="121"/>
      <c r="N1916" s="121"/>
      <c r="O1916" s="121">
        <v>17</v>
      </c>
      <c r="P1916" s="121"/>
      <c r="Q1916" s="121"/>
      <c r="R1916" s="121"/>
      <c r="S1916" s="121"/>
      <c r="T1916" s="121"/>
      <c r="U1916" s="121">
        <v>17</v>
      </c>
      <c r="V1916" s="121"/>
      <c r="W1916" s="121"/>
      <c r="X1916" s="121"/>
      <c r="Y1916" s="121"/>
      <c r="Z1916" s="121"/>
      <c r="AA1916" s="121">
        <v>10</v>
      </c>
      <c r="AB1916" s="229">
        <f t="shared" si="785"/>
        <v>0</v>
      </c>
      <c r="AC1916" s="228">
        <f t="shared" si="777"/>
        <v>56</v>
      </c>
      <c r="AD1916" s="19">
        <v>48</v>
      </c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29">
        <f t="shared" si="786"/>
        <v>0</v>
      </c>
      <c r="BD1916" s="48">
        <f t="shared" si="778"/>
        <v>0</v>
      </c>
      <c r="BE1916" s="19">
        <v>0</v>
      </c>
      <c r="BF1916" s="229">
        <f t="shared" si="787"/>
        <v>0</v>
      </c>
      <c r="BG1916" s="210">
        <f t="shared" si="779"/>
        <v>56</v>
      </c>
      <c r="BH1916" s="210">
        <f t="shared" si="780"/>
        <v>48</v>
      </c>
      <c r="BI1916" s="213">
        <f t="shared" si="781"/>
        <v>116.66666666666667</v>
      </c>
      <c r="BJ1916" s="141"/>
      <c r="BK1916" s="201"/>
      <c r="BL1916" s="4"/>
      <c r="BM1916" s="4"/>
    </row>
    <row r="1917" spans="1:65" s="38" customFormat="1" ht="18" customHeight="1">
      <c r="A1917" s="114">
        <v>91</v>
      </c>
      <c r="B1917" s="24" t="s">
        <v>835</v>
      </c>
      <c r="C1917" s="25" t="s">
        <v>1962</v>
      </c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229">
        <f t="shared" si="785"/>
        <v>0</v>
      </c>
      <c r="AC1917" s="228">
        <f t="shared" si="777"/>
        <v>0</v>
      </c>
      <c r="AD1917" s="19">
        <v>0</v>
      </c>
      <c r="AE1917" s="28"/>
      <c r="AF1917" s="28"/>
      <c r="AG1917" s="28"/>
      <c r="AH1917" s="28"/>
      <c r="AI1917" s="28"/>
      <c r="AJ1917" s="28">
        <v>34</v>
      </c>
      <c r="AK1917" s="28"/>
      <c r="AL1917" s="28"/>
      <c r="AM1917" s="28"/>
      <c r="AN1917" s="28"/>
      <c r="AO1917" s="28"/>
      <c r="AP1917" s="28">
        <f>47+1</f>
        <v>48</v>
      </c>
      <c r="AQ1917" s="28"/>
      <c r="AR1917" s="28"/>
      <c r="AS1917" s="28"/>
      <c r="AT1917" s="28"/>
      <c r="AU1917" s="28"/>
      <c r="AV1917" s="28">
        <v>34</v>
      </c>
      <c r="AW1917" s="28"/>
      <c r="AX1917" s="28"/>
      <c r="AY1917" s="28"/>
      <c r="AZ1917" s="28"/>
      <c r="BA1917" s="28"/>
      <c r="BB1917" s="28">
        <v>43</v>
      </c>
      <c r="BC1917" s="229">
        <f t="shared" si="786"/>
        <v>0</v>
      </c>
      <c r="BD1917" s="48">
        <f t="shared" si="778"/>
        <v>159</v>
      </c>
      <c r="BE1917" s="19">
        <v>138</v>
      </c>
      <c r="BF1917" s="229">
        <f t="shared" si="787"/>
        <v>0</v>
      </c>
      <c r="BG1917" s="210">
        <f t="shared" si="779"/>
        <v>159</v>
      </c>
      <c r="BH1917" s="210">
        <f t="shared" si="780"/>
        <v>138</v>
      </c>
      <c r="BI1917" s="213">
        <f t="shared" si="781"/>
        <v>115.21739130434783</v>
      </c>
      <c r="BJ1917" s="141"/>
      <c r="BK1917" s="201"/>
      <c r="BL1917" s="4"/>
      <c r="BM1917" s="4"/>
    </row>
    <row r="1918" spans="1:65" s="38" customFormat="1" ht="18" customHeight="1">
      <c r="A1918" s="114">
        <v>92</v>
      </c>
      <c r="B1918" s="24" t="s">
        <v>891</v>
      </c>
      <c r="C1918" s="25" t="s">
        <v>2447</v>
      </c>
      <c r="D1918" s="121"/>
      <c r="E1918" s="121"/>
      <c r="F1918" s="121"/>
      <c r="G1918" s="121"/>
      <c r="H1918" s="121"/>
      <c r="I1918" s="121">
        <v>112</v>
      </c>
      <c r="J1918" s="121"/>
      <c r="K1918" s="121"/>
      <c r="L1918" s="121"/>
      <c r="M1918" s="121"/>
      <c r="N1918" s="121"/>
      <c r="O1918" s="121">
        <v>88</v>
      </c>
      <c r="P1918" s="121"/>
      <c r="Q1918" s="121"/>
      <c r="R1918" s="121"/>
      <c r="S1918" s="121"/>
      <c r="T1918" s="121"/>
      <c r="U1918" s="121">
        <v>85</v>
      </c>
      <c r="V1918" s="121"/>
      <c r="W1918" s="121"/>
      <c r="X1918" s="121"/>
      <c r="Y1918" s="121"/>
      <c r="Z1918" s="121"/>
      <c r="AA1918" s="121">
        <v>103</v>
      </c>
      <c r="AB1918" s="229">
        <f t="shared" si="785"/>
        <v>0</v>
      </c>
      <c r="AC1918" s="228">
        <f t="shared" si="777"/>
        <v>388</v>
      </c>
      <c r="AD1918" s="19">
        <v>298</v>
      </c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29">
        <f t="shared" si="786"/>
        <v>0</v>
      </c>
      <c r="BD1918" s="48">
        <f t="shared" si="778"/>
        <v>0</v>
      </c>
      <c r="BE1918" s="19">
        <v>0</v>
      </c>
      <c r="BF1918" s="229">
        <f t="shared" si="787"/>
        <v>0</v>
      </c>
      <c r="BG1918" s="210">
        <f t="shared" si="779"/>
        <v>388</v>
      </c>
      <c r="BH1918" s="210">
        <f t="shared" si="780"/>
        <v>298</v>
      </c>
      <c r="BI1918" s="213">
        <f t="shared" si="781"/>
        <v>130.20134228187919</v>
      </c>
      <c r="BJ1918" s="141"/>
      <c r="BK1918" s="201"/>
      <c r="BL1918" s="4"/>
      <c r="BM1918" s="4"/>
    </row>
    <row r="1919" spans="1:65" s="38" customFormat="1" ht="18" customHeight="1">
      <c r="A1919" s="114">
        <v>93</v>
      </c>
      <c r="B1919" s="24" t="s">
        <v>1395</v>
      </c>
      <c r="C1919" s="25" t="s">
        <v>1404</v>
      </c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229">
        <f t="shared" si="785"/>
        <v>0</v>
      </c>
      <c r="AC1919" s="228">
        <f t="shared" si="777"/>
        <v>0</v>
      </c>
      <c r="AD1919" s="19">
        <v>0</v>
      </c>
      <c r="AE1919" s="28"/>
      <c r="AF1919" s="28"/>
      <c r="AG1919" s="28"/>
      <c r="AH1919" s="28"/>
      <c r="AI1919" s="28"/>
      <c r="AJ1919" s="28">
        <v>22</v>
      </c>
      <c r="AK1919" s="28"/>
      <c r="AL1919" s="28"/>
      <c r="AM1919" s="28"/>
      <c r="AN1919" s="28"/>
      <c r="AO1919" s="28"/>
      <c r="AP1919" s="28">
        <v>24</v>
      </c>
      <c r="AQ1919" s="28"/>
      <c r="AR1919" s="28"/>
      <c r="AS1919" s="28"/>
      <c r="AT1919" s="28"/>
      <c r="AU1919" s="28"/>
      <c r="AV1919" s="28">
        <v>23</v>
      </c>
      <c r="AW1919" s="28"/>
      <c r="AX1919" s="28"/>
      <c r="AY1919" s="28"/>
      <c r="AZ1919" s="28"/>
      <c r="BA1919" s="28"/>
      <c r="BB1919" s="28">
        <v>25</v>
      </c>
      <c r="BC1919" s="229">
        <f t="shared" si="786"/>
        <v>0</v>
      </c>
      <c r="BD1919" s="48">
        <f t="shared" si="778"/>
        <v>94</v>
      </c>
      <c r="BE1919" s="19">
        <v>116</v>
      </c>
      <c r="BF1919" s="229">
        <f t="shared" si="787"/>
        <v>0</v>
      </c>
      <c r="BG1919" s="210">
        <f t="shared" si="779"/>
        <v>94</v>
      </c>
      <c r="BH1919" s="210">
        <f t="shared" si="780"/>
        <v>116</v>
      </c>
      <c r="BI1919" s="213">
        <f t="shared" si="781"/>
        <v>81.034482758620683</v>
      </c>
      <c r="BJ1919" s="141"/>
      <c r="BK1919" s="201"/>
      <c r="BL1919" s="4"/>
      <c r="BM1919" s="4"/>
    </row>
    <row r="1920" spans="1:65" s="38" customFormat="1" ht="18" customHeight="1">
      <c r="A1920" s="114">
        <v>94</v>
      </c>
      <c r="B1920" s="24" t="s">
        <v>892</v>
      </c>
      <c r="C1920" s="25" t="s">
        <v>893</v>
      </c>
      <c r="D1920" s="121"/>
      <c r="E1920" s="121"/>
      <c r="F1920" s="121"/>
      <c r="G1920" s="121"/>
      <c r="H1920" s="121"/>
      <c r="I1920" s="121">
        <f>8+12</f>
        <v>20</v>
      </c>
      <c r="J1920" s="121"/>
      <c r="K1920" s="121"/>
      <c r="L1920" s="121"/>
      <c r="M1920" s="121"/>
      <c r="N1920" s="121"/>
      <c r="O1920" s="121">
        <f>20+17</f>
        <v>37</v>
      </c>
      <c r="P1920" s="121"/>
      <c r="Q1920" s="121"/>
      <c r="R1920" s="121"/>
      <c r="S1920" s="121"/>
      <c r="T1920" s="121"/>
      <c r="U1920" s="121">
        <f>22+7</f>
        <v>29</v>
      </c>
      <c r="V1920" s="121"/>
      <c r="W1920" s="121"/>
      <c r="X1920" s="121"/>
      <c r="Y1920" s="121"/>
      <c r="Z1920" s="121"/>
      <c r="AA1920" s="121">
        <f>17+3</f>
        <v>20</v>
      </c>
      <c r="AB1920" s="229">
        <f t="shared" si="785"/>
        <v>0</v>
      </c>
      <c r="AC1920" s="228">
        <f t="shared" si="777"/>
        <v>106</v>
      </c>
      <c r="AD1920" s="19">
        <v>127</v>
      </c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>
        <f>4+1</f>
        <v>5</v>
      </c>
      <c r="AQ1920" s="28"/>
      <c r="AR1920" s="28"/>
      <c r="AS1920" s="28"/>
      <c r="AT1920" s="28"/>
      <c r="AU1920" s="28"/>
      <c r="AV1920" s="28">
        <v>3</v>
      </c>
      <c r="AW1920" s="28"/>
      <c r="AX1920" s="28"/>
      <c r="AY1920" s="28"/>
      <c r="AZ1920" s="28"/>
      <c r="BA1920" s="28"/>
      <c r="BB1920" s="28"/>
      <c r="BC1920" s="229">
        <f t="shared" si="786"/>
        <v>0</v>
      </c>
      <c r="BD1920" s="48">
        <f t="shared" si="778"/>
        <v>8</v>
      </c>
      <c r="BE1920" s="19">
        <v>5</v>
      </c>
      <c r="BF1920" s="229">
        <f t="shared" si="787"/>
        <v>0</v>
      </c>
      <c r="BG1920" s="210">
        <f t="shared" si="779"/>
        <v>114</v>
      </c>
      <c r="BH1920" s="210">
        <f t="shared" si="780"/>
        <v>132</v>
      </c>
      <c r="BI1920" s="213">
        <f t="shared" si="781"/>
        <v>86.36363636363636</v>
      </c>
      <c r="BJ1920" s="141"/>
      <c r="BK1920" s="201"/>
      <c r="BL1920" s="4"/>
      <c r="BM1920" s="4"/>
    </row>
    <row r="1921" spans="1:65" s="38" customFormat="1" ht="18" customHeight="1">
      <c r="A1921" s="114">
        <v>95</v>
      </c>
      <c r="B1921" s="24" t="s">
        <v>651</v>
      </c>
      <c r="C1921" s="25" t="s">
        <v>1453</v>
      </c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229">
        <f t="shared" si="785"/>
        <v>0</v>
      </c>
      <c r="AC1921" s="228">
        <f t="shared" si="777"/>
        <v>0</v>
      </c>
      <c r="AD1921" s="19">
        <v>1</v>
      </c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29">
        <f t="shared" si="786"/>
        <v>0</v>
      </c>
      <c r="BD1921" s="48">
        <f t="shared" si="778"/>
        <v>0</v>
      </c>
      <c r="BE1921" s="19">
        <v>1</v>
      </c>
      <c r="BF1921" s="229">
        <f t="shared" si="787"/>
        <v>0</v>
      </c>
      <c r="BG1921" s="210">
        <f t="shared" si="779"/>
        <v>0</v>
      </c>
      <c r="BH1921" s="210">
        <f t="shared" si="780"/>
        <v>2</v>
      </c>
      <c r="BI1921" s="213">
        <f t="shared" si="781"/>
        <v>0</v>
      </c>
      <c r="BJ1921" s="141"/>
      <c r="BK1921" s="201"/>
      <c r="BL1921" s="4"/>
      <c r="BM1921" s="4"/>
    </row>
    <row r="1922" spans="1:65" s="38" customFormat="1" ht="18" customHeight="1">
      <c r="A1922" s="114">
        <v>96</v>
      </c>
      <c r="B1922" s="24" t="s">
        <v>814</v>
      </c>
      <c r="C1922" s="25" t="s">
        <v>815</v>
      </c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229">
        <f t="shared" si="785"/>
        <v>0</v>
      </c>
      <c r="AC1922" s="228">
        <f t="shared" si="777"/>
        <v>0</v>
      </c>
      <c r="AD1922" s="19">
        <v>1</v>
      </c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29">
        <f t="shared" si="786"/>
        <v>0</v>
      </c>
      <c r="BD1922" s="48">
        <f t="shared" si="778"/>
        <v>0</v>
      </c>
      <c r="BE1922" s="19">
        <v>1</v>
      </c>
      <c r="BF1922" s="229">
        <f t="shared" si="787"/>
        <v>0</v>
      </c>
      <c r="BG1922" s="210">
        <f t="shared" si="779"/>
        <v>0</v>
      </c>
      <c r="BH1922" s="210">
        <f t="shared" si="780"/>
        <v>2</v>
      </c>
      <c r="BI1922" s="213">
        <f t="shared" si="781"/>
        <v>0</v>
      </c>
      <c r="BJ1922" s="141"/>
      <c r="BK1922" s="201"/>
      <c r="BL1922" s="4"/>
      <c r="BM1922" s="4"/>
    </row>
    <row r="1923" spans="1:65" s="38" customFormat="1" ht="18" customHeight="1">
      <c r="A1923" s="114">
        <v>97</v>
      </c>
      <c r="B1923" s="24" t="s">
        <v>1014</v>
      </c>
      <c r="C1923" s="25" t="s">
        <v>1376</v>
      </c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229">
        <f t="shared" si="785"/>
        <v>0</v>
      </c>
      <c r="AC1923" s="228">
        <f t="shared" ref="AC1923:AC1954" si="788">E1923+G1923+I1923+K1923+M1923+O1923+Q1923+S1923+U1923+W1923+Y1923+AA1923</f>
        <v>0</v>
      </c>
      <c r="AD1923" s="19">
        <v>0</v>
      </c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29">
        <f t="shared" si="786"/>
        <v>0</v>
      </c>
      <c r="BD1923" s="48">
        <f t="shared" ref="BD1923:BD1954" si="789">AF1923+AH1923+AJ1923+AL1923+AN1923+AP1923+AR1923+AT1923+AV1923+AX1923+AZ1923+BB1923</f>
        <v>0</v>
      </c>
      <c r="BE1923" s="19">
        <v>1</v>
      </c>
      <c r="BF1923" s="229">
        <f t="shared" si="787"/>
        <v>0</v>
      </c>
      <c r="BG1923" s="210">
        <f t="shared" ref="BG1923:BG1954" si="790">AC1923+BD1923</f>
        <v>0</v>
      </c>
      <c r="BH1923" s="210">
        <f t="shared" ref="BH1923:BH1954" si="791">AD1923+BE1923</f>
        <v>1</v>
      </c>
      <c r="BI1923" s="213">
        <f t="shared" ref="BI1923:BI1954" si="792">BG1923/BH1923*100</f>
        <v>0</v>
      </c>
      <c r="BJ1923" s="141"/>
      <c r="BK1923" s="201"/>
      <c r="BL1923" s="4"/>
      <c r="BM1923" s="4"/>
    </row>
    <row r="1924" spans="1:65" s="38" customFormat="1" ht="18" customHeight="1">
      <c r="A1924" s="114">
        <v>98</v>
      </c>
      <c r="B1924" s="24" t="s">
        <v>927</v>
      </c>
      <c r="C1924" s="25" t="s">
        <v>1392</v>
      </c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229">
        <f t="shared" si="785"/>
        <v>0</v>
      </c>
      <c r="AC1924" s="228">
        <f t="shared" si="788"/>
        <v>0</v>
      </c>
      <c r="AD1924" s="19">
        <v>0</v>
      </c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29">
        <f t="shared" si="786"/>
        <v>0</v>
      </c>
      <c r="BD1924" s="48">
        <f t="shared" si="789"/>
        <v>0</v>
      </c>
      <c r="BE1924" s="19">
        <v>1</v>
      </c>
      <c r="BF1924" s="229">
        <f t="shared" si="787"/>
        <v>0</v>
      </c>
      <c r="BG1924" s="210">
        <f t="shared" si="790"/>
        <v>0</v>
      </c>
      <c r="BH1924" s="210">
        <f t="shared" si="791"/>
        <v>1</v>
      </c>
      <c r="BI1924" s="213">
        <f t="shared" si="792"/>
        <v>0</v>
      </c>
      <c r="BJ1924" s="141"/>
      <c r="BK1924" s="201"/>
      <c r="BL1924" s="4"/>
      <c r="BM1924" s="4"/>
    </row>
    <row r="1925" spans="1:65" s="38" customFormat="1" ht="18" customHeight="1">
      <c r="A1925" s="114">
        <v>99</v>
      </c>
      <c r="B1925" s="24" t="s">
        <v>987</v>
      </c>
      <c r="C1925" s="25" t="s">
        <v>1394</v>
      </c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229">
        <f t="shared" si="785"/>
        <v>0</v>
      </c>
      <c r="AC1925" s="228">
        <f t="shared" si="788"/>
        <v>0</v>
      </c>
      <c r="AD1925" s="19">
        <v>0</v>
      </c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29">
        <f t="shared" si="786"/>
        <v>0</v>
      </c>
      <c r="BD1925" s="48">
        <f t="shared" si="789"/>
        <v>0</v>
      </c>
      <c r="BE1925" s="19">
        <v>1</v>
      </c>
      <c r="BF1925" s="229">
        <f t="shared" si="787"/>
        <v>0</v>
      </c>
      <c r="BG1925" s="210">
        <f t="shared" si="790"/>
        <v>0</v>
      </c>
      <c r="BH1925" s="210">
        <f t="shared" si="791"/>
        <v>1</v>
      </c>
      <c r="BI1925" s="213">
        <f t="shared" si="792"/>
        <v>0</v>
      </c>
      <c r="BJ1925" s="141"/>
      <c r="BK1925" s="201"/>
      <c r="BL1925" s="4"/>
      <c r="BM1925" s="4"/>
    </row>
    <row r="1926" spans="1:65" s="38" customFormat="1" ht="18" customHeight="1">
      <c r="A1926" s="114">
        <v>100</v>
      </c>
      <c r="B1926" s="24" t="s">
        <v>703</v>
      </c>
      <c r="C1926" s="25" t="s">
        <v>774</v>
      </c>
      <c r="D1926" s="121"/>
      <c r="E1926" s="121"/>
      <c r="F1926" s="121"/>
      <c r="G1926" s="121"/>
      <c r="H1926" s="121"/>
      <c r="I1926" s="121">
        <v>1</v>
      </c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>
        <v>1</v>
      </c>
      <c r="V1926" s="121"/>
      <c r="W1926" s="121"/>
      <c r="X1926" s="121"/>
      <c r="Y1926" s="121"/>
      <c r="Z1926" s="121"/>
      <c r="AA1926" s="121">
        <f>2+3</f>
        <v>5</v>
      </c>
      <c r="AB1926" s="229">
        <f t="shared" si="785"/>
        <v>0</v>
      </c>
      <c r="AC1926" s="228">
        <f t="shared" si="788"/>
        <v>7</v>
      </c>
      <c r="AD1926" s="19">
        <v>3</v>
      </c>
      <c r="AE1926" s="28"/>
      <c r="AF1926" s="28"/>
      <c r="AG1926" s="28"/>
      <c r="AH1926" s="28"/>
      <c r="AI1926" s="28"/>
      <c r="AJ1926" s="28">
        <v>1</v>
      </c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>
        <f>2+4+1</f>
        <v>7</v>
      </c>
      <c r="BC1926" s="229">
        <f t="shared" si="786"/>
        <v>0</v>
      </c>
      <c r="BD1926" s="48">
        <f t="shared" si="789"/>
        <v>8</v>
      </c>
      <c r="BE1926" s="19">
        <v>1</v>
      </c>
      <c r="BF1926" s="229">
        <f t="shared" si="787"/>
        <v>0</v>
      </c>
      <c r="BG1926" s="210">
        <f t="shared" si="790"/>
        <v>15</v>
      </c>
      <c r="BH1926" s="210">
        <f t="shared" si="791"/>
        <v>4</v>
      </c>
      <c r="BI1926" s="213">
        <f t="shared" si="792"/>
        <v>375</v>
      </c>
      <c r="BJ1926" s="141"/>
      <c r="BK1926" s="201"/>
      <c r="BL1926" s="4"/>
      <c r="BM1926" s="4"/>
    </row>
    <row r="1927" spans="1:65" s="38" customFormat="1" ht="18" customHeight="1">
      <c r="A1927" s="114">
        <v>101</v>
      </c>
      <c r="B1927" s="24" t="s">
        <v>896</v>
      </c>
      <c r="C1927" s="25" t="s">
        <v>992</v>
      </c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229">
        <f t="shared" si="785"/>
        <v>0</v>
      </c>
      <c r="AC1927" s="228">
        <f t="shared" si="788"/>
        <v>0</v>
      </c>
      <c r="AD1927" s="19">
        <v>6</v>
      </c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29">
        <f t="shared" si="786"/>
        <v>0</v>
      </c>
      <c r="BD1927" s="48">
        <f t="shared" si="789"/>
        <v>0</v>
      </c>
      <c r="BE1927" s="19">
        <v>1</v>
      </c>
      <c r="BF1927" s="229">
        <f t="shared" si="787"/>
        <v>0</v>
      </c>
      <c r="BG1927" s="210">
        <f t="shared" si="790"/>
        <v>0</v>
      </c>
      <c r="BH1927" s="210">
        <f t="shared" si="791"/>
        <v>7</v>
      </c>
      <c r="BI1927" s="213">
        <f t="shared" si="792"/>
        <v>0</v>
      </c>
      <c r="BJ1927" s="141"/>
      <c r="BK1927" s="201"/>
      <c r="BL1927" s="4"/>
      <c r="BM1927" s="4"/>
    </row>
    <row r="1928" spans="1:65" s="38" customFormat="1" ht="18" customHeight="1">
      <c r="A1928" s="114">
        <v>102</v>
      </c>
      <c r="B1928" s="24" t="s">
        <v>897</v>
      </c>
      <c r="C1928" s="25" t="s">
        <v>1379</v>
      </c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229">
        <f t="shared" si="785"/>
        <v>0</v>
      </c>
      <c r="AC1928" s="228">
        <f t="shared" si="788"/>
        <v>0</v>
      </c>
      <c r="AD1928" s="19">
        <v>0</v>
      </c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29">
        <f t="shared" si="786"/>
        <v>0</v>
      </c>
      <c r="BD1928" s="48">
        <f t="shared" si="789"/>
        <v>0</v>
      </c>
      <c r="BE1928" s="19">
        <v>0</v>
      </c>
      <c r="BF1928" s="229">
        <f t="shared" si="787"/>
        <v>0</v>
      </c>
      <c r="BG1928" s="210">
        <f t="shared" si="790"/>
        <v>0</v>
      </c>
      <c r="BH1928" s="210">
        <f t="shared" si="791"/>
        <v>0</v>
      </c>
      <c r="BI1928" s="213" t="e">
        <f t="shared" si="792"/>
        <v>#DIV/0!</v>
      </c>
      <c r="BJ1928" s="141"/>
      <c r="BK1928" s="201"/>
      <c r="BL1928" s="4"/>
      <c r="BM1928" s="4"/>
    </row>
    <row r="1929" spans="1:65" s="38" customFormat="1" ht="18" customHeight="1">
      <c r="A1929" s="114">
        <v>103</v>
      </c>
      <c r="B1929" s="24" t="s">
        <v>817</v>
      </c>
      <c r="C1929" s="25" t="s">
        <v>1092</v>
      </c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229">
        <f t="shared" si="785"/>
        <v>0</v>
      </c>
      <c r="AC1929" s="228">
        <f t="shared" si="788"/>
        <v>0</v>
      </c>
      <c r="AD1929" s="19">
        <v>0</v>
      </c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29">
        <f t="shared" si="786"/>
        <v>0</v>
      </c>
      <c r="BD1929" s="48">
        <f t="shared" si="789"/>
        <v>0</v>
      </c>
      <c r="BE1929" s="19">
        <v>6</v>
      </c>
      <c r="BF1929" s="229">
        <f t="shared" si="787"/>
        <v>0</v>
      </c>
      <c r="BG1929" s="210">
        <f t="shared" si="790"/>
        <v>0</v>
      </c>
      <c r="BH1929" s="210">
        <f t="shared" si="791"/>
        <v>6</v>
      </c>
      <c r="BI1929" s="213">
        <f t="shared" si="792"/>
        <v>0</v>
      </c>
      <c r="BJ1929" s="141"/>
      <c r="BK1929" s="201"/>
      <c r="BL1929" s="4"/>
      <c r="BM1929" s="4"/>
    </row>
    <row r="1930" spans="1:65" s="38" customFormat="1" ht="18" customHeight="1">
      <c r="A1930" s="114">
        <v>104</v>
      </c>
      <c r="B1930" s="24" t="s">
        <v>818</v>
      </c>
      <c r="C1930" s="25" t="s">
        <v>1380</v>
      </c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229">
        <f t="shared" si="785"/>
        <v>0</v>
      </c>
      <c r="AC1930" s="228">
        <f t="shared" si="788"/>
        <v>0</v>
      </c>
      <c r="AD1930" s="19">
        <v>1</v>
      </c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  <c r="AZ1930" s="28"/>
      <c r="BA1930" s="28"/>
      <c r="BB1930" s="28"/>
      <c r="BC1930" s="229">
        <f t="shared" si="786"/>
        <v>0</v>
      </c>
      <c r="BD1930" s="48">
        <f t="shared" si="789"/>
        <v>0</v>
      </c>
      <c r="BE1930" s="19">
        <v>0</v>
      </c>
      <c r="BF1930" s="229">
        <f t="shared" si="787"/>
        <v>0</v>
      </c>
      <c r="BG1930" s="210">
        <f t="shared" si="790"/>
        <v>0</v>
      </c>
      <c r="BH1930" s="210">
        <f t="shared" si="791"/>
        <v>1</v>
      </c>
      <c r="BI1930" s="213">
        <f t="shared" si="792"/>
        <v>0</v>
      </c>
      <c r="BJ1930" s="141"/>
      <c r="BK1930" s="201"/>
      <c r="BL1930" s="4"/>
      <c r="BM1930" s="4"/>
    </row>
    <row r="1931" spans="1:65" s="38" customFormat="1" ht="18" customHeight="1">
      <c r="A1931" s="114">
        <v>105</v>
      </c>
      <c r="B1931" s="24" t="s">
        <v>819</v>
      </c>
      <c r="C1931" s="25" t="s">
        <v>993</v>
      </c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229">
        <f t="shared" si="785"/>
        <v>0</v>
      </c>
      <c r="AC1931" s="228">
        <f t="shared" si="788"/>
        <v>0</v>
      </c>
      <c r="AD1931" s="19">
        <v>0</v>
      </c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>
        <v>1</v>
      </c>
      <c r="AQ1931" s="28"/>
      <c r="AR1931" s="28"/>
      <c r="AS1931" s="28"/>
      <c r="AT1931" s="28"/>
      <c r="AU1931" s="28"/>
      <c r="AV1931" s="28">
        <v>1</v>
      </c>
      <c r="AW1931" s="28"/>
      <c r="AX1931" s="28"/>
      <c r="AY1931" s="28"/>
      <c r="AZ1931" s="28"/>
      <c r="BA1931" s="28"/>
      <c r="BB1931" s="28">
        <v>2</v>
      </c>
      <c r="BC1931" s="229">
        <f t="shared" si="786"/>
        <v>0</v>
      </c>
      <c r="BD1931" s="48">
        <f t="shared" si="789"/>
        <v>4</v>
      </c>
      <c r="BE1931" s="19">
        <v>1</v>
      </c>
      <c r="BF1931" s="229">
        <f t="shared" si="787"/>
        <v>0</v>
      </c>
      <c r="BG1931" s="210">
        <f t="shared" si="790"/>
        <v>4</v>
      </c>
      <c r="BH1931" s="210">
        <f t="shared" si="791"/>
        <v>1</v>
      </c>
      <c r="BI1931" s="213">
        <f t="shared" si="792"/>
        <v>400</v>
      </c>
      <c r="BJ1931" s="141"/>
      <c r="BK1931" s="201"/>
      <c r="BL1931" s="4"/>
      <c r="BM1931" s="4"/>
    </row>
    <row r="1932" spans="1:65" s="38" customFormat="1" ht="18" customHeight="1">
      <c r="A1932" s="114">
        <v>106</v>
      </c>
      <c r="B1932" s="24" t="s">
        <v>723</v>
      </c>
      <c r="C1932" s="25" t="s">
        <v>2435</v>
      </c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229">
        <f t="shared" si="785"/>
        <v>0</v>
      </c>
      <c r="AC1932" s="228">
        <f t="shared" si="788"/>
        <v>0</v>
      </c>
      <c r="AD1932" s="19">
        <v>0</v>
      </c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29">
        <f t="shared" si="786"/>
        <v>0</v>
      </c>
      <c r="BD1932" s="48">
        <f t="shared" si="789"/>
        <v>0</v>
      </c>
      <c r="BE1932" s="19">
        <v>1</v>
      </c>
      <c r="BF1932" s="229">
        <f t="shared" si="787"/>
        <v>0</v>
      </c>
      <c r="BG1932" s="210">
        <f t="shared" si="790"/>
        <v>0</v>
      </c>
      <c r="BH1932" s="210">
        <f t="shared" si="791"/>
        <v>1</v>
      </c>
      <c r="BI1932" s="213">
        <f t="shared" si="792"/>
        <v>0</v>
      </c>
      <c r="BJ1932" s="141"/>
      <c r="BK1932" s="201"/>
      <c r="BL1932" s="4"/>
      <c r="BM1932" s="4"/>
    </row>
    <row r="1933" spans="1:65" s="38" customFormat="1" ht="18" customHeight="1">
      <c r="A1933" s="114">
        <v>107</v>
      </c>
      <c r="B1933" s="24" t="s">
        <v>899</v>
      </c>
      <c r="C1933" s="25" t="s">
        <v>1700</v>
      </c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229">
        <f t="shared" si="785"/>
        <v>0</v>
      </c>
      <c r="AC1933" s="228">
        <f t="shared" si="788"/>
        <v>0</v>
      </c>
      <c r="AD1933" s="19">
        <v>0</v>
      </c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29">
        <f t="shared" si="786"/>
        <v>0</v>
      </c>
      <c r="BD1933" s="48">
        <f t="shared" si="789"/>
        <v>0</v>
      </c>
      <c r="BE1933" s="19">
        <v>1</v>
      </c>
      <c r="BF1933" s="229">
        <f t="shared" si="787"/>
        <v>0</v>
      </c>
      <c r="BG1933" s="210">
        <f t="shared" si="790"/>
        <v>0</v>
      </c>
      <c r="BH1933" s="210">
        <f t="shared" si="791"/>
        <v>1</v>
      </c>
      <c r="BI1933" s="213">
        <f t="shared" si="792"/>
        <v>0</v>
      </c>
      <c r="BJ1933" s="141"/>
      <c r="BK1933" s="201"/>
      <c r="BL1933" s="4"/>
      <c r="BM1933" s="4"/>
    </row>
    <row r="1934" spans="1:65" s="38" customFormat="1" ht="18" customHeight="1">
      <c r="A1934" s="114">
        <v>108</v>
      </c>
      <c r="B1934" s="24" t="s">
        <v>928</v>
      </c>
      <c r="C1934" s="25" t="s">
        <v>2270</v>
      </c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229">
        <f t="shared" si="785"/>
        <v>0</v>
      </c>
      <c r="AC1934" s="228">
        <f t="shared" si="788"/>
        <v>0</v>
      </c>
      <c r="AD1934" s="19">
        <v>0</v>
      </c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29">
        <f t="shared" si="786"/>
        <v>0</v>
      </c>
      <c r="BD1934" s="48">
        <f t="shared" si="789"/>
        <v>0</v>
      </c>
      <c r="BE1934" s="19">
        <v>1</v>
      </c>
      <c r="BF1934" s="229">
        <f t="shared" si="787"/>
        <v>0</v>
      </c>
      <c r="BG1934" s="210">
        <f t="shared" si="790"/>
        <v>0</v>
      </c>
      <c r="BH1934" s="210">
        <f t="shared" si="791"/>
        <v>1</v>
      </c>
      <c r="BI1934" s="213">
        <f t="shared" si="792"/>
        <v>0</v>
      </c>
      <c r="BJ1934" s="141"/>
      <c r="BK1934" s="201"/>
      <c r="BL1934" s="4"/>
      <c r="BM1934" s="4"/>
    </row>
    <row r="1935" spans="1:65" s="38" customFormat="1" ht="18" customHeight="1">
      <c r="A1935" s="114">
        <v>109</v>
      </c>
      <c r="B1935" s="24" t="s">
        <v>775</v>
      </c>
      <c r="C1935" s="25" t="s">
        <v>1580</v>
      </c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229">
        <f t="shared" si="785"/>
        <v>0</v>
      </c>
      <c r="AC1935" s="228">
        <f t="shared" si="788"/>
        <v>0</v>
      </c>
      <c r="AD1935" s="19">
        <v>0</v>
      </c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29">
        <f t="shared" si="786"/>
        <v>0</v>
      </c>
      <c r="BD1935" s="48">
        <f t="shared" si="789"/>
        <v>0</v>
      </c>
      <c r="BE1935" s="19">
        <v>1</v>
      </c>
      <c r="BF1935" s="229">
        <f t="shared" si="787"/>
        <v>0</v>
      </c>
      <c r="BG1935" s="210">
        <f t="shared" si="790"/>
        <v>0</v>
      </c>
      <c r="BH1935" s="210">
        <f t="shared" si="791"/>
        <v>1</v>
      </c>
      <c r="BI1935" s="213">
        <f t="shared" si="792"/>
        <v>0</v>
      </c>
      <c r="BJ1935" s="141"/>
      <c r="BK1935" s="201"/>
      <c r="BL1935" s="4"/>
      <c r="BM1935" s="4"/>
    </row>
    <row r="1936" spans="1:65" s="38" customFormat="1" ht="18" customHeight="1">
      <c r="A1936" s="114">
        <v>110</v>
      </c>
      <c r="B1936" s="24" t="s">
        <v>994</v>
      </c>
      <c r="C1936" s="25" t="s">
        <v>1163</v>
      </c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229">
        <f t="shared" si="785"/>
        <v>0</v>
      </c>
      <c r="AC1936" s="228">
        <f t="shared" si="788"/>
        <v>0</v>
      </c>
      <c r="AD1936" s="19">
        <v>0</v>
      </c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29">
        <f t="shared" si="786"/>
        <v>0</v>
      </c>
      <c r="BD1936" s="48">
        <f t="shared" si="789"/>
        <v>0</v>
      </c>
      <c r="BE1936" s="19">
        <v>1</v>
      </c>
      <c r="BF1936" s="229">
        <f t="shared" si="787"/>
        <v>0</v>
      </c>
      <c r="BG1936" s="210">
        <f t="shared" si="790"/>
        <v>0</v>
      </c>
      <c r="BH1936" s="210">
        <f t="shared" si="791"/>
        <v>1</v>
      </c>
      <c r="BI1936" s="213">
        <f t="shared" si="792"/>
        <v>0</v>
      </c>
      <c r="BJ1936" s="141"/>
      <c r="BK1936" s="201"/>
      <c r="BL1936" s="4"/>
      <c r="BM1936" s="4"/>
    </row>
    <row r="1937" spans="1:65" s="38" customFormat="1" ht="18" customHeight="1">
      <c r="A1937" s="114">
        <v>111</v>
      </c>
      <c r="B1937" s="24" t="s">
        <v>724</v>
      </c>
      <c r="C1937" s="25" t="s">
        <v>1093</v>
      </c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229">
        <f t="shared" si="785"/>
        <v>0</v>
      </c>
      <c r="AC1937" s="228">
        <f t="shared" si="788"/>
        <v>0</v>
      </c>
      <c r="AD1937" s="19">
        <v>0</v>
      </c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29">
        <f t="shared" si="786"/>
        <v>0</v>
      </c>
      <c r="BD1937" s="48">
        <f t="shared" si="789"/>
        <v>0</v>
      </c>
      <c r="BE1937" s="19">
        <v>1</v>
      </c>
      <c r="BF1937" s="229">
        <f t="shared" si="787"/>
        <v>0</v>
      </c>
      <c r="BG1937" s="210">
        <f t="shared" si="790"/>
        <v>0</v>
      </c>
      <c r="BH1937" s="210">
        <f t="shared" si="791"/>
        <v>1</v>
      </c>
      <c r="BI1937" s="213">
        <f t="shared" si="792"/>
        <v>0</v>
      </c>
      <c r="BJ1937" s="141"/>
      <c r="BK1937" s="201"/>
      <c r="BL1937" s="4"/>
      <c r="BM1937" s="4"/>
    </row>
    <row r="1938" spans="1:65" s="38" customFormat="1" ht="18" customHeight="1">
      <c r="A1938" s="114">
        <v>112</v>
      </c>
      <c r="B1938" s="24" t="s">
        <v>725</v>
      </c>
      <c r="C1938" s="25" t="s">
        <v>1494</v>
      </c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229">
        <f t="shared" ref="AB1938:AB1967" si="793">D1938+F1938+H1938+J1938+L1938+N1938+P1938+R1938+T1938+V1938+X1938+Z1938</f>
        <v>0</v>
      </c>
      <c r="AC1938" s="228">
        <f t="shared" si="788"/>
        <v>0</v>
      </c>
      <c r="AD1938" s="19">
        <v>0</v>
      </c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29">
        <f t="shared" ref="BC1938:BC1967" si="794">AE1938+AG1938+AI1938+AK1938+AM1938+AO1938+AQ1938+AS1938+AU1938+AW1938+AY1938+BA1938</f>
        <v>0</v>
      </c>
      <c r="BD1938" s="48">
        <f t="shared" si="789"/>
        <v>0</v>
      </c>
      <c r="BE1938" s="19">
        <v>0</v>
      </c>
      <c r="BF1938" s="229">
        <f t="shared" ref="BF1938:BF1967" si="795">AB1938+BC1938</f>
        <v>0</v>
      </c>
      <c r="BG1938" s="210">
        <f t="shared" si="790"/>
        <v>0</v>
      </c>
      <c r="BH1938" s="210">
        <f t="shared" si="791"/>
        <v>0</v>
      </c>
      <c r="BI1938" s="213" t="e">
        <f t="shared" si="792"/>
        <v>#DIV/0!</v>
      </c>
      <c r="BJ1938" s="141"/>
      <c r="BK1938" s="201"/>
      <c r="BL1938" s="4"/>
      <c r="BM1938" s="4"/>
    </row>
    <row r="1939" spans="1:65" s="38" customFormat="1" ht="18" customHeight="1">
      <c r="A1939" s="114">
        <v>113</v>
      </c>
      <c r="B1939" s="24" t="s">
        <v>726</v>
      </c>
      <c r="C1939" s="25" t="s">
        <v>1387</v>
      </c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229">
        <f t="shared" si="793"/>
        <v>0</v>
      </c>
      <c r="AC1939" s="228">
        <f t="shared" si="788"/>
        <v>0</v>
      </c>
      <c r="AD1939" s="19">
        <v>0</v>
      </c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29">
        <f t="shared" si="794"/>
        <v>0</v>
      </c>
      <c r="BD1939" s="48">
        <f t="shared" si="789"/>
        <v>0</v>
      </c>
      <c r="BE1939" s="19">
        <v>1</v>
      </c>
      <c r="BF1939" s="229">
        <f t="shared" si="795"/>
        <v>0</v>
      </c>
      <c r="BG1939" s="210">
        <f t="shared" si="790"/>
        <v>0</v>
      </c>
      <c r="BH1939" s="210">
        <f t="shared" si="791"/>
        <v>1</v>
      </c>
      <c r="BI1939" s="213">
        <f t="shared" si="792"/>
        <v>0</v>
      </c>
      <c r="BJ1939" s="141"/>
      <c r="BK1939" s="201"/>
      <c r="BL1939" s="4"/>
      <c r="BM1939" s="4"/>
    </row>
    <row r="1940" spans="1:65" s="38" customFormat="1" ht="18" customHeight="1">
      <c r="A1940" s="114">
        <v>114</v>
      </c>
      <c r="B1940" s="24" t="s">
        <v>652</v>
      </c>
      <c r="C1940" s="34" t="s">
        <v>727</v>
      </c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229">
        <f t="shared" si="793"/>
        <v>0</v>
      </c>
      <c r="AC1940" s="228">
        <f t="shared" si="788"/>
        <v>0</v>
      </c>
      <c r="AD1940" s="19">
        <v>8</v>
      </c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  <c r="AZ1940" s="28"/>
      <c r="BA1940" s="28"/>
      <c r="BB1940" s="28"/>
      <c r="BC1940" s="229">
        <f t="shared" si="794"/>
        <v>0</v>
      </c>
      <c r="BD1940" s="48">
        <f t="shared" si="789"/>
        <v>0</v>
      </c>
      <c r="BE1940" s="19">
        <v>1</v>
      </c>
      <c r="BF1940" s="229">
        <f t="shared" si="795"/>
        <v>0</v>
      </c>
      <c r="BG1940" s="210">
        <f t="shared" si="790"/>
        <v>0</v>
      </c>
      <c r="BH1940" s="210">
        <f t="shared" si="791"/>
        <v>9</v>
      </c>
      <c r="BI1940" s="213">
        <f t="shared" si="792"/>
        <v>0</v>
      </c>
      <c r="BJ1940" s="141"/>
      <c r="BK1940" s="201"/>
      <c r="BL1940" s="4"/>
      <c r="BM1940" s="4"/>
    </row>
    <row r="1941" spans="1:65" s="38" customFormat="1" ht="18" customHeight="1">
      <c r="A1941" s="114">
        <v>115</v>
      </c>
      <c r="B1941" s="24" t="s">
        <v>728</v>
      </c>
      <c r="C1941" s="34" t="s">
        <v>729</v>
      </c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229">
        <f t="shared" si="793"/>
        <v>0</v>
      </c>
      <c r="AC1941" s="228">
        <f t="shared" si="788"/>
        <v>0</v>
      </c>
      <c r="AD1941" s="19">
        <v>1</v>
      </c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29">
        <f t="shared" si="794"/>
        <v>0</v>
      </c>
      <c r="BD1941" s="48">
        <f t="shared" si="789"/>
        <v>0</v>
      </c>
      <c r="BE1941" s="19">
        <v>1</v>
      </c>
      <c r="BF1941" s="229">
        <f t="shared" si="795"/>
        <v>0</v>
      </c>
      <c r="BG1941" s="210">
        <f t="shared" si="790"/>
        <v>0</v>
      </c>
      <c r="BH1941" s="210">
        <f t="shared" si="791"/>
        <v>2</v>
      </c>
      <c r="BI1941" s="213">
        <f t="shared" si="792"/>
        <v>0</v>
      </c>
      <c r="BJ1941" s="141"/>
      <c r="BK1941" s="201"/>
      <c r="BL1941" s="4"/>
      <c r="BM1941" s="4"/>
    </row>
    <row r="1942" spans="1:65" s="38" customFormat="1" ht="18" customHeight="1">
      <c r="A1942" s="114">
        <v>116</v>
      </c>
      <c r="B1942" s="24" t="s">
        <v>730</v>
      </c>
      <c r="C1942" s="25" t="s">
        <v>731</v>
      </c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229">
        <f t="shared" si="793"/>
        <v>0</v>
      </c>
      <c r="AC1942" s="228">
        <f t="shared" si="788"/>
        <v>0</v>
      </c>
      <c r="AD1942" s="19">
        <v>1</v>
      </c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29">
        <f t="shared" si="794"/>
        <v>0</v>
      </c>
      <c r="BD1942" s="48">
        <f t="shared" si="789"/>
        <v>0</v>
      </c>
      <c r="BE1942" s="19">
        <v>1</v>
      </c>
      <c r="BF1942" s="229">
        <f t="shared" si="795"/>
        <v>0</v>
      </c>
      <c r="BG1942" s="210">
        <f t="shared" si="790"/>
        <v>0</v>
      </c>
      <c r="BH1942" s="210">
        <f t="shared" si="791"/>
        <v>2</v>
      </c>
      <c r="BI1942" s="213">
        <f t="shared" si="792"/>
        <v>0</v>
      </c>
      <c r="BJ1942" s="141"/>
      <c r="BK1942" s="201"/>
      <c r="BL1942" s="4"/>
      <c r="BM1942" s="4"/>
    </row>
    <row r="1943" spans="1:65" s="38" customFormat="1" ht="18" customHeight="1">
      <c r="A1943" s="114">
        <v>117</v>
      </c>
      <c r="B1943" s="24" t="s">
        <v>732</v>
      </c>
      <c r="C1943" s="34" t="s">
        <v>733</v>
      </c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229">
        <f t="shared" si="793"/>
        <v>0</v>
      </c>
      <c r="AC1943" s="228">
        <f t="shared" si="788"/>
        <v>0</v>
      </c>
      <c r="AD1943" s="19">
        <v>1</v>
      </c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29">
        <f t="shared" si="794"/>
        <v>0</v>
      </c>
      <c r="BD1943" s="48">
        <f t="shared" si="789"/>
        <v>0</v>
      </c>
      <c r="BE1943" s="19">
        <v>1</v>
      </c>
      <c r="BF1943" s="229">
        <f t="shared" si="795"/>
        <v>0</v>
      </c>
      <c r="BG1943" s="210">
        <f t="shared" si="790"/>
        <v>0</v>
      </c>
      <c r="BH1943" s="210">
        <f t="shared" si="791"/>
        <v>2</v>
      </c>
      <c r="BI1943" s="213">
        <f t="shared" si="792"/>
        <v>0</v>
      </c>
      <c r="BJ1943" s="141"/>
      <c r="BK1943" s="201"/>
      <c r="BL1943" s="4"/>
      <c r="BM1943" s="4"/>
    </row>
    <row r="1944" spans="1:65" s="38" customFormat="1" ht="18" customHeight="1">
      <c r="A1944" s="114">
        <v>118</v>
      </c>
      <c r="B1944" s="24" t="s">
        <v>996</v>
      </c>
      <c r="C1944" s="25" t="s">
        <v>1026</v>
      </c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229">
        <f t="shared" si="793"/>
        <v>0</v>
      </c>
      <c r="AC1944" s="228">
        <f t="shared" si="788"/>
        <v>0</v>
      </c>
      <c r="AD1944" s="19">
        <v>0</v>
      </c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29">
        <f t="shared" si="794"/>
        <v>0</v>
      </c>
      <c r="BD1944" s="48">
        <f t="shared" si="789"/>
        <v>0</v>
      </c>
      <c r="BE1944" s="19">
        <v>1</v>
      </c>
      <c r="BF1944" s="229">
        <f t="shared" si="795"/>
        <v>0</v>
      </c>
      <c r="BG1944" s="210">
        <f t="shared" si="790"/>
        <v>0</v>
      </c>
      <c r="BH1944" s="210">
        <f t="shared" si="791"/>
        <v>1</v>
      </c>
      <c r="BI1944" s="213">
        <f t="shared" si="792"/>
        <v>0</v>
      </c>
      <c r="BJ1944" s="141"/>
      <c r="BK1944" s="201"/>
      <c r="BL1944" s="4"/>
      <c r="BM1944" s="4"/>
    </row>
    <row r="1945" spans="1:65" s="38" customFormat="1" ht="18" customHeight="1">
      <c r="A1945" s="114">
        <v>119</v>
      </c>
      <c r="B1945" s="24" t="s">
        <v>734</v>
      </c>
      <c r="C1945" s="34" t="s">
        <v>735</v>
      </c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229">
        <f t="shared" si="793"/>
        <v>0</v>
      </c>
      <c r="AC1945" s="228">
        <f t="shared" si="788"/>
        <v>0</v>
      </c>
      <c r="AD1945" s="19">
        <v>0</v>
      </c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29">
        <f t="shared" si="794"/>
        <v>0</v>
      </c>
      <c r="BD1945" s="48">
        <f t="shared" si="789"/>
        <v>0</v>
      </c>
      <c r="BE1945" s="19">
        <v>1</v>
      </c>
      <c r="BF1945" s="229">
        <f t="shared" si="795"/>
        <v>0</v>
      </c>
      <c r="BG1945" s="210">
        <f t="shared" si="790"/>
        <v>0</v>
      </c>
      <c r="BH1945" s="210">
        <f t="shared" si="791"/>
        <v>1</v>
      </c>
      <c r="BI1945" s="213">
        <f t="shared" si="792"/>
        <v>0</v>
      </c>
      <c r="BJ1945" s="141"/>
      <c r="BK1945" s="201"/>
      <c r="BL1945" s="4"/>
      <c r="BM1945" s="4"/>
    </row>
    <row r="1946" spans="1:65" s="38" customFormat="1" ht="18" customHeight="1">
      <c r="A1946" s="114">
        <v>120</v>
      </c>
      <c r="B1946" s="24" t="s">
        <v>1551</v>
      </c>
      <c r="C1946" s="25" t="s">
        <v>1552</v>
      </c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229">
        <f t="shared" si="793"/>
        <v>0</v>
      </c>
      <c r="AC1946" s="228">
        <f t="shared" si="788"/>
        <v>0</v>
      </c>
      <c r="AD1946" s="19">
        <v>0</v>
      </c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29">
        <f t="shared" si="794"/>
        <v>0</v>
      </c>
      <c r="BD1946" s="48">
        <f t="shared" si="789"/>
        <v>0</v>
      </c>
      <c r="BE1946" s="19">
        <v>1</v>
      </c>
      <c r="BF1946" s="229">
        <f t="shared" si="795"/>
        <v>0</v>
      </c>
      <c r="BG1946" s="210">
        <f t="shared" si="790"/>
        <v>0</v>
      </c>
      <c r="BH1946" s="210">
        <f t="shared" si="791"/>
        <v>1</v>
      </c>
      <c r="BI1946" s="213">
        <f t="shared" si="792"/>
        <v>0</v>
      </c>
      <c r="BJ1946" s="141"/>
      <c r="BK1946" s="201"/>
      <c r="BL1946" s="4"/>
      <c r="BM1946" s="4"/>
    </row>
    <row r="1947" spans="1:65" s="38" customFormat="1" ht="18" customHeight="1">
      <c r="A1947" s="114">
        <v>121</v>
      </c>
      <c r="B1947" s="24" t="s">
        <v>797</v>
      </c>
      <c r="C1947" s="25" t="s">
        <v>798</v>
      </c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229">
        <f t="shared" si="793"/>
        <v>0</v>
      </c>
      <c r="AC1947" s="228">
        <f t="shared" si="788"/>
        <v>0</v>
      </c>
      <c r="AD1947" s="19">
        <v>0</v>
      </c>
      <c r="AE1947" s="28"/>
      <c r="AF1947" s="28"/>
      <c r="AG1947" s="28"/>
      <c r="AH1947" s="28"/>
      <c r="AI1947" s="28"/>
      <c r="AJ1947" s="28">
        <v>10</v>
      </c>
      <c r="AK1947" s="28"/>
      <c r="AL1947" s="28"/>
      <c r="AM1947" s="28"/>
      <c r="AN1947" s="28"/>
      <c r="AO1947" s="28"/>
      <c r="AP1947" s="28">
        <v>14</v>
      </c>
      <c r="AQ1947" s="28"/>
      <c r="AR1947" s="28"/>
      <c r="AS1947" s="28"/>
      <c r="AT1947" s="28"/>
      <c r="AU1947" s="28"/>
      <c r="AV1947" s="28">
        <v>8</v>
      </c>
      <c r="AW1947" s="28"/>
      <c r="AX1947" s="28"/>
      <c r="AY1947" s="28"/>
      <c r="AZ1947" s="28"/>
      <c r="BA1947" s="28"/>
      <c r="BB1947" s="28">
        <v>7</v>
      </c>
      <c r="BC1947" s="229">
        <f t="shared" si="794"/>
        <v>0</v>
      </c>
      <c r="BD1947" s="48">
        <f t="shared" si="789"/>
        <v>39</v>
      </c>
      <c r="BE1947" s="19">
        <v>5</v>
      </c>
      <c r="BF1947" s="229">
        <f t="shared" si="795"/>
        <v>0</v>
      </c>
      <c r="BG1947" s="210">
        <f t="shared" si="790"/>
        <v>39</v>
      </c>
      <c r="BH1947" s="210">
        <f t="shared" si="791"/>
        <v>5</v>
      </c>
      <c r="BI1947" s="213">
        <f t="shared" si="792"/>
        <v>780</v>
      </c>
      <c r="BJ1947" s="141"/>
      <c r="BK1947" s="201"/>
      <c r="BL1947" s="4"/>
      <c r="BM1947" s="4"/>
    </row>
    <row r="1948" spans="1:65" s="38" customFormat="1" ht="18" customHeight="1">
      <c r="A1948" s="114">
        <v>122</v>
      </c>
      <c r="B1948" s="24" t="s">
        <v>653</v>
      </c>
      <c r="C1948" s="25" t="s">
        <v>1649</v>
      </c>
      <c r="D1948" s="121"/>
      <c r="E1948" s="121"/>
      <c r="F1948" s="121"/>
      <c r="G1948" s="121"/>
      <c r="H1948" s="121"/>
      <c r="I1948" s="121">
        <v>1</v>
      </c>
      <c r="J1948" s="121"/>
      <c r="K1948" s="121"/>
      <c r="L1948" s="121"/>
      <c r="M1948" s="121"/>
      <c r="N1948" s="121"/>
      <c r="O1948" s="121">
        <v>1</v>
      </c>
      <c r="P1948" s="121"/>
      <c r="Q1948" s="121"/>
      <c r="R1948" s="121"/>
      <c r="S1948" s="121"/>
      <c r="T1948" s="121"/>
      <c r="U1948" s="121">
        <v>3</v>
      </c>
      <c r="V1948" s="121"/>
      <c r="W1948" s="121"/>
      <c r="X1948" s="121"/>
      <c r="Y1948" s="121"/>
      <c r="Z1948" s="121"/>
      <c r="AA1948" s="121">
        <f>1+1</f>
        <v>2</v>
      </c>
      <c r="AB1948" s="229">
        <f t="shared" si="793"/>
        <v>0</v>
      </c>
      <c r="AC1948" s="228">
        <f t="shared" si="788"/>
        <v>7</v>
      </c>
      <c r="AD1948" s="19">
        <v>1</v>
      </c>
      <c r="AE1948" s="28"/>
      <c r="AF1948" s="28"/>
      <c r="AG1948" s="28"/>
      <c r="AH1948" s="28"/>
      <c r="AI1948" s="28"/>
      <c r="AJ1948" s="28">
        <v>27</v>
      </c>
      <c r="AK1948" s="28"/>
      <c r="AL1948" s="28"/>
      <c r="AM1948" s="28"/>
      <c r="AN1948" s="28"/>
      <c r="AO1948" s="28"/>
      <c r="AP1948" s="28">
        <v>25</v>
      </c>
      <c r="AQ1948" s="28"/>
      <c r="AR1948" s="28"/>
      <c r="AS1948" s="28"/>
      <c r="AT1948" s="28"/>
      <c r="AU1948" s="28"/>
      <c r="AV1948" s="28">
        <v>35</v>
      </c>
      <c r="AW1948" s="28"/>
      <c r="AX1948" s="28"/>
      <c r="AY1948" s="28"/>
      <c r="AZ1948" s="28"/>
      <c r="BA1948" s="28"/>
      <c r="BB1948" s="28">
        <v>33</v>
      </c>
      <c r="BC1948" s="229">
        <f t="shared" si="794"/>
        <v>0</v>
      </c>
      <c r="BD1948" s="48">
        <f t="shared" si="789"/>
        <v>120</v>
      </c>
      <c r="BE1948" s="19">
        <v>114</v>
      </c>
      <c r="BF1948" s="229">
        <f t="shared" si="795"/>
        <v>0</v>
      </c>
      <c r="BG1948" s="210">
        <f t="shared" si="790"/>
        <v>127</v>
      </c>
      <c r="BH1948" s="210">
        <f t="shared" si="791"/>
        <v>115</v>
      </c>
      <c r="BI1948" s="213">
        <f t="shared" si="792"/>
        <v>110.43478260869566</v>
      </c>
      <c r="BJ1948" s="141"/>
      <c r="BK1948" s="201"/>
      <c r="BL1948" s="4"/>
      <c r="BM1948" s="4"/>
    </row>
    <row r="1949" spans="1:65" s="38" customFormat="1" ht="18" customHeight="1">
      <c r="A1949" s="114">
        <v>123</v>
      </c>
      <c r="B1949" s="24" t="s">
        <v>655</v>
      </c>
      <c r="C1949" s="25" t="s">
        <v>997</v>
      </c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229">
        <f t="shared" si="793"/>
        <v>0</v>
      </c>
      <c r="AC1949" s="228">
        <f t="shared" si="788"/>
        <v>0</v>
      </c>
      <c r="AD1949" s="19">
        <v>0</v>
      </c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29">
        <f t="shared" si="794"/>
        <v>0</v>
      </c>
      <c r="BD1949" s="48">
        <f t="shared" si="789"/>
        <v>0</v>
      </c>
      <c r="BE1949" s="19">
        <v>1</v>
      </c>
      <c r="BF1949" s="229">
        <f t="shared" si="795"/>
        <v>0</v>
      </c>
      <c r="BG1949" s="210">
        <f t="shared" si="790"/>
        <v>0</v>
      </c>
      <c r="BH1949" s="210">
        <f t="shared" si="791"/>
        <v>1</v>
      </c>
      <c r="BI1949" s="213">
        <f t="shared" si="792"/>
        <v>0</v>
      </c>
      <c r="BJ1949" s="141"/>
      <c r="BK1949" s="201"/>
      <c r="BL1949" s="4"/>
      <c r="BM1949" s="4"/>
    </row>
    <row r="1950" spans="1:65" s="38" customFormat="1" ht="18" customHeight="1">
      <c r="A1950" s="114">
        <v>124</v>
      </c>
      <c r="B1950" s="24" t="s">
        <v>822</v>
      </c>
      <c r="C1950" s="25" t="s">
        <v>1405</v>
      </c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229">
        <f t="shared" si="793"/>
        <v>0</v>
      </c>
      <c r="AC1950" s="228">
        <f t="shared" si="788"/>
        <v>0</v>
      </c>
      <c r="AD1950" s="19">
        <v>0</v>
      </c>
      <c r="AE1950" s="28"/>
      <c r="AF1950" s="28"/>
      <c r="AG1950" s="28"/>
      <c r="AH1950" s="28"/>
      <c r="AI1950" s="28"/>
      <c r="AJ1950" s="28">
        <v>2</v>
      </c>
      <c r="AK1950" s="28"/>
      <c r="AL1950" s="28"/>
      <c r="AM1950" s="28"/>
      <c r="AN1950" s="28"/>
      <c r="AO1950" s="28"/>
      <c r="AP1950" s="28">
        <v>11</v>
      </c>
      <c r="AQ1950" s="28"/>
      <c r="AR1950" s="28"/>
      <c r="AS1950" s="28"/>
      <c r="AT1950" s="28"/>
      <c r="AU1950" s="28"/>
      <c r="AV1950" s="28">
        <v>3</v>
      </c>
      <c r="AW1950" s="28"/>
      <c r="AX1950" s="28"/>
      <c r="AY1950" s="28"/>
      <c r="AZ1950" s="28"/>
      <c r="BA1950" s="28"/>
      <c r="BB1950" s="28">
        <v>2</v>
      </c>
      <c r="BC1950" s="229">
        <f t="shared" si="794"/>
        <v>0</v>
      </c>
      <c r="BD1950" s="48">
        <f t="shared" si="789"/>
        <v>18</v>
      </c>
      <c r="BE1950" s="19">
        <v>1</v>
      </c>
      <c r="BF1950" s="229">
        <f t="shared" si="795"/>
        <v>0</v>
      </c>
      <c r="BG1950" s="210">
        <f t="shared" si="790"/>
        <v>18</v>
      </c>
      <c r="BH1950" s="210">
        <f t="shared" si="791"/>
        <v>1</v>
      </c>
      <c r="BI1950" s="213">
        <f t="shared" si="792"/>
        <v>1800</v>
      </c>
      <c r="BJ1950" s="141"/>
      <c r="BK1950" s="201"/>
      <c r="BL1950" s="4"/>
      <c r="BM1950" s="4"/>
    </row>
    <row r="1951" spans="1:65" s="38" customFormat="1" ht="18" customHeight="1">
      <c r="A1951" s="114">
        <v>125</v>
      </c>
      <c r="B1951" s="24" t="s">
        <v>1250</v>
      </c>
      <c r="C1951" s="25" t="s">
        <v>1963</v>
      </c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229">
        <f t="shared" si="793"/>
        <v>0</v>
      </c>
      <c r="AC1951" s="228">
        <f t="shared" si="788"/>
        <v>0</v>
      </c>
      <c r="AD1951" s="19">
        <v>0</v>
      </c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29">
        <f t="shared" si="794"/>
        <v>0</v>
      </c>
      <c r="BD1951" s="48">
        <f t="shared" si="789"/>
        <v>0</v>
      </c>
      <c r="BE1951" s="19">
        <v>1</v>
      </c>
      <c r="BF1951" s="229">
        <f t="shared" si="795"/>
        <v>0</v>
      </c>
      <c r="BG1951" s="210">
        <f t="shared" si="790"/>
        <v>0</v>
      </c>
      <c r="BH1951" s="210">
        <f t="shared" si="791"/>
        <v>1</v>
      </c>
      <c r="BI1951" s="213">
        <f t="shared" si="792"/>
        <v>0</v>
      </c>
      <c r="BJ1951" s="141"/>
      <c r="BK1951" s="201"/>
      <c r="BL1951" s="4"/>
      <c r="BM1951" s="4"/>
    </row>
    <row r="1952" spans="1:65" s="38" customFormat="1" ht="18" customHeight="1">
      <c r="A1952" s="114">
        <v>126</v>
      </c>
      <c r="B1952" s="24" t="s">
        <v>776</v>
      </c>
      <c r="C1952" s="25" t="s">
        <v>777</v>
      </c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229">
        <f t="shared" si="793"/>
        <v>0</v>
      </c>
      <c r="AC1952" s="228">
        <f t="shared" si="788"/>
        <v>0</v>
      </c>
      <c r="AD1952" s="19">
        <v>0</v>
      </c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29">
        <f t="shared" si="794"/>
        <v>0</v>
      </c>
      <c r="BD1952" s="48">
        <f t="shared" si="789"/>
        <v>0</v>
      </c>
      <c r="BE1952" s="19">
        <v>1</v>
      </c>
      <c r="BF1952" s="229">
        <f t="shared" si="795"/>
        <v>0</v>
      </c>
      <c r="BG1952" s="210">
        <f t="shared" si="790"/>
        <v>0</v>
      </c>
      <c r="BH1952" s="210">
        <f t="shared" si="791"/>
        <v>1</v>
      </c>
      <c r="BI1952" s="213">
        <f t="shared" si="792"/>
        <v>0</v>
      </c>
      <c r="BJ1952" s="141"/>
      <c r="BK1952" s="201"/>
      <c r="BL1952" s="4"/>
      <c r="BM1952" s="4"/>
    </row>
    <row r="1953" spans="1:65" s="38" customFormat="1" ht="21.95" customHeight="1">
      <c r="A1953" s="114">
        <v>127</v>
      </c>
      <c r="B1953" s="24" t="s">
        <v>900</v>
      </c>
      <c r="C1953" s="27" t="s">
        <v>1983</v>
      </c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229">
        <f t="shared" si="793"/>
        <v>0</v>
      </c>
      <c r="AC1953" s="228">
        <f t="shared" si="788"/>
        <v>0</v>
      </c>
      <c r="AD1953" s="19">
        <v>1</v>
      </c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29">
        <f t="shared" si="794"/>
        <v>0</v>
      </c>
      <c r="BD1953" s="48">
        <f t="shared" si="789"/>
        <v>0</v>
      </c>
      <c r="BE1953" s="19">
        <v>0</v>
      </c>
      <c r="BF1953" s="229">
        <f t="shared" si="795"/>
        <v>0</v>
      </c>
      <c r="BG1953" s="210">
        <f t="shared" si="790"/>
        <v>0</v>
      </c>
      <c r="BH1953" s="210">
        <f t="shared" si="791"/>
        <v>1</v>
      </c>
      <c r="BI1953" s="213">
        <f t="shared" si="792"/>
        <v>0</v>
      </c>
      <c r="BJ1953" s="141"/>
      <c r="BK1953" s="201"/>
      <c r="BL1953" s="4"/>
      <c r="BM1953" s="4"/>
    </row>
    <row r="1954" spans="1:65" s="38" customFormat="1" ht="21.95" customHeight="1">
      <c r="A1954" s="114">
        <v>128</v>
      </c>
      <c r="B1954" s="24" t="s">
        <v>657</v>
      </c>
      <c r="C1954" s="27" t="s">
        <v>1401</v>
      </c>
      <c r="D1954" s="121"/>
      <c r="E1954" s="121"/>
      <c r="F1954" s="121"/>
      <c r="G1954" s="121"/>
      <c r="H1954" s="121"/>
      <c r="I1954" s="121">
        <f>18+1+4</f>
        <v>23</v>
      </c>
      <c r="J1954" s="121"/>
      <c r="K1954" s="121"/>
      <c r="L1954" s="121"/>
      <c r="M1954" s="121"/>
      <c r="N1954" s="121"/>
      <c r="O1954" s="121">
        <f>23+3+2+1</f>
        <v>29</v>
      </c>
      <c r="P1954" s="121"/>
      <c r="Q1954" s="121"/>
      <c r="R1954" s="121"/>
      <c r="S1954" s="121"/>
      <c r="T1954" s="121"/>
      <c r="U1954" s="121">
        <f>32+5+2</f>
        <v>39</v>
      </c>
      <c r="V1954" s="121"/>
      <c r="W1954" s="121"/>
      <c r="X1954" s="121"/>
      <c r="Y1954" s="121"/>
      <c r="Z1954" s="121"/>
      <c r="AA1954" s="121">
        <f>31+2+1</f>
        <v>34</v>
      </c>
      <c r="AB1954" s="229">
        <f t="shared" si="793"/>
        <v>0</v>
      </c>
      <c r="AC1954" s="228">
        <f t="shared" si="788"/>
        <v>125</v>
      </c>
      <c r="AD1954" s="19">
        <v>134</v>
      </c>
      <c r="AE1954" s="28"/>
      <c r="AF1954" s="28"/>
      <c r="AG1954" s="28"/>
      <c r="AH1954" s="28"/>
      <c r="AI1954" s="28"/>
      <c r="AJ1954" s="28">
        <f>206+10</f>
        <v>216</v>
      </c>
      <c r="AK1954" s="28"/>
      <c r="AL1954" s="28"/>
      <c r="AM1954" s="28"/>
      <c r="AN1954" s="28"/>
      <c r="AO1954" s="28"/>
      <c r="AP1954" s="28">
        <f>282+7</f>
        <v>289</v>
      </c>
      <c r="AQ1954" s="28"/>
      <c r="AR1954" s="28"/>
      <c r="AS1954" s="28"/>
      <c r="AT1954" s="28"/>
      <c r="AU1954" s="28"/>
      <c r="AV1954" s="28">
        <f>216+11</f>
        <v>227</v>
      </c>
      <c r="AW1954" s="28"/>
      <c r="AX1954" s="28"/>
      <c r="AY1954" s="28"/>
      <c r="AZ1954" s="28"/>
      <c r="BA1954" s="28"/>
      <c r="BB1954" s="28">
        <f>249+11</f>
        <v>260</v>
      </c>
      <c r="BC1954" s="229">
        <f t="shared" si="794"/>
        <v>0</v>
      </c>
      <c r="BD1954" s="48">
        <f t="shared" si="789"/>
        <v>992</v>
      </c>
      <c r="BE1954" s="19">
        <v>1375</v>
      </c>
      <c r="BF1954" s="229">
        <f t="shared" si="795"/>
        <v>0</v>
      </c>
      <c r="BG1954" s="210">
        <f t="shared" si="790"/>
        <v>1117</v>
      </c>
      <c r="BH1954" s="210">
        <f t="shared" si="791"/>
        <v>1509</v>
      </c>
      <c r="BI1954" s="213">
        <f t="shared" si="792"/>
        <v>74.022531477799873</v>
      </c>
      <c r="BJ1954" s="141"/>
      <c r="BK1954" s="201"/>
      <c r="BL1954" s="4"/>
      <c r="BM1954" s="4"/>
    </row>
    <row r="1955" spans="1:65" s="38" customFormat="1" ht="21.95" customHeight="1">
      <c r="A1955" s="114">
        <v>129</v>
      </c>
      <c r="B1955" s="24" t="s">
        <v>658</v>
      </c>
      <c r="C1955" s="25" t="s">
        <v>779</v>
      </c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229">
        <f t="shared" si="793"/>
        <v>0</v>
      </c>
      <c r="AC1955" s="228">
        <f t="shared" ref="AC1955:AC1967" si="796">E1955+G1955+I1955+K1955+M1955+O1955+Q1955+S1955+U1955+W1955+Y1955+AA1955</f>
        <v>0</v>
      </c>
      <c r="AD1955" s="19">
        <v>0</v>
      </c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29">
        <f t="shared" si="794"/>
        <v>0</v>
      </c>
      <c r="BD1955" s="48">
        <f t="shared" ref="BD1955:BD1967" si="797">AF1955+AH1955+AJ1955+AL1955+AN1955+AP1955+AR1955+AT1955+AV1955+AX1955+AZ1955+BB1955</f>
        <v>0</v>
      </c>
      <c r="BE1955" s="19">
        <v>1</v>
      </c>
      <c r="BF1955" s="229">
        <f t="shared" si="795"/>
        <v>0</v>
      </c>
      <c r="BG1955" s="210">
        <f t="shared" ref="BG1955:BG1967" si="798">AC1955+BD1955</f>
        <v>0</v>
      </c>
      <c r="BH1955" s="210">
        <f t="shared" ref="BH1955:BH1967" si="799">AD1955+BE1955</f>
        <v>1</v>
      </c>
      <c r="BI1955" s="213">
        <f t="shared" ref="BI1955:BI1967" si="800">BG1955/BH1955*100</f>
        <v>0</v>
      </c>
      <c r="BJ1955" s="141"/>
      <c r="BK1955" s="201"/>
      <c r="BL1955" s="4"/>
      <c r="BM1955" s="4"/>
    </row>
    <row r="1956" spans="1:65" s="38" customFormat="1" ht="18" customHeight="1">
      <c r="A1956" s="114">
        <v>130</v>
      </c>
      <c r="B1956" s="24" t="s">
        <v>782</v>
      </c>
      <c r="C1956" s="25" t="s">
        <v>783</v>
      </c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229">
        <f t="shared" si="793"/>
        <v>0</v>
      </c>
      <c r="AC1956" s="228">
        <f t="shared" si="796"/>
        <v>0</v>
      </c>
      <c r="AD1956" s="19">
        <v>0</v>
      </c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29">
        <f t="shared" si="794"/>
        <v>0</v>
      </c>
      <c r="BD1956" s="48">
        <f t="shared" si="797"/>
        <v>0</v>
      </c>
      <c r="BE1956" s="19">
        <v>1</v>
      </c>
      <c r="BF1956" s="229">
        <f t="shared" si="795"/>
        <v>0</v>
      </c>
      <c r="BG1956" s="210">
        <f t="shared" si="798"/>
        <v>0</v>
      </c>
      <c r="BH1956" s="210">
        <f t="shared" si="799"/>
        <v>1</v>
      </c>
      <c r="BI1956" s="213">
        <f t="shared" si="800"/>
        <v>0</v>
      </c>
      <c r="BJ1956" s="141"/>
      <c r="BK1956" s="201"/>
      <c r="BL1956" s="4"/>
      <c r="BM1956" s="4"/>
    </row>
    <row r="1957" spans="1:65" s="38" customFormat="1" ht="18" customHeight="1">
      <c r="A1957" s="114">
        <v>131</v>
      </c>
      <c r="B1957" s="24" t="s">
        <v>804</v>
      </c>
      <c r="C1957" s="25" t="s">
        <v>1386</v>
      </c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229">
        <f t="shared" si="793"/>
        <v>0</v>
      </c>
      <c r="AC1957" s="228">
        <f t="shared" si="796"/>
        <v>0</v>
      </c>
      <c r="AD1957" s="19">
        <v>0</v>
      </c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>
        <v>61</v>
      </c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29">
        <f t="shared" si="794"/>
        <v>0</v>
      </c>
      <c r="BD1957" s="48">
        <f t="shared" si="797"/>
        <v>61</v>
      </c>
      <c r="BE1957" s="19">
        <v>1</v>
      </c>
      <c r="BF1957" s="229">
        <f t="shared" si="795"/>
        <v>0</v>
      </c>
      <c r="BG1957" s="210">
        <f t="shared" si="798"/>
        <v>61</v>
      </c>
      <c r="BH1957" s="210">
        <f t="shared" si="799"/>
        <v>1</v>
      </c>
      <c r="BI1957" s="213">
        <f t="shared" si="800"/>
        <v>6100</v>
      </c>
      <c r="BJ1957" s="141"/>
      <c r="BK1957" s="201"/>
      <c r="BL1957" s="4"/>
      <c r="BM1957" s="4"/>
    </row>
    <row r="1958" spans="1:65" s="38" customFormat="1" ht="18" customHeight="1">
      <c r="A1958" s="114">
        <v>132</v>
      </c>
      <c r="B1958" s="24" t="s">
        <v>659</v>
      </c>
      <c r="C1958" s="25" t="s">
        <v>660</v>
      </c>
      <c r="D1958" s="121"/>
      <c r="E1958" s="121"/>
      <c r="F1958" s="121"/>
      <c r="G1958" s="121"/>
      <c r="H1958" s="121"/>
      <c r="I1958" s="121">
        <v>4</v>
      </c>
      <c r="J1958" s="121"/>
      <c r="K1958" s="121"/>
      <c r="L1958" s="121"/>
      <c r="M1958" s="121"/>
      <c r="N1958" s="121"/>
      <c r="O1958" s="121">
        <f>4+1</f>
        <v>5</v>
      </c>
      <c r="P1958" s="121"/>
      <c r="Q1958" s="121"/>
      <c r="R1958" s="121"/>
      <c r="S1958" s="121"/>
      <c r="T1958" s="121"/>
      <c r="U1958" s="121">
        <f>11+4</f>
        <v>15</v>
      </c>
      <c r="V1958" s="121"/>
      <c r="W1958" s="121"/>
      <c r="X1958" s="121"/>
      <c r="Y1958" s="121"/>
      <c r="Z1958" s="121"/>
      <c r="AA1958" s="121">
        <f>5+3</f>
        <v>8</v>
      </c>
      <c r="AB1958" s="229">
        <f t="shared" si="793"/>
        <v>0</v>
      </c>
      <c r="AC1958" s="228">
        <f t="shared" si="796"/>
        <v>32</v>
      </c>
      <c r="AD1958" s="19">
        <v>48</v>
      </c>
      <c r="AE1958" s="28"/>
      <c r="AF1958" s="28"/>
      <c r="AG1958" s="28"/>
      <c r="AH1958" s="28"/>
      <c r="AI1958" s="28"/>
      <c r="AJ1958" s="28">
        <f>202+3+41</f>
        <v>246</v>
      </c>
      <c r="AK1958" s="28"/>
      <c r="AL1958" s="28"/>
      <c r="AM1958" s="28"/>
      <c r="AN1958" s="28"/>
      <c r="AO1958" s="28"/>
      <c r="AP1958" s="28">
        <f>318+8</f>
        <v>326</v>
      </c>
      <c r="AQ1958" s="28"/>
      <c r="AR1958" s="28"/>
      <c r="AS1958" s="28"/>
      <c r="AT1958" s="28"/>
      <c r="AU1958" s="28"/>
      <c r="AV1958" s="28">
        <f>254+15+40</f>
        <v>309</v>
      </c>
      <c r="AW1958" s="28"/>
      <c r="AX1958" s="28"/>
      <c r="AY1958" s="28"/>
      <c r="AZ1958" s="28"/>
      <c r="BA1958" s="28"/>
      <c r="BB1958" s="28">
        <f>320+1+6+31</f>
        <v>358</v>
      </c>
      <c r="BC1958" s="229">
        <f t="shared" si="794"/>
        <v>0</v>
      </c>
      <c r="BD1958" s="48">
        <f t="shared" si="797"/>
        <v>1239</v>
      </c>
      <c r="BE1958" s="19">
        <v>1388</v>
      </c>
      <c r="BF1958" s="229">
        <f t="shared" si="795"/>
        <v>0</v>
      </c>
      <c r="BG1958" s="210">
        <f t="shared" si="798"/>
        <v>1271</v>
      </c>
      <c r="BH1958" s="210">
        <f t="shared" si="799"/>
        <v>1436</v>
      </c>
      <c r="BI1958" s="213">
        <f t="shared" si="800"/>
        <v>88.509749303621163</v>
      </c>
      <c r="BJ1958" s="141"/>
      <c r="BK1958" s="201"/>
      <c r="BL1958" s="4"/>
      <c r="BM1958" s="4"/>
    </row>
    <row r="1959" spans="1:65" s="38" customFormat="1" ht="21.95" customHeight="1">
      <c r="A1959" s="114">
        <v>133</v>
      </c>
      <c r="B1959" s="24" t="s">
        <v>661</v>
      </c>
      <c r="C1959" s="27" t="s">
        <v>743</v>
      </c>
      <c r="D1959" s="121"/>
      <c r="E1959" s="121"/>
      <c r="F1959" s="121"/>
      <c r="G1959" s="121"/>
      <c r="H1959" s="121"/>
      <c r="I1959" s="121">
        <f>1+8</f>
        <v>9</v>
      </c>
      <c r="J1959" s="121"/>
      <c r="K1959" s="121"/>
      <c r="L1959" s="121"/>
      <c r="M1959" s="121"/>
      <c r="N1959" s="121"/>
      <c r="O1959" s="121">
        <f>4+6</f>
        <v>10</v>
      </c>
      <c r="P1959" s="121"/>
      <c r="Q1959" s="121"/>
      <c r="R1959" s="121"/>
      <c r="S1959" s="121"/>
      <c r="T1959" s="121"/>
      <c r="U1959" s="121">
        <f>7+12</f>
        <v>19</v>
      </c>
      <c r="V1959" s="121"/>
      <c r="W1959" s="121"/>
      <c r="X1959" s="121"/>
      <c r="Y1959" s="121"/>
      <c r="Z1959" s="121"/>
      <c r="AA1959" s="121">
        <f>5+4+1</f>
        <v>10</v>
      </c>
      <c r="AB1959" s="229">
        <f t="shared" si="793"/>
        <v>0</v>
      </c>
      <c r="AC1959" s="228">
        <f t="shared" si="796"/>
        <v>48</v>
      </c>
      <c r="AD1959" s="19">
        <v>50</v>
      </c>
      <c r="AE1959" s="28"/>
      <c r="AF1959" s="28"/>
      <c r="AG1959" s="28"/>
      <c r="AH1959" s="28"/>
      <c r="AI1959" s="28"/>
      <c r="AJ1959" s="28">
        <f>288+11+115</f>
        <v>414</v>
      </c>
      <c r="AK1959" s="28"/>
      <c r="AL1959" s="28"/>
      <c r="AM1959" s="28"/>
      <c r="AN1959" s="28"/>
      <c r="AO1959" s="28"/>
      <c r="AP1959" s="28">
        <f>433+13+168+1</f>
        <v>615</v>
      </c>
      <c r="AQ1959" s="28"/>
      <c r="AR1959" s="28"/>
      <c r="AS1959" s="28"/>
      <c r="AT1959" s="28"/>
      <c r="AU1959" s="28"/>
      <c r="AV1959" s="28">
        <f>345+11+115</f>
        <v>471</v>
      </c>
      <c r="AW1959" s="28"/>
      <c r="AX1959" s="28"/>
      <c r="AY1959" s="28"/>
      <c r="AZ1959" s="28"/>
      <c r="BA1959" s="28"/>
      <c r="BB1959" s="28">
        <f>381+1+22+111</f>
        <v>515</v>
      </c>
      <c r="BC1959" s="229">
        <f t="shared" si="794"/>
        <v>0</v>
      </c>
      <c r="BD1959" s="48">
        <f t="shared" si="797"/>
        <v>2015</v>
      </c>
      <c r="BE1959" s="19">
        <v>1925</v>
      </c>
      <c r="BF1959" s="229">
        <f t="shared" si="795"/>
        <v>0</v>
      </c>
      <c r="BG1959" s="210">
        <f t="shared" si="798"/>
        <v>2063</v>
      </c>
      <c r="BH1959" s="210">
        <f t="shared" si="799"/>
        <v>1975</v>
      </c>
      <c r="BI1959" s="213">
        <f t="shared" si="800"/>
        <v>104.45569620253166</v>
      </c>
      <c r="BJ1959" s="141"/>
      <c r="BK1959" s="201"/>
      <c r="BL1959" s="4"/>
      <c r="BM1959" s="4"/>
    </row>
    <row r="1960" spans="1:65" s="38" customFormat="1" ht="18" customHeight="1">
      <c r="A1960" s="114">
        <v>134</v>
      </c>
      <c r="B1960" s="24" t="s">
        <v>662</v>
      </c>
      <c r="C1960" s="25" t="s">
        <v>1096</v>
      </c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229">
        <f t="shared" si="793"/>
        <v>0</v>
      </c>
      <c r="AC1960" s="228">
        <f t="shared" si="796"/>
        <v>0</v>
      </c>
      <c r="AD1960" s="19">
        <v>2</v>
      </c>
      <c r="AE1960" s="28"/>
      <c r="AF1960" s="28"/>
      <c r="AG1960" s="28"/>
      <c r="AH1960" s="28"/>
      <c r="AI1960" s="28"/>
      <c r="AJ1960" s="28">
        <f>209+4+7</f>
        <v>220</v>
      </c>
      <c r="AK1960" s="28"/>
      <c r="AL1960" s="28"/>
      <c r="AM1960" s="28"/>
      <c r="AN1960" s="28"/>
      <c r="AO1960" s="28"/>
      <c r="AP1960" s="28">
        <f>353+11</f>
        <v>364</v>
      </c>
      <c r="AQ1960" s="28"/>
      <c r="AR1960" s="28"/>
      <c r="AS1960" s="28"/>
      <c r="AT1960" s="28"/>
      <c r="AU1960" s="28"/>
      <c r="AV1960" s="28">
        <v>236</v>
      </c>
      <c r="AW1960" s="28"/>
      <c r="AX1960" s="28"/>
      <c r="AY1960" s="28"/>
      <c r="AZ1960" s="28"/>
      <c r="BA1960" s="28"/>
      <c r="BB1960" s="28">
        <f>323+1+4+4</f>
        <v>332</v>
      </c>
      <c r="BC1960" s="229">
        <f t="shared" si="794"/>
        <v>0</v>
      </c>
      <c r="BD1960" s="48">
        <f t="shared" si="797"/>
        <v>1152</v>
      </c>
      <c r="BE1960" s="19">
        <v>1055</v>
      </c>
      <c r="BF1960" s="229">
        <f t="shared" si="795"/>
        <v>0</v>
      </c>
      <c r="BG1960" s="210">
        <f t="shared" si="798"/>
        <v>1152</v>
      </c>
      <c r="BH1960" s="210">
        <f t="shared" si="799"/>
        <v>1057</v>
      </c>
      <c r="BI1960" s="213">
        <f t="shared" si="800"/>
        <v>108.98770104068119</v>
      </c>
      <c r="BJ1960" s="141"/>
      <c r="BK1960" s="201"/>
      <c r="BL1960" s="4"/>
      <c r="BM1960" s="4"/>
    </row>
    <row r="1961" spans="1:65" s="38" customFormat="1" ht="18" customHeight="1">
      <c r="A1961" s="114">
        <v>135</v>
      </c>
      <c r="B1961" s="24" t="s">
        <v>663</v>
      </c>
      <c r="C1961" s="25" t="s">
        <v>1097</v>
      </c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229">
        <f t="shared" si="793"/>
        <v>0</v>
      </c>
      <c r="AC1961" s="228">
        <f t="shared" si="796"/>
        <v>0</v>
      </c>
      <c r="AD1961" s="19">
        <v>0</v>
      </c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>
        <v>2</v>
      </c>
      <c r="BC1961" s="229">
        <f t="shared" si="794"/>
        <v>0</v>
      </c>
      <c r="BD1961" s="48">
        <f t="shared" si="797"/>
        <v>2</v>
      </c>
      <c r="BE1961" s="19">
        <v>5</v>
      </c>
      <c r="BF1961" s="229">
        <f t="shared" si="795"/>
        <v>0</v>
      </c>
      <c r="BG1961" s="210">
        <f t="shared" si="798"/>
        <v>2</v>
      </c>
      <c r="BH1961" s="210">
        <f t="shared" si="799"/>
        <v>5</v>
      </c>
      <c r="BI1961" s="213">
        <f t="shared" si="800"/>
        <v>40</v>
      </c>
      <c r="BJ1961" s="141"/>
      <c r="BK1961" s="201"/>
      <c r="BL1961" s="4"/>
      <c r="BM1961" s="4"/>
    </row>
    <row r="1962" spans="1:65" s="38" customFormat="1" ht="21.95" customHeight="1">
      <c r="A1962" s="114">
        <v>136</v>
      </c>
      <c r="B1962" s="24" t="s">
        <v>664</v>
      </c>
      <c r="C1962" s="27" t="s">
        <v>1167</v>
      </c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229">
        <f t="shared" si="793"/>
        <v>0</v>
      </c>
      <c r="AC1962" s="228">
        <f t="shared" si="796"/>
        <v>0</v>
      </c>
      <c r="AD1962" s="19">
        <v>0</v>
      </c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29">
        <f t="shared" si="794"/>
        <v>0</v>
      </c>
      <c r="BD1962" s="48">
        <f t="shared" si="797"/>
        <v>0</v>
      </c>
      <c r="BE1962" s="19">
        <v>6</v>
      </c>
      <c r="BF1962" s="229">
        <f t="shared" si="795"/>
        <v>0</v>
      </c>
      <c r="BG1962" s="210">
        <f t="shared" si="798"/>
        <v>0</v>
      </c>
      <c r="BH1962" s="210">
        <f t="shared" si="799"/>
        <v>6</v>
      </c>
      <c r="BI1962" s="213">
        <f t="shared" si="800"/>
        <v>0</v>
      </c>
      <c r="BJ1962" s="141"/>
      <c r="BK1962" s="201"/>
      <c r="BL1962" s="4"/>
      <c r="BM1962" s="4"/>
    </row>
    <row r="1963" spans="1:65" s="38" customFormat="1" ht="21.95" customHeight="1">
      <c r="A1963" s="330"/>
      <c r="B1963" s="24" t="s">
        <v>704</v>
      </c>
      <c r="C1963" s="332" t="s">
        <v>3195</v>
      </c>
      <c r="D1963" s="333"/>
      <c r="E1963" s="333"/>
      <c r="F1963" s="333"/>
      <c r="G1963" s="333"/>
      <c r="H1963" s="333"/>
      <c r="I1963" s="333"/>
      <c r="J1963" s="333"/>
      <c r="K1963" s="333"/>
      <c r="L1963" s="333"/>
      <c r="M1963" s="333"/>
      <c r="N1963" s="333"/>
      <c r="O1963" s="333"/>
      <c r="P1963" s="333"/>
      <c r="Q1963" s="333"/>
      <c r="R1963" s="333"/>
      <c r="S1963" s="333"/>
      <c r="T1963" s="333"/>
      <c r="U1963" s="333"/>
      <c r="V1963" s="333"/>
      <c r="W1963" s="333"/>
      <c r="X1963" s="333"/>
      <c r="Y1963" s="333"/>
      <c r="Z1963" s="333"/>
      <c r="AA1963" s="333"/>
      <c r="AB1963" s="323"/>
      <c r="AC1963" s="228">
        <f t="shared" si="796"/>
        <v>0</v>
      </c>
      <c r="AD1963" s="326">
        <v>0</v>
      </c>
      <c r="AE1963" s="334"/>
      <c r="AF1963" s="334"/>
      <c r="AG1963" s="334"/>
      <c r="AH1963" s="334"/>
      <c r="AI1963" s="334"/>
      <c r="AJ1963" s="334"/>
      <c r="AK1963" s="334"/>
      <c r="AL1963" s="334"/>
      <c r="AM1963" s="334"/>
      <c r="AN1963" s="334"/>
      <c r="AO1963" s="334"/>
      <c r="AP1963" s="334"/>
      <c r="AQ1963" s="334"/>
      <c r="AR1963" s="334"/>
      <c r="AS1963" s="334"/>
      <c r="AT1963" s="334"/>
      <c r="AU1963" s="334"/>
      <c r="AV1963" s="334"/>
      <c r="AW1963" s="334"/>
      <c r="AX1963" s="334"/>
      <c r="AY1963" s="334"/>
      <c r="AZ1963" s="334"/>
      <c r="BA1963" s="334"/>
      <c r="BB1963" s="334">
        <v>1</v>
      </c>
      <c r="BC1963" s="323"/>
      <c r="BD1963" s="48">
        <f t="shared" si="797"/>
        <v>1</v>
      </c>
      <c r="BE1963" s="326">
        <v>0</v>
      </c>
      <c r="BF1963" s="323"/>
      <c r="BG1963" s="210">
        <f t="shared" ref="BG1963" si="801">AC1963+BD1963</f>
        <v>1</v>
      </c>
      <c r="BH1963" s="210">
        <f t="shared" ref="BH1963" si="802">AD1963+BE1963</f>
        <v>0</v>
      </c>
      <c r="BI1963" s="213" t="e">
        <f t="shared" ref="BI1963" si="803">BG1963/BH1963*100</f>
        <v>#DIV/0!</v>
      </c>
      <c r="BJ1963" s="141"/>
      <c r="BK1963" s="201"/>
      <c r="BL1963" s="4"/>
      <c r="BM1963" s="4"/>
    </row>
    <row r="1964" spans="1:65" s="38" customFormat="1" ht="18" customHeight="1">
      <c r="A1964" s="114">
        <v>137</v>
      </c>
      <c r="B1964" s="24" t="s">
        <v>788</v>
      </c>
      <c r="C1964" s="25" t="s">
        <v>1172</v>
      </c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229">
        <f t="shared" si="793"/>
        <v>0</v>
      </c>
      <c r="AC1964" s="228">
        <f t="shared" si="796"/>
        <v>0</v>
      </c>
      <c r="AD1964" s="19">
        <v>0</v>
      </c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29">
        <f t="shared" si="794"/>
        <v>0</v>
      </c>
      <c r="BD1964" s="48">
        <f t="shared" si="797"/>
        <v>0</v>
      </c>
      <c r="BE1964" s="19">
        <v>1</v>
      </c>
      <c r="BF1964" s="229">
        <f t="shared" si="795"/>
        <v>0</v>
      </c>
      <c r="BG1964" s="210">
        <f t="shared" si="798"/>
        <v>0</v>
      </c>
      <c r="BH1964" s="210">
        <f t="shared" si="799"/>
        <v>1</v>
      </c>
      <c r="BI1964" s="213">
        <f t="shared" si="800"/>
        <v>0</v>
      </c>
      <c r="BJ1964" s="141"/>
      <c r="BK1964" s="201"/>
      <c r="BL1964" s="4"/>
      <c r="BM1964" s="4"/>
    </row>
    <row r="1965" spans="1:65" s="38" customFormat="1" ht="24" customHeight="1">
      <c r="A1965" s="114">
        <v>138</v>
      </c>
      <c r="B1965" s="24" t="s">
        <v>790</v>
      </c>
      <c r="C1965" s="27" t="s">
        <v>2431</v>
      </c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>
        <v>1</v>
      </c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229">
        <f t="shared" si="793"/>
        <v>0</v>
      </c>
      <c r="AC1965" s="228">
        <f t="shared" si="796"/>
        <v>1</v>
      </c>
      <c r="AD1965" s="19">
        <v>5</v>
      </c>
      <c r="AE1965" s="28"/>
      <c r="AF1965" s="28"/>
      <c r="AG1965" s="28"/>
      <c r="AH1965" s="28"/>
      <c r="AI1965" s="28"/>
      <c r="AJ1965" s="28">
        <f>172+2</f>
        <v>174</v>
      </c>
      <c r="AK1965" s="28"/>
      <c r="AL1965" s="28"/>
      <c r="AM1965" s="28"/>
      <c r="AN1965" s="28"/>
      <c r="AO1965" s="28"/>
      <c r="AP1965" s="28">
        <f>289+2</f>
        <v>291</v>
      </c>
      <c r="AQ1965" s="28"/>
      <c r="AR1965" s="28"/>
      <c r="AS1965" s="28"/>
      <c r="AT1965" s="28"/>
      <c r="AU1965" s="28"/>
      <c r="AV1965" s="28">
        <f>177+3</f>
        <v>180</v>
      </c>
      <c r="AW1965" s="28"/>
      <c r="AX1965" s="28"/>
      <c r="AY1965" s="28"/>
      <c r="AZ1965" s="28"/>
      <c r="BA1965" s="28"/>
      <c r="BB1965" s="28">
        <f>251+1</f>
        <v>252</v>
      </c>
      <c r="BC1965" s="229">
        <f t="shared" si="794"/>
        <v>0</v>
      </c>
      <c r="BD1965" s="48">
        <f t="shared" si="797"/>
        <v>897</v>
      </c>
      <c r="BE1965" s="19">
        <v>1592</v>
      </c>
      <c r="BF1965" s="229">
        <f t="shared" si="795"/>
        <v>0</v>
      </c>
      <c r="BG1965" s="210">
        <f t="shared" si="798"/>
        <v>898</v>
      </c>
      <c r="BH1965" s="210">
        <f t="shared" si="799"/>
        <v>1597</v>
      </c>
      <c r="BI1965" s="213">
        <f t="shared" si="800"/>
        <v>56.230432060112712</v>
      </c>
      <c r="BJ1965" s="141"/>
      <c r="BK1965" s="201"/>
      <c r="BL1965" s="4"/>
      <c r="BM1965" s="4"/>
    </row>
    <row r="1966" spans="1:65" s="38" customFormat="1" ht="24" customHeight="1">
      <c r="A1966" s="330"/>
      <c r="B1966" s="331" t="s">
        <v>744</v>
      </c>
      <c r="C1966" s="336" t="s">
        <v>745</v>
      </c>
      <c r="D1966" s="333"/>
      <c r="E1966" s="333"/>
      <c r="F1966" s="333"/>
      <c r="G1966" s="333"/>
      <c r="H1966" s="333"/>
      <c r="I1966" s="333"/>
      <c r="J1966" s="333"/>
      <c r="K1966" s="333"/>
      <c r="L1966" s="333"/>
      <c r="M1966" s="333"/>
      <c r="N1966" s="333"/>
      <c r="O1966" s="333"/>
      <c r="P1966" s="333"/>
      <c r="Q1966" s="333"/>
      <c r="R1966" s="333"/>
      <c r="S1966" s="333"/>
      <c r="T1966" s="333"/>
      <c r="U1966" s="333"/>
      <c r="V1966" s="333"/>
      <c r="W1966" s="333"/>
      <c r="X1966" s="333"/>
      <c r="Y1966" s="333"/>
      <c r="Z1966" s="333"/>
      <c r="AA1966" s="333"/>
      <c r="AB1966" s="323"/>
      <c r="AC1966" s="228">
        <f t="shared" si="796"/>
        <v>0</v>
      </c>
      <c r="AD1966" s="326">
        <v>0</v>
      </c>
      <c r="AE1966" s="334"/>
      <c r="AF1966" s="334"/>
      <c r="AG1966" s="334"/>
      <c r="AH1966" s="334"/>
      <c r="AI1966" s="334"/>
      <c r="AJ1966" s="334"/>
      <c r="AK1966" s="334"/>
      <c r="AL1966" s="334"/>
      <c r="AM1966" s="334"/>
      <c r="AN1966" s="334"/>
      <c r="AO1966" s="334"/>
      <c r="AP1966" s="334"/>
      <c r="AQ1966" s="334"/>
      <c r="AR1966" s="334"/>
      <c r="AS1966" s="334"/>
      <c r="AT1966" s="334"/>
      <c r="AU1966" s="334"/>
      <c r="AV1966" s="334"/>
      <c r="AW1966" s="334"/>
      <c r="AX1966" s="334"/>
      <c r="AY1966" s="334"/>
      <c r="AZ1966" s="334"/>
      <c r="BA1966" s="334"/>
      <c r="BB1966" s="334">
        <v>1</v>
      </c>
      <c r="BC1966" s="323"/>
      <c r="BD1966" s="48">
        <f t="shared" si="797"/>
        <v>1</v>
      </c>
      <c r="BE1966" s="326">
        <v>0</v>
      </c>
      <c r="BF1966" s="323"/>
      <c r="BG1966" s="210">
        <f t="shared" ref="BG1966" si="804">AC1966+BD1966</f>
        <v>1</v>
      </c>
      <c r="BH1966" s="210">
        <f t="shared" ref="BH1966" si="805">AD1966+BE1966</f>
        <v>0</v>
      </c>
      <c r="BI1966" s="213" t="e">
        <f t="shared" ref="BI1966" si="806">BG1966/BH1966*100</f>
        <v>#DIV/0!</v>
      </c>
      <c r="BJ1966" s="141"/>
      <c r="BK1966" s="201"/>
      <c r="BL1966" s="4"/>
      <c r="BM1966" s="4"/>
    </row>
    <row r="1967" spans="1:65" s="38" customFormat="1" ht="18" customHeight="1">
      <c r="A1967" s="114">
        <v>139</v>
      </c>
      <c r="B1967" s="156" t="s">
        <v>1788</v>
      </c>
      <c r="C1967" s="159" t="s">
        <v>1789</v>
      </c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229">
        <f t="shared" si="793"/>
        <v>0</v>
      </c>
      <c r="AC1967" s="228">
        <f t="shared" si="796"/>
        <v>0</v>
      </c>
      <c r="AD1967" s="19">
        <v>1</v>
      </c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29">
        <f t="shared" si="794"/>
        <v>0</v>
      </c>
      <c r="BD1967" s="48">
        <f t="shared" si="797"/>
        <v>0</v>
      </c>
      <c r="BE1967" s="19">
        <v>0</v>
      </c>
      <c r="BF1967" s="229">
        <f t="shared" si="795"/>
        <v>0</v>
      </c>
      <c r="BG1967" s="210">
        <f t="shared" si="798"/>
        <v>0</v>
      </c>
      <c r="BH1967" s="210">
        <f t="shared" si="799"/>
        <v>1</v>
      </c>
      <c r="BI1967" s="213">
        <f t="shared" si="800"/>
        <v>0</v>
      </c>
      <c r="BJ1967" s="269" t="s">
        <v>2856</v>
      </c>
      <c r="BK1967" s="201"/>
      <c r="BL1967" s="4"/>
      <c r="BM1967" s="4"/>
    </row>
    <row r="1968" spans="1:65" s="38" customFormat="1" ht="21.95" customHeight="1">
      <c r="A1968" s="375" t="s">
        <v>2768</v>
      </c>
      <c r="B1968" s="375"/>
      <c r="C1968" s="375"/>
      <c r="D1968" s="220">
        <f t="shared" ref="D1968:AA1968" si="807">SUM(D1969:D2089)</f>
        <v>0</v>
      </c>
      <c r="E1968" s="220">
        <f t="shared" si="807"/>
        <v>0</v>
      </c>
      <c r="F1968" s="220">
        <f t="shared" si="807"/>
        <v>0</v>
      </c>
      <c r="G1968" s="220">
        <f t="shared" si="807"/>
        <v>0</v>
      </c>
      <c r="H1968" s="220">
        <f t="shared" si="807"/>
        <v>0</v>
      </c>
      <c r="I1968" s="220">
        <f t="shared" si="807"/>
        <v>2580</v>
      </c>
      <c r="J1968" s="220">
        <f t="shared" si="807"/>
        <v>0</v>
      </c>
      <c r="K1968" s="220">
        <f t="shared" si="807"/>
        <v>0</v>
      </c>
      <c r="L1968" s="220">
        <f t="shared" si="807"/>
        <v>0</v>
      </c>
      <c r="M1968" s="220">
        <f t="shared" si="807"/>
        <v>0</v>
      </c>
      <c r="N1968" s="220">
        <f t="shared" si="807"/>
        <v>0</v>
      </c>
      <c r="O1968" s="220">
        <f t="shared" si="807"/>
        <v>2196</v>
      </c>
      <c r="P1968" s="220">
        <f t="shared" si="807"/>
        <v>0</v>
      </c>
      <c r="Q1968" s="220">
        <f t="shared" si="807"/>
        <v>0</v>
      </c>
      <c r="R1968" s="220">
        <f t="shared" si="807"/>
        <v>0</v>
      </c>
      <c r="S1968" s="220">
        <f t="shared" si="807"/>
        <v>0</v>
      </c>
      <c r="T1968" s="220">
        <f t="shared" si="807"/>
        <v>0</v>
      </c>
      <c r="U1968" s="220">
        <f t="shared" si="807"/>
        <v>3648</v>
      </c>
      <c r="V1968" s="220">
        <f t="shared" si="807"/>
        <v>0</v>
      </c>
      <c r="W1968" s="220">
        <f t="shared" si="807"/>
        <v>0</v>
      </c>
      <c r="X1968" s="220">
        <f t="shared" si="807"/>
        <v>0</v>
      </c>
      <c r="Y1968" s="220">
        <f t="shared" si="807"/>
        <v>0</v>
      </c>
      <c r="Z1968" s="220">
        <f t="shared" si="807"/>
        <v>0</v>
      </c>
      <c r="AA1968" s="220">
        <f t="shared" si="807"/>
        <v>1374</v>
      </c>
      <c r="AB1968" s="220">
        <f t="shared" ref="AB1968" si="808">D1968+F1968+H1968+J1968+L1968+N1968+P1968+R1968+T1968+V1968+X1968+Z1968</f>
        <v>0</v>
      </c>
      <c r="AC1968" s="220">
        <f t="shared" ref="AC1968" si="809">E1968+G1968+I1968+K1968+M1968+O1968+Q1968+S1968+U1968+W1968+Y1968+AA1968</f>
        <v>9798</v>
      </c>
      <c r="AD1968" s="278">
        <f t="shared" ref="AD1968:BB1968" si="810">SUM(AD1969:AD2089)</f>
        <v>13750</v>
      </c>
      <c r="AE1968" s="210">
        <f t="shared" si="810"/>
        <v>0</v>
      </c>
      <c r="AF1968" s="210">
        <f t="shared" si="810"/>
        <v>0</v>
      </c>
      <c r="AG1968" s="210">
        <f t="shared" si="810"/>
        <v>0</v>
      </c>
      <c r="AH1968" s="210">
        <f t="shared" si="810"/>
        <v>0</v>
      </c>
      <c r="AI1968" s="210">
        <f t="shared" si="810"/>
        <v>326</v>
      </c>
      <c r="AJ1968" s="210">
        <f t="shared" si="810"/>
        <v>12299</v>
      </c>
      <c r="AK1968" s="210">
        <f t="shared" si="810"/>
        <v>0</v>
      </c>
      <c r="AL1968" s="210">
        <f t="shared" si="810"/>
        <v>0</v>
      </c>
      <c r="AM1968" s="210">
        <f t="shared" si="810"/>
        <v>0</v>
      </c>
      <c r="AN1968" s="210">
        <f t="shared" si="810"/>
        <v>0</v>
      </c>
      <c r="AO1968" s="210">
        <f t="shared" si="810"/>
        <v>340</v>
      </c>
      <c r="AP1968" s="210">
        <f t="shared" si="810"/>
        <v>12058</v>
      </c>
      <c r="AQ1968" s="210">
        <f t="shared" si="810"/>
        <v>0</v>
      </c>
      <c r="AR1968" s="210">
        <f t="shared" si="810"/>
        <v>0</v>
      </c>
      <c r="AS1968" s="210">
        <f t="shared" si="810"/>
        <v>0</v>
      </c>
      <c r="AT1968" s="210">
        <f t="shared" si="810"/>
        <v>0</v>
      </c>
      <c r="AU1968" s="210">
        <f t="shared" si="810"/>
        <v>0</v>
      </c>
      <c r="AV1968" s="210">
        <f t="shared" si="810"/>
        <v>13088</v>
      </c>
      <c r="AW1968" s="210">
        <f t="shared" si="810"/>
        <v>0</v>
      </c>
      <c r="AX1968" s="210">
        <f t="shared" si="810"/>
        <v>0</v>
      </c>
      <c r="AY1968" s="210">
        <f t="shared" si="810"/>
        <v>0</v>
      </c>
      <c r="AZ1968" s="210">
        <f t="shared" si="810"/>
        <v>0</v>
      </c>
      <c r="BA1968" s="210">
        <f t="shared" si="810"/>
        <v>0</v>
      </c>
      <c r="BB1968" s="210">
        <f t="shared" si="810"/>
        <v>13354</v>
      </c>
      <c r="BC1968" s="220">
        <f t="shared" ref="BC1968" si="811">AE1968+AG1968+AI1968+AK1968+AM1968+AO1968+AQ1968+AS1968+AU1968+AW1968+AY1968+BA1968</f>
        <v>666</v>
      </c>
      <c r="BD1968" s="210">
        <f t="shared" ref="BD1968" si="812">AF1968+AH1968+AJ1968+AL1968+AN1968+AP1968+AR1968+AT1968+AV1968+AX1968+AZ1968+BB1968</f>
        <v>50799</v>
      </c>
      <c r="BE1968" s="275">
        <f>SUM(BE1969:BE2089)</f>
        <v>57901</v>
      </c>
      <c r="BF1968" s="220">
        <f t="shared" ref="BF1968" si="813">AB1968+BC1968</f>
        <v>666</v>
      </c>
      <c r="BG1968" s="210">
        <f t="shared" ref="BG1968" si="814">AC1968+BD1968</f>
        <v>60597</v>
      </c>
      <c r="BH1968" s="210">
        <f t="shared" ref="BH1968" si="815">AD1968+BE1968</f>
        <v>71651</v>
      </c>
      <c r="BI1968" s="213">
        <f t="shared" ref="BI1968" si="816">BG1968/BH1968*100</f>
        <v>84.572441417426134</v>
      </c>
      <c r="BJ1968" s="140">
        <v>71651</v>
      </c>
      <c r="BK1968" s="203">
        <f>BH1968-BJ1968</f>
        <v>0</v>
      </c>
      <c r="BL1968" s="198">
        <v>87307</v>
      </c>
      <c r="BM1968" s="199">
        <f>BG1968-BL1968</f>
        <v>-26710</v>
      </c>
    </row>
    <row r="1969" spans="1:65" s="38" customFormat="1" ht="21.95" customHeight="1">
      <c r="A1969" s="114">
        <v>1</v>
      </c>
      <c r="B1969" s="24" t="s">
        <v>705</v>
      </c>
      <c r="C1969" s="27" t="s">
        <v>706</v>
      </c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229">
        <f t="shared" ref="AB1969:AB1990" si="817">D1969+F1969+H1969+J1969+L1969+N1969+P1969+R1969+T1969+V1969+X1969+Z1969</f>
        <v>0</v>
      </c>
      <c r="AC1969" s="228">
        <f t="shared" ref="AC1969:AC1990" si="818">E1969+G1969+I1969+K1969+M1969+O1969+Q1969+S1969+U1969+W1969+Y1969+AA1969</f>
        <v>0</v>
      </c>
      <c r="AD1969" s="19">
        <v>1</v>
      </c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29">
        <f t="shared" ref="BC1969:BC1990" si="819">AE1969+AG1969+AI1969+AK1969+AM1969+AO1969+AQ1969+AS1969+AU1969+AW1969+AY1969+BA1969</f>
        <v>0</v>
      </c>
      <c r="BD1969" s="48">
        <f t="shared" ref="BD1969:BD1990" si="820">AF1969+AH1969+AJ1969+AL1969+AN1969+AP1969+AR1969+AT1969+AV1969+AX1969+AZ1969+BB1969</f>
        <v>0</v>
      </c>
      <c r="BE1969" s="19">
        <v>0</v>
      </c>
      <c r="BF1969" s="229">
        <f t="shared" ref="BF1969:BF1990" si="821">AB1969+BC1969</f>
        <v>0</v>
      </c>
      <c r="BG1969" s="210">
        <f t="shared" ref="BG1969:BG1990" si="822">AC1969+BD1969</f>
        <v>0</v>
      </c>
      <c r="BH1969" s="210">
        <f t="shared" ref="BH1969:BH1990" si="823">AD1969+BE1969</f>
        <v>1</v>
      </c>
      <c r="BI1969" s="213">
        <f t="shared" ref="BI1969:BI1999" si="824">BG1969/BH1969*100</f>
        <v>0</v>
      </c>
      <c r="BJ1969" s="270" t="s">
        <v>2857</v>
      </c>
      <c r="BK1969" s="201"/>
      <c r="BL1969" s="4"/>
      <c r="BM1969" s="4"/>
    </row>
    <row r="1970" spans="1:65" s="38" customFormat="1" ht="18" customHeight="1">
      <c r="A1970" s="114">
        <v>2</v>
      </c>
      <c r="B1970" s="24" t="s">
        <v>1671</v>
      </c>
      <c r="C1970" s="25" t="s">
        <v>1672</v>
      </c>
      <c r="D1970" s="121"/>
      <c r="E1970" s="121"/>
      <c r="F1970" s="121"/>
      <c r="G1970" s="121"/>
      <c r="H1970" s="121"/>
      <c r="I1970" s="121">
        <v>322</v>
      </c>
      <c r="J1970" s="121"/>
      <c r="K1970" s="121"/>
      <c r="L1970" s="121"/>
      <c r="M1970" s="121"/>
      <c r="N1970" s="121"/>
      <c r="O1970" s="121">
        <v>325</v>
      </c>
      <c r="P1970" s="121"/>
      <c r="Q1970" s="121"/>
      <c r="R1970" s="121"/>
      <c r="S1970" s="121"/>
      <c r="T1970" s="121"/>
      <c r="U1970" s="121">
        <f>352+318+318</f>
        <v>988</v>
      </c>
      <c r="V1970" s="121"/>
      <c r="W1970" s="121"/>
      <c r="X1970" s="121"/>
      <c r="Y1970" s="121"/>
      <c r="Z1970" s="121"/>
      <c r="AA1970" s="121">
        <v>1</v>
      </c>
      <c r="AB1970" s="229">
        <f t="shared" si="817"/>
        <v>0</v>
      </c>
      <c r="AC1970" s="228">
        <f t="shared" si="818"/>
        <v>1636</v>
      </c>
      <c r="AD1970" s="19">
        <v>1592</v>
      </c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29">
        <f t="shared" si="819"/>
        <v>0</v>
      </c>
      <c r="BD1970" s="48">
        <f t="shared" si="820"/>
        <v>0</v>
      </c>
      <c r="BE1970" s="19">
        <v>0</v>
      </c>
      <c r="BF1970" s="229">
        <f t="shared" si="821"/>
        <v>0</v>
      </c>
      <c r="BG1970" s="210">
        <f t="shared" si="822"/>
        <v>1636</v>
      </c>
      <c r="BH1970" s="210">
        <f t="shared" si="823"/>
        <v>1592</v>
      </c>
      <c r="BI1970" s="213">
        <f t="shared" si="824"/>
        <v>102.76381909547739</v>
      </c>
      <c r="BJ1970" s="270" t="s">
        <v>2857</v>
      </c>
      <c r="BK1970" s="201"/>
      <c r="BL1970" s="4"/>
      <c r="BM1970" s="4"/>
    </row>
    <row r="1971" spans="1:65" s="38" customFormat="1" ht="18" customHeight="1">
      <c r="A1971" s="114">
        <v>3</v>
      </c>
      <c r="B1971" s="24" t="s">
        <v>846</v>
      </c>
      <c r="C1971" s="25" t="s">
        <v>2023</v>
      </c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229">
        <f t="shared" si="817"/>
        <v>0</v>
      </c>
      <c r="AC1971" s="228">
        <f t="shared" si="818"/>
        <v>0</v>
      </c>
      <c r="AD1971" s="19">
        <v>2</v>
      </c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29">
        <f t="shared" si="819"/>
        <v>0</v>
      </c>
      <c r="BD1971" s="48">
        <f t="shared" si="820"/>
        <v>0</v>
      </c>
      <c r="BE1971" s="19">
        <v>0</v>
      </c>
      <c r="BF1971" s="229">
        <f t="shared" si="821"/>
        <v>0</v>
      </c>
      <c r="BG1971" s="210">
        <f t="shared" si="822"/>
        <v>0</v>
      </c>
      <c r="BH1971" s="210">
        <f t="shared" si="823"/>
        <v>2</v>
      </c>
      <c r="BI1971" s="213">
        <f t="shared" si="824"/>
        <v>0</v>
      </c>
      <c r="BJ1971" s="270" t="s">
        <v>2857</v>
      </c>
      <c r="BK1971" s="201"/>
      <c r="BL1971" s="4"/>
      <c r="BM1971" s="4"/>
    </row>
    <row r="1972" spans="1:65" s="38" customFormat="1" ht="18" customHeight="1">
      <c r="A1972" s="114">
        <v>4</v>
      </c>
      <c r="B1972" s="24" t="s">
        <v>937</v>
      </c>
      <c r="C1972" s="25" t="s">
        <v>938</v>
      </c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>
        <v>2</v>
      </c>
      <c r="P1972" s="121"/>
      <c r="Q1972" s="121"/>
      <c r="R1972" s="121"/>
      <c r="S1972" s="121"/>
      <c r="T1972" s="121"/>
      <c r="U1972" s="121">
        <f>2+1+1</f>
        <v>4</v>
      </c>
      <c r="V1972" s="121"/>
      <c r="W1972" s="121"/>
      <c r="X1972" s="121"/>
      <c r="Y1972" s="121"/>
      <c r="Z1972" s="121"/>
      <c r="AA1972" s="121"/>
      <c r="AB1972" s="229">
        <f t="shared" si="817"/>
        <v>0</v>
      </c>
      <c r="AC1972" s="228">
        <f t="shared" si="818"/>
        <v>6</v>
      </c>
      <c r="AD1972" s="19">
        <v>6</v>
      </c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29">
        <f t="shared" si="819"/>
        <v>0</v>
      </c>
      <c r="BD1972" s="48">
        <f t="shared" si="820"/>
        <v>0</v>
      </c>
      <c r="BE1972" s="19">
        <v>0</v>
      </c>
      <c r="BF1972" s="229">
        <f t="shared" si="821"/>
        <v>0</v>
      </c>
      <c r="BG1972" s="210">
        <f t="shared" si="822"/>
        <v>6</v>
      </c>
      <c r="BH1972" s="210">
        <f t="shared" si="823"/>
        <v>6</v>
      </c>
      <c r="BI1972" s="213">
        <f t="shared" si="824"/>
        <v>100</v>
      </c>
      <c r="BJ1972" s="270" t="s">
        <v>2857</v>
      </c>
      <c r="BK1972" s="201"/>
      <c r="BL1972" s="4"/>
      <c r="BM1972" s="4"/>
    </row>
    <row r="1973" spans="1:65" s="38" customFormat="1" ht="18" customHeight="1">
      <c r="A1973" s="114">
        <v>5</v>
      </c>
      <c r="B1973" s="24" t="s">
        <v>1673</v>
      </c>
      <c r="C1973" s="25" t="s">
        <v>2598</v>
      </c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229">
        <f t="shared" si="817"/>
        <v>0</v>
      </c>
      <c r="AC1973" s="228">
        <f t="shared" si="818"/>
        <v>0</v>
      </c>
      <c r="AD1973" s="19">
        <v>1</v>
      </c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29">
        <f t="shared" si="819"/>
        <v>0</v>
      </c>
      <c r="BD1973" s="48">
        <f t="shared" si="820"/>
        <v>0</v>
      </c>
      <c r="BE1973" s="19">
        <v>0</v>
      </c>
      <c r="BF1973" s="229">
        <f t="shared" si="821"/>
        <v>0</v>
      </c>
      <c r="BG1973" s="210">
        <f t="shared" si="822"/>
        <v>0</v>
      </c>
      <c r="BH1973" s="210">
        <f t="shared" si="823"/>
        <v>1</v>
      </c>
      <c r="BI1973" s="213">
        <f t="shared" si="824"/>
        <v>0</v>
      </c>
      <c r="BJ1973" s="270" t="s">
        <v>2857</v>
      </c>
      <c r="BK1973" s="201"/>
      <c r="BL1973" s="4"/>
      <c r="BM1973" s="4"/>
    </row>
    <row r="1974" spans="1:65" s="38" customFormat="1" ht="18" customHeight="1">
      <c r="A1974" s="114">
        <v>6</v>
      </c>
      <c r="B1974" s="24" t="s">
        <v>1674</v>
      </c>
      <c r="C1974" s="25" t="s">
        <v>2599</v>
      </c>
      <c r="D1974" s="121"/>
      <c r="E1974" s="121"/>
      <c r="F1974" s="121"/>
      <c r="G1974" s="121"/>
      <c r="H1974" s="121"/>
      <c r="I1974" s="121">
        <f>1+644</f>
        <v>645</v>
      </c>
      <c r="J1974" s="121"/>
      <c r="K1974" s="121"/>
      <c r="L1974" s="121"/>
      <c r="M1974" s="121"/>
      <c r="N1974" s="121"/>
      <c r="O1974" s="121">
        <v>600</v>
      </c>
      <c r="P1974" s="121"/>
      <c r="Q1974" s="121"/>
      <c r="R1974" s="121"/>
      <c r="S1974" s="121"/>
      <c r="T1974" s="121"/>
      <c r="U1974" s="121">
        <f>1+593+677</f>
        <v>1271</v>
      </c>
      <c r="V1974" s="121"/>
      <c r="W1974" s="121"/>
      <c r="X1974" s="121"/>
      <c r="Y1974" s="121"/>
      <c r="Z1974" s="121"/>
      <c r="AA1974" s="121">
        <v>1</v>
      </c>
      <c r="AB1974" s="229">
        <f t="shared" si="817"/>
        <v>0</v>
      </c>
      <c r="AC1974" s="228">
        <f t="shared" si="818"/>
        <v>2517</v>
      </c>
      <c r="AD1974" s="19">
        <v>3295</v>
      </c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29">
        <f t="shared" si="819"/>
        <v>0</v>
      </c>
      <c r="BD1974" s="48">
        <f t="shared" si="820"/>
        <v>0</v>
      </c>
      <c r="BE1974" s="19">
        <v>0</v>
      </c>
      <c r="BF1974" s="229">
        <f t="shared" si="821"/>
        <v>0</v>
      </c>
      <c r="BG1974" s="210">
        <f t="shared" si="822"/>
        <v>2517</v>
      </c>
      <c r="BH1974" s="210">
        <f t="shared" si="823"/>
        <v>3295</v>
      </c>
      <c r="BI1974" s="213">
        <f t="shared" si="824"/>
        <v>76.388467374810318</v>
      </c>
      <c r="BJ1974" s="270" t="s">
        <v>2857</v>
      </c>
      <c r="BK1974" s="201"/>
      <c r="BL1974" s="4"/>
      <c r="BM1974" s="4"/>
    </row>
    <row r="1975" spans="1:65" s="38" customFormat="1" ht="18" customHeight="1">
      <c r="A1975" s="114">
        <v>7</v>
      </c>
      <c r="B1975" s="24" t="s">
        <v>1468</v>
      </c>
      <c r="C1975" s="25" t="s">
        <v>1469</v>
      </c>
      <c r="D1975" s="121"/>
      <c r="E1975" s="121"/>
      <c r="F1975" s="121"/>
      <c r="G1975" s="121"/>
      <c r="H1975" s="121"/>
      <c r="I1975" s="121">
        <f>1+543</f>
        <v>544</v>
      </c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229">
        <f t="shared" si="817"/>
        <v>0</v>
      </c>
      <c r="AC1975" s="228">
        <f t="shared" si="818"/>
        <v>544</v>
      </c>
      <c r="AD1975" s="19">
        <v>3292</v>
      </c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29">
        <f t="shared" si="819"/>
        <v>0</v>
      </c>
      <c r="BD1975" s="48">
        <f t="shared" si="820"/>
        <v>0</v>
      </c>
      <c r="BE1975" s="19">
        <v>0</v>
      </c>
      <c r="BF1975" s="229">
        <f t="shared" si="821"/>
        <v>0</v>
      </c>
      <c r="BG1975" s="210">
        <f t="shared" si="822"/>
        <v>544</v>
      </c>
      <c r="BH1975" s="210">
        <f t="shared" si="823"/>
        <v>3292</v>
      </c>
      <c r="BI1975" s="213">
        <f t="shared" si="824"/>
        <v>16.524908869987851</v>
      </c>
      <c r="BJ1975" s="270" t="s">
        <v>2857</v>
      </c>
      <c r="BK1975" s="201"/>
      <c r="BL1975" s="4"/>
      <c r="BM1975" s="4"/>
    </row>
    <row r="1976" spans="1:65" s="38" customFormat="1" ht="18" customHeight="1">
      <c r="A1976" s="114">
        <v>8</v>
      </c>
      <c r="B1976" s="24" t="s">
        <v>1482</v>
      </c>
      <c r="C1976" s="25" t="s">
        <v>1483</v>
      </c>
      <c r="D1976" s="121"/>
      <c r="E1976" s="121"/>
      <c r="F1976" s="121"/>
      <c r="G1976" s="121"/>
      <c r="H1976" s="121"/>
      <c r="I1976" s="121">
        <v>2</v>
      </c>
      <c r="J1976" s="121"/>
      <c r="K1976" s="121"/>
      <c r="L1976" s="121"/>
      <c r="M1976" s="121"/>
      <c r="N1976" s="121"/>
      <c r="O1976" s="121">
        <v>1</v>
      </c>
      <c r="P1976" s="121"/>
      <c r="Q1976" s="121"/>
      <c r="R1976" s="121"/>
      <c r="S1976" s="121"/>
      <c r="T1976" s="121"/>
      <c r="U1976" s="121">
        <v>4</v>
      </c>
      <c r="V1976" s="121"/>
      <c r="W1976" s="121"/>
      <c r="X1976" s="121"/>
      <c r="Y1976" s="121"/>
      <c r="Z1976" s="121"/>
      <c r="AA1976" s="121"/>
      <c r="AB1976" s="229">
        <f t="shared" si="817"/>
        <v>0</v>
      </c>
      <c r="AC1976" s="228">
        <f t="shared" si="818"/>
        <v>7</v>
      </c>
      <c r="AD1976" s="19">
        <v>54</v>
      </c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29">
        <f t="shared" si="819"/>
        <v>0</v>
      </c>
      <c r="BD1976" s="48">
        <f t="shared" si="820"/>
        <v>0</v>
      </c>
      <c r="BE1976" s="19">
        <v>0</v>
      </c>
      <c r="BF1976" s="229">
        <f t="shared" si="821"/>
        <v>0</v>
      </c>
      <c r="BG1976" s="210">
        <f t="shared" si="822"/>
        <v>7</v>
      </c>
      <c r="BH1976" s="210">
        <f t="shared" si="823"/>
        <v>54</v>
      </c>
      <c r="BI1976" s="213">
        <f t="shared" si="824"/>
        <v>12.962962962962962</v>
      </c>
      <c r="BJ1976" s="270" t="s">
        <v>2857</v>
      </c>
      <c r="BK1976" s="201"/>
      <c r="BL1976" s="4"/>
      <c r="BM1976" s="4"/>
    </row>
    <row r="1977" spans="1:65" s="38" customFormat="1" ht="18" customHeight="1">
      <c r="A1977" s="114">
        <v>9</v>
      </c>
      <c r="B1977" s="24" t="s">
        <v>551</v>
      </c>
      <c r="C1977" s="25" t="s">
        <v>552</v>
      </c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229">
        <f t="shared" si="817"/>
        <v>0</v>
      </c>
      <c r="AC1977" s="228">
        <f t="shared" si="818"/>
        <v>0</v>
      </c>
      <c r="AD1977" s="19">
        <v>0</v>
      </c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29">
        <f t="shared" si="819"/>
        <v>0</v>
      </c>
      <c r="BD1977" s="48">
        <f t="shared" si="820"/>
        <v>0</v>
      </c>
      <c r="BE1977" s="19">
        <v>1</v>
      </c>
      <c r="BF1977" s="229">
        <f t="shared" si="821"/>
        <v>0</v>
      </c>
      <c r="BG1977" s="210">
        <f t="shared" si="822"/>
        <v>0</v>
      </c>
      <c r="BH1977" s="210">
        <f t="shared" si="823"/>
        <v>1</v>
      </c>
      <c r="BI1977" s="213">
        <f t="shared" si="824"/>
        <v>0</v>
      </c>
      <c r="BJ1977" s="141"/>
      <c r="BK1977" s="201"/>
      <c r="BL1977" s="4"/>
      <c r="BM1977" s="4"/>
    </row>
    <row r="1978" spans="1:65" s="38" customFormat="1" ht="18" customHeight="1">
      <c r="A1978" s="114">
        <v>10</v>
      </c>
      <c r="B1978" s="24" t="s">
        <v>553</v>
      </c>
      <c r="C1978" s="25" t="s">
        <v>554</v>
      </c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229">
        <f t="shared" si="817"/>
        <v>0</v>
      </c>
      <c r="AC1978" s="228">
        <f t="shared" si="818"/>
        <v>0</v>
      </c>
      <c r="AD1978" s="19">
        <v>1</v>
      </c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29">
        <f t="shared" si="819"/>
        <v>0</v>
      </c>
      <c r="BD1978" s="48">
        <f t="shared" si="820"/>
        <v>0</v>
      </c>
      <c r="BE1978" s="19">
        <v>1</v>
      </c>
      <c r="BF1978" s="229">
        <f t="shared" si="821"/>
        <v>0</v>
      </c>
      <c r="BG1978" s="210">
        <f t="shared" si="822"/>
        <v>0</v>
      </c>
      <c r="BH1978" s="210">
        <f t="shared" si="823"/>
        <v>2</v>
      </c>
      <c r="BI1978" s="213">
        <f t="shared" si="824"/>
        <v>0</v>
      </c>
      <c r="BJ1978" s="141"/>
      <c r="BK1978" s="201"/>
      <c r="BL1978" s="4"/>
      <c r="BM1978" s="4"/>
    </row>
    <row r="1979" spans="1:65" s="38" customFormat="1" ht="21.95" customHeight="1">
      <c r="A1979" s="114">
        <v>11</v>
      </c>
      <c r="B1979" s="24" t="s">
        <v>2065</v>
      </c>
      <c r="C1979" s="27" t="s">
        <v>2066</v>
      </c>
      <c r="D1979" s="121"/>
      <c r="E1979" s="121"/>
      <c r="F1979" s="121"/>
      <c r="G1979" s="121"/>
      <c r="H1979" s="121"/>
      <c r="I1979" s="121">
        <v>16</v>
      </c>
      <c r="J1979" s="121"/>
      <c r="K1979" s="121"/>
      <c r="L1979" s="121"/>
      <c r="M1979" s="121"/>
      <c r="N1979" s="121"/>
      <c r="O1979" s="121">
        <f>10+50</f>
        <v>60</v>
      </c>
      <c r="P1979" s="121"/>
      <c r="Q1979" s="121"/>
      <c r="R1979" s="121"/>
      <c r="S1979" s="121"/>
      <c r="T1979" s="121"/>
      <c r="U1979" s="121">
        <v>38</v>
      </c>
      <c r="V1979" s="121"/>
      <c r="W1979" s="121"/>
      <c r="X1979" s="121"/>
      <c r="Y1979" s="121"/>
      <c r="Z1979" s="121"/>
      <c r="AA1979" s="121">
        <v>39</v>
      </c>
      <c r="AB1979" s="229">
        <f t="shared" si="817"/>
        <v>0</v>
      </c>
      <c r="AC1979" s="228">
        <f t="shared" si="818"/>
        <v>153</v>
      </c>
      <c r="AD1979" s="19">
        <v>514</v>
      </c>
      <c r="AE1979" s="28"/>
      <c r="AF1979" s="28"/>
      <c r="AG1979" s="28"/>
      <c r="AH1979" s="28"/>
      <c r="AI1979" s="28"/>
      <c r="AJ1979" s="28">
        <f>8+2</f>
        <v>10</v>
      </c>
      <c r="AK1979" s="28"/>
      <c r="AL1979" s="28"/>
      <c r="AM1979" s="28"/>
      <c r="AN1979" s="28"/>
      <c r="AO1979" s="28"/>
      <c r="AP1979" s="28">
        <f>9+5</f>
        <v>14</v>
      </c>
      <c r="AQ1979" s="28"/>
      <c r="AR1979" s="28"/>
      <c r="AS1979" s="28"/>
      <c r="AT1979" s="28"/>
      <c r="AU1979" s="28"/>
      <c r="AV1979" s="28">
        <f>2+1</f>
        <v>3</v>
      </c>
      <c r="AW1979" s="28"/>
      <c r="AX1979" s="28"/>
      <c r="AY1979" s="28"/>
      <c r="AZ1979" s="28"/>
      <c r="BA1979" s="28"/>
      <c r="BB1979" s="28">
        <f>9+1+1</f>
        <v>11</v>
      </c>
      <c r="BC1979" s="229">
        <f t="shared" si="819"/>
        <v>0</v>
      </c>
      <c r="BD1979" s="48">
        <f t="shared" si="820"/>
        <v>38</v>
      </c>
      <c r="BE1979" s="19">
        <v>38</v>
      </c>
      <c r="BF1979" s="229">
        <f t="shared" si="821"/>
        <v>0</v>
      </c>
      <c r="BG1979" s="210">
        <f t="shared" si="822"/>
        <v>191</v>
      </c>
      <c r="BH1979" s="210">
        <f t="shared" si="823"/>
        <v>552</v>
      </c>
      <c r="BI1979" s="213">
        <f t="shared" si="824"/>
        <v>34.60144927536232</v>
      </c>
      <c r="BJ1979" s="141"/>
      <c r="BK1979" s="201"/>
      <c r="BL1979" s="4"/>
      <c r="BM1979" s="4"/>
    </row>
    <row r="1980" spans="1:65" ht="18" customHeight="1">
      <c r="A1980" s="114">
        <v>12</v>
      </c>
      <c r="B1980" s="24" t="s">
        <v>555</v>
      </c>
      <c r="C1980" s="25" t="s">
        <v>556</v>
      </c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229">
        <f t="shared" si="817"/>
        <v>0</v>
      </c>
      <c r="AC1980" s="228">
        <f t="shared" si="818"/>
        <v>0</v>
      </c>
      <c r="AD1980" s="19">
        <v>0</v>
      </c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>
        <v>1</v>
      </c>
      <c r="BC1980" s="229">
        <f t="shared" si="819"/>
        <v>0</v>
      </c>
      <c r="BD1980" s="48">
        <f t="shared" si="820"/>
        <v>1</v>
      </c>
      <c r="BE1980" s="19">
        <v>1</v>
      </c>
      <c r="BF1980" s="229">
        <f t="shared" si="821"/>
        <v>0</v>
      </c>
      <c r="BG1980" s="210">
        <f t="shared" si="822"/>
        <v>1</v>
      </c>
      <c r="BH1980" s="210">
        <f t="shared" si="823"/>
        <v>1</v>
      </c>
      <c r="BI1980" s="213">
        <f t="shared" si="824"/>
        <v>100</v>
      </c>
      <c r="BJ1980" s="141"/>
      <c r="BK1980" s="201"/>
    </row>
    <row r="1981" spans="1:65" ht="18" customHeight="1">
      <c r="A1981" s="114">
        <v>13</v>
      </c>
      <c r="B1981" s="24" t="s">
        <v>561</v>
      </c>
      <c r="C1981" s="25" t="s">
        <v>562</v>
      </c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229">
        <f t="shared" si="817"/>
        <v>0</v>
      </c>
      <c r="AC1981" s="228">
        <f t="shared" si="818"/>
        <v>0</v>
      </c>
      <c r="AD1981" s="19">
        <v>0</v>
      </c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29">
        <f t="shared" si="819"/>
        <v>0</v>
      </c>
      <c r="BD1981" s="48">
        <f t="shared" si="820"/>
        <v>0</v>
      </c>
      <c r="BE1981" s="19">
        <v>1</v>
      </c>
      <c r="BF1981" s="229">
        <f t="shared" si="821"/>
        <v>0</v>
      </c>
      <c r="BG1981" s="210">
        <f t="shared" si="822"/>
        <v>0</v>
      </c>
      <c r="BH1981" s="210">
        <f t="shared" si="823"/>
        <v>1</v>
      </c>
      <c r="BI1981" s="213">
        <f t="shared" si="824"/>
        <v>0</v>
      </c>
      <c r="BJ1981" s="141"/>
      <c r="BK1981" s="201"/>
    </row>
    <row r="1982" spans="1:65" ht="18" customHeight="1">
      <c r="A1982" s="114">
        <v>14</v>
      </c>
      <c r="B1982" s="24" t="s">
        <v>672</v>
      </c>
      <c r="C1982" s="25" t="s">
        <v>673</v>
      </c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229">
        <f t="shared" si="817"/>
        <v>0</v>
      </c>
      <c r="AC1982" s="228">
        <f t="shared" si="818"/>
        <v>0</v>
      </c>
      <c r="AD1982" s="19">
        <v>1</v>
      </c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  <c r="AZ1982" s="28"/>
      <c r="BA1982" s="28"/>
      <c r="BB1982" s="28"/>
      <c r="BC1982" s="229">
        <f t="shared" si="819"/>
        <v>0</v>
      </c>
      <c r="BD1982" s="48">
        <f t="shared" si="820"/>
        <v>0</v>
      </c>
      <c r="BE1982" s="19">
        <v>84</v>
      </c>
      <c r="BF1982" s="229">
        <f t="shared" si="821"/>
        <v>0</v>
      </c>
      <c r="BG1982" s="210">
        <f t="shared" si="822"/>
        <v>0</v>
      </c>
      <c r="BH1982" s="210">
        <f t="shared" si="823"/>
        <v>85</v>
      </c>
      <c r="BI1982" s="213">
        <f t="shared" si="824"/>
        <v>0</v>
      </c>
      <c r="BJ1982" s="141"/>
      <c r="BK1982" s="201"/>
    </row>
    <row r="1983" spans="1:65" ht="18" customHeight="1">
      <c r="A1983" s="114">
        <v>15</v>
      </c>
      <c r="B1983" s="24" t="s">
        <v>565</v>
      </c>
      <c r="C1983" s="25" t="s">
        <v>566</v>
      </c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229">
        <f t="shared" si="817"/>
        <v>0</v>
      </c>
      <c r="AC1983" s="228">
        <f t="shared" si="818"/>
        <v>0</v>
      </c>
      <c r="AD1983" s="19">
        <v>0</v>
      </c>
      <c r="AE1983" s="28"/>
      <c r="AF1983" s="28"/>
      <c r="AG1983" s="28"/>
      <c r="AH1983" s="28"/>
      <c r="AI1983" s="28"/>
      <c r="AJ1983" s="28">
        <v>13</v>
      </c>
      <c r="AK1983" s="28"/>
      <c r="AL1983" s="28"/>
      <c r="AM1983" s="28"/>
      <c r="AN1983" s="28"/>
      <c r="AO1983" s="28"/>
      <c r="AP1983" s="28">
        <v>10</v>
      </c>
      <c r="AQ1983" s="28"/>
      <c r="AR1983" s="28"/>
      <c r="AS1983" s="28"/>
      <c r="AT1983" s="28"/>
      <c r="AU1983" s="28"/>
      <c r="AV1983" s="28">
        <v>7</v>
      </c>
      <c r="AW1983" s="28"/>
      <c r="AX1983" s="28"/>
      <c r="AY1983" s="28"/>
      <c r="AZ1983" s="28"/>
      <c r="BA1983" s="28"/>
      <c r="BB1983" s="28">
        <v>22</v>
      </c>
      <c r="BC1983" s="229">
        <f t="shared" si="819"/>
        <v>0</v>
      </c>
      <c r="BD1983" s="48">
        <f t="shared" si="820"/>
        <v>52</v>
      </c>
      <c r="BE1983" s="19">
        <v>48</v>
      </c>
      <c r="BF1983" s="229">
        <f t="shared" si="821"/>
        <v>0</v>
      </c>
      <c r="BG1983" s="210">
        <f t="shared" si="822"/>
        <v>52</v>
      </c>
      <c r="BH1983" s="210">
        <f t="shared" si="823"/>
        <v>48</v>
      </c>
      <c r="BI1983" s="213">
        <f t="shared" si="824"/>
        <v>108.33333333333333</v>
      </c>
      <c r="BJ1983" s="141"/>
      <c r="BK1983" s="201"/>
    </row>
    <row r="1984" spans="1:65" ht="18" customHeight="1">
      <c r="A1984" s="114">
        <v>16</v>
      </c>
      <c r="B1984" s="24" t="s">
        <v>707</v>
      </c>
      <c r="C1984" s="25" t="s">
        <v>708</v>
      </c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229">
        <f t="shared" si="817"/>
        <v>0</v>
      </c>
      <c r="AC1984" s="228">
        <f t="shared" si="818"/>
        <v>0</v>
      </c>
      <c r="AD1984" s="19">
        <v>0</v>
      </c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29">
        <f t="shared" si="819"/>
        <v>0</v>
      </c>
      <c r="BD1984" s="48">
        <f t="shared" si="820"/>
        <v>0</v>
      </c>
      <c r="BE1984" s="19">
        <v>1</v>
      </c>
      <c r="BF1984" s="229">
        <f t="shared" si="821"/>
        <v>0</v>
      </c>
      <c r="BG1984" s="210">
        <f t="shared" si="822"/>
        <v>0</v>
      </c>
      <c r="BH1984" s="210">
        <f t="shared" si="823"/>
        <v>1</v>
      </c>
      <c r="BI1984" s="213">
        <f t="shared" si="824"/>
        <v>0</v>
      </c>
      <c r="BJ1984" s="141"/>
      <c r="BK1984" s="201"/>
    </row>
    <row r="1985" spans="1:65" ht="18" customHeight="1">
      <c r="A1985" s="114">
        <v>17</v>
      </c>
      <c r="B1985" s="24" t="s">
        <v>569</v>
      </c>
      <c r="C1985" s="25" t="s">
        <v>680</v>
      </c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229">
        <f t="shared" si="817"/>
        <v>0</v>
      </c>
      <c r="AC1985" s="228">
        <f t="shared" si="818"/>
        <v>0</v>
      </c>
      <c r="AD1985" s="19">
        <v>0</v>
      </c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29">
        <f t="shared" si="819"/>
        <v>0</v>
      </c>
      <c r="BD1985" s="48">
        <f t="shared" si="820"/>
        <v>0</v>
      </c>
      <c r="BE1985" s="19">
        <v>1</v>
      </c>
      <c r="BF1985" s="229">
        <f t="shared" si="821"/>
        <v>0</v>
      </c>
      <c r="BG1985" s="210">
        <f t="shared" si="822"/>
        <v>0</v>
      </c>
      <c r="BH1985" s="210">
        <f t="shared" si="823"/>
        <v>1</v>
      </c>
      <c r="BI1985" s="213">
        <f t="shared" si="824"/>
        <v>0</v>
      </c>
      <c r="BJ1985" s="141"/>
      <c r="BK1985" s="201"/>
    </row>
    <row r="1986" spans="1:65" ht="18" customHeight="1">
      <c r="A1986" s="114">
        <v>18</v>
      </c>
      <c r="B1986" s="24" t="s">
        <v>571</v>
      </c>
      <c r="C1986" s="25" t="s">
        <v>572</v>
      </c>
      <c r="D1986" s="121"/>
      <c r="E1986" s="121"/>
      <c r="F1986" s="121"/>
      <c r="G1986" s="121"/>
      <c r="H1986" s="121"/>
      <c r="I1986" s="121">
        <v>10</v>
      </c>
      <c r="J1986" s="121"/>
      <c r="K1986" s="121"/>
      <c r="L1986" s="121"/>
      <c r="M1986" s="121"/>
      <c r="N1986" s="121"/>
      <c r="O1986" s="121">
        <v>5</v>
      </c>
      <c r="P1986" s="121"/>
      <c r="Q1986" s="121"/>
      <c r="R1986" s="121"/>
      <c r="S1986" s="121"/>
      <c r="T1986" s="121"/>
      <c r="U1986" s="121">
        <v>16</v>
      </c>
      <c r="V1986" s="121"/>
      <c r="W1986" s="121"/>
      <c r="X1986" s="121"/>
      <c r="Y1986" s="121"/>
      <c r="Z1986" s="121"/>
      <c r="AA1986" s="121">
        <v>7</v>
      </c>
      <c r="AB1986" s="229">
        <f t="shared" si="817"/>
        <v>0</v>
      </c>
      <c r="AC1986" s="228">
        <f t="shared" si="818"/>
        <v>38</v>
      </c>
      <c r="AD1986" s="19">
        <v>61</v>
      </c>
      <c r="AE1986" s="28"/>
      <c r="AF1986" s="28"/>
      <c r="AG1986" s="28"/>
      <c r="AH1986" s="28"/>
      <c r="AI1986" s="28"/>
      <c r="AJ1986" s="28">
        <f>761+80</f>
        <v>841</v>
      </c>
      <c r="AK1986" s="28"/>
      <c r="AL1986" s="28"/>
      <c r="AM1986" s="28"/>
      <c r="AN1986" s="28"/>
      <c r="AO1986" s="28"/>
      <c r="AP1986" s="28">
        <f>749+93</f>
        <v>842</v>
      </c>
      <c r="AQ1986" s="28"/>
      <c r="AR1986" s="28"/>
      <c r="AS1986" s="28"/>
      <c r="AT1986" s="28"/>
      <c r="AU1986" s="28"/>
      <c r="AV1986" s="28">
        <f>1+789+90</f>
        <v>880</v>
      </c>
      <c r="AW1986" s="28"/>
      <c r="AX1986" s="28"/>
      <c r="AY1986" s="28"/>
      <c r="AZ1986" s="28"/>
      <c r="BA1986" s="28"/>
      <c r="BB1986" s="28">
        <f>734+58</f>
        <v>792</v>
      </c>
      <c r="BC1986" s="229">
        <f t="shared" si="819"/>
        <v>0</v>
      </c>
      <c r="BD1986" s="48">
        <f t="shared" si="820"/>
        <v>3355</v>
      </c>
      <c r="BE1986" s="19">
        <v>3795</v>
      </c>
      <c r="BF1986" s="229">
        <f t="shared" si="821"/>
        <v>0</v>
      </c>
      <c r="BG1986" s="210">
        <f t="shared" si="822"/>
        <v>3393</v>
      </c>
      <c r="BH1986" s="210">
        <f t="shared" si="823"/>
        <v>3856</v>
      </c>
      <c r="BI1986" s="213">
        <f t="shared" si="824"/>
        <v>87.992738589211612</v>
      </c>
      <c r="BJ1986" s="141"/>
      <c r="BK1986" s="201"/>
    </row>
    <row r="1987" spans="1:65" ht="18" customHeight="1">
      <c r="A1987" s="114">
        <v>19</v>
      </c>
      <c r="B1987" s="24" t="s">
        <v>573</v>
      </c>
      <c r="C1987" s="25" t="s">
        <v>574</v>
      </c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229">
        <f t="shared" si="817"/>
        <v>0</v>
      </c>
      <c r="AC1987" s="228">
        <f t="shared" si="818"/>
        <v>0</v>
      </c>
      <c r="AD1987" s="19">
        <v>0</v>
      </c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29">
        <f t="shared" si="819"/>
        <v>0</v>
      </c>
      <c r="BD1987" s="48">
        <f t="shared" si="820"/>
        <v>0</v>
      </c>
      <c r="BE1987" s="19">
        <v>1</v>
      </c>
      <c r="BF1987" s="229">
        <f t="shared" si="821"/>
        <v>0</v>
      </c>
      <c r="BG1987" s="210">
        <f t="shared" si="822"/>
        <v>0</v>
      </c>
      <c r="BH1987" s="210">
        <f t="shared" si="823"/>
        <v>1</v>
      </c>
      <c r="BI1987" s="213">
        <f t="shared" si="824"/>
        <v>0</v>
      </c>
      <c r="BJ1987" s="141"/>
      <c r="BK1987" s="201"/>
    </row>
    <row r="1988" spans="1:65" ht="18" customHeight="1">
      <c r="A1988" s="114">
        <v>20</v>
      </c>
      <c r="B1988" s="24" t="s">
        <v>575</v>
      </c>
      <c r="C1988" s="25" t="s">
        <v>711</v>
      </c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229">
        <f t="shared" si="817"/>
        <v>0</v>
      </c>
      <c r="AC1988" s="228">
        <f t="shared" si="818"/>
        <v>0</v>
      </c>
      <c r="AD1988" s="19">
        <v>0</v>
      </c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29">
        <f t="shared" si="819"/>
        <v>0</v>
      </c>
      <c r="BD1988" s="48">
        <f t="shared" si="820"/>
        <v>0</v>
      </c>
      <c r="BE1988" s="19">
        <v>5</v>
      </c>
      <c r="BF1988" s="229">
        <f t="shared" si="821"/>
        <v>0</v>
      </c>
      <c r="BG1988" s="210">
        <f t="shared" si="822"/>
        <v>0</v>
      </c>
      <c r="BH1988" s="210">
        <f t="shared" si="823"/>
        <v>5</v>
      </c>
      <c r="BI1988" s="213">
        <f t="shared" si="824"/>
        <v>0</v>
      </c>
      <c r="BJ1988" s="141"/>
      <c r="BK1988" s="201"/>
    </row>
    <row r="1989" spans="1:65" ht="18" customHeight="1">
      <c r="A1989" s="114">
        <v>21</v>
      </c>
      <c r="B1989" s="24" t="s">
        <v>579</v>
      </c>
      <c r="C1989" s="25" t="s">
        <v>580</v>
      </c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229">
        <f t="shared" si="817"/>
        <v>0</v>
      </c>
      <c r="AC1989" s="228">
        <f t="shared" si="818"/>
        <v>0</v>
      </c>
      <c r="AD1989" s="19">
        <v>0</v>
      </c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29">
        <f t="shared" si="819"/>
        <v>0</v>
      </c>
      <c r="BD1989" s="48">
        <f t="shared" si="820"/>
        <v>0</v>
      </c>
      <c r="BE1989" s="19">
        <v>1</v>
      </c>
      <c r="BF1989" s="229">
        <f t="shared" si="821"/>
        <v>0</v>
      </c>
      <c r="BG1989" s="210">
        <f t="shared" si="822"/>
        <v>0</v>
      </c>
      <c r="BH1989" s="210">
        <f t="shared" si="823"/>
        <v>1</v>
      </c>
      <c r="BI1989" s="213">
        <f t="shared" si="824"/>
        <v>0</v>
      </c>
      <c r="BJ1989" s="141"/>
      <c r="BK1989" s="201"/>
    </row>
    <row r="1990" spans="1:65" ht="18" customHeight="1">
      <c r="A1990" s="114">
        <v>22</v>
      </c>
      <c r="B1990" s="24" t="s">
        <v>847</v>
      </c>
      <c r="C1990" s="25" t="s">
        <v>848</v>
      </c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229">
        <f t="shared" si="817"/>
        <v>0</v>
      </c>
      <c r="AC1990" s="228">
        <f t="shared" si="818"/>
        <v>0</v>
      </c>
      <c r="AD1990" s="19">
        <v>621</v>
      </c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29">
        <f t="shared" si="819"/>
        <v>0</v>
      </c>
      <c r="BD1990" s="48">
        <f t="shared" si="820"/>
        <v>0</v>
      </c>
      <c r="BE1990" s="19">
        <v>1</v>
      </c>
      <c r="BF1990" s="229">
        <f t="shared" si="821"/>
        <v>0</v>
      </c>
      <c r="BG1990" s="210">
        <f t="shared" si="822"/>
        <v>0</v>
      </c>
      <c r="BH1990" s="210">
        <f t="shared" si="823"/>
        <v>622</v>
      </c>
      <c r="BI1990" s="213">
        <f t="shared" si="824"/>
        <v>0</v>
      </c>
      <c r="BJ1990" s="141"/>
      <c r="BK1990" s="201"/>
    </row>
    <row r="1991" spans="1:65" ht="18" customHeight="1">
      <c r="A1991" s="114">
        <v>24</v>
      </c>
      <c r="B1991" s="24" t="s">
        <v>849</v>
      </c>
      <c r="C1991" s="25" t="s">
        <v>850</v>
      </c>
      <c r="D1991" s="121"/>
      <c r="E1991" s="121"/>
      <c r="F1991" s="121"/>
      <c r="G1991" s="121"/>
      <c r="H1991" s="121"/>
      <c r="I1991" s="121">
        <v>600</v>
      </c>
      <c r="J1991" s="121"/>
      <c r="K1991" s="121"/>
      <c r="L1991" s="121"/>
      <c r="M1991" s="121"/>
      <c r="N1991" s="121"/>
      <c r="O1991" s="121">
        <v>593</v>
      </c>
      <c r="P1991" s="121"/>
      <c r="Q1991" s="121"/>
      <c r="R1991" s="121"/>
      <c r="S1991" s="121"/>
      <c r="T1991" s="121"/>
      <c r="U1991" s="121">
        <v>754</v>
      </c>
      <c r="V1991" s="121"/>
      <c r="W1991" s="121"/>
      <c r="X1991" s="121"/>
      <c r="Y1991" s="121"/>
      <c r="Z1991" s="121"/>
      <c r="AA1991" s="121">
        <v>737</v>
      </c>
      <c r="AB1991" s="229">
        <f t="shared" ref="AB1991:AB2022" si="825">D1991+F1991+H1991+J1991+L1991+N1991+P1991+R1991+T1991+V1991+X1991+Z1991</f>
        <v>0</v>
      </c>
      <c r="AC1991" s="228">
        <f t="shared" ref="AC1991:AC2021" si="826">E1991+G1991+I1991+K1991+M1991+O1991+Q1991+S1991+U1991+W1991+Y1991+AA1991</f>
        <v>2684</v>
      </c>
      <c r="AD1991" s="19">
        <v>2298</v>
      </c>
      <c r="AE1991" s="28"/>
      <c r="AF1991" s="28"/>
      <c r="AG1991" s="28"/>
      <c r="AH1991" s="28"/>
      <c r="AI1991" s="28"/>
      <c r="AJ1991" s="28">
        <f>1125+112</f>
        <v>1237</v>
      </c>
      <c r="AK1991" s="28"/>
      <c r="AL1991" s="28"/>
      <c r="AM1991" s="28"/>
      <c r="AN1991" s="28"/>
      <c r="AO1991" s="28"/>
      <c r="AP1991" s="28">
        <f>1184+118+1</f>
        <v>1303</v>
      </c>
      <c r="AQ1991" s="28"/>
      <c r="AR1991" s="28"/>
      <c r="AS1991" s="28"/>
      <c r="AT1991" s="28"/>
      <c r="AU1991" s="28"/>
      <c r="AV1991" s="28">
        <f>3+1238+80+3</f>
        <v>1324</v>
      </c>
      <c r="AW1991" s="28"/>
      <c r="AX1991" s="28"/>
      <c r="AY1991" s="28"/>
      <c r="AZ1991" s="28"/>
      <c r="BA1991" s="28"/>
      <c r="BB1991" s="28">
        <f>1219+39+2</f>
        <v>1260</v>
      </c>
      <c r="BC1991" s="229">
        <f t="shared" ref="BC1991:BC2022" si="827">AE1991+AG1991+AI1991+AK1991+AM1991+AO1991+AQ1991+AS1991+AU1991+AW1991+AY1991+BA1991</f>
        <v>0</v>
      </c>
      <c r="BD1991" s="48">
        <f t="shared" ref="BD1991:BD2021" si="828">AF1991+AH1991+AJ1991+AL1991+AN1991+AP1991+AR1991+AT1991+AV1991+AX1991+AZ1991+BB1991</f>
        <v>5124</v>
      </c>
      <c r="BE1991" s="19">
        <v>6598</v>
      </c>
      <c r="BF1991" s="229">
        <f t="shared" ref="BF1991:BF2022" si="829">AB1991+BC1991</f>
        <v>0</v>
      </c>
      <c r="BG1991" s="210">
        <f t="shared" ref="BG1991:BG2021" si="830">AC1991+BD1991</f>
        <v>7808</v>
      </c>
      <c r="BH1991" s="210">
        <f t="shared" ref="BH1991:BH2021" si="831">AD1991+BE1991</f>
        <v>8896</v>
      </c>
      <c r="BI1991" s="213">
        <f t="shared" si="824"/>
        <v>87.769784172661872</v>
      </c>
      <c r="BJ1991" s="141"/>
      <c r="BK1991" s="201"/>
    </row>
    <row r="1992" spans="1:65" s="38" customFormat="1" ht="21.95" customHeight="1">
      <c r="A1992" s="114">
        <v>25</v>
      </c>
      <c r="B1992" s="24" t="s">
        <v>851</v>
      </c>
      <c r="C1992" s="27" t="s">
        <v>2605</v>
      </c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229">
        <f t="shared" si="825"/>
        <v>0</v>
      </c>
      <c r="AC1992" s="228">
        <f t="shared" si="826"/>
        <v>0</v>
      </c>
      <c r="AD1992" s="19">
        <v>0</v>
      </c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>
        <v>3</v>
      </c>
      <c r="AW1992" s="28"/>
      <c r="AX1992" s="28"/>
      <c r="AY1992" s="28"/>
      <c r="AZ1992" s="28"/>
      <c r="BA1992" s="28"/>
      <c r="BB1992" s="28"/>
      <c r="BC1992" s="229">
        <f t="shared" si="827"/>
        <v>0</v>
      </c>
      <c r="BD1992" s="48">
        <f t="shared" si="828"/>
        <v>3</v>
      </c>
      <c r="BE1992" s="19">
        <v>1</v>
      </c>
      <c r="BF1992" s="229">
        <f t="shared" si="829"/>
        <v>0</v>
      </c>
      <c r="BG1992" s="210">
        <f t="shared" si="830"/>
        <v>3</v>
      </c>
      <c r="BH1992" s="210">
        <f t="shared" si="831"/>
        <v>1</v>
      </c>
      <c r="BI1992" s="213">
        <f t="shared" si="824"/>
        <v>300</v>
      </c>
      <c r="BJ1992" s="141"/>
      <c r="BK1992" s="201"/>
      <c r="BL1992" s="4"/>
      <c r="BM1992" s="4"/>
    </row>
    <row r="1993" spans="1:65" s="38" customFormat="1" ht="18" customHeight="1">
      <c r="A1993" s="114">
        <v>26</v>
      </c>
      <c r="B1993" s="24" t="s">
        <v>906</v>
      </c>
      <c r="C1993" s="25" t="s">
        <v>907</v>
      </c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229">
        <f t="shared" si="825"/>
        <v>0</v>
      </c>
      <c r="AC1993" s="228">
        <f t="shared" si="826"/>
        <v>0</v>
      </c>
      <c r="AD1993" s="19">
        <v>0</v>
      </c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29">
        <f t="shared" si="827"/>
        <v>0</v>
      </c>
      <c r="BD1993" s="48">
        <f t="shared" si="828"/>
        <v>0</v>
      </c>
      <c r="BE1993" s="19">
        <v>1</v>
      </c>
      <c r="BF1993" s="229">
        <f t="shared" si="829"/>
        <v>0</v>
      </c>
      <c r="BG1993" s="210">
        <f t="shared" si="830"/>
        <v>0</v>
      </c>
      <c r="BH1993" s="210">
        <f t="shared" si="831"/>
        <v>1</v>
      </c>
      <c r="BI1993" s="213">
        <f t="shared" si="824"/>
        <v>0</v>
      </c>
      <c r="BJ1993" s="141"/>
      <c r="BK1993" s="201"/>
      <c r="BL1993" s="4"/>
      <c r="BM1993" s="4"/>
    </row>
    <row r="1994" spans="1:65" s="38" customFormat="1" ht="18" customHeight="1">
      <c r="A1994" s="114">
        <v>27</v>
      </c>
      <c r="B1994" s="24" t="s">
        <v>1000</v>
      </c>
      <c r="C1994" s="25" t="s">
        <v>1001</v>
      </c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229">
        <f t="shared" si="825"/>
        <v>0</v>
      </c>
      <c r="AC1994" s="228">
        <f t="shared" si="826"/>
        <v>0</v>
      </c>
      <c r="AD1994" s="19">
        <v>0</v>
      </c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  <c r="AZ1994" s="28"/>
      <c r="BA1994" s="28"/>
      <c r="BB1994" s="28"/>
      <c r="BC1994" s="229">
        <f t="shared" si="827"/>
        <v>0</v>
      </c>
      <c r="BD1994" s="48">
        <f t="shared" si="828"/>
        <v>0</v>
      </c>
      <c r="BE1994" s="19">
        <v>1</v>
      </c>
      <c r="BF1994" s="229">
        <f t="shared" si="829"/>
        <v>0</v>
      </c>
      <c r="BG1994" s="210">
        <f t="shared" si="830"/>
        <v>0</v>
      </c>
      <c r="BH1994" s="210">
        <f t="shared" si="831"/>
        <v>1</v>
      </c>
      <c r="BI1994" s="213">
        <f t="shared" si="824"/>
        <v>0</v>
      </c>
      <c r="BJ1994" s="141"/>
      <c r="BK1994" s="201"/>
      <c r="BL1994" s="4"/>
      <c r="BM1994" s="4"/>
    </row>
    <row r="1995" spans="1:65" s="38" customFormat="1" ht="18" customHeight="1">
      <c r="A1995" s="114">
        <v>28</v>
      </c>
      <c r="B1995" s="24" t="s">
        <v>1002</v>
      </c>
      <c r="C1995" s="25" t="s">
        <v>1003</v>
      </c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229">
        <f t="shared" si="825"/>
        <v>0</v>
      </c>
      <c r="AC1995" s="228">
        <f t="shared" si="826"/>
        <v>0</v>
      </c>
      <c r="AD1995" s="19">
        <v>0</v>
      </c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29">
        <f t="shared" si="827"/>
        <v>0</v>
      </c>
      <c r="BD1995" s="48">
        <f t="shared" si="828"/>
        <v>0</v>
      </c>
      <c r="BE1995" s="19">
        <v>2</v>
      </c>
      <c r="BF1995" s="229">
        <f t="shared" si="829"/>
        <v>0</v>
      </c>
      <c r="BG1995" s="210">
        <f t="shared" si="830"/>
        <v>0</v>
      </c>
      <c r="BH1995" s="210">
        <f t="shared" si="831"/>
        <v>2</v>
      </c>
      <c r="BI1995" s="213">
        <f t="shared" si="824"/>
        <v>0</v>
      </c>
      <c r="BJ1995" s="141"/>
      <c r="BK1995" s="201"/>
      <c r="BL1995" s="4"/>
      <c r="BM1995" s="4"/>
    </row>
    <row r="1996" spans="1:65" s="38" customFormat="1" ht="18" customHeight="1">
      <c r="A1996" s="114">
        <v>29</v>
      </c>
      <c r="B1996" s="24" t="s">
        <v>582</v>
      </c>
      <c r="C1996" s="25" t="s">
        <v>583</v>
      </c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229">
        <f t="shared" si="825"/>
        <v>0</v>
      </c>
      <c r="AC1996" s="228">
        <f t="shared" si="826"/>
        <v>0</v>
      </c>
      <c r="AD1996" s="19">
        <v>0</v>
      </c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29">
        <f t="shared" si="827"/>
        <v>0</v>
      </c>
      <c r="BD1996" s="48">
        <f t="shared" si="828"/>
        <v>0</v>
      </c>
      <c r="BE1996" s="19">
        <v>1</v>
      </c>
      <c r="BF1996" s="229">
        <f t="shared" si="829"/>
        <v>0</v>
      </c>
      <c r="BG1996" s="210">
        <f t="shared" si="830"/>
        <v>0</v>
      </c>
      <c r="BH1996" s="210">
        <f t="shared" si="831"/>
        <v>1</v>
      </c>
      <c r="BI1996" s="213">
        <f t="shared" si="824"/>
        <v>0</v>
      </c>
      <c r="BJ1996" s="141"/>
      <c r="BK1996" s="201"/>
      <c r="BL1996" s="4"/>
      <c r="BM1996" s="4"/>
    </row>
    <row r="1997" spans="1:65" s="38" customFormat="1" ht="18" customHeight="1">
      <c r="A1997" s="114">
        <v>30</v>
      </c>
      <c r="B1997" s="24" t="s">
        <v>584</v>
      </c>
      <c r="C1997" s="25" t="s">
        <v>2603</v>
      </c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229">
        <f t="shared" si="825"/>
        <v>0</v>
      </c>
      <c r="AC1997" s="228">
        <f t="shared" si="826"/>
        <v>0</v>
      </c>
      <c r="AD1997" s="19">
        <v>0</v>
      </c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29">
        <f t="shared" si="827"/>
        <v>0</v>
      </c>
      <c r="BD1997" s="48">
        <f t="shared" si="828"/>
        <v>0</v>
      </c>
      <c r="BE1997" s="19">
        <v>1</v>
      </c>
      <c r="BF1997" s="229">
        <f t="shared" si="829"/>
        <v>0</v>
      </c>
      <c r="BG1997" s="210">
        <f t="shared" si="830"/>
        <v>0</v>
      </c>
      <c r="BH1997" s="210">
        <f t="shared" si="831"/>
        <v>1</v>
      </c>
      <c r="BI1997" s="213">
        <f t="shared" si="824"/>
        <v>0</v>
      </c>
      <c r="BJ1997" s="141"/>
      <c r="BK1997" s="201"/>
      <c r="BL1997" s="4"/>
      <c r="BM1997" s="4"/>
    </row>
    <row r="1998" spans="1:65" s="38" customFormat="1" ht="18" customHeight="1">
      <c r="A1998" s="114">
        <v>31</v>
      </c>
      <c r="B1998" s="24" t="s">
        <v>585</v>
      </c>
      <c r="C1998" s="25" t="s">
        <v>586</v>
      </c>
      <c r="D1998" s="121"/>
      <c r="E1998" s="121"/>
      <c r="F1998" s="121"/>
      <c r="G1998" s="121"/>
      <c r="H1998" s="121"/>
      <c r="I1998" s="121">
        <v>39</v>
      </c>
      <c r="J1998" s="121"/>
      <c r="K1998" s="121"/>
      <c r="L1998" s="121"/>
      <c r="M1998" s="121"/>
      <c r="N1998" s="121"/>
      <c r="O1998" s="121">
        <v>45</v>
      </c>
      <c r="P1998" s="121"/>
      <c r="Q1998" s="121"/>
      <c r="R1998" s="121"/>
      <c r="S1998" s="121"/>
      <c r="T1998" s="121"/>
      <c r="U1998" s="121">
        <v>40</v>
      </c>
      <c r="V1998" s="121"/>
      <c r="W1998" s="121"/>
      <c r="X1998" s="121"/>
      <c r="Y1998" s="121"/>
      <c r="Z1998" s="121"/>
      <c r="AA1998" s="121">
        <v>41</v>
      </c>
      <c r="AB1998" s="229">
        <f t="shared" si="825"/>
        <v>0</v>
      </c>
      <c r="AC1998" s="228">
        <f t="shared" si="826"/>
        <v>165</v>
      </c>
      <c r="AD1998" s="19">
        <v>72</v>
      </c>
      <c r="AE1998" s="28"/>
      <c r="AF1998" s="28"/>
      <c r="AG1998" s="28"/>
      <c r="AH1998" s="28"/>
      <c r="AI1998" s="28"/>
      <c r="AJ1998" s="28">
        <v>153</v>
      </c>
      <c r="AK1998" s="28"/>
      <c r="AL1998" s="28"/>
      <c r="AM1998" s="28"/>
      <c r="AN1998" s="28"/>
      <c r="AO1998" s="28"/>
      <c r="AP1998" s="28">
        <v>153</v>
      </c>
      <c r="AQ1998" s="28"/>
      <c r="AR1998" s="28"/>
      <c r="AS1998" s="28"/>
      <c r="AT1998" s="28"/>
      <c r="AU1998" s="28"/>
      <c r="AV1998" s="28">
        <v>144</v>
      </c>
      <c r="AW1998" s="28"/>
      <c r="AX1998" s="28"/>
      <c r="AY1998" s="28"/>
      <c r="AZ1998" s="28"/>
      <c r="BA1998" s="28"/>
      <c r="BB1998" s="28">
        <v>136</v>
      </c>
      <c r="BC1998" s="229">
        <f t="shared" si="827"/>
        <v>0</v>
      </c>
      <c r="BD1998" s="48">
        <f t="shared" si="828"/>
        <v>586</v>
      </c>
      <c r="BE1998" s="19">
        <v>698</v>
      </c>
      <c r="BF1998" s="229">
        <f t="shared" si="829"/>
        <v>0</v>
      </c>
      <c r="BG1998" s="210">
        <f t="shared" si="830"/>
        <v>751</v>
      </c>
      <c r="BH1998" s="210">
        <f t="shared" si="831"/>
        <v>770</v>
      </c>
      <c r="BI1998" s="213">
        <f t="shared" si="824"/>
        <v>97.532467532467535</v>
      </c>
      <c r="BJ1998" s="141"/>
      <c r="BK1998" s="201"/>
      <c r="BL1998" s="4"/>
      <c r="BM1998" s="4"/>
    </row>
    <row r="1999" spans="1:65" s="38" customFormat="1" ht="18" customHeight="1">
      <c r="A1999" s="114">
        <v>32</v>
      </c>
      <c r="B1999" s="24" t="s">
        <v>855</v>
      </c>
      <c r="C1999" s="25" t="s">
        <v>856</v>
      </c>
      <c r="D1999" s="121"/>
      <c r="E1999" s="121"/>
      <c r="F1999" s="121"/>
      <c r="G1999" s="121"/>
      <c r="H1999" s="121"/>
      <c r="I1999" s="121">
        <v>346</v>
      </c>
      <c r="J1999" s="121"/>
      <c r="K1999" s="121"/>
      <c r="L1999" s="121"/>
      <c r="M1999" s="121"/>
      <c r="N1999" s="121"/>
      <c r="O1999" s="121">
        <v>369</v>
      </c>
      <c r="P1999" s="121"/>
      <c r="Q1999" s="121"/>
      <c r="R1999" s="121"/>
      <c r="S1999" s="121"/>
      <c r="T1999" s="121"/>
      <c r="U1999" s="121">
        <v>462</v>
      </c>
      <c r="V1999" s="121"/>
      <c r="W1999" s="121"/>
      <c r="X1999" s="121"/>
      <c r="Y1999" s="121"/>
      <c r="Z1999" s="121"/>
      <c r="AA1999" s="121">
        <v>456</v>
      </c>
      <c r="AB1999" s="229">
        <f t="shared" si="825"/>
        <v>0</v>
      </c>
      <c r="AC1999" s="228">
        <f t="shared" si="826"/>
        <v>1633</v>
      </c>
      <c r="AD1999" s="19">
        <v>1598</v>
      </c>
      <c r="AE1999" s="28"/>
      <c r="AF1999" s="28"/>
      <c r="AG1999" s="28"/>
      <c r="AH1999" s="28"/>
      <c r="AI1999" s="28"/>
      <c r="AJ1999" s="28">
        <f>623+27</f>
        <v>650</v>
      </c>
      <c r="AK1999" s="28"/>
      <c r="AL1999" s="28"/>
      <c r="AM1999" s="28"/>
      <c r="AN1999" s="28"/>
      <c r="AO1999" s="28"/>
      <c r="AP1999" s="28">
        <f>691+47</f>
        <v>738</v>
      </c>
      <c r="AQ1999" s="28"/>
      <c r="AR1999" s="28"/>
      <c r="AS1999" s="28"/>
      <c r="AT1999" s="28"/>
      <c r="AU1999" s="28"/>
      <c r="AV1999" s="28">
        <f>1+756+42+1</f>
        <v>800</v>
      </c>
      <c r="AW1999" s="28"/>
      <c r="AX1999" s="28"/>
      <c r="AY1999" s="28"/>
      <c r="AZ1999" s="28"/>
      <c r="BA1999" s="28"/>
      <c r="BB1999" s="28">
        <f>758+21</f>
        <v>779</v>
      </c>
      <c r="BC1999" s="229">
        <f t="shared" si="827"/>
        <v>0</v>
      </c>
      <c r="BD1999" s="48">
        <f t="shared" si="828"/>
        <v>2967</v>
      </c>
      <c r="BE1999" s="19">
        <v>3399</v>
      </c>
      <c r="BF1999" s="229">
        <f t="shared" si="829"/>
        <v>0</v>
      </c>
      <c r="BG1999" s="210">
        <f t="shared" si="830"/>
        <v>4600</v>
      </c>
      <c r="BH1999" s="210">
        <f t="shared" si="831"/>
        <v>4997</v>
      </c>
      <c r="BI1999" s="213">
        <f t="shared" si="824"/>
        <v>92.055233139883924</v>
      </c>
      <c r="BJ1999" s="141"/>
      <c r="BK1999" s="201"/>
      <c r="BL1999" s="4"/>
      <c r="BM1999" s="4"/>
    </row>
    <row r="2000" spans="1:65" s="38" customFormat="1" ht="18" customHeight="1">
      <c r="A2000" s="114">
        <v>33</v>
      </c>
      <c r="B2000" s="24" t="s">
        <v>59</v>
      </c>
      <c r="C2000" s="25" t="s">
        <v>60</v>
      </c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229">
        <f t="shared" si="825"/>
        <v>0</v>
      </c>
      <c r="AC2000" s="228">
        <f t="shared" si="826"/>
        <v>0</v>
      </c>
      <c r="AD2000" s="21">
        <v>0</v>
      </c>
      <c r="AE2000" s="28"/>
      <c r="AF2000" s="28"/>
      <c r="AG2000" s="28"/>
      <c r="AH2000" s="28"/>
      <c r="AI2000" s="28"/>
      <c r="AJ2000" s="28">
        <f>1+2</f>
        <v>3</v>
      </c>
      <c r="AK2000" s="28"/>
      <c r="AL2000" s="28"/>
      <c r="AM2000" s="28"/>
      <c r="AN2000" s="28"/>
      <c r="AO2000" s="28"/>
      <c r="AP2000" s="28">
        <f>1+1</f>
        <v>2</v>
      </c>
      <c r="AQ2000" s="28"/>
      <c r="AR2000" s="28"/>
      <c r="AS2000" s="28"/>
      <c r="AT2000" s="28"/>
      <c r="AU2000" s="28"/>
      <c r="AV2000" s="28">
        <v>3</v>
      </c>
      <c r="AW2000" s="28"/>
      <c r="AX2000" s="28"/>
      <c r="AY2000" s="28"/>
      <c r="AZ2000" s="28"/>
      <c r="BA2000" s="28"/>
      <c r="BB2000" s="28">
        <v>5</v>
      </c>
      <c r="BC2000" s="229">
        <f t="shared" si="827"/>
        <v>0</v>
      </c>
      <c r="BD2000" s="48">
        <f t="shared" si="828"/>
        <v>13</v>
      </c>
      <c r="BE2000" s="19">
        <f>3+10</f>
        <v>13</v>
      </c>
      <c r="BF2000" s="229">
        <f t="shared" si="829"/>
        <v>0</v>
      </c>
      <c r="BG2000" s="210">
        <f t="shared" si="830"/>
        <v>13</v>
      </c>
      <c r="BH2000" s="210">
        <f t="shared" si="831"/>
        <v>13</v>
      </c>
      <c r="BI2000" s="213">
        <f t="shared" ref="BI2000:BI2030" si="832">BG2000/BH2000*100</f>
        <v>100</v>
      </c>
      <c r="BJ2000" s="141"/>
      <c r="BK2000" s="201"/>
      <c r="BL2000" s="4"/>
      <c r="BM2000" s="4"/>
    </row>
    <row r="2001" spans="1:65" s="38" customFormat="1" ht="18" customHeight="1">
      <c r="A2001" s="114">
        <v>34</v>
      </c>
      <c r="B2001" s="24" t="s">
        <v>61</v>
      </c>
      <c r="C2001" s="25" t="s">
        <v>2523</v>
      </c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229">
        <f t="shared" si="825"/>
        <v>0</v>
      </c>
      <c r="AC2001" s="228">
        <f t="shared" si="826"/>
        <v>0</v>
      </c>
      <c r="AD2001" s="21">
        <v>0</v>
      </c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>
        <v>1</v>
      </c>
      <c r="AW2001" s="28"/>
      <c r="AX2001" s="28"/>
      <c r="AY2001" s="28"/>
      <c r="AZ2001" s="28"/>
      <c r="BA2001" s="28"/>
      <c r="BB2001" s="28">
        <v>5</v>
      </c>
      <c r="BC2001" s="229">
        <f t="shared" si="827"/>
        <v>0</v>
      </c>
      <c r="BD2001" s="48">
        <f t="shared" si="828"/>
        <v>6</v>
      </c>
      <c r="BE2001" s="19">
        <v>8</v>
      </c>
      <c r="BF2001" s="229">
        <f t="shared" si="829"/>
        <v>0</v>
      </c>
      <c r="BG2001" s="210">
        <f t="shared" si="830"/>
        <v>6</v>
      </c>
      <c r="BH2001" s="210">
        <f t="shared" si="831"/>
        <v>8</v>
      </c>
      <c r="BI2001" s="213">
        <f t="shared" si="832"/>
        <v>75</v>
      </c>
      <c r="BJ2001" s="141"/>
      <c r="BK2001" s="201"/>
      <c r="BL2001" s="4"/>
      <c r="BM2001" s="4"/>
    </row>
    <row r="2002" spans="1:65" s="38" customFormat="1" ht="18" customHeight="1">
      <c r="A2002" s="114">
        <v>35</v>
      </c>
      <c r="B2002" s="24" t="s">
        <v>865</v>
      </c>
      <c r="C2002" s="25" t="s">
        <v>1331</v>
      </c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229">
        <f t="shared" si="825"/>
        <v>0</v>
      </c>
      <c r="AC2002" s="228">
        <f t="shared" si="826"/>
        <v>0</v>
      </c>
      <c r="AD2002" s="21">
        <v>0</v>
      </c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28"/>
      <c r="BA2002" s="28"/>
      <c r="BB2002" s="28"/>
      <c r="BC2002" s="229">
        <f t="shared" si="827"/>
        <v>0</v>
      </c>
      <c r="BD2002" s="48">
        <f t="shared" si="828"/>
        <v>0</v>
      </c>
      <c r="BE2002" s="19">
        <v>1</v>
      </c>
      <c r="BF2002" s="229">
        <f t="shared" si="829"/>
        <v>0</v>
      </c>
      <c r="BG2002" s="210">
        <f t="shared" si="830"/>
        <v>0</v>
      </c>
      <c r="BH2002" s="210">
        <f t="shared" si="831"/>
        <v>1</v>
      </c>
      <c r="BI2002" s="213">
        <f t="shared" si="832"/>
        <v>0</v>
      </c>
      <c r="BJ2002" s="141"/>
      <c r="BK2002" s="201"/>
      <c r="BL2002" s="4"/>
      <c r="BM2002" s="4"/>
    </row>
    <row r="2003" spans="1:65" s="38" customFormat="1" ht="18" customHeight="1">
      <c r="A2003" s="114">
        <v>36</v>
      </c>
      <c r="B2003" s="24" t="s">
        <v>62</v>
      </c>
      <c r="C2003" s="25" t="s">
        <v>101</v>
      </c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229">
        <f t="shared" si="825"/>
        <v>0</v>
      </c>
      <c r="AC2003" s="228">
        <f t="shared" si="826"/>
        <v>0</v>
      </c>
      <c r="AD2003" s="21">
        <v>0</v>
      </c>
      <c r="AE2003" s="28"/>
      <c r="AF2003" s="28"/>
      <c r="AG2003" s="28"/>
      <c r="AH2003" s="28"/>
      <c r="AI2003" s="28"/>
      <c r="AJ2003" s="28">
        <v>1</v>
      </c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29">
        <f t="shared" si="827"/>
        <v>0</v>
      </c>
      <c r="BD2003" s="48">
        <f t="shared" si="828"/>
        <v>1</v>
      </c>
      <c r="BE2003" s="19">
        <f>1+3</f>
        <v>4</v>
      </c>
      <c r="BF2003" s="229">
        <f t="shared" si="829"/>
        <v>0</v>
      </c>
      <c r="BG2003" s="210">
        <f t="shared" si="830"/>
        <v>1</v>
      </c>
      <c r="BH2003" s="210">
        <f t="shared" si="831"/>
        <v>4</v>
      </c>
      <c r="BI2003" s="213">
        <f t="shared" si="832"/>
        <v>25</v>
      </c>
      <c r="BJ2003" s="141"/>
      <c r="BK2003" s="201"/>
      <c r="BL2003" s="4"/>
      <c r="BM2003" s="4"/>
    </row>
    <row r="2004" spans="1:65" s="38" customFormat="1" ht="18" customHeight="1">
      <c r="A2004" s="114">
        <v>37</v>
      </c>
      <c r="B2004" s="24" t="s">
        <v>596</v>
      </c>
      <c r="C2004" s="25" t="s">
        <v>597</v>
      </c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>
        <v>1</v>
      </c>
      <c r="AB2004" s="229">
        <f t="shared" si="825"/>
        <v>0</v>
      </c>
      <c r="AC2004" s="228">
        <f t="shared" si="826"/>
        <v>1</v>
      </c>
      <c r="AD2004" s="19">
        <v>0</v>
      </c>
      <c r="AE2004" s="28"/>
      <c r="AF2004" s="28"/>
      <c r="AG2004" s="28"/>
      <c r="AH2004" s="28"/>
      <c r="AI2004" s="28"/>
      <c r="AJ2004" s="28">
        <f>362+4</f>
        <v>366</v>
      </c>
      <c r="AK2004" s="28"/>
      <c r="AL2004" s="28"/>
      <c r="AM2004" s="28"/>
      <c r="AN2004" s="28"/>
      <c r="AO2004" s="28"/>
      <c r="AP2004" s="28">
        <f>344+6</f>
        <v>350</v>
      </c>
      <c r="AQ2004" s="28"/>
      <c r="AR2004" s="28"/>
      <c r="AS2004" s="28"/>
      <c r="AT2004" s="28"/>
      <c r="AU2004" s="28"/>
      <c r="AV2004" s="28">
        <f>1+361</f>
        <v>362</v>
      </c>
      <c r="AW2004" s="28"/>
      <c r="AX2004" s="28"/>
      <c r="AY2004" s="28"/>
      <c r="AZ2004" s="28"/>
      <c r="BA2004" s="28"/>
      <c r="BB2004" s="28">
        <v>308</v>
      </c>
      <c r="BC2004" s="229">
        <f t="shared" si="827"/>
        <v>0</v>
      </c>
      <c r="BD2004" s="48">
        <f t="shared" si="828"/>
        <v>1386</v>
      </c>
      <c r="BE2004" s="19">
        <v>1596</v>
      </c>
      <c r="BF2004" s="229">
        <f t="shared" si="829"/>
        <v>0</v>
      </c>
      <c r="BG2004" s="210">
        <f t="shared" si="830"/>
        <v>1387</v>
      </c>
      <c r="BH2004" s="210">
        <f t="shared" si="831"/>
        <v>1596</v>
      </c>
      <c r="BI2004" s="213">
        <f t="shared" si="832"/>
        <v>86.904761904761912</v>
      </c>
      <c r="BJ2004" s="141"/>
      <c r="BK2004" s="201"/>
      <c r="BL2004" s="4"/>
      <c r="BM2004" s="4"/>
    </row>
    <row r="2005" spans="1:65" s="38" customFormat="1" ht="18" customHeight="1">
      <c r="A2005" s="114">
        <v>38</v>
      </c>
      <c r="B2005" s="24" t="s">
        <v>1004</v>
      </c>
      <c r="C2005" s="25" t="s">
        <v>1005</v>
      </c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229">
        <f t="shared" si="825"/>
        <v>0</v>
      </c>
      <c r="AC2005" s="228">
        <f t="shared" si="826"/>
        <v>0</v>
      </c>
      <c r="AD2005" s="19">
        <v>0</v>
      </c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29">
        <f t="shared" si="827"/>
        <v>0</v>
      </c>
      <c r="BD2005" s="48">
        <f t="shared" si="828"/>
        <v>0</v>
      </c>
      <c r="BE2005" s="19">
        <v>1</v>
      </c>
      <c r="BF2005" s="229">
        <f t="shared" si="829"/>
        <v>0</v>
      </c>
      <c r="BG2005" s="210">
        <f t="shared" si="830"/>
        <v>0</v>
      </c>
      <c r="BH2005" s="210">
        <f t="shared" si="831"/>
        <v>1</v>
      </c>
      <c r="BI2005" s="213">
        <f t="shared" si="832"/>
        <v>0</v>
      </c>
      <c r="BJ2005" s="141"/>
      <c r="BK2005" s="201"/>
      <c r="BL2005" s="4"/>
      <c r="BM2005" s="4"/>
    </row>
    <row r="2006" spans="1:65" s="38" customFormat="1" ht="18" customHeight="1">
      <c r="A2006" s="114">
        <v>39</v>
      </c>
      <c r="B2006" s="24" t="s">
        <v>1968</v>
      </c>
      <c r="C2006" s="25" t="s">
        <v>2484</v>
      </c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>
        <v>1</v>
      </c>
      <c r="AB2006" s="229">
        <f t="shared" si="825"/>
        <v>0</v>
      </c>
      <c r="AC2006" s="228">
        <f t="shared" si="826"/>
        <v>1</v>
      </c>
      <c r="AD2006" s="19">
        <v>0</v>
      </c>
      <c r="AE2006" s="28"/>
      <c r="AF2006" s="28"/>
      <c r="AG2006" s="28"/>
      <c r="AH2006" s="28"/>
      <c r="AI2006" s="28"/>
      <c r="AJ2006" s="28">
        <f>310+2</f>
        <v>312</v>
      </c>
      <c r="AK2006" s="28"/>
      <c r="AL2006" s="28"/>
      <c r="AM2006" s="28"/>
      <c r="AN2006" s="28"/>
      <c r="AO2006" s="28"/>
      <c r="AP2006" s="28">
        <f>152+2</f>
        <v>154</v>
      </c>
      <c r="AQ2006" s="28"/>
      <c r="AR2006" s="28"/>
      <c r="AS2006" s="28"/>
      <c r="AT2006" s="28"/>
      <c r="AU2006" s="28"/>
      <c r="AV2006" s="28">
        <f>2+140</f>
        <v>142</v>
      </c>
      <c r="AW2006" s="28"/>
      <c r="AX2006" s="28"/>
      <c r="AY2006" s="28"/>
      <c r="AZ2006" s="28"/>
      <c r="BA2006" s="28"/>
      <c r="BB2006" s="28">
        <v>297</v>
      </c>
      <c r="BC2006" s="229">
        <f t="shared" si="827"/>
        <v>0</v>
      </c>
      <c r="BD2006" s="48">
        <f t="shared" si="828"/>
        <v>905</v>
      </c>
      <c r="BE2006" s="19">
        <v>1495</v>
      </c>
      <c r="BF2006" s="229">
        <f t="shared" si="829"/>
        <v>0</v>
      </c>
      <c r="BG2006" s="210">
        <f t="shared" si="830"/>
        <v>906</v>
      </c>
      <c r="BH2006" s="210">
        <f t="shared" si="831"/>
        <v>1495</v>
      </c>
      <c r="BI2006" s="213">
        <f t="shared" si="832"/>
        <v>60.602006688963208</v>
      </c>
      <c r="BJ2006" s="141"/>
      <c r="BK2006" s="201"/>
      <c r="BL2006" s="4"/>
      <c r="BM2006" s="4"/>
    </row>
    <row r="2007" spans="1:65" s="38" customFormat="1" ht="18" customHeight="1">
      <c r="A2007" s="114">
        <v>40</v>
      </c>
      <c r="B2007" s="24" t="s">
        <v>812</v>
      </c>
      <c r="C2007" s="25" t="s">
        <v>813</v>
      </c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229">
        <f t="shared" si="825"/>
        <v>0</v>
      </c>
      <c r="AC2007" s="228">
        <f t="shared" si="826"/>
        <v>0</v>
      </c>
      <c r="AD2007" s="19">
        <v>1</v>
      </c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29">
        <f t="shared" si="827"/>
        <v>0</v>
      </c>
      <c r="BD2007" s="48">
        <f t="shared" si="828"/>
        <v>0</v>
      </c>
      <c r="BE2007" s="19">
        <v>0</v>
      </c>
      <c r="BF2007" s="229">
        <f t="shared" si="829"/>
        <v>0</v>
      </c>
      <c r="BG2007" s="210">
        <f t="shared" si="830"/>
        <v>0</v>
      </c>
      <c r="BH2007" s="210">
        <f t="shared" si="831"/>
        <v>1</v>
      </c>
      <c r="BI2007" s="213">
        <f t="shared" si="832"/>
        <v>0</v>
      </c>
      <c r="BJ2007" s="141"/>
      <c r="BK2007" s="201"/>
      <c r="BL2007" s="4"/>
      <c r="BM2007" s="4"/>
    </row>
    <row r="2008" spans="1:65" s="38" customFormat="1" ht="18" customHeight="1">
      <c r="A2008" s="114">
        <v>41</v>
      </c>
      <c r="B2008" s="24" t="s">
        <v>628</v>
      </c>
      <c r="C2008" s="25" t="s">
        <v>629</v>
      </c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>
        <v>2</v>
      </c>
      <c r="P2008" s="121"/>
      <c r="Q2008" s="121"/>
      <c r="R2008" s="121"/>
      <c r="S2008" s="121"/>
      <c r="T2008" s="121"/>
      <c r="U2008" s="121">
        <v>2</v>
      </c>
      <c r="V2008" s="121"/>
      <c r="W2008" s="121"/>
      <c r="X2008" s="121"/>
      <c r="Y2008" s="121"/>
      <c r="Z2008" s="121"/>
      <c r="AA2008" s="121">
        <v>3</v>
      </c>
      <c r="AB2008" s="229">
        <f t="shared" si="825"/>
        <v>0</v>
      </c>
      <c r="AC2008" s="228">
        <f t="shared" si="826"/>
        <v>7</v>
      </c>
      <c r="AD2008" s="19">
        <v>9</v>
      </c>
      <c r="AE2008" s="28"/>
      <c r="AF2008" s="28"/>
      <c r="AG2008" s="28"/>
      <c r="AH2008" s="28"/>
      <c r="AI2008" s="28"/>
      <c r="AJ2008" s="28">
        <f>365+3</f>
        <v>368</v>
      </c>
      <c r="AK2008" s="28"/>
      <c r="AL2008" s="28"/>
      <c r="AM2008" s="28"/>
      <c r="AN2008" s="28"/>
      <c r="AO2008" s="28"/>
      <c r="AP2008" s="28">
        <f>382+4</f>
        <v>386</v>
      </c>
      <c r="AQ2008" s="28"/>
      <c r="AR2008" s="28"/>
      <c r="AS2008" s="28"/>
      <c r="AT2008" s="28"/>
      <c r="AU2008" s="28"/>
      <c r="AV2008" s="28">
        <f>2+406+4</f>
        <v>412</v>
      </c>
      <c r="AW2008" s="28"/>
      <c r="AX2008" s="28"/>
      <c r="AY2008" s="28"/>
      <c r="AZ2008" s="28"/>
      <c r="BA2008" s="28"/>
      <c r="BB2008" s="28">
        <f>397+1</f>
        <v>398</v>
      </c>
      <c r="BC2008" s="229">
        <f t="shared" si="827"/>
        <v>0</v>
      </c>
      <c r="BD2008" s="48">
        <f t="shared" si="828"/>
        <v>1564</v>
      </c>
      <c r="BE2008" s="19">
        <v>1798</v>
      </c>
      <c r="BF2008" s="229">
        <f t="shared" si="829"/>
        <v>0</v>
      </c>
      <c r="BG2008" s="210">
        <f t="shared" si="830"/>
        <v>1571</v>
      </c>
      <c r="BH2008" s="210">
        <f t="shared" si="831"/>
        <v>1807</v>
      </c>
      <c r="BI2008" s="213">
        <f t="shared" si="832"/>
        <v>86.939679026009969</v>
      </c>
      <c r="BJ2008" s="141"/>
      <c r="BK2008" s="201"/>
      <c r="BL2008" s="4"/>
      <c r="BM2008" s="4"/>
    </row>
    <row r="2009" spans="1:65" s="38" customFormat="1" ht="18" customHeight="1">
      <c r="A2009" s="114">
        <v>42</v>
      </c>
      <c r="B2009" s="24" t="s">
        <v>874</v>
      </c>
      <c r="C2009" s="25" t="s">
        <v>875</v>
      </c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229">
        <f t="shared" si="825"/>
        <v>0</v>
      </c>
      <c r="AC2009" s="228">
        <f t="shared" si="826"/>
        <v>0</v>
      </c>
      <c r="AD2009" s="19">
        <v>0</v>
      </c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  <c r="AZ2009" s="28"/>
      <c r="BA2009" s="28"/>
      <c r="BB2009" s="28"/>
      <c r="BC2009" s="229">
        <f t="shared" si="827"/>
        <v>0</v>
      </c>
      <c r="BD2009" s="48">
        <f t="shared" si="828"/>
        <v>0</v>
      </c>
      <c r="BE2009" s="19">
        <v>1</v>
      </c>
      <c r="BF2009" s="229">
        <f t="shared" si="829"/>
        <v>0</v>
      </c>
      <c r="BG2009" s="210">
        <f t="shared" si="830"/>
        <v>0</v>
      </c>
      <c r="BH2009" s="210">
        <f t="shared" si="831"/>
        <v>1</v>
      </c>
      <c r="BI2009" s="213">
        <f t="shared" si="832"/>
        <v>0</v>
      </c>
      <c r="BJ2009" s="141"/>
      <c r="BK2009" s="201"/>
      <c r="BL2009" s="4"/>
      <c r="BM2009" s="4"/>
    </row>
    <row r="2010" spans="1:65" s="38" customFormat="1" ht="18" customHeight="1">
      <c r="A2010" s="114">
        <v>43</v>
      </c>
      <c r="B2010" s="24" t="s">
        <v>908</v>
      </c>
      <c r="C2010" s="25" t="s">
        <v>909</v>
      </c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>
        <v>1</v>
      </c>
      <c r="AB2010" s="229">
        <f t="shared" si="825"/>
        <v>0</v>
      </c>
      <c r="AC2010" s="228">
        <f t="shared" si="826"/>
        <v>1</v>
      </c>
      <c r="AD2010" s="19">
        <v>0</v>
      </c>
      <c r="AE2010" s="28"/>
      <c r="AF2010" s="28"/>
      <c r="AG2010" s="28"/>
      <c r="AH2010" s="28"/>
      <c r="AI2010" s="28"/>
      <c r="AJ2010" s="28">
        <v>253</v>
      </c>
      <c r="AK2010" s="28"/>
      <c r="AL2010" s="28"/>
      <c r="AM2010" s="28"/>
      <c r="AN2010" s="28"/>
      <c r="AO2010" s="28"/>
      <c r="AP2010" s="28">
        <v>286</v>
      </c>
      <c r="AQ2010" s="28"/>
      <c r="AR2010" s="28"/>
      <c r="AS2010" s="28"/>
      <c r="AT2010" s="28"/>
      <c r="AU2010" s="28"/>
      <c r="AV2010" s="28">
        <f>1+306</f>
        <v>307</v>
      </c>
      <c r="AW2010" s="28"/>
      <c r="AX2010" s="28"/>
      <c r="AY2010" s="28"/>
      <c r="AZ2010" s="28"/>
      <c r="BA2010" s="28"/>
      <c r="BB2010" s="28">
        <v>287</v>
      </c>
      <c r="BC2010" s="229">
        <f t="shared" si="827"/>
        <v>0</v>
      </c>
      <c r="BD2010" s="48">
        <f t="shared" si="828"/>
        <v>1133</v>
      </c>
      <c r="BE2010" s="19">
        <v>1415</v>
      </c>
      <c r="BF2010" s="229">
        <f t="shared" si="829"/>
        <v>0</v>
      </c>
      <c r="BG2010" s="210">
        <f t="shared" si="830"/>
        <v>1134</v>
      </c>
      <c r="BH2010" s="210">
        <f t="shared" si="831"/>
        <v>1415</v>
      </c>
      <c r="BI2010" s="213">
        <f t="shared" si="832"/>
        <v>80.141342756183747</v>
      </c>
      <c r="BJ2010" s="141"/>
      <c r="BK2010" s="201"/>
      <c r="BL2010" s="4"/>
      <c r="BM2010" s="4"/>
    </row>
    <row r="2011" spans="1:65" s="38" customFormat="1" ht="18" customHeight="1">
      <c r="A2011" s="114">
        <v>44</v>
      </c>
      <c r="B2011" s="24" t="s">
        <v>910</v>
      </c>
      <c r="C2011" s="25" t="s">
        <v>911</v>
      </c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229">
        <f t="shared" si="825"/>
        <v>0</v>
      </c>
      <c r="AC2011" s="228">
        <f t="shared" si="826"/>
        <v>0</v>
      </c>
      <c r="AD2011" s="19">
        <v>0</v>
      </c>
      <c r="AE2011" s="28"/>
      <c r="AF2011" s="28"/>
      <c r="AG2011" s="28"/>
      <c r="AH2011" s="28"/>
      <c r="AI2011" s="28"/>
      <c r="AJ2011" s="28">
        <f>33+1</f>
        <v>34</v>
      </c>
      <c r="AK2011" s="28"/>
      <c r="AL2011" s="28"/>
      <c r="AM2011" s="28"/>
      <c r="AN2011" s="28"/>
      <c r="AO2011" s="28"/>
      <c r="AP2011" s="28">
        <f>38+1</f>
        <v>39</v>
      </c>
      <c r="AQ2011" s="28"/>
      <c r="AR2011" s="28"/>
      <c r="AS2011" s="28"/>
      <c r="AT2011" s="28"/>
      <c r="AU2011" s="28"/>
      <c r="AV2011" s="28">
        <v>49</v>
      </c>
      <c r="AW2011" s="28"/>
      <c r="AX2011" s="28"/>
      <c r="AY2011" s="28"/>
      <c r="AZ2011" s="28"/>
      <c r="BA2011" s="28"/>
      <c r="BB2011" s="28">
        <v>48</v>
      </c>
      <c r="BC2011" s="229">
        <f t="shared" si="827"/>
        <v>0</v>
      </c>
      <c r="BD2011" s="48">
        <f t="shared" si="828"/>
        <v>170</v>
      </c>
      <c r="BE2011" s="19">
        <v>228</v>
      </c>
      <c r="BF2011" s="229">
        <f t="shared" si="829"/>
        <v>0</v>
      </c>
      <c r="BG2011" s="210">
        <f t="shared" si="830"/>
        <v>170</v>
      </c>
      <c r="BH2011" s="210">
        <f t="shared" si="831"/>
        <v>228</v>
      </c>
      <c r="BI2011" s="213">
        <f t="shared" si="832"/>
        <v>74.561403508771932</v>
      </c>
      <c r="BJ2011" s="141"/>
      <c r="BK2011" s="201"/>
      <c r="BL2011" s="4"/>
      <c r="BM2011" s="4"/>
    </row>
    <row r="2012" spans="1:65" s="38" customFormat="1" ht="18" customHeight="1">
      <c r="A2012" s="114">
        <v>45</v>
      </c>
      <c r="B2012" s="24" t="s">
        <v>1509</v>
      </c>
      <c r="C2012" s="25" t="s">
        <v>1510</v>
      </c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229">
        <f t="shared" si="825"/>
        <v>0</v>
      </c>
      <c r="AC2012" s="228">
        <f t="shared" si="826"/>
        <v>0</v>
      </c>
      <c r="AD2012" s="19">
        <v>0</v>
      </c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  <c r="AZ2012" s="28"/>
      <c r="BA2012" s="28"/>
      <c r="BB2012" s="28"/>
      <c r="BC2012" s="229">
        <f t="shared" si="827"/>
        <v>0</v>
      </c>
      <c r="BD2012" s="48">
        <f t="shared" si="828"/>
        <v>0</v>
      </c>
      <c r="BE2012" s="19">
        <v>1</v>
      </c>
      <c r="BF2012" s="229">
        <f t="shared" si="829"/>
        <v>0</v>
      </c>
      <c r="BG2012" s="210">
        <f t="shared" si="830"/>
        <v>0</v>
      </c>
      <c r="BH2012" s="210">
        <f t="shared" si="831"/>
        <v>1</v>
      </c>
      <c r="BI2012" s="213">
        <f t="shared" si="832"/>
        <v>0</v>
      </c>
      <c r="BJ2012" s="141"/>
      <c r="BK2012" s="201"/>
      <c r="BL2012" s="4"/>
      <c r="BM2012" s="4"/>
    </row>
    <row r="2013" spans="1:65" s="38" customFormat="1" ht="18" customHeight="1">
      <c r="A2013" s="114">
        <v>46</v>
      </c>
      <c r="B2013" s="24" t="s">
        <v>876</v>
      </c>
      <c r="C2013" s="25" t="s">
        <v>877</v>
      </c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229">
        <f t="shared" si="825"/>
        <v>0</v>
      </c>
      <c r="AC2013" s="228">
        <f t="shared" si="826"/>
        <v>0</v>
      </c>
      <c r="AD2013" s="19">
        <v>0</v>
      </c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  <c r="AZ2013" s="28"/>
      <c r="BA2013" s="28"/>
      <c r="BB2013" s="28"/>
      <c r="BC2013" s="229">
        <f t="shared" si="827"/>
        <v>0</v>
      </c>
      <c r="BD2013" s="48">
        <f t="shared" si="828"/>
        <v>0</v>
      </c>
      <c r="BE2013" s="19">
        <v>1</v>
      </c>
      <c r="BF2013" s="229">
        <f t="shared" si="829"/>
        <v>0</v>
      </c>
      <c r="BG2013" s="210">
        <f t="shared" si="830"/>
        <v>0</v>
      </c>
      <c r="BH2013" s="210">
        <f t="shared" si="831"/>
        <v>1</v>
      </c>
      <c r="BI2013" s="213">
        <f t="shared" si="832"/>
        <v>0</v>
      </c>
      <c r="BJ2013" s="141"/>
      <c r="BK2013" s="201"/>
      <c r="BL2013" s="4"/>
      <c r="BM2013" s="4"/>
    </row>
    <row r="2014" spans="1:65" s="38" customFormat="1" ht="18" customHeight="1">
      <c r="A2014" s="114">
        <v>47</v>
      </c>
      <c r="B2014" s="24" t="s">
        <v>878</v>
      </c>
      <c r="C2014" s="25" t="s">
        <v>879</v>
      </c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229">
        <f t="shared" si="825"/>
        <v>0</v>
      </c>
      <c r="AC2014" s="228">
        <f t="shared" si="826"/>
        <v>0</v>
      </c>
      <c r="AD2014" s="19">
        <v>0</v>
      </c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  <c r="AZ2014" s="28"/>
      <c r="BA2014" s="28"/>
      <c r="BB2014" s="28"/>
      <c r="BC2014" s="229">
        <f t="shared" si="827"/>
        <v>0</v>
      </c>
      <c r="BD2014" s="48">
        <f t="shared" si="828"/>
        <v>0</v>
      </c>
      <c r="BE2014" s="19">
        <v>1</v>
      </c>
      <c r="BF2014" s="229">
        <f t="shared" si="829"/>
        <v>0</v>
      </c>
      <c r="BG2014" s="210">
        <f t="shared" si="830"/>
        <v>0</v>
      </c>
      <c r="BH2014" s="210">
        <f t="shared" si="831"/>
        <v>1</v>
      </c>
      <c r="BI2014" s="213">
        <f t="shared" si="832"/>
        <v>0</v>
      </c>
      <c r="BJ2014" s="141"/>
      <c r="BK2014" s="201"/>
      <c r="BL2014" s="4"/>
      <c r="BM2014" s="4"/>
    </row>
    <row r="2015" spans="1:65" s="38" customFormat="1" ht="18" customHeight="1">
      <c r="A2015" s="114">
        <v>48</v>
      </c>
      <c r="B2015" s="24" t="s">
        <v>912</v>
      </c>
      <c r="C2015" s="25" t="s">
        <v>913</v>
      </c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229">
        <f t="shared" si="825"/>
        <v>0</v>
      </c>
      <c r="AC2015" s="228">
        <f t="shared" si="826"/>
        <v>0</v>
      </c>
      <c r="AD2015" s="19">
        <v>0</v>
      </c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29">
        <f t="shared" si="827"/>
        <v>0</v>
      </c>
      <c r="BD2015" s="48">
        <f t="shared" si="828"/>
        <v>0</v>
      </c>
      <c r="BE2015" s="19">
        <v>1</v>
      </c>
      <c r="BF2015" s="229">
        <f t="shared" si="829"/>
        <v>0</v>
      </c>
      <c r="BG2015" s="210">
        <f t="shared" si="830"/>
        <v>0</v>
      </c>
      <c r="BH2015" s="210">
        <f t="shared" si="831"/>
        <v>1</v>
      </c>
      <c r="BI2015" s="213">
        <f t="shared" si="832"/>
        <v>0</v>
      </c>
      <c r="BJ2015" s="141"/>
      <c r="BK2015" s="201"/>
      <c r="BL2015" s="4"/>
      <c r="BM2015" s="4"/>
    </row>
    <row r="2016" spans="1:65" s="38" customFormat="1" ht="18" customHeight="1">
      <c r="A2016" s="114">
        <v>49</v>
      </c>
      <c r="B2016" s="24" t="s">
        <v>92</v>
      </c>
      <c r="C2016" s="25" t="s">
        <v>2453</v>
      </c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229">
        <f t="shared" si="825"/>
        <v>0</v>
      </c>
      <c r="AC2016" s="228">
        <f t="shared" si="826"/>
        <v>0</v>
      </c>
      <c r="AD2016" s="19">
        <v>0</v>
      </c>
      <c r="AE2016" s="28"/>
      <c r="AF2016" s="28"/>
      <c r="AG2016" s="28"/>
      <c r="AH2016" s="28"/>
      <c r="AI2016" s="28"/>
      <c r="AJ2016" s="28">
        <v>112</v>
      </c>
      <c r="AK2016" s="28"/>
      <c r="AL2016" s="28"/>
      <c r="AM2016" s="28"/>
      <c r="AN2016" s="28"/>
      <c r="AO2016" s="28"/>
      <c r="AP2016" s="28">
        <v>115</v>
      </c>
      <c r="AQ2016" s="28"/>
      <c r="AR2016" s="28"/>
      <c r="AS2016" s="28"/>
      <c r="AT2016" s="28"/>
      <c r="AU2016" s="28"/>
      <c r="AV2016" s="28">
        <v>147</v>
      </c>
      <c r="AW2016" s="28"/>
      <c r="AX2016" s="28"/>
      <c r="AY2016" s="28"/>
      <c r="AZ2016" s="28"/>
      <c r="BA2016" s="28"/>
      <c r="BB2016" s="28">
        <v>132</v>
      </c>
      <c r="BC2016" s="229">
        <f t="shared" si="827"/>
        <v>0</v>
      </c>
      <c r="BD2016" s="48">
        <f t="shared" si="828"/>
        <v>506</v>
      </c>
      <c r="BE2016" s="19">
        <v>625</v>
      </c>
      <c r="BF2016" s="229">
        <f t="shared" si="829"/>
        <v>0</v>
      </c>
      <c r="BG2016" s="210">
        <f t="shared" si="830"/>
        <v>506</v>
      </c>
      <c r="BH2016" s="210">
        <f t="shared" si="831"/>
        <v>625</v>
      </c>
      <c r="BI2016" s="213">
        <f t="shared" si="832"/>
        <v>80.959999999999994</v>
      </c>
      <c r="BJ2016" s="141"/>
      <c r="BK2016" s="201"/>
      <c r="BL2016" s="4"/>
      <c r="BM2016" s="4"/>
    </row>
    <row r="2017" spans="1:65" s="38" customFormat="1" ht="18" customHeight="1">
      <c r="A2017" s="114">
        <v>50</v>
      </c>
      <c r="B2017" s="24" t="s">
        <v>102</v>
      </c>
      <c r="C2017" s="25" t="s">
        <v>2452</v>
      </c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229">
        <f t="shared" si="825"/>
        <v>0</v>
      </c>
      <c r="AC2017" s="228">
        <f t="shared" si="826"/>
        <v>0</v>
      </c>
      <c r="AD2017" s="19">
        <v>0</v>
      </c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29">
        <f t="shared" si="827"/>
        <v>0</v>
      </c>
      <c r="BD2017" s="48">
        <f t="shared" si="828"/>
        <v>0</v>
      </c>
      <c r="BE2017" s="19">
        <v>1</v>
      </c>
      <c r="BF2017" s="229">
        <f t="shared" si="829"/>
        <v>0</v>
      </c>
      <c r="BG2017" s="210">
        <f t="shared" si="830"/>
        <v>0</v>
      </c>
      <c r="BH2017" s="210">
        <f t="shared" si="831"/>
        <v>1</v>
      </c>
      <c r="BI2017" s="213">
        <f t="shared" si="832"/>
        <v>0</v>
      </c>
      <c r="BJ2017" s="141"/>
      <c r="BK2017" s="201"/>
      <c r="BL2017" s="4"/>
      <c r="BM2017" s="4"/>
    </row>
    <row r="2018" spans="1:65" s="38" customFormat="1" ht="18" customHeight="1">
      <c r="A2018" s="114">
        <v>51</v>
      </c>
      <c r="B2018" s="24" t="s">
        <v>103</v>
      </c>
      <c r="C2018" s="25" t="s">
        <v>104</v>
      </c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229">
        <f t="shared" si="825"/>
        <v>0</v>
      </c>
      <c r="AC2018" s="228">
        <f t="shared" si="826"/>
        <v>0</v>
      </c>
      <c r="AD2018" s="19">
        <v>0</v>
      </c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/>
      <c r="AZ2018" s="28"/>
      <c r="BA2018" s="28"/>
      <c r="BB2018" s="28"/>
      <c r="BC2018" s="229">
        <f t="shared" si="827"/>
        <v>0</v>
      </c>
      <c r="BD2018" s="48">
        <f t="shared" si="828"/>
        <v>0</v>
      </c>
      <c r="BE2018" s="19">
        <v>1</v>
      </c>
      <c r="BF2018" s="229">
        <f t="shared" si="829"/>
        <v>0</v>
      </c>
      <c r="BG2018" s="210">
        <f t="shared" si="830"/>
        <v>0</v>
      </c>
      <c r="BH2018" s="210">
        <f t="shared" si="831"/>
        <v>1</v>
      </c>
      <c r="BI2018" s="213">
        <f t="shared" si="832"/>
        <v>0</v>
      </c>
      <c r="BJ2018" s="141"/>
      <c r="BK2018" s="201"/>
      <c r="BL2018" s="4"/>
      <c r="BM2018" s="4"/>
    </row>
    <row r="2019" spans="1:65" s="38" customFormat="1" ht="18" customHeight="1">
      <c r="A2019" s="114">
        <v>52</v>
      </c>
      <c r="B2019" s="24" t="s">
        <v>105</v>
      </c>
      <c r="C2019" s="25" t="s">
        <v>106</v>
      </c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229">
        <f t="shared" si="825"/>
        <v>0</v>
      </c>
      <c r="AC2019" s="228">
        <f t="shared" si="826"/>
        <v>0</v>
      </c>
      <c r="AD2019" s="19">
        <v>0</v>
      </c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  <c r="AZ2019" s="28"/>
      <c r="BA2019" s="28"/>
      <c r="BB2019" s="28"/>
      <c r="BC2019" s="229">
        <f t="shared" si="827"/>
        <v>0</v>
      </c>
      <c r="BD2019" s="48">
        <f t="shared" si="828"/>
        <v>0</v>
      </c>
      <c r="BE2019" s="19">
        <v>1</v>
      </c>
      <c r="BF2019" s="229">
        <f t="shared" si="829"/>
        <v>0</v>
      </c>
      <c r="BG2019" s="210">
        <f t="shared" si="830"/>
        <v>0</v>
      </c>
      <c r="BH2019" s="210">
        <f t="shared" si="831"/>
        <v>1</v>
      </c>
      <c r="BI2019" s="213">
        <f t="shared" si="832"/>
        <v>0</v>
      </c>
      <c r="BJ2019" s="141"/>
      <c r="BK2019" s="201"/>
      <c r="BL2019" s="4"/>
      <c r="BM2019" s="4"/>
    </row>
    <row r="2020" spans="1:65" s="38" customFormat="1" ht="18" customHeight="1">
      <c r="A2020" s="114">
        <v>53</v>
      </c>
      <c r="B2020" s="24" t="s">
        <v>1915</v>
      </c>
      <c r="C2020" s="25" t="s">
        <v>1916</v>
      </c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229">
        <f t="shared" si="825"/>
        <v>0</v>
      </c>
      <c r="AC2020" s="228">
        <f t="shared" si="826"/>
        <v>0</v>
      </c>
      <c r="AD2020" s="19">
        <v>0</v>
      </c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  <c r="AZ2020" s="28"/>
      <c r="BA2020" s="28"/>
      <c r="BB2020" s="28"/>
      <c r="BC2020" s="229">
        <f t="shared" si="827"/>
        <v>0</v>
      </c>
      <c r="BD2020" s="48">
        <f t="shared" si="828"/>
        <v>0</v>
      </c>
      <c r="BE2020" s="19">
        <v>1</v>
      </c>
      <c r="BF2020" s="229">
        <f t="shared" si="829"/>
        <v>0</v>
      </c>
      <c r="BG2020" s="210">
        <f t="shared" si="830"/>
        <v>0</v>
      </c>
      <c r="BH2020" s="210">
        <f t="shared" si="831"/>
        <v>1</v>
      </c>
      <c r="BI2020" s="213">
        <f t="shared" si="832"/>
        <v>0</v>
      </c>
      <c r="BJ2020" s="141"/>
      <c r="BK2020" s="201"/>
      <c r="BL2020" s="4"/>
      <c r="BM2020" s="4"/>
    </row>
    <row r="2021" spans="1:65" s="38" customFormat="1" ht="18" customHeight="1">
      <c r="A2021" s="114">
        <v>54</v>
      </c>
      <c r="B2021" s="24" t="s">
        <v>880</v>
      </c>
      <c r="C2021" s="25" t="s">
        <v>881</v>
      </c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>
        <v>1</v>
      </c>
      <c r="AB2021" s="229">
        <f t="shared" si="825"/>
        <v>0</v>
      </c>
      <c r="AC2021" s="228">
        <f t="shared" si="826"/>
        <v>1</v>
      </c>
      <c r="AD2021" s="19">
        <v>0</v>
      </c>
      <c r="AE2021" s="28"/>
      <c r="AF2021" s="28"/>
      <c r="AG2021" s="28"/>
      <c r="AH2021" s="28"/>
      <c r="AI2021" s="28"/>
      <c r="AJ2021" s="28">
        <v>51</v>
      </c>
      <c r="AK2021" s="28"/>
      <c r="AL2021" s="28"/>
      <c r="AM2021" s="28"/>
      <c r="AN2021" s="28"/>
      <c r="AO2021" s="28"/>
      <c r="AP2021" s="28">
        <v>47</v>
      </c>
      <c r="AQ2021" s="28"/>
      <c r="AR2021" s="28"/>
      <c r="AS2021" s="28"/>
      <c r="AT2021" s="28"/>
      <c r="AU2021" s="28"/>
      <c r="AV2021" s="28">
        <v>65</v>
      </c>
      <c r="AW2021" s="28"/>
      <c r="AX2021" s="28"/>
      <c r="AY2021" s="28"/>
      <c r="AZ2021" s="28"/>
      <c r="BA2021" s="28"/>
      <c r="BB2021" s="28">
        <v>69</v>
      </c>
      <c r="BC2021" s="229">
        <f t="shared" si="827"/>
        <v>0</v>
      </c>
      <c r="BD2021" s="48">
        <f t="shared" si="828"/>
        <v>232</v>
      </c>
      <c r="BE2021" s="19">
        <f>249+10</f>
        <v>259</v>
      </c>
      <c r="BF2021" s="229">
        <f t="shared" si="829"/>
        <v>0</v>
      </c>
      <c r="BG2021" s="210">
        <f t="shared" si="830"/>
        <v>233</v>
      </c>
      <c r="BH2021" s="210">
        <f t="shared" si="831"/>
        <v>259</v>
      </c>
      <c r="BI2021" s="213">
        <f t="shared" si="832"/>
        <v>89.961389961389955</v>
      </c>
      <c r="BJ2021" s="141"/>
      <c r="BK2021" s="201"/>
      <c r="BL2021" s="4"/>
      <c r="BM2021" s="4"/>
    </row>
    <row r="2022" spans="1:65" s="38" customFormat="1" ht="22.5" customHeight="1">
      <c r="A2022" s="114">
        <v>55</v>
      </c>
      <c r="B2022" s="24" t="s">
        <v>1854</v>
      </c>
      <c r="C2022" s="25" t="s">
        <v>1853</v>
      </c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229">
        <f t="shared" si="825"/>
        <v>0</v>
      </c>
      <c r="AC2022" s="228">
        <f t="shared" ref="AC2022:AC2052" si="833">E2022+G2022+I2022+K2022+M2022+O2022+Q2022+S2022+U2022+W2022+Y2022+AA2022</f>
        <v>0</v>
      </c>
      <c r="AD2022" s="19">
        <v>0</v>
      </c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>
        <v>65</v>
      </c>
      <c r="AW2022" s="28"/>
      <c r="AX2022" s="28"/>
      <c r="AY2022" s="28"/>
      <c r="AZ2022" s="28"/>
      <c r="BA2022" s="28"/>
      <c r="BB2022" s="28"/>
      <c r="BC2022" s="229">
        <f t="shared" si="827"/>
        <v>0</v>
      </c>
      <c r="BD2022" s="48">
        <f t="shared" ref="BD2022:BD2052" si="834">AF2022+AH2022+AJ2022+AL2022+AN2022+AP2022+AR2022+AT2022+AV2022+AX2022+AZ2022+BB2022</f>
        <v>65</v>
      </c>
      <c r="BE2022" s="19">
        <v>1</v>
      </c>
      <c r="BF2022" s="229">
        <f t="shared" si="829"/>
        <v>0</v>
      </c>
      <c r="BG2022" s="210">
        <f t="shared" ref="BG2022:BG2052" si="835">AC2022+BD2022</f>
        <v>65</v>
      </c>
      <c r="BH2022" s="210">
        <f t="shared" ref="BH2022:BH2052" si="836">AD2022+BE2022</f>
        <v>1</v>
      </c>
      <c r="BI2022" s="213">
        <f t="shared" si="832"/>
        <v>6500</v>
      </c>
      <c r="BJ2022" s="141"/>
      <c r="BK2022" s="201"/>
      <c r="BL2022" s="4"/>
      <c r="BM2022" s="4"/>
    </row>
    <row r="2023" spans="1:65" s="38" customFormat="1" ht="18" customHeight="1">
      <c r="A2023" s="114">
        <v>56</v>
      </c>
      <c r="B2023" s="24" t="s">
        <v>914</v>
      </c>
      <c r="C2023" s="25" t="s">
        <v>1595</v>
      </c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229">
        <f t="shared" ref="AB2023:AB2053" si="837">D2023+F2023+H2023+J2023+L2023+N2023+P2023+R2023+T2023+V2023+X2023+Z2023</f>
        <v>0</v>
      </c>
      <c r="AC2023" s="228">
        <f t="shared" si="833"/>
        <v>0</v>
      </c>
      <c r="AD2023" s="19">
        <v>0</v>
      </c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29">
        <f t="shared" ref="BC2023:BC2053" si="838">AE2023+AG2023+AI2023+AK2023+AM2023+AO2023+AQ2023+AS2023+AU2023+AW2023+AY2023+BA2023</f>
        <v>0</v>
      </c>
      <c r="BD2023" s="48">
        <f t="shared" si="834"/>
        <v>0</v>
      </c>
      <c r="BE2023" s="19">
        <v>1</v>
      </c>
      <c r="BF2023" s="229">
        <f t="shared" ref="BF2023:BF2053" si="839">AB2023+BC2023</f>
        <v>0</v>
      </c>
      <c r="BG2023" s="210">
        <f t="shared" si="835"/>
        <v>0</v>
      </c>
      <c r="BH2023" s="210">
        <f t="shared" si="836"/>
        <v>1</v>
      </c>
      <c r="BI2023" s="213">
        <f t="shared" si="832"/>
        <v>0</v>
      </c>
      <c r="BJ2023" s="141"/>
      <c r="BK2023" s="201"/>
      <c r="BL2023" s="4"/>
      <c r="BM2023" s="4"/>
    </row>
    <row r="2024" spans="1:65" s="38" customFormat="1" ht="18" customHeight="1">
      <c r="A2024" s="114">
        <v>57</v>
      </c>
      <c r="B2024" s="24" t="s">
        <v>107</v>
      </c>
      <c r="C2024" s="25" t="s">
        <v>108</v>
      </c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229">
        <f t="shared" si="837"/>
        <v>0</v>
      </c>
      <c r="AC2024" s="228">
        <f t="shared" si="833"/>
        <v>0</v>
      </c>
      <c r="AD2024" s="19">
        <v>0</v>
      </c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  <c r="AZ2024" s="28"/>
      <c r="BA2024" s="28"/>
      <c r="BB2024" s="28">
        <v>1</v>
      </c>
      <c r="BC2024" s="229">
        <f t="shared" si="838"/>
        <v>0</v>
      </c>
      <c r="BD2024" s="48">
        <f t="shared" si="834"/>
        <v>1</v>
      </c>
      <c r="BE2024" s="19">
        <v>1</v>
      </c>
      <c r="BF2024" s="229">
        <f t="shared" si="839"/>
        <v>0</v>
      </c>
      <c r="BG2024" s="210">
        <f t="shared" si="835"/>
        <v>1</v>
      </c>
      <c r="BH2024" s="210">
        <f t="shared" si="836"/>
        <v>1</v>
      </c>
      <c r="BI2024" s="213">
        <f t="shared" si="832"/>
        <v>100</v>
      </c>
      <c r="BJ2024" s="141"/>
      <c r="BK2024" s="201"/>
      <c r="BL2024" s="4"/>
      <c r="BM2024" s="4"/>
    </row>
    <row r="2025" spans="1:65" s="38" customFormat="1" ht="18" customHeight="1">
      <c r="A2025" s="114">
        <v>58</v>
      </c>
      <c r="B2025" s="24" t="s">
        <v>93</v>
      </c>
      <c r="C2025" s="25" t="s">
        <v>915</v>
      </c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229">
        <f t="shared" si="837"/>
        <v>0</v>
      </c>
      <c r="AC2025" s="228">
        <f t="shared" si="833"/>
        <v>0</v>
      </c>
      <c r="AD2025" s="19">
        <v>0</v>
      </c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29">
        <f t="shared" si="838"/>
        <v>0</v>
      </c>
      <c r="BD2025" s="48">
        <f t="shared" si="834"/>
        <v>0</v>
      </c>
      <c r="BE2025" s="19">
        <v>1</v>
      </c>
      <c r="BF2025" s="229">
        <f t="shared" si="839"/>
        <v>0</v>
      </c>
      <c r="BG2025" s="210">
        <f t="shared" si="835"/>
        <v>0</v>
      </c>
      <c r="BH2025" s="210">
        <f t="shared" si="836"/>
        <v>1</v>
      </c>
      <c r="BI2025" s="213">
        <f t="shared" si="832"/>
        <v>0</v>
      </c>
      <c r="BJ2025" s="141"/>
      <c r="BK2025" s="201"/>
      <c r="BL2025" s="4"/>
      <c r="BM2025" s="4"/>
    </row>
    <row r="2026" spans="1:65" s="38" customFormat="1" ht="18" customHeight="1">
      <c r="A2026" s="114">
        <v>59</v>
      </c>
      <c r="B2026" s="24" t="s">
        <v>916</v>
      </c>
      <c r="C2026" s="25" t="s">
        <v>917</v>
      </c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229">
        <f t="shared" si="837"/>
        <v>0</v>
      </c>
      <c r="AC2026" s="228">
        <f t="shared" si="833"/>
        <v>0</v>
      </c>
      <c r="AD2026" s="19">
        <v>0</v>
      </c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8"/>
      <c r="BC2026" s="229">
        <f t="shared" si="838"/>
        <v>0</v>
      </c>
      <c r="BD2026" s="48">
        <f t="shared" si="834"/>
        <v>0</v>
      </c>
      <c r="BE2026" s="19">
        <v>4</v>
      </c>
      <c r="BF2026" s="229">
        <f t="shared" si="839"/>
        <v>0</v>
      </c>
      <c r="BG2026" s="210">
        <f t="shared" si="835"/>
        <v>0</v>
      </c>
      <c r="BH2026" s="210">
        <f t="shared" si="836"/>
        <v>4</v>
      </c>
      <c r="BI2026" s="213">
        <f t="shared" si="832"/>
        <v>0</v>
      </c>
      <c r="BJ2026" s="141"/>
      <c r="BK2026" s="201"/>
      <c r="BL2026" s="4"/>
      <c r="BM2026" s="4"/>
    </row>
    <row r="2027" spans="1:65" s="38" customFormat="1" ht="18" customHeight="1">
      <c r="A2027" s="114">
        <v>60</v>
      </c>
      <c r="B2027" s="24" t="s">
        <v>1924</v>
      </c>
      <c r="C2027" s="25" t="s">
        <v>2451</v>
      </c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229">
        <f t="shared" si="837"/>
        <v>0</v>
      </c>
      <c r="AC2027" s="228">
        <f t="shared" si="833"/>
        <v>0</v>
      </c>
      <c r="AD2027" s="21">
        <v>0</v>
      </c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29">
        <f t="shared" si="838"/>
        <v>0</v>
      </c>
      <c r="BD2027" s="48">
        <f t="shared" si="834"/>
        <v>0</v>
      </c>
      <c r="BE2027" s="19">
        <v>1</v>
      </c>
      <c r="BF2027" s="229">
        <f t="shared" si="839"/>
        <v>0</v>
      </c>
      <c r="BG2027" s="210">
        <f t="shared" si="835"/>
        <v>0</v>
      </c>
      <c r="BH2027" s="210">
        <f t="shared" si="836"/>
        <v>1</v>
      </c>
      <c r="BI2027" s="213">
        <f t="shared" si="832"/>
        <v>0</v>
      </c>
      <c r="BJ2027" s="141"/>
      <c r="BK2027" s="201"/>
      <c r="BL2027" s="4"/>
      <c r="BM2027" s="4"/>
    </row>
    <row r="2028" spans="1:65" s="38" customFormat="1" ht="18" customHeight="1">
      <c r="A2028" s="114">
        <v>61</v>
      </c>
      <c r="B2028" s="24" t="s">
        <v>512</v>
      </c>
      <c r="C2028" s="25" t="s">
        <v>513</v>
      </c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229">
        <f t="shared" si="837"/>
        <v>0</v>
      </c>
      <c r="AC2028" s="228">
        <f t="shared" si="833"/>
        <v>0</v>
      </c>
      <c r="AD2028" s="21">
        <v>0</v>
      </c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  <c r="AY2028" s="28"/>
      <c r="AZ2028" s="28"/>
      <c r="BA2028" s="28"/>
      <c r="BB2028" s="28"/>
      <c r="BC2028" s="229">
        <f t="shared" si="838"/>
        <v>0</v>
      </c>
      <c r="BD2028" s="48">
        <f t="shared" si="834"/>
        <v>0</v>
      </c>
      <c r="BE2028" s="19">
        <v>10</v>
      </c>
      <c r="BF2028" s="229">
        <f t="shared" si="839"/>
        <v>0</v>
      </c>
      <c r="BG2028" s="210">
        <f t="shared" si="835"/>
        <v>0</v>
      </c>
      <c r="BH2028" s="210">
        <f t="shared" si="836"/>
        <v>10</v>
      </c>
      <c r="BI2028" s="213">
        <f t="shared" si="832"/>
        <v>0</v>
      </c>
      <c r="BJ2028" s="141"/>
      <c r="BK2028" s="201"/>
      <c r="BL2028" s="4"/>
      <c r="BM2028" s="4"/>
    </row>
    <row r="2029" spans="1:65" s="38" customFormat="1" ht="18" customHeight="1">
      <c r="A2029" s="114">
        <v>62</v>
      </c>
      <c r="B2029" s="9" t="s">
        <v>720</v>
      </c>
      <c r="C2029" s="11" t="s">
        <v>721</v>
      </c>
      <c r="D2029" s="229"/>
      <c r="E2029" s="13"/>
      <c r="F2029" s="229"/>
      <c r="G2029" s="13"/>
      <c r="H2029" s="229"/>
      <c r="I2029" s="13">
        <v>1</v>
      </c>
      <c r="J2029" s="229"/>
      <c r="K2029" s="13"/>
      <c r="L2029" s="229"/>
      <c r="M2029" s="13"/>
      <c r="N2029" s="229"/>
      <c r="O2029" s="13"/>
      <c r="P2029" s="229"/>
      <c r="Q2029" s="13"/>
      <c r="R2029" s="229"/>
      <c r="S2029" s="13"/>
      <c r="T2029" s="229"/>
      <c r="U2029" s="13"/>
      <c r="V2029" s="229"/>
      <c r="W2029" s="13"/>
      <c r="X2029" s="229"/>
      <c r="Y2029" s="13"/>
      <c r="Z2029" s="229"/>
      <c r="AA2029" s="13">
        <v>2</v>
      </c>
      <c r="AB2029" s="229">
        <f t="shared" si="837"/>
        <v>0</v>
      </c>
      <c r="AC2029" s="228">
        <f t="shared" si="833"/>
        <v>3</v>
      </c>
      <c r="AD2029" s="21">
        <v>1</v>
      </c>
      <c r="AE2029" s="229"/>
      <c r="AF2029" s="20"/>
      <c r="AG2029" s="229"/>
      <c r="AH2029" s="20"/>
      <c r="AI2029" s="229">
        <f>325+1</f>
        <v>326</v>
      </c>
      <c r="AJ2029" s="20">
        <f>335+1+337</f>
        <v>673</v>
      </c>
      <c r="AK2029" s="229"/>
      <c r="AL2029" s="20"/>
      <c r="AM2029" s="229"/>
      <c r="AN2029" s="20"/>
      <c r="AO2029" s="229">
        <v>340</v>
      </c>
      <c r="AP2029" s="20">
        <f>346+3+346</f>
        <v>695</v>
      </c>
      <c r="AQ2029" s="229"/>
      <c r="AR2029" s="20"/>
      <c r="AS2029" s="229"/>
      <c r="AT2029" s="20"/>
      <c r="AU2029" s="229"/>
      <c r="AV2029" s="20">
        <f>2+375+2+375</f>
        <v>754</v>
      </c>
      <c r="AW2029" s="229"/>
      <c r="AX2029" s="20"/>
      <c r="AY2029" s="229"/>
      <c r="AZ2029" s="20"/>
      <c r="BA2029" s="229"/>
      <c r="BB2029" s="20">
        <f>375+375</f>
        <v>750</v>
      </c>
      <c r="BC2029" s="229">
        <f t="shared" si="838"/>
        <v>666</v>
      </c>
      <c r="BD2029" s="48">
        <f t="shared" si="834"/>
        <v>2872</v>
      </c>
      <c r="BE2029" s="19">
        <v>1590</v>
      </c>
      <c r="BF2029" s="229">
        <f t="shared" si="839"/>
        <v>666</v>
      </c>
      <c r="BG2029" s="210">
        <f t="shared" si="835"/>
        <v>2875</v>
      </c>
      <c r="BH2029" s="210">
        <f t="shared" si="836"/>
        <v>1591</v>
      </c>
      <c r="BI2029" s="213">
        <f t="shared" si="832"/>
        <v>180.70395977372721</v>
      </c>
      <c r="BJ2029" s="141"/>
      <c r="BK2029" s="201"/>
      <c r="BL2029" s="4"/>
      <c r="BM2029" s="4"/>
    </row>
    <row r="2030" spans="1:65" s="38" customFormat="1" ht="18" customHeight="1">
      <c r="A2030" s="114">
        <v>64</v>
      </c>
      <c r="B2030" s="24" t="s">
        <v>944</v>
      </c>
      <c r="C2030" s="25" t="s">
        <v>945</v>
      </c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229">
        <f t="shared" si="837"/>
        <v>0</v>
      </c>
      <c r="AC2030" s="228">
        <f t="shared" si="833"/>
        <v>0</v>
      </c>
      <c r="AD2030" s="19">
        <v>0</v>
      </c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28"/>
      <c r="BA2030" s="28"/>
      <c r="BB2030" s="28"/>
      <c r="BC2030" s="229">
        <f t="shared" si="838"/>
        <v>0</v>
      </c>
      <c r="BD2030" s="48">
        <f t="shared" si="834"/>
        <v>0</v>
      </c>
      <c r="BE2030" s="19">
        <v>1</v>
      </c>
      <c r="BF2030" s="229">
        <f t="shared" si="839"/>
        <v>0</v>
      </c>
      <c r="BG2030" s="210">
        <f t="shared" si="835"/>
        <v>0</v>
      </c>
      <c r="BH2030" s="210">
        <f t="shared" si="836"/>
        <v>1</v>
      </c>
      <c r="BI2030" s="213">
        <f t="shared" si="832"/>
        <v>0</v>
      </c>
      <c r="BJ2030" s="141"/>
      <c r="BK2030" s="201"/>
      <c r="BL2030" s="4"/>
      <c r="BM2030" s="4"/>
    </row>
    <row r="2031" spans="1:65" s="38" customFormat="1" ht="18" customHeight="1">
      <c r="A2031" s="114">
        <v>65</v>
      </c>
      <c r="B2031" s="24" t="s">
        <v>630</v>
      </c>
      <c r="C2031" s="25" t="s">
        <v>631</v>
      </c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229">
        <f t="shared" si="837"/>
        <v>0</v>
      </c>
      <c r="AC2031" s="228">
        <f t="shared" si="833"/>
        <v>0</v>
      </c>
      <c r="AD2031" s="19">
        <v>0</v>
      </c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29">
        <f t="shared" si="838"/>
        <v>0</v>
      </c>
      <c r="BD2031" s="48">
        <f t="shared" si="834"/>
        <v>0</v>
      </c>
      <c r="BE2031" s="19">
        <v>1</v>
      </c>
      <c r="BF2031" s="229">
        <f t="shared" si="839"/>
        <v>0</v>
      </c>
      <c r="BG2031" s="210">
        <f t="shared" si="835"/>
        <v>0</v>
      </c>
      <c r="BH2031" s="210">
        <f t="shared" si="836"/>
        <v>1</v>
      </c>
      <c r="BI2031" s="213">
        <f t="shared" ref="BI2031:BI2062" si="840">BG2031/BH2031*100</f>
        <v>0</v>
      </c>
      <c r="BJ2031" s="141"/>
      <c r="BK2031" s="201"/>
      <c r="BL2031" s="4"/>
      <c r="BM2031" s="4"/>
    </row>
    <row r="2032" spans="1:65" s="38" customFormat="1" ht="18" customHeight="1">
      <c r="A2032" s="114">
        <v>66</v>
      </c>
      <c r="B2032" s="24" t="s">
        <v>634</v>
      </c>
      <c r="C2032" s="25" t="s">
        <v>696</v>
      </c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>
        <v>1</v>
      </c>
      <c r="AB2032" s="229">
        <f t="shared" si="837"/>
        <v>0</v>
      </c>
      <c r="AC2032" s="228">
        <f t="shared" si="833"/>
        <v>1</v>
      </c>
      <c r="AD2032" s="19">
        <v>0</v>
      </c>
      <c r="AE2032" s="28"/>
      <c r="AF2032" s="28"/>
      <c r="AG2032" s="28"/>
      <c r="AH2032" s="28"/>
      <c r="AI2032" s="28"/>
      <c r="AJ2032" s="28">
        <f>193+1</f>
        <v>194</v>
      </c>
      <c r="AK2032" s="28"/>
      <c r="AL2032" s="28"/>
      <c r="AM2032" s="28"/>
      <c r="AN2032" s="28"/>
      <c r="AO2032" s="28"/>
      <c r="AP2032" s="28">
        <f>79+1</f>
        <v>80</v>
      </c>
      <c r="AQ2032" s="28"/>
      <c r="AR2032" s="28"/>
      <c r="AS2032" s="28"/>
      <c r="AT2032" s="28"/>
      <c r="AU2032" s="28"/>
      <c r="AV2032" s="28">
        <v>7</v>
      </c>
      <c r="AW2032" s="28"/>
      <c r="AX2032" s="28"/>
      <c r="AY2032" s="28"/>
      <c r="AZ2032" s="28"/>
      <c r="BA2032" s="28"/>
      <c r="BB2032" s="28">
        <v>200</v>
      </c>
      <c r="BC2032" s="229">
        <f t="shared" si="838"/>
        <v>0</v>
      </c>
      <c r="BD2032" s="48">
        <f t="shared" si="834"/>
        <v>481</v>
      </c>
      <c r="BE2032" s="19">
        <v>668</v>
      </c>
      <c r="BF2032" s="229">
        <f t="shared" si="839"/>
        <v>0</v>
      </c>
      <c r="BG2032" s="210">
        <f t="shared" si="835"/>
        <v>482</v>
      </c>
      <c r="BH2032" s="210">
        <f t="shared" si="836"/>
        <v>668</v>
      </c>
      <c r="BI2032" s="213">
        <f t="shared" si="840"/>
        <v>72.155688622754482</v>
      </c>
      <c r="BJ2032" s="141"/>
      <c r="BK2032" s="201"/>
      <c r="BL2032" s="4"/>
      <c r="BM2032" s="4"/>
    </row>
    <row r="2033" spans="1:65" s="38" customFormat="1" ht="18" customHeight="1">
      <c r="A2033" s="114">
        <v>67</v>
      </c>
      <c r="B2033" s="24" t="s">
        <v>643</v>
      </c>
      <c r="C2033" s="25" t="s">
        <v>722</v>
      </c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229">
        <f t="shared" si="837"/>
        <v>0</v>
      </c>
      <c r="AC2033" s="228">
        <f t="shared" si="833"/>
        <v>0</v>
      </c>
      <c r="AD2033" s="19">
        <v>0</v>
      </c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29">
        <f t="shared" si="838"/>
        <v>0</v>
      </c>
      <c r="BD2033" s="48">
        <f t="shared" si="834"/>
        <v>0</v>
      </c>
      <c r="BE2033" s="19">
        <v>1</v>
      </c>
      <c r="BF2033" s="229">
        <f t="shared" si="839"/>
        <v>0</v>
      </c>
      <c r="BG2033" s="210">
        <f t="shared" si="835"/>
        <v>0</v>
      </c>
      <c r="BH2033" s="210">
        <f t="shared" si="836"/>
        <v>1</v>
      </c>
      <c r="BI2033" s="213">
        <f t="shared" si="840"/>
        <v>0</v>
      </c>
      <c r="BJ2033" s="141"/>
      <c r="BK2033" s="201"/>
      <c r="BL2033" s="4"/>
      <c r="BM2033" s="4"/>
    </row>
    <row r="2034" spans="1:65" s="38" customFormat="1" ht="18" customHeight="1">
      <c r="A2034" s="114">
        <v>68</v>
      </c>
      <c r="B2034" s="24" t="s">
        <v>773</v>
      </c>
      <c r="C2034" s="25" t="s">
        <v>1159</v>
      </c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229">
        <f t="shared" si="837"/>
        <v>0</v>
      </c>
      <c r="AC2034" s="228">
        <f t="shared" si="833"/>
        <v>0</v>
      </c>
      <c r="AD2034" s="19">
        <v>0</v>
      </c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  <c r="AZ2034" s="28"/>
      <c r="BA2034" s="28"/>
      <c r="BB2034" s="28"/>
      <c r="BC2034" s="229">
        <f t="shared" si="838"/>
        <v>0</v>
      </c>
      <c r="BD2034" s="48">
        <f t="shared" si="834"/>
        <v>0</v>
      </c>
      <c r="BE2034" s="19">
        <v>1</v>
      </c>
      <c r="BF2034" s="229">
        <f t="shared" si="839"/>
        <v>0</v>
      </c>
      <c r="BG2034" s="210">
        <f t="shared" si="835"/>
        <v>0</v>
      </c>
      <c r="BH2034" s="210">
        <f t="shared" si="836"/>
        <v>1</v>
      </c>
      <c r="BI2034" s="213">
        <f t="shared" si="840"/>
        <v>0</v>
      </c>
      <c r="BJ2034" s="141"/>
      <c r="BK2034" s="201"/>
      <c r="BL2034" s="4"/>
      <c r="BM2034" s="4"/>
    </row>
    <row r="2035" spans="1:65" s="38" customFormat="1" ht="18" customHeight="1">
      <c r="A2035" s="114">
        <v>69</v>
      </c>
      <c r="B2035" s="24" t="s">
        <v>644</v>
      </c>
      <c r="C2035" s="25" t="s">
        <v>645</v>
      </c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229">
        <f t="shared" si="837"/>
        <v>0</v>
      </c>
      <c r="AC2035" s="228">
        <f t="shared" si="833"/>
        <v>0</v>
      </c>
      <c r="AD2035" s="19">
        <v>0</v>
      </c>
      <c r="AE2035" s="28"/>
      <c r="AF2035" s="28"/>
      <c r="AG2035" s="28"/>
      <c r="AH2035" s="28"/>
      <c r="AI2035" s="28"/>
      <c r="AJ2035" s="28">
        <v>17</v>
      </c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>
        <v>1</v>
      </c>
      <c r="AW2035" s="28"/>
      <c r="AX2035" s="28"/>
      <c r="AY2035" s="28"/>
      <c r="AZ2035" s="28"/>
      <c r="BA2035" s="28"/>
      <c r="BB2035" s="28">
        <v>1</v>
      </c>
      <c r="BC2035" s="229">
        <f t="shared" si="838"/>
        <v>0</v>
      </c>
      <c r="BD2035" s="48">
        <f t="shared" si="834"/>
        <v>19</v>
      </c>
      <c r="BE2035" s="19">
        <v>40</v>
      </c>
      <c r="BF2035" s="229">
        <f t="shared" si="839"/>
        <v>0</v>
      </c>
      <c r="BG2035" s="210">
        <f t="shared" si="835"/>
        <v>19</v>
      </c>
      <c r="BH2035" s="210">
        <f t="shared" si="836"/>
        <v>40</v>
      </c>
      <c r="BI2035" s="213">
        <f t="shared" si="840"/>
        <v>47.5</v>
      </c>
      <c r="BJ2035" s="141"/>
      <c r="BK2035" s="201"/>
      <c r="BL2035" s="4"/>
      <c r="BM2035" s="4"/>
    </row>
    <row r="2036" spans="1:65" s="38" customFormat="1" ht="18" customHeight="1">
      <c r="A2036" s="114">
        <v>70</v>
      </c>
      <c r="B2036" s="24" t="s">
        <v>646</v>
      </c>
      <c r="C2036" s="25" t="s">
        <v>647</v>
      </c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229">
        <f t="shared" si="837"/>
        <v>0</v>
      </c>
      <c r="AC2036" s="228">
        <f t="shared" si="833"/>
        <v>0</v>
      </c>
      <c r="AD2036" s="19">
        <v>0</v>
      </c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29">
        <f t="shared" si="838"/>
        <v>0</v>
      </c>
      <c r="BD2036" s="48">
        <f t="shared" si="834"/>
        <v>0</v>
      </c>
      <c r="BE2036" s="19">
        <v>1</v>
      </c>
      <c r="BF2036" s="229">
        <f t="shared" si="839"/>
        <v>0</v>
      </c>
      <c r="BG2036" s="210">
        <f t="shared" si="835"/>
        <v>0</v>
      </c>
      <c r="BH2036" s="210">
        <f t="shared" si="836"/>
        <v>1</v>
      </c>
      <c r="BI2036" s="213">
        <f t="shared" si="840"/>
        <v>0</v>
      </c>
      <c r="BJ2036" s="141"/>
      <c r="BK2036" s="201"/>
      <c r="BL2036" s="4"/>
      <c r="BM2036" s="4"/>
    </row>
    <row r="2037" spans="1:65" s="38" customFormat="1" ht="18" customHeight="1">
      <c r="A2037" s="114">
        <v>71</v>
      </c>
      <c r="B2037" s="24" t="s">
        <v>698</v>
      </c>
      <c r="C2037" s="25" t="s">
        <v>699</v>
      </c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>
        <v>1</v>
      </c>
      <c r="AB2037" s="229">
        <f t="shared" si="837"/>
        <v>0</v>
      </c>
      <c r="AC2037" s="228">
        <f t="shared" si="833"/>
        <v>1</v>
      </c>
      <c r="AD2037" s="19">
        <v>0</v>
      </c>
      <c r="AE2037" s="28"/>
      <c r="AF2037" s="28"/>
      <c r="AG2037" s="28"/>
      <c r="AH2037" s="28"/>
      <c r="AI2037" s="28"/>
      <c r="AJ2037" s="28">
        <f>343+2</f>
        <v>345</v>
      </c>
      <c r="AK2037" s="28"/>
      <c r="AL2037" s="28"/>
      <c r="AM2037" s="28"/>
      <c r="AN2037" s="28"/>
      <c r="AO2037" s="28"/>
      <c r="AP2037" s="28">
        <f>358+3</f>
        <v>361</v>
      </c>
      <c r="AQ2037" s="28"/>
      <c r="AR2037" s="28"/>
      <c r="AS2037" s="28"/>
      <c r="AT2037" s="28"/>
      <c r="AU2037" s="28"/>
      <c r="AV2037" s="28">
        <f>2+377</f>
        <v>379</v>
      </c>
      <c r="AW2037" s="28"/>
      <c r="AX2037" s="28"/>
      <c r="AY2037" s="28"/>
      <c r="AZ2037" s="28"/>
      <c r="BA2037" s="28"/>
      <c r="BB2037" s="28">
        <v>359</v>
      </c>
      <c r="BC2037" s="229">
        <f t="shared" si="838"/>
        <v>0</v>
      </c>
      <c r="BD2037" s="48">
        <f t="shared" si="834"/>
        <v>1444</v>
      </c>
      <c r="BE2037" s="19">
        <v>1575</v>
      </c>
      <c r="BF2037" s="229">
        <f t="shared" si="839"/>
        <v>0</v>
      </c>
      <c r="BG2037" s="210">
        <f t="shared" si="835"/>
        <v>1445</v>
      </c>
      <c r="BH2037" s="210">
        <f t="shared" si="836"/>
        <v>1575</v>
      </c>
      <c r="BI2037" s="213">
        <f t="shared" si="840"/>
        <v>91.746031746031747</v>
      </c>
      <c r="BJ2037" s="141"/>
      <c r="BK2037" s="201"/>
      <c r="BL2037" s="4"/>
      <c r="BM2037" s="4"/>
    </row>
    <row r="2038" spans="1:65" s="38" customFormat="1" ht="18" customHeight="1">
      <c r="A2038" s="114">
        <v>72</v>
      </c>
      <c r="B2038" s="24" t="s">
        <v>892</v>
      </c>
      <c r="C2038" s="25" t="s">
        <v>893</v>
      </c>
      <c r="D2038" s="121"/>
      <c r="E2038" s="121"/>
      <c r="F2038" s="121"/>
      <c r="G2038" s="121"/>
      <c r="H2038" s="121"/>
      <c r="I2038" s="121">
        <v>48</v>
      </c>
      <c r="J2038" s="121"/>
      <c r="K2038" s="121"/>
      <c r="L2038" s="121"/>
      <c r="M2038" s="121"/>
      <c r="N2038" s="121"/>
      <c r="O2038" s="121">
        <v>49</v>
      </c>
      <c r="P2038" s="121"/>
      <c r="Q2038" s="121"/>
      <c r="R2038" s="121"/>
      <c r="S2038" s="121"/>
      <c r="T2038" s="121"/>
      <c r="U2038" s="121">
        <v>44</v>
      </c>
      <c r="V2038" s="121"/>
      <c r="W2038" s="121"/>
      <c r="X2038" s="121"/>
      <c r="Y2038" s="121"/>
      <c r="Z2038" s="121"/>
      <c r="AA2038" s="121">
        <v>44</v>
      </c>
      <c r="AB2038" s="229">
        <f t="shared" si="837"/>
        <v>0</v>
      </c>
      <c r="AC2038" s="228">
        <f t="shared" si="833"/>
        <v>185</v>
      </c>
      <c r="AD2038" s="19">
        <v>154</v>
      </c>
      <c r="AE2038" s="28"/>
      <c r="AF2038" s="28"/>
      <c r="AG2038" s="28"/>
      <c r="AH2038" s="28"/>
      <c r="AI2038" s="28"/>
      <c r="AJ2038" s="28">
        <v>1</v>
      </c>
      <c r="AK2038" s="28"/>
      <c r="AL2038" s="28"/>
      <c r="AM2038" s="28"/>
      <c r="AN2038" s="28"/>
      <c r="AO2038" s="28"/>
      <c r="AP2038" s="28">
        <v>1</v>
      </c>
      <c r="AQ2038" s="28"/>
      <c r="AR2038" s="28"/>
      <c r="AS2038" s="28"/>
      <c r="AT2038" s="28"/>
      <c r="AU2038" s="28"/>
      <c r="AV2038" s="28">
        <v>2</v>
      </c>
      <c r="AW2038" s="28"/>
      <c r="AX2038" s="28"/>
      <c r="AY2038" s="28"/>
      <c r="AZ2038" s="28"/>
      <c r="BA2038" s="28"/>
      <c r="BB2038" s="28">
        <v>2</v>
      </c>
      <c r="BC2038" s="229">
        <f t="shared" si="838"/>
        <v>0</v>
      </c>
      <c r="BD2038" s="48">
        <f t="shared" si="834"/>
        <v>6</v>
      </c>
      <c r="BE2038" s="19">
        <v>7</v>
      </c>
      <c r="BF2038" s="229">
        <f t="shared" si="839"/>
        <v>0</v>
      </c>
      <c r="BG2038" s="210">
        <f t="shared" si="835"/>
        <v>191</v>
      </c>
      <c r="BH2038" s="210">
        <f t="shared" si="836"/>
        <v>161</v>
      </c>
      <c r="BI2038" s="213">
        <f t="shared" si="840"/>
        <v>118.63354037267079</v>
      </c>
      <c r="BJ2038" s="141"/>
      <c r="BK2038" s="201"/>
      <c r="BL2038" s="4"/>
      <c r="BM2038" s="4"/>
    </row>
    <row r="2039" spans="1:65" s="38" customFormat="1" ht="18" customHeight="1">
      <c r="A2039" s="114">
        <v>73</v>
      </c>
      <c r="B2039" s="24" t="s">
        <v>894</v>
      </c>
      <c r="C2039" s="25" t="s">
        <v>895</v>
      </c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229">
        <f t="shared" si="837"/>
        <v>0</v>
      </c>
      <c r="AC2039" s="228">
        <f t="shared" si="833"/>
        <v>0</v>
      </c>
      <c r="AD2039" s="19">
        <v>1</v>
      </c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29">
        <f t="shared" si="838"/>
        <v>0</v>
      </c>
      <c r="BD2039" s="48">
        <f t="shared" si="834"/>
        <v>0</v>
      </c>
      <c r="BE2039" s="19">
        <v>0</v>
      </c>
      <c r="BF2039" s="229">
        <f t="shared" si="839"/>
        <v>0</v>
      </c>
      <c r="BG2039" s="210">
        <f t="shared" si="835"/>
        <v>0</v>
      </c>
      <c r="BH2039" s="210">
        <f t="shared" si="836"/>
        <v>1</v>
      </c>
      <c r="BI2039" s="213">
        <f t="shared" si="840"/>
        <v>0</v>
      </c>
      <c r="BJ2039" s="141"/>
      <c r="BK2039" s="201"/>
      <c r="BL2039" s="4"/>
      <c r="BM2039" s="4"/>
    </row>
    <row r="2040" spans="1:65" s="38" customFormat="1" ht="21.95" customHeight="1">
      <c r="A2040" s="114">
        <v>74</v>
      </c>
      <c r="B2040" s="24" t="s">
        <v>922</v>
      </c>
      <c r="C2040" s="27" t="s">
        <v>923</v>
      </c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229">
        <f t="shared" si="837"/>
        <v>0</v>
      </c>
      <c r="AC2040" s="228">
        <f t="shared" si="833"/>
        <v>0</v>
      </c>
      <c r="AD2040" s="19">
        <v>0</v>
      </c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29">
        <f t="shared" si="838"/>
        <v>0</v>
      </c>
      <c r="BD2040" s="48">
        <f t="shared" si="834"/>
        <v>0</v>
      </c>
      <c r="BE2040" s="19">
        <v>1</v>
      </c>
      <c r="BF2040" s="229">
        <f t="shared" si="839"/>
        <v>0</v>
      </c>
      <c r="BG2040" s="210">
        <f t="shared" si="835"/>
        <v>0</v>
      </c>
      <c r="BH2040" s="210">
        <f t="shared" si="836"/>
        <v>1</v>
      </c>
      <c r="BI2040" s="213">
        <f t="shared" si="840"/>
        <v>0</v>
      </c>
      <c r="BJ2040" s="141"/>
      <c r="BK2040" s="201"/>
      <c r="BL2040" s="4"/>
      <c r="BM2040" s="4"/>
    </row>
    <row r="2041" spans="1:65" s="38" customFormat="1" ht="18" customHeight="1">
      <c r="A2041" s="114">
        <v>75</v>
      </c>
      <c r="B2041" s="24" t="s">
        <v>651</v>
      </c>
      <c r="C2041" s="25" t="s">
        <v>1453</v>
      </c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229">
        <f t="shared" si="837"/>
        <v>0</v>
      </c>
      <c r="AC2041" s="228">
        <f t="shared" si="833"/>
        <v>0</v>
      </c>
      <c r="AD2041" s="19">
        <v>0</v>
      </c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29">
        <f t="shared" si="838"/>
        <v>0</v>
      </c>
      <c r="BD2041" s="48">
        <f t="shared" si="834"/>
        <v>0</v>
      </c>
      <c r="BE2041" s="19">
        <v>1</v>
      </c>
      <c r="BF2041" s="229">
        <f t="shared" si="839"/>
        <v>0</v>
      </c>
      <c r="BG2041" s="210">
        <f t="shared" si="835"/>
        <v>0</v>
      </c>
      <c r="BH2041" s="210">
        <f t="shared" si="836"/>
        <v>1</v>
      </c>
      <c r="BI2041" s="213">
        <f t="shared" si="840"/>
        <v>0</v>
      </c>
      <c r="BJ2041" s="141"/>
      <c r="BK2041" s="201"/>
      <c r="BL2041" s="4"/>
      <c r="BM2041" s="4"/>
    </row>
    <row r="2042" spans="1:65" s="38" customFormat="1" ht="18" customHeight="1">
      <c r="A2042" s="114">
        <v>76</v>
      </c>
      <c r="B2042" s="24" t="s">
        <v>814</v>
      </c>
      <c r="C2042" s="25" t="s">
        <v>815</v>
      </c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229">
        <f t="shared" si="837"/>
        <v>0</v>
      </c>
      <c r="AC2042" s="228">
        <f t="shared" si="833"/>
        <v>0</v>
      </c>
      <c r="AD2042" s="19">
        <v>0</v>
      </c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29">
        <f t="shared" si="838"/>
        <v>0</v>
      </c>
      <c r="BD2042" s="48">
        <f t="shared" si="834"/>
        <v>0</v>
      </c>
      <c r="BE2042" s="19">
        <v>1</v>
      </c>
      <c r="BF2042" s="229">
        <f t="shared" si="839"/>
        <v>0</v>
      </c>
      <c r="BG2042" s="210">
        <f t="shared" si="835"/>
        <v>0</v>
      </c>
      <c r="BH2042" s="210">
        <f t="shared" si="836"/>
        <v>1</v>
      </c>
      <c r="BI2042" s="213">
        <f t="shared" si="840"/>
        <v>0</v>
      </c>
      <c r="BJ2042" s="141"/>
      <c r="BK2042" s="201"/>
      <c r="BL2042" s="4"/>
      <c r="BM2042" s="4"/>
    </row>
    <row r="2043" spans="1:65" s="38" customFormat="1" ht="18" customHeight="1">
      <c r="A2043" s="114">
        <v>77</v>
      </c>
      <c r="B2043" s="24" t="s">
        <v>274</v>
      </c>
      <c r="C2043" s="25" t="s">
        <v>275</v>
      </c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>
        <v>2</v>
      </c>
      <c r="P2043" s="121"/>
      <c r="Q2043" s="121"/>
      <c r="R2043" s="121"/>
      <c r="S2043" s="121"/>
      <c r="T2043" s="121"/>
      <c r="U2043" s="121">
        <v>1</v>
      </c>
      <c r="V2043" s="121"/>
      <c r="W2043" s="121"/>
      <c r="X2043" s="121"/>
      <c r="Y2043" s="121"/>
      <c r="Z2043" s="121"/>
      <c r="AA2043" s="121">
        <v>2</v>
      </c>
      <c r="AB2043" s="229">
        <f t="shared" si="837"/>
        <v>0</v>
      </c>
      <c r="AC2043" s="228">
        <f t="shared" si="833"/>
        <v>5</v>
      </c>
      <c r="AD2043" s="19">
        <v>0</v>
      </c>
      <c r="AE2043" s="28"/>
      <c r="AF2043" s="28"/>
      <c r="AG2043" s="28"/>
      <c r="AH2043" s="28"/>
      <c r="AI2043" s="28"/>
      <c r="AJ2043" s="28">
        <f>4+2+1</f>
        <v>7</v>
      </c>
      <c r="AK2043" s="28"/>
      <c r="AL2043" s="28"/>
      <c r="AM2043" s="28"/>
      <c r="AN2043" s="28"/>
      <c r="AO2043" s="28"/>
      <c r="AP2043" s="28">
        <v>8</v>
      </c>
      <c r="AQ2043" s="28"/>
      <c r="AR2043" s="28"/>
      <c r="AS2043" s="28"/>
      <c r="AT2043" s="28"/>
      <c r="AU2043" s="28"/>
      <c r="AV2043" s="28">
        <f>5+2</f>
        <v>7</v>
      </c>
      <c r="AW2043" s="28"/>
      <c r="AX2043" s="28"/>
      <c r="AY2043" s="28"/>
      <c r="AZ2043" s="28"/>
      <c r="BA2043" s="28"/>
      <c r="BB2043" s="28">
        <f>15+5</f>
        <v>20</v>
      </c>
      <c r="BC2043" s="229">
        <f t="shared" si="838"/>
        <v>0</v>
      </c>
      <c r="BD2043" s="48">
        <f t="shared" si="834"/>
        <v>42</v>
      </c>
      <c r="BE2043" s="19">
        <v>22</v>
      </c>
      <c r="BF2043" s="229">
        <f t="shared" si="839"/>
        <v>0</v>
      </c>
      <c r="BG2043" s="210">
        <f t="shared" si="835"/>
        <v>47</v>
      </c>
      <c r="BH2043" s="210">
        <f t="shared" si="836"/>
        <v>22</v>
      </c>
      <c r="BI2043" s="213">
        <f t="shared" si="840"/>
        <v>213.63636363636363</v>
      </c>
      <c r="BJ2043" s="141"/>
      <c r="BK2043" s="201"/>
      <c r="BL2043" s="4"/>
      <c r="BM2043" s="4"/>
    </row>
    <row r="2044" spans="1:65" s="38" customFormat="1" ht="18" customHeight="1">
      <c r="A2044" s="114">
        <v>78</v>
      </c>
      <c r="B2044" s="24" t="s">
        <v>276</v>
      </c>
      <c r="C2044" s="25" t="s">
        <v>1330</v>
      </c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>
        <v>1</v>
      </c>
      <c r="AB2044" s="229">
        <f t="shared" si="837"/>
        <v>0</v>
      </c>
      <c r="AC2044" s="228">
        <f t="shared" si="833"/>
        <v>1</v>
      </c>
      <c r="AD2044" s="19">
        <v>0</v>
      </c>
      <c r="AE2044" s="28"/>
      <c r="AF2044" s="28"/>
      <c r="AG2044" s="28"/>
      <c r="AH2044" s="28"/>
      <c r="AI2044" s="28"/>
      <c r="AJ2044" s="28">
        <v>1</v>
      </c>
      <c r="AK2044" s="28"/>
      <c r="AL2044" s="28"/>
      <c r="AM2044" s="28"/>
      <c r="AN2044" s="28"/>
      <c r="AO2044" s="28"/>
      <c r="AP2044" s="28">
        <f>2+1</f>
        <v>3</v>
      </c>
      <c r="AQ2044" s="28"/>
      <c r="AR2044" s="28"/>
      <c r="AS2044" s="28"/>
      <c r="AT2044" s="28"/>
      <c r="AU2044" s="28"/>
      <c r="AV2044" s="28">
        <f>3+2</f>
        <v>5</v>
      </c>
      <c r="AW2044" s="28"/>
      <c r="AX2044" s="28"/>
      <c r="AY2044" s="28"/>
      <c r="AZ2044" s="28"/>
      <c r="BA2044" s="28"/>
      <c r="BB2044" s="28">
        <f>4+1</f>
        <v>5</v>
      </c>
      <c r="BC2044" s="229">
        <f t="shared" si="838"/>
        <v>0</v>
      </c>
      <c r="BD2044" s="48">
        <f t="shared" si="834"/>
        <v>14</v>
      </c>
      <c r="BE2044" s="19">
        <v>7</v>
      </c>
      <c r="BF2044" s="229">
        <f t="shared" si="839"/>
        <v>0</v>
      </c>
      <c r="BG2044" s="210">
        <f t="shared" si="835"/>
        <v>15</v>
      </c>
      <c r="BH2044" s="210">
        <f t="shared" si="836"/>
        <v>7</v>
      </c>
      <c r="BI2044" s="213">
        <f t="shared" si="840"/>
        <v>214.28571428571428</v>
      </c>
      <c r="BJ2044" s="141"/>
      <c r="BK2044" s="201"/>
      <c r="BL2044" s="4"/>
      <c r="BM2044" s="4"/>
    </row>
    <row r="2045" spans="1:65" s="38" customFormat="1" ht="18" customHeight="1">
      <c r="A2045" s="114">
        <v>79</v>
      </c>
      <c r="B2045" s="24" t="s">
        <v>1396</v>
      </c>
      <c r="C2045" s="25" t="s">
        <v>2441</v>
      </c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>
        <v>1</v>
      </c>
      <c r="P2045" s="121"/>
      <c r="Q2045" s="121"/>
      <c r="R2045" s="121"/>
      <c r="S2045" s="121"/>
      <c r="T2045" s="121"/>
      <c r="U2045" s="121">
        <v>2</v>
      </c>
      <c r="V2045" s="121"/>
      <c r="W2045" s="121"/>
      <c r="X2045" s="121"/>
      <c r="Y2045" s="121"/>
      <c r="Z2045" s="121"/>
      <c r="AA2045" s="121">
        <v>2</v>
      </c>
      <c r="AB2045" s="229">
        <f t="shared" si="837"/>
        <v>0</v>
      </c>
      <c r="AC2045" s="228">
        <f t="shared" si="833"/>
        <v>5</v>
      </c>
      <c r="AD2045" s="19">
        <v>6</v>
      </c>
      <c r="AE2045" s="28"/>
      <c r="AF2045" s="28"/>
      <c r="AG2045" s="28"/>
      <c r="AH2045" s="28"/>
      <c r="AI2045" s="28"/>
      <c r="AJ2045" s="28">
        <f>10+12+1</f>
        <v>23</v>
      </c>
      <c r="AK2045" s="28"/>
      <c r="AL2045" s="28"/>
      <c r="AM2045" s="28"/>
      <c r="AN2045" s="28"/>
      <c r="AO2045" s="28"/>
      <c r="AP2045" s="28">
        <f>24+8</f>
        <v>32</v>
      </c>
      <c r="AQ2045" s="28"/>
      <c r="AR2045" s="28"/>
      <c r="AS2045" s="28"/>
      <c r="AT2045" s="28"/>
      <c r="AU2045" s="28"/>
      <c r="AV2045" s="28">
        <f>24+15</f>
        <v>39</v>
      </c>
      <c r="AW2045" s="28"/>
      <c r="AX2045" s="28"/>
      <c r="AY2045" s="28"/>
      <c r="AZ2045" s="28"/>
      <c r="BA2045" s="28"/>
      <c r="BB2045" s="28">
        <f>27+16</f>
        <v>43</v>
      </c>
      <c r="BC2045" s="229">
        <f t="shared" si="838"/>
        <v>0</v>
      </c>
      <c r="BD2045" s="48">
        <f t="shared" si="834"/>
        <v>137</v>
      </c>
      <c r="BE2045" s="19">
        <v>147</v>
      </c>
      <c r="BF2045" s="229">
        <f t="shared" si="839"/>
        <v>0</v>
      </c>
      <c r="BG2045" s="210">
        <f t="shared" si="835"/>
        <v>142</v>
      </c>
      <c r="BH2045" s="210">
        <f t="shared" si="836"/>
        <v>153</v>
      </c>
      <c r="BI2045" s="213">
        <f t="shared" si="840"/>
        <v>92.810457516339866</v>
      </c>
      <c r="BJ2045" s="141"/>
      <c r="BK2045" s="201"/>
      <c r="BL2045" s="4"/>
      <c r="BM2045" s="4"/>
    </row>
    <row r="2046" spans="1:65" s="38" customFormat="1" ht="18" customHeight="1">
      <c r="A2046" s="114">
        <v>80</v>
      </c>
      <c r="B2046" s="24" t="s">
        <v>1397</v>
      </c>
      <c r="C2046" s="25" t="s">
        <v>1472</v>
      </c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229">
        <f t="shared" si="837"/>
        <v>0</v>
      </c>
      <c r="AC2046" s="228">
        <f t="shared" si="833"/>
        <v>0</v>
      </c>
      <c r="AD2046" s="19">
        <v>0</v>
      </c>
      <c r="AE2046" s="28"/>
      <c r="AF2046" s="28"/>
      <c r="AG2046" s="28"/>
      <c r="AH2046" s="28"/>
      <c r="AI2046" s="28"/>
      <c r="AJ2046" s="28">
        <f>3+2</f>
        <v>5</v>
      </c>
      <c r="AK2046" s="28"/>
      <c r="AL2046" s="28"/>
      <c r="AM2046" s="28"/>
      <c r="AN2046" s="28"/>
      <c r="AO2046" s="28"/>
      <c r="AP2046" s="28">
        <v>2</v>
      </c>
      <c r="AQ2046" s="28"/>
      <c r="AR2046" s="28"/>
      <c r="AS2046" s="28"/>
      <c r="AT2046" s="28"/>
      <c r="AU2046" s="28"/>
      <c r="AV2046" s="28">
        <f>1+3</f>
        <v>4</v>
      </c>
      <c r="AW2046" s="28"/>
      <c r="AX2046" s="28"/>
      <c r="AY2046" s="28"/>
      <c r="AZ2046" s="28"/>
      <c r="BA2046" s="28"/>
      <c r="BB2046" s="28">
        <v>2</v>
      </c>
      <c r="BC2046" s="229">
        <f t="shared" si="838"/>
        <v>0</v>
      </c>
      <c r="BD2046" s="48">
        <f t="shared" si="834"/>
        <v>13</v>
      </c>
      <c r="BE2046" s="19">
        <v>16</v>
      </c>
      <c r="BF2046" s="229">
        <f t="shared" si="839"/>
        <v>0</v>
      </c>
      <c r="BG2046" s="210">
        <f t="shared" si="835"/>
        <v>13</v>
      </c>
      <c r="BH2046" s="210">
        <f t="shared" si="836"/>
        <v>16</v>
      </c>
      <c r="BI2046" s="213">
        <f t="shared" si="840"/>
        <v>81.25</v>
      </c>
      <c r="BJ2046" s="141"/>
      <c r="BK2046" s="201"/>
      <c r="BL2046" s="4"/>
      <c r="BM2046" s="4"/>
    </row>
    <row r="2047" spans="1:65" s="38" customFormat="1" ht="18" customHeight="1">
      <c r="A2047" s="114">
        <v>81</v>
      </c>
      <c r="B2047" s="24" t="s">
        <v>924</v>
      </c>
      <c r="C2047" s="25" t="s">
        <v>2269</v>
      </c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229">
        <f t="shared" si="837"/>
        <v>0</v>
      </c>
      <c r="AC2047" s="228">
        <f t="shared" si="833"/>
        <v>0</v>
      </c>
      <c r="AD2047" s="19">
        <v>5</v>
      </c>
      <c r="AE2047" s="28"/>
      <c r="AF2047" s="28"/>
      <c r="AG2047" s="28"/>
      <c r="AH2047" s="28"/>
      <c r="AI2047" s="28"/>
      <c r="AJ2047" s="28">
        <v>2</v>
      </c>
      <c r="AK2047" s="28"/>
      <c r="AL2047" s="28"/>
      <c r="AM2047" s="28"/>
      <c r="AN2047" s="28"/>
      <c r="AO2047" s="28"/>
      <c r="AP2047" s="28">
        <v>2</v>
      </c>
      <c r="AQ2047" s="28"/>
      <c r="AR2047" s="28"/>
      <c r="AS2047" s="28"/>
      <c r="AT2047" s="28"/>
      <c r="AU2047" s="28"/>
      <c r="AV2047" s="28">
        <f>2+2</f>
        <v>4</v>
      </c>
      <c r="AW2047" s="28"/>
      <c r="AX2047" s="28"/>
      <c r="AY2047" s="28"/>
      <c r="AZ2047" s="28"/>
      <c r="BA2047" s="28"/>
      <c r="BB2047" s="28">
        <v>1</v>
      </c>
      <c r="BC2047" s="229">
        <f t="shared" si="838"/>
        <v>0</v>
      </c>
      <c r="BD2047" s="48">
        <f t="shared" si="834"/>
        <v>9</v>
      </c>
      <c r="BE2047" s="19">
        <v>15</v>
      </c>
      <c r="BF2047" s="229">
        <f t="shared" si="839"/>
        <v>0</v>
      </c>
      <c r="BG2047" s="210">
        <f t="shared" si="835"/>
        <v>9</v>
      </c>
      <c r="BH2047" s="210">
        <f t="shared" si="836"/>
        <v>20</v>
      </c>
      <c r="BI2047" s="213">
        <f t="shared" si="840"/>
        <v>45</v>
      </c>
      <c r="BJ2047" s="141"/>
      <c r="BK2047" s="201"/>
      <c r="BL2047" s="4"/>
      <c r="BM2047" s="4"/>
    </row>
    <row r="2048" spans="1:65" s="38" customFormat="1" ht="18" customHeight="1">
      <c r="A2048" s="114">
        <v>82</v>
      </c>
      <c r="B2048" s="24" t="s">
        <v>1012</v>
      </c>
      <c r="C2048" s="25" t="s">
        <v>2442</v>
      </c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229">
        <f t="shared" si="837"/>
        <v>0</v>
      </c>
      <c r="AC2048" s="228">
        <f t="shared" si="833"/>
        <v>0</v>
      </c>
      <c r="AD2048" s="19">
        <v>0</v>
      </c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  <c r="AY2048" s="28"/>
      <c r="AZ2048" s="28"/>
      <c r="BA2048" s="28"/>
      <c r="BB2048" s="28"/>
      <c r="BC2048" s="229">
        <f t="shared" si="838"/>
        <v>0</v>
      </c>
      <c r="BD2048" s="48">
        <f t="shared" si="834"/>
        <v>0</v>
      </c>
      <c r="BE2048" s="19">
        <v>6</v>
      </c>
      <c r="BF2048" s="229">
        <f t="shared" si="839"/>
        <v>0</v>
      </c>
      <c r="BG2048" s="210">
        <f t="shared" si="835"/>
        <v>0</v>
      </c>
      <c r="BH2048" s="210">
        <f t="shared" si="836"/>
        <v>6</v>
      </c>
      <c r="BI2048" s="213">
        <f t="shared" si="840"/>
        <v>0</v>
      </c>
      <c r="BJ2048" s="141"/>
      <c r="BK2048" s="201"/>
      <c r="BL2048" s="4"/>
      <c r="BM2048" s="4"/>
    </row>
    <row r="2049" spans="1:65" s="38" customFormat="1" ht="18" customHeight="1">
      <c r="A2049" s="114">
        <v>83</v>
      </c>
      <c r="B2049" s="24" t="s">
        <v>1013</v>
      </c>
      <c r="C2049" s="25" t="s">
        <v>2441</v>
      </c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229">
        <f t="shared" si="837"/>
        <v>0</v>
      </c>
      <c r="AC2049" s="228">
        <f t="shared" si="833"/>
        <v>0</v>
      </c>
      <c r="AD2049" s="19">
        <v>4</v>
      </c>
      <c r="AE2049" s="28"/>
      <c r="AF2049" s="28"/>
      <c r="AG2049" s="28"/>
      <c r="AH2049" s="28"/>
      <c r="AI2049" s="28"/>
      <c r="AJ2049" s="28">
        <f>2+2</f>
        <v>4</v>
      </c>
      <c r="AK2049" s="28"/>
      <c r="AL2049" s="28"/>
      <c r="AM2049" s="28"/>
      <c r="AN2049" s="28"/>
      <c r="AO2049" s="28"/>
      <c r="AP2049" s="28">
        <v>1</v>
      </c>
      <c r="AQ2049" s="28"/>
      <c r="AR2049" s="28"/>
      <c r="AS2049" s="28"/>
      <c r="AT2049" s="28"/>
      <c r="AU2049" s="28"/>
      <c r="AV2049" s="28">
        <f>2+1</f>
        <v>3</v>
      </c>
      <c r="AW2049" s="28"/>
      <c r="AX2049" s="28"/>
      <c r="AY2049" s="28"/>
      <c r="AZ2049" s="28"/>
      <c r="BA2049" s="28"/>
      <c r="BB2049" s="28">
        <f>3+1</f>
        <v>4</v>
      </c>
      <c r="BC2049" s="229">
        <f t="shared" si="838"/>
        <v>0</v>
      </c>
      <c r="BD2049" s="48">
        <f t="shared" si="834"/>
        <v>12</v>
      </c>
      <c r="BE2049" s="19">
        <v>20</v>
      </c>
      <c r="BF2049" s="229">
        <f t="shared" si="839"/>
        <v>0</v>
      </c>
      <c r="BG2049" s="210">
        <f t="shared" si="835"/>
        <v>12</v>
      </c>
      <c r="BH2049" s="210">
        <f t="shared" si="836"/>
        <v>24</v>
      </c>
      <c r="BI2049" s="213">
        <f t="shared" si="840"/>
        <v>50</v>
      </c>
      <c r="BJ2049" s="141"/>
      <c r="BK2049" s="201"/>
      <c r="BL2049" s="4"/>
      <c r="BM2049" s="4"/>
    </row>
    <row r="2050" spans="1:65" s="38" customFormat="1" ht="18" customHeight="1">
      <c r="A2050" s="114">
        <v>84</v>
      </c>
      <c r="B2050" s="24" t="s">
        <v>1398</v>
      </c>
      <c r="C2050" s="25" t="s">
        <v>1472</v>
      </c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229">
        <f t="shared" si="837"/>
        <v>0</v>
      </c>
      <c r="AC2050" s="228">
        <f t="shared" si="833"/>
        <v>0</v>
      </c>
      <c r="AD2050" s="19">
        <v>0</v>
      </c>
      <c r="AE2050" s="28"/>
      <c r="AF2050" s="28"/>
      <c r="AG2050" s="28"/>
      <c r="AH2050" s="28"/>
      <c r="AI2050" s="28"/>
      <c r="AJ2050" s="28">
        <v>3</v>
      </c>
      <c r="AK2050" s="28"/>
      <c r="AL2050" s="28"/>
      <c r="AM2050" s="28"/>
      <c r="AN2050" s="28"/>
      <c r="AO2050" s="28"/>
      <c r="AP2050" s="28">
        <v>4</v>
      </c>
      <c r="AQ2050" s="28"/>
      <c r="AR2050" s="28"/>
      <c r="AS2050" s="28"/>
      <c r="AT2050" s="28"/>
      <c r="AU2050" s="28"/>
      <c r="AV2050" s="28"/>
      <c r="AW2050" s="28"/>
      <c r="AX2050" s="28"/>
      <c r="AY2050" s="28"/>
      <c r="AZ2050" s="28"/>
      <c r="BA2050" s="28"/>
      <c r="BB2050" s="28">
        <v>3</v>
      </c>
      <c r="BC2050" s="229">
        <f t="shared" si="838"/>
        <v>0</v>
      </c>
      <c r="BD2050" s="48">
        <f t="shared" si="834"/>
        <v>10</v>
      </c>
      <c r="BE2050" s="19">
        <v>25</v>
      </c>
      <c r="BF2050" s="229">
        <f t="shared" si="839"/>
        <v>0</v>
      </c>
      <c r="BG2050" s="210">
        <f t="shared" si="835"/>
        <v>10</v>
      </c>
      <c r="BH2050" s="210">
        <f t="shared" si="836"/>
        <v>25</v>
      </c>
      <c r="BI2050" s="213">
        <f t="shared" si="840"/>
        <v>40</v>
      </c>
      <c r="BJ2050" s="141"/>
      <c r="BK2050" s="201"/>
      <c r="BL2050" s="4"/>
      <c r="BM2050" s="4"/>
    </row>
    <row r="2051" spans="1:65" s="38" customFormat="1" ht="18" customHeight="1">
      <c r="A2051" s="114">
        <v>85</v>
      </c>
      <c r="B2051" s="24" t="s">
        <v>1969</v>
      </c>
      <c r="C2051" s="25" t="s">
        <v>1986</v>
      </c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229">
        <f t="shared" si="837"/>
        <v>0</v>
      </c>
      <c r="AC2051" s="228">
        <f t="shared" si="833"/>
        <v>0</v>
      </c>
      <c r="AD2051" s="19">
        <v>0</v>
      </c>
      <c r="AE2051" s="28"/>
      <c r="AF2051" s="28"/>
      <c r="AG2051" s="28"/>
      <c r="AH2051" s="28"/>
      <c r="AI2051" s="28"/>
      <c r="AJ2051" s="28">
        <v>2</v>
      </c>
      <c r="AK2051" s="28"/>
      <c r="AL2051" s="28"/>
      <c r="AM2051" s="28"/>
      <c r="AN2051" s="28"/>
      <c r="AO2051" s="28"/>
      <c r="AP2051" s="28">
        <v>4</v>
      </c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>
        <v>2</v>
      </c>
      <c r="BC2051" s="229">
        <f t="shared" si="838"/>
        <v>0</v>
      </c>
      <c r="BD2051" s="48">
        <f t="shared" si="834"/>
        <v>8</v>
      </c>
      <c r="BE2051" s="19">
        <v>26</v>
      </c>
      <c r="BF2051" s="229">
        <f t="shared" si="839"/>
        <v>0</v>
      </c>
      <c r="BG2051" s="210">
        <f t="shared" si="835"/>
        <v>8</v>
      </c>
      <c r="BH2051" s="210">
        <f t="shared" si="836"/>
        <v>26</v>
      </c>
      <c r="BI2051" s="213">
        <f t="shared" si="840"/>
        <v>30.76923076923077</v>
      </c>
      <c r="BJ2051" s="141"/>
      <c r="BK2051" s="201"/>
      <c r="BL2051" s="4"/>
      <c r="BM2051" s="4"/>
    </row>
    <row r="2052" spans="1:65" s="38" customFormat="1" ht="18" customHeight="1">
      <c r="A2052" s="114">
        <v>86</v>
      </c>
      <c r="B2052" s="24" t="s">
        <v>1970</v>
      </c>
      <c r="C2052" s="25" t="s">
        <v>2353</v>
      </c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229">
        <f t="shared" si="837"/>
        <v>0</v>
      </c>
      <c r="AC2052" s="228">
        <f t="shared" si="833"/>
        <v>0</v>
      </c>
      <c r="AD2052" s="19">
        <v>0</v>
      </c>
      <c r="AE2052" s="28"/>
      <c r="AF2052" s="28"/>
      <c r="AG2052" s="28"/>
      <c r="AH2052" s="28"/>
      <c r="AI2052" s="28"/>
      <c r="AJ2052" s="28">
        <v>1</v>
      </c>
      <c r="AK2052" s="28"/>
      <c r="AL2052" s="28"/>
      <c r="AM2052" s="28"/>
      <c r="AN2052" s="28"/>
      <c r="AO2052" s="28"/>
      <c r="AP2052" s="28">
        <v>2</v>
      </c>
      <c r="AQ2052" s="28"/>
      <c r="AR2052" s="28"/>
      <c r="AS2052" s="28"/>
      <c r="AT2052" s="28"/>
      <c r="AU2052" s="28"/>
      <c r="AV2052" s="28">
        <f>1+1</f>
        <v>2</v>
      </c>
      <c r="AW2052" s="28"/>
      <c r="AX2052" s="28"/>
      <c r="AY2052" s="28"/>
      <c r="AZ2052" s="28"/>
      <c r="BA2052" s="28"/>
      <c r="BB2052" s="28">
        <v>1</v>
      </c>
      <c r="BC2052" s="229">
        <f t="shared" si="838"/>
        <v>0</v>
      </c>
      <c r="BD2052" s="48">
        <f t="shared" si="834"/>
        <v>6</v>
      </c>
      <c r="BE2052" s="19">
        <v>21</v>
      </c>
      <c r="BF2052" s="229">
        <f t="shared" si="839"/>
        <v>0</v>
      </c>
      <c r="BG2052" s="210">
        <f t="shared" si="835"/>
        <v>6</v>
      </c>
      <c r="BH2052" s="210">
        <f t="shared" si="836"/>
        <v>21</v>
      </c>
      <c r="BI2052" s="213">
        <f t="shared" si="840"/>
        <v>28.571428571428569</v>
      </c>
      <c r="BJ2052" s="141"/>
      <c r="BK2052" s="201"/>
      <c r="BL2052" s="4"/>
      <c r="BM2052" s="4"/>
    </row>
    <row r="2053" spans="1:65" s="38" customFormat="1" ht="18" customHeight="1">
      <c r="A2053" s="114">
        <v>87</v>
      </c>
      <c r="B2053" s="24" t="s">
        <v>1971</v>
      </c>
      <c r="C2053" s="25" t="s">
        <v>2354</v>
      </c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229">
        <f t="shared" si="837"/>
        <v>0</v>
      </c>
      <c r="AC2053" s="228">
        <f t="shared" ref="AC2053:AC2089" si="841">E2053+G2053+I2053+K2053+M2053+O2053+Q2053+S2053+U2053+W2053+Y2053+AA2053</f>
        <v>0</v>
      </c>
      <c r="AD2053" s="19">
        <v>0</v>
      </c>
      <c r="AE2053" s="28"/>
      <c r="AF2053" s="28"/>
      <c r="AG2053" s="28"/>
      <c r="AH2053" s="28"/>
      <c r="AI2053" s="28"/>
      <c r="AJ2053" s="28">
        <v>1</v>
      </c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>
        <v>1</v>
      </c>
      <c r="AW2053" s="28"/>
      <c r="AX2053" s="28"/>
      <c r="AY2053" s="28"/>
      <c r="AZ2053" s="28"/>
      <c r="BA2053" s="28"/>
      <c r="BB2053" s="28">
        <v>1</v>
      </c>
      <c r="BC2053" s="229">
        <f t="shared" si="838"/>
        <v>0</v>
      </c>
      <c r="BD2053" s="48">
        <f t="shared" ref="BD2053:BD2089" si="842">AF2053+AH2053+AJ2053+AL2053+AN2053+AP2053+AR2053+AT2053+AV2053+AX2053+AZ2053+BB2053</f>
        <v>3</v>
      </c>
      <c r="BE2053" s="19">
        <v>11</v>
      </c>
      <c r="BF2053" s="229">
        <f t="shared" si="839"/>
        <v>0</v>
      </c>
      <c r="BG2053" s="210">
        <f t="shared" ref="BG2053:BG2089" si="843">AC2053+BD2053</f>
        <v>3</v>
      </c>
      <c r="BH2053" s="210">
        <f t="shared" ref="BH2053:BH2089" si="844">AD2053+BE2053</f>
        <v>11</v>
      </c>
      <c r="BI2053" s="213">
        <f t="shared" si="840"/>
        <v>27.27272727272727</v>
      </c>
      <c r="BJ2053" s="141"/>
      <c r="BK2053" s="201"/>
      <c r="BL2053" s="4"/>
      <c r="BM2053" s="4"/>
    </row>
    <row r="2054" spans="1:65" s="38" customFormat="1" ht="18" customHeight="1">
      <c r="A2054" s="114">
        <v>88</v>
      </c>
      <c r="B2054" s="24" t="s">
        <v>2356</v>
      </c>
      <c r="C2054" s="25" t="s">
        <v>2355</v>
      </c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229">
        <f t="shared" ref="AB2054:AB2082" si="845">D2054+F2054+H2054+J2054+L2054+N2054+P2054+R2054+T2054+V2054+X2054+Z2054</f>
        <v>0</v>
      </c>
      <c r="AC2054" s="228">
        <f t="shared" si="841"/>
        <v>0</v>
      </c>
      <c r="AD2054" s="19">
        <v>0</v>
      </c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  <c r="AY2054" s="28"/>
      <c r="AZ2054" s="28"/>
      <c r="BA2054" s="28"/>
      <c r="BB2054" s="28"/>
      <c r="BC2054" s="229">
        <f t="shared" ref="BC2054:BC2082" si="846">AE2054+AG2054+AI2054+AK2054+AM2054+AO2054+AQ2054+AS2054+AU2054+AW2054+AY2054+BA2054</f>
        <v>0</v>
      </c>
      <c r="BD2054" s="48">
        <f t="shared" si="842"/>
        <v>0</v>
      </c>
      <c r="BE2054" s="19">
        <v>2</v>
      </c>
      <c r="BF2054" s="229">
        <f t="shared" ref="BF2054:BF2082" si="847">AB2054+BC2054</f>
        <v>0</v>
      </c>
      <c r="BG2054" s="210">
        <f t="shared" si="843"/>
        <v>0</v>
      </c>
      <c r="BH2054" s="210">
        <f t="shared" si="844"/>
        <v>2</v>
      </c>
      <c r="BI2054" s="213">
        <f t="shared" si="840"/>
        <v>0</v>
      </c>
      <c r="BJ2054" s="141"/>
      <c r="BK2054" s="201"/>
      <c r="BL2054" s="4"/>
      <c r="BM2054" s="4"/>
    </row>
    <row r="2055" spans="1:65" s="38" customFormat="1" ht="18" customHeight="1">
      <c r="A2055" s="114">
        <v>89</v>
      </c>
      <c r="B2055" s="24" t="s">
        <v>925</v>
      </c>
      <c r="C2055" s="25" t="s">
        <v>1875</v>
      </c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229">
        <f t="shared" si="845"/>
        <v>0</v>
      </c>
      <c r="AC2055" s="228">
        <f t="shared" si="841"/>
        <v>0</v>
      </c>
      <c r="AD2055" s="19">
        <v>0</v>
      </c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>
        <v>2</v>
      </c>
      <c r="AQ2055" s="28"/>
      <c r="AR2055" s="28"/>
      <c r="AS2055" s="28"/>
      <c r="AT2055" s="28"/>
      <c r="AU2055" s="28"/>
      <c r="AV2055" s="28"/>
      <c r="AW2055" s="28"/>
      <c r="AX2055" s="28"/>
      <c r="AY2055" s="28"/>
      <c r="AZ2055" s="28"/>
      <c r="BA2055" s="28"/>
      <c r="BB2055" s="28"/>
      <c r="BC2055" s="229">
        <f t="shared" si="846"/>
        <v>0</v>
      </c>
      <c r="BD2055" s="48">
        <f t="shared" si="842"/>
        <v>2</v>
      </c>
      <c r="BE2055" s="19">
        <v>10</v>
      </c>
      <c r="BF2055" s="229">
        <f t="shared" si="847"/>
        <v>0</v>
      </c>
      <c r="BG2055" s="210">
        <f t="shared" si="843"/>
        <v>2</v>
      </c>
      <c r="BH2055" s="210">
        <f t="shared" si="844"/>
        <v>10</v>
      </c>
      <c r="BI2055" s="213">
        <f t="shared" si="840"/>
        <v>20</v>
      </c>
      <c r="BJ2055" s="141"/>
      <c r="BK2055" s="201"/>
      <c r="BL2055" s="4"/>
      <c r="BM2055" s="4"/>
    </row>
    <row r="2056" spans="1:65" s="38" customFormat="1" ht="18" customHeight="1">
      <c r="A2056" s="114">
        <v>90</v>
      </c>
      <c r="B2056" s="24" t="s">
        <v>1014</v>
      </c>
      <c r="C2056" s="25" t="s">
        <v>1376</v>
      </c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229">
        <f t="shared" si="845"/>
        <v>0</v>
      </c>
      <c r="AC2056" s="228">
        <f t="shared" si="841"/>
        <v>0</v>
      </c>
      <c r="AD2056" s="19">
        <v>0</v>
      </c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>
        <v>15</v>
      </c>
      <c r="AQ2056" s="28"/>
      <c r="AR2056" s="28"/>
      <c r="AS2056" s="28"/>
      <c r="AT2056" s="28"/>
      <c r="AU2056" s="28"/>
      <c r="AV2056" s="28">
        <v>13</v>
      </c>
      <c r="AW2056" s="28"/>
      <c r="AX2056" s="28"/>
      <c r="AY2056" s="28"/>
      <c r="AZ2056" s="28"/>
      <c r="BA2056" s="28"/>
      <c r="BB2056" s="28"/>
      <c r="BC2056" s="229">
        <f t="shared" si="846"/>
        <v>0</v>
      </c>
      <c r="BD2056" s="48">
        <f t="shared" si="842"/>
        <v>28</v>
      </c>
      <c r="BE2056" s="19">
        <v>28</v>
      </c>
      <c r="BF2056" s="229">
        <f t="shared" si="847"/>
        <v>0</v>
      </c>
      <c r="BG2056" s="210">
        <f t="shared" si="843"/>
        <v>28</v>
      </c>
      <c r="BH2056" s="210">
        <f t="shared" si="844"/>
        <v>28</v>
      </c>
      <c r="BI2056" s="213">
        <f t="shared" si="840"/>
        <v>100</v>
      </c>
      <c r="BJ2056" s="141"/>
      <c r="BK2056" s="201"/>
      <c r="BL2056" s="4"/>
      <c r="BM2056" s="4"/>
    </row>
    <row r="2057" spans="1:65" s="38" customFormat="1" ht="18" customHeight="1">
      <c r="A2057" s="114">
        <v>91</v>
      </c>
      <c r="B2057" s="24" t="s">
        <v>926</v>
      </c>
      <c r="C2057" s="25" t="s">
        <v>1749</v>
      </c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229">
        <f t="shared" si="845"/>
        <v>0</v>
      </c>
      <c r="AC2057" s="228">
        <f t="shared" si="841"/>
        <v>0</v>
      </c>
      <c r="AD2057" s="19">
        <v>2</v>
      </c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>
        <f>9+1</f>
        <v>10</v>
      </c>
      <c r="AQ2057" s="28"/>
      <c r="AR2057" s="28"/>
      <c r="AS2057" s="28"/>
      <c r="AT2057" s="28"/>
      <c r="AU2057" s="28"/>
      <c r="AV2057" s="28">
        <v>3</v>
      </c>
      <c r="AW2057" s="28"/>
      <c r="AX2057" s="28"/>
      <c r="AY2057" s="28"/>
      <c r="AZ2057" s="28"/>
      <c r="BA2057" s="28"/>
      <c r="BB2057" s="28"/>
      <c r="BC2057" s="229">
        <f t="shared" si="846"/>
        <v>0</v>
      </c>
      <c r="BD2057" s="48">
        <f t="shared" si="842"/>
        <v>13</v>
      </c>
      <c r="BE2057" s="19">
        <v>14</v>
      </c>
      <c r="BF2057" s="229">
        <f t="shared" si="847"/>
        <v>0</v>
      </c>
      <c r="BG2057" s="210">
        <f t="shared" si="843"/>
        <v>13</v>
      </c>
      <c r="BH2057" s="210">
        <f t="shared" si="844"/>
        <v>16</v>
      </c>
      <c r="BI2057" s="213">
        <f t="shared" si="840"/>
        <v>81.25</v>
      </c>
      <c r="BJ2057" s="141"/>
      <c r="BK2057" s="201"/>
      <c r="BL2057" s="4"/>
      <c r="BM2057" s="4"/>
    </row>
    <row r="2058" spans="1:65" s="38" customFormat="1" ht="18" customHeight="1">
      <c r="A2058" s="114">
        <v>92</v>
      </c>
      <c r="B2058" s="24" t="s">
        <v>927</v>
      </c>
      <c r="C2058" s="25" t="s">
        <v>1392</v>
      </c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229">
        <f t="shared" si="845"/>
        <v>0</v>
      </c>
      <c r="AC2058" s="228">
        <f t="shared" si="841"/>
        <v>0</v>
      </c>
      <c r="AD2058" s="19">
        <v>0</v>
      </c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>
        <v>22</v>
      </c>
      <c r="AQ2058" s="28"/>
      <c r="AR2058" s="28"/>
      <c r="AS2058" s="28"/>
      <c r="AT2058" s="28"/>
      <c r="AU2058" s="28"/>
      <c r="AV2058" s="28">
        <v>20</v>
      </c>
      <c r="AW2058" s="28"/>
      <c r="AX2058" s="28"/>
      <c r="AY2058" s="28"/>
      <c r="AZ2058" s="28"/>
      <c r="BA2058" s="28"/>
      <c r="BB2058" s="28"/>
      <c r="BC2058" s="229">
        <f t="shared" si="846"/>
        <v>0</v>
      </c>
      <c r="BD2058" s="48">
        <f t="shared" si="842"/>
        <v>42</v>
      </c>
      <c r="BE2058" s="19">
        <v>64</v>
      </c>
      <c r="BF2058" s="229">
        <f t="shared" si="847"/>
        <v>0</v>
      </c>
      <c r="BG2058" s="210">
        <f t="shared" si="843"/>
        <v>42</v>
      </c>
      <c r="BH2058" s="210">
        <f t="shared" si="844"/>
        <v>64</v>
      </c>
      <c r="BI2058" s="213">
        <f t="shared" si="840"/>
        <v>65.625</v>
      </c>
      <c r="BJ2058" s="141"/>
      <c r="BK2058" s="201"/>
      <c r="BL2058" s="4"/>
      <c r="BM2058" s="4"/>
    </row>
    <row r="2059" spans="1:65" s="38" customFormat="1" ht="18" customHeight="1">
      <c r="A2059" s="114">
        <v>93</v>
      </c>
      <c r="B2059" s="24" t="s">
        <v>987</v>
      </c>
      <c r="C2059" s="25" t="s">
        <v>1394</v>
      </c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229">
        <f t="shared" si="845"/>
        <v>0</v>
      </c>
      <c r="AC2059" s="228">
        <f>E2059+G2059+I2059+K2059+M2059+O2059+Q2059+S2059+U2059+W2059+Y2059+AA2059</f>
        <v>0</v>
      </c>
      <c r="AD2059" s="19">
        <v>0</v>
      </c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29">
        <f t="shared" si="846"/>
        <v>0</v>
      </c>
      <c r="BD2059" s="48">
        <f t="shared" si="842"/>
        <v>0</v>
      </c>
      <c r="BE2059" s="19">
        <v>1</v>
      </c>
      <c r="BF2059" s="229">
        <f t="shared" si="847"/>
        <v>0</v>
      </c>
      <c r="BG2059" s="210">
        <f>AC2059+BD2059</f>
        <v>0</v>
      </c>
      <c r="BH2059" s="210">
        <f t="shared" si="844"/>
        <v>1</v>
      </c>
      <c r="BI2059" s="213">
        <f t="shared" si="840"/>
        <v>0</v>
      </c>
      <c r="BJ2059" s="141"/>
      <c r="BK2059" s="201"/>
      <c r="BL2059" s="4"/>
      <c r="BM2059" s="4"/>
    </row>
    <row r="2060" spans="1:65" s="38" customFormat="1" ht="18" customHeight="1">
      <c r="A2060" s="114">
        <v>94</v>
      </c>
      <c r="B2060" s="24" t="s">
        <v>703</v>
      </c>
      <c r="C2060" s="25" t="s">
        <v>774</v>
      </c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229">
        <f t="shared" si="845"/>
        <v>0</v>
      </c>
      <c r="AC2060" s="228">
        <f t="shared" si="841"/>
        <v>0</v>
      </c>
      <c r="AD2060" s="19">
        <v>0</v>
      </c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28"/>
      <c r="BA2060" s="28"/>
      <c r="BB2060" s="28"/>
      <c r="BC2060" s="229">
        <f t="shared" si="846"/>
        <v>0</v>
      </c>
      <c r="BD2060" s="48">
        <f t="shared" si="842"/>
        <v>0</v>
      </c>
      <c r="BE2060" s="19">
        <v>1</v>
      </c>
      <c r="BF2060" s="229">
        <f t="shared" si="847"/>
        <v>0</v>
      </c>
      <c r="BG2060" s="210">
        <f t="shared" si="843"/>
        <v>0</v>
      </c>
      <c r="BH2060" s="210">
        <f t="shared" si="844"/>
        <v>1</v>
      </c>
      <c r="BI2060" s="213">
        <f t="shared" si="840"/>
        <v>0</v>
      </c>
      <c r="BJ2060" s="141"/>
      <c r="BK2060" s="201"/>
      <c r="BL2060" s="4"/>
      <c r="BM2060" s="4"/>
    </row>
    <row r="2061" spans="1:65" s="38" customFormat="1" ht="18" customHeight="1">
      <c r="A2061" s="114">
        <v>95</v>
      </c>
      <c r="B2061" s="24" t="s">
        <v>896</v>
      </c>
      <c r="C2061" s="25" t="s">
        <v>992</v>
      </c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229">
        <f t="shared" si="845"/>
        <v>0</v>
      </c>
      <c r="AC2061" s="228">
        <f t="shared" si="841"/>
        <v>0</v>
      </c>
      <c r="AD2061" s="19">
        <v>0</v>
      </c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29">
        <f t="shared" si="846"/>
        <v>0</v>
      </c>
      <c r="BD2061" s="48">
        <f t="shared" si="842"/>
        <v>0</v>
      </c>
      <c r="BE2061" s="19">
        <v>1</v>
      </c>
      <c r="BF2061" s="229">
        <f t="shared" si="847"/>
        <v>0</v>
      </c>
      <c r="BG2061" s="210">
        <f t="shared" si="843"/>
        <v>0</v>
      </c>
      <c r="BH2061" s="210">
        <f t="shared" si="844"/>
        <v>1</v>
      </c>
      <c r="BI2061" s="213">
        <f t="shared" si="840"/>
        <v>0</v>
      </c>
      <c r="BJ2061" s="141"/>
      <c r="BK2061" s="201"/>
      <c r="BL2061" s="4"/>
      <c r="BM2061" s="4"/>
    </row>
    <row r="2062" spans="1:65" s="38" customFormat="1" ht="18" customHeight="1">
      <c r="A2062" s="114">
        <v>96</v>
      </c>
      <c r="B2062" s="24" t="s">
        <v>897</v>
      </c>
      <c r="C2062" s="25" t="s">
        <v>1379</v>
      </c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229">
        <f t="shared" si="845"/>
        <v>0</v>
      </c>
      <c r="AC2062" s="228">
        <f t="shared" si="841"/>
        <v>0</v>
      </c>
      <c r="AD2062" s="19">
        <v>0</v>
      </c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  <c r="AZ2062" s="28"/>
      <c r="BA2062" s="28"/>
      <c r="BB2062" s="28"/>
      <c r="BC2062" s="229">
        <f t="shared" si="846"/>
        <v>0</v>
      </c>
      <c r="BD2062" s="48">
        <f t="shared" si="842"/>
        <v>0</v>
      </c>
      <c r="BE2062" s="19">
        <v>5</v>
      </c>
      <c r="BF2062" s="229">
        <f t="shared" si="847"/>
        <v>0</v>
      </c>
      <c r="BG2062" s="210">
        <f t="shared" si="843"/>
        <v>0</v>
      </c>
      <c r="BH2062" s="210">
        <f t="shared" si="844"/>
        <v>5</v>
      </c>
      <c r="BI2062" s="213">
        <f t="shared" si="840"/>
        <v>0</v>
      </c>
      <c r="BJ2062" s="141"/>
      <c r="BK2062" s="201"/>
      <c r="BL2062" s="4"/>
      <c r="BM2062" s="4"/>
    </row>
    <row r="2063" spans="1:65" s="38" customFormat="1" ht="18" customHeight="1">
      <c r="A2063" s="114">
        <v>97</v>
      </c>
      <c r="B2063" s="24" t="s">
        <v>817</v>
      </c>
      <c r="C2063" s="25" t="s">
        <v>1092</v>
      </c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229">
        <f t="shared" si="845"/>
        <v>0</v>
      </c>
      <c r="AC2063" s="228">
        <f t="shared" si="841"/>
        <v>0</v>
      </c>
      <c r="AD2063" s="19">
        <v>0</v>
      </c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>
        <v>76</v>
      </c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29">
        <f t="shared" si="846"/>
        <v>0</v>
      </c>
      <c r="BD2063" s="48">
        <f t="shared" si="842"/>
        <v>76</v>
      </c>
      <c r="BE2063" s="19">
        <v>1</v>
      </c>
      <c r="BF2063" s="229">
        <f t="shared" si="847"/>
        <v>0</v>
      </c>
      <c r="BG2063" s="210">
        <f t="shared" si="843"/>
        <v>76</v>
      </c>
      <c r="BH2063" s="210">
        <f t="shared" si="844"/>
        <v>1</v>
      </c>
      <c r="BI2063" s="213">
        <f t="shared" ref="BI2063:BI2089" si="848">BG2063/BH2063*100</f>
        <v>7600</v>
      </c>
      <c r="BJ2063" s="141"/>
      <c r="BK2063" s="201"/>
      <c r="BL2063" s="4"/>
      <c r="BM2063" s="4"/>
    </row>
    <row r="2064" spans="1:65" s="38" customFormat="1" ht="18" customHeight="1">
      <c r="A2064" s="114">
        <v>98</v>
      </c>
      <c r="B2064" s="24" t="s">
        <v>723</v>
      </c>
      <c r="C2064" s="25" t="s">
        <v>2435</v>
      </c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229">
        <f t="shared" si="845"/>
        <v>0</v>
      </c>
      <c r="AC2064" s="228">
        <f t="shared" si="841"/>
        <v>0</v>
      </c>
      <c r="AD2064" s="19">
        <v>0</v>
      </c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  <c r="AZ2064" s="28"/>
      <c r="BA2064" s="28"/>
      <c r="BB2064" s="28"/>
      <c r="BC2064" s="229">
        <f t="shared" si="846"/>
        <v>0</v>
      </c>
      <c r="BD2064" s="48">
        <f t="shared" si="842"/>
        <v>0</v>
      </c>
      <c r="BE2064" s="19">
        <v>1</v>
      </c>
      <c r="BF2064" s="229">
        <f t="shared" si="847"/>
        <v>0</v>
      </c>
      <c r="BG2064" s="210">
        <f t="shared" si="843"/>
        <v>0</v>
      </c>
      <c r="BH2064" s="210">
        <f t="shared" si="844"/>
        <v>1</v>
      </c>
      <c r="BI2064" s="213">
        <f t="shared" si="848"/>
        <v>0</v>
      </c>
      <c r="BJ2064" s="141"/>
      <c r="BK2064" s="201"/>
      <c r="BL2064" s="4"/>
      <c r="BM2064" s="4"/>
    </row>
    <row r="2065" spans="1:65" s="38" customFormat="1" ht="18" customHeight="1">
      <c r="A2065" s="114">
        <v>99</v>
      </c>
      <c r="B2065" s="24" t="s">
        <v>899</v>
      </c>
      <c r="C2065" s="25" t="s">
        <v>1700</v>
      </c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>
        <f>1+1</f>
        <v>2</v>
      </c>
      <c r="AB2065" s="229">
        <f t="shared" si="845"/>
        <v>0</v>
      </c>
      <c r="AC2065" s="228">
        <f t="shared" si="841"/>
        <v>2</v>
      </c>
      <c r="AD2065" s="19">
        <v>0</v>
      </c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  <c r="AZ2065" s="28"/>
      <c r="BA2065" s="28"/>
      <c r="BB2065" s="28"/>
      <c r="BC2065" s="229">
        <f t="shared" si="846"/>
        <v>0</v>
      </c>
      <c r="BD2065" s="48">
        <f t="shared" si="842"/>
        <v>0</v>
      </c>
      <c r="BE2065" s="19">
        <v>1</v>
      </c>
      <c r="BF2065" s="229">
        <f t="shared" si="847"/>
        <v>0</v>
      </c>
      <c r="BG2065" s="210">
        <f t="shared" si="843"/>
        <v>2</v>
      </c>
      <c r="BH2065" s="210">
        <f t="shared" si="844"/>
        <v>1</v>
      </c>
      <c r="BI2065" s="213">
        <f t="shared" si="848"/>
        <v>200</v>
      </c>
      <c r="BJ2065" s="141"/>
      <c r="BK2065" s="201"/>
      <c r="BL2065" s="4"/>
      <c r="BM2065" s="4"/>
    </row>
    <row r="2066" spans="1:65" s="38" customFormat="1" ht="18" customHeight="1">
      <c r="A2066" s="114">
        <v>100</v>
      </c>
      <c r="B2066" s="24" t="s">
        <v>928</v>
      </c>
      <c r="C2066" s="25" t="s">
        <v>2270</v>
      </c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229">
        <f t="shared" si="845"/>
        <v>0</v>
      </c>
      <c r="AC2066" s="228">
        <f t="shared" si="841"/>
        <v>0</v>
      </c>
      <c r="AD2066" s="19">
        <v>0</v>
      </c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  <c r="AZ2066" s="28"/>
      <c r="BA2066" s="28"/>
      <c r="BB2066" s="28"/>
      <c r="BC2066" s="229">
        <f t="shared" si="846"/>
        <v>0</v>
      </c>
      <c r="BD2066" s="48">
        <f t="shared" si="842"/>
        <v>0</v>
      </c>
      <c r="BE2066" s="19">
        <v>1</v>
      </c>
      <c r="BF2066" s="229">
        <f t="shared" si="847"/>
        <v>0</v>
      </c>
      <c r="BG2066" s="210">
        <f t="shared" si="843"/>
        <v>0</v>
      </c>
      <c r="BH2066" s="210">
        <f t="shared" si="844"/>
        <v>1</v>
      </c>
      <c r="BI2066" s="213">
        <f t="shared" si="848"/>
        <v>0</v>
      </c>
      <c r="BJ2066" s="141"/>
      <c r="BK2066" s="201"/>
      <c r="BL2066" s="4"/>
      <c r="BM2066" s="4"/>
    </row>
    <row r="2067" spans="1:65" s="38" customFormat="1" ht="18" customHeight="1">
      <c r="A2067" s="114">
        <v>101</v>
      </c>
      <c r="B2067" s="24" t="s">
        <v>775</v>
      </c>
      <c r="C2067" s="25" t="s">
        <v>1580</v>
      </c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>
        <v>1</v>
      </c>
      <c r="AB2067" s="229">
        <f t="shared" si="845"/>
        <v>0</v>
      </c>
      <c r="AC2067" s="228">
        <f t="shared" si="841"/>
        <v>1</v>
      </c>
      <c r="AD2067" s="19">
        <v>0</v>
      </c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29">
        <f t="shared" si="846"/>
        <v>0</v>
      </c>
      <c r="BD2067" s="48">
        <f t="shared" si="842"/>
        <v>0</v>
      </c>
      <c r="BE2067" s="19">
        <v>1</v>
      </c>
      <c r="BF2067" s="229">
        <f t="shared" si="847"/>
        <v>0</v>
      </c>
      <c r="BG2067" s="210">
        <f t="shared" si="843"/>
        <v>1</v>
      </c>
      <c r="BH2067" s="210">
        <f t="shared" si="844"/>
        <v>1</v>
      </c>
      <c r="BI2067" s="213">
        <f t="shared" si="848"/>
        <v>100</v>
      </c>
      <c r="BJ2067" s="141"/>
      <c r="BK2067" s="201"/>
      <c r="BL2067" s="4"/>
      <c r="BM2067" s="4"/>
    </row>
    <row r="2068" spans="1:65" s="38" customFormat="1" ht="18" customHeight="1">
      <c r="A2068" s="114">
        <v>102</v>
      </c>
      <c r="B2068" s="24" t="s">
        <v>994</v>
      </c>
      <c r="C2068" s="25" t="s">
        <v>1163</v>
      </c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229">
        <f t="shared" si="845"/>
        <v>0</v>
      </c>
      <c r="AC2068" s="228">
        <f t="shared" si="841"/>
        <v>0</v>
      </c>
      <c r="AD2068" s="19">
        <v>0</v>
      </c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  <c r="AZ2068" s="28"/>
      <c r="BA2068" s="28"/>
      <c r="BB2068" s="28"/>
      <c r="BC2068" s="229">
        <f t="shared" si="846"/>
        <v>0</v>
      </c>
      <c r="BD2068" s="48">
        <f t="shared" si="842"/>
        <v>0</v>
      </c>
      <c r="BE2068" s="19">
        <v>1</v>
      </c>
      <c r="BF2068" s="229">
        <f t="shared" si="847"/>
        <v>0</v>
      </c>
      <c r="BG2068" s="210">
        <f t="shared" si="843"/>
        <v>0</v>
      </c>
      <c r="BH2068" s="210">
        <f t="shared" si="844"/>
        <v>1</v>
      </c>
      <c r="BI2068" s="213">
        <f t="shared" si="848"/>
        <v>0</v>
      </c>
      <c r="BJ2068" s="141"/>
      <c r="BK2068" s="201"/>
      <c r="BL2068" s="4"/>
      <c r="BM2068" s="4"/>
    </row>
    <row r="2069" spans="1:65" s="38" customFormat="1" ht="18" customHeight="1">
      <c r="A2069" s="114">
        <v>103</v>
      </c>
      <c r="B2069" s="24" t="s">
        <v>724</v>
      </c>
      <c r="C2069" s="25" t="s">
        <v>1093</v>
      </c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229">
        <f t="shared" si="845"/>
        <v>0</v>
      </c>
      <c r="AC2069" s="228">
        <f t="shared" si="841"/>
        <v>0</v>
      </c>
      <c r="AD2069" s="19">
        <v>0</v>
      </c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  <c r="AZ2069" s="28"/>
      <c r="BA2069" s="28"/>
      <c r="BB2069" s="28"/>
      <c r="BC2069" s="229">
        <f t="shared" si="846"/>
        <v>0</v>
      </c>
      <c r="BD2069" s="48">
        <f t="shared" si="842"/>
        <v>0</v>
      </c>
      <c r="BE2069" s="19">
        <v>1</v>
      </c>
      <c r="BF2069" s="229">
        <f t="shared" si="847"/>
        <v>0</v>
      </c>
      <c r="BG2069" s="210">
        <f t="shared" si="843"/>
        <v>0</v>
      </c>
      <c r="BH2069" s="210">
        <f t="shared" si="844"/>
        <v>1</v>
      </c>
      <c r="BI2069" s="213">
        <f t="shared" si="848"/>
        <v>0</v>
      </c>
      <c r="BJ2069" s="141"/>
      <c r="BK2069" s="201"/>
      <c r="BL2069" s="4"/>
      <c r="BM2069" s="4"/>
    </row>
    <row r="2070" spans="1:65" s="38" customFormat="1" ht="18" customHeight="1">
      <c r="A2070" s="114">
        <v>104</v>
      </c>
      <c r="B2070" s="24" t="s">
        <v>725</v>
      </c>
      <c r="C2070" s="25" t="s">
        <v>1494</v>
      </c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229">
        <f t="shared" si="845"/>
        <v>0</v>
      </c>
      <c r="AC2070" s="228">
        <f t="shared" si="841"/>
        <v>0</v>
      </c>
      <c r="AD2070" s="19">
        <v>0</v>
      </c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  <c r="AZ2070" s="28"/>
      <c r="BA2070" s="28"/>
      <c r="BB2070" s="28"/>
      <c r="BC2070" s="229">
        <f t="shared" si="846"/>
        <v>0</v>
      </c>
      <c r="BD2070" s="48">
        <f t="shared" si="842"/>
        <v>0</v>
      </c>
      <c r="BE2070" s="19">
        <v>1</v>
      </c>
      <c r="BF2070" s="229">
        <f t="shared" si="847"/>
        <v>0</v>
      </c>
      <c r="BG2070" s="210">
        <f t="shared" si="843"/>
        <v>0</v>
      </c>
      <c r="BH2070" s="210">
        <f t="shared" si="844"/>
        <v>1</v>
      </c>
      <c r="BI2070" s="213">
        <f t="shared" si="848"/>
        <v>0</v>
      </c>
      <c r="BJ2070" s="141"/>
      <c r="BK2070" s="201"/>
      <c r="BL2070" s="4"/>
      <c r="BM2070" s="4"/>
    </row>
    <row r="2071" spans="1:65" s="38" customFormat="1" ht="18" customHeight="1">
      <c r="A2071" s="114">
        <v>105</v>
      </c>
      <c r="B2071" s="24" t="s">
        <v>652</v>
      </c>
      <c r="C2071" s="34" t="s">
        <v>727</v>
      </c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229">
        <f t="shared" si="845"/>
        <v>0</v>
      </c>
      <c r="AC2071" s="228">
        <f t="shared" si="841"/>
        <v>0</v>
      </c>
      <c r="AD2071" s="19">
        <v>0</v>
      </c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>
        <v>29</v>
      </c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29">
        <f t="shared" si="846"/>
        <v>0</v>
      </c>
      <c r="BD2071" s="48">
        <f t="shared" si="842"/>
        <v>29</v>
      </c>
      <c r="BE2071" s="19">
        <v>1</v>
      </c>
      <c r="BF2071" s="229">
        <f t="shared" si="847"/>
        <v>0</v>
      </c>
      <c r="BG2071" s="210">
        <f t="shared" si="843"/>
        <v>29</v>
      </c>
      <c r="BH2071" s="210">
        <f t="shared" si="844"/>
        <v>1</v>
      </c>
      <c r="BI2071" s="213">
        <f t="shared" si="848"/>
        <v>2900</v>
      </c>
      <c r="BJ2071" s="141"/>
      <c r="BK2071" s="201"/>
      <c r="BL2071" s="4"/>
      <c r="BM2071" s="4"/>
    </row>
    <row r="2072" spans="1:65" s="38" customFormat="1" ht="18" customHeight="1">
      <c r="A2072" s="114">
        <v>106</v>
      </c>
      <c r="B2072" s="24" t="s">
        <v>730</v>
      </c>
      <c r="C2072" s="25" t="s">
        <v>731</v>
      </c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>
        <v>1</v>
      </c>
      <c r="AB2072" s="229">
        <f t="shared" si="845"/>
        <v>0</v>
      </c>
      <c r="AC2072" s="228">
        <f t="shared" si="841"/>
        <v>1</v>
      </c>
      <c r="AD2072" s="19">
        <v>0</v>
      </c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  <c r="AY2072" s="28"/>
      <c r="AZ2072" s="28"/>
      <c r="BA2072" s="28"/>
      <c r="BB2072" s="28"/>
      <c r="BC2072" s="229">
        <f t="shared" si="846"/>
        <v>0</v>
      </c>
      <c r="BD2072" s="48">
        <f t="shared" si="842"/>
        <v>0</v>
      </c>
      <c r="BE2072" s="19">
        <v>1</v>
      </c>
      <c r="BF2072" s="229">
        <f t="shared" si="847"/>
        <v>0</v>
      </c>
      <c r="BG2072" s="210">
        <f t="shared" si="843"/>
        <v>1</v>
      </c>
      <c r="BH2072" s="210">
        <f t="shared" si="844"/>
        <v>1</v>
      </c>
      <c r="BI2072" s="213">
        <f t="shared" si="848"/>
        <v>100</v>
      </c>
      <c r="BJ2072" s="141"/>
      <c r="BK2072" s="201"/>
      <c r="BL2072" s="4"/>
      <c r="BM2072" s="4"/>
    </row>
    <row r="2073" spans="1:65" s="38" customFormat="1" ht="18" customHeight="1">
      <c r="A2073" s="114">
        <v>107</v>
      </c>
      <c r="B2073" s="24" t="s">
        <v>732</v>
      </c>
      <c r="C2073" s="34" t="s">
        <v>733</v>
      </c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229">
        <f t="shared" si="845"/>
        <v>0</v>
      </c>
      <c r="AC2073" s="228">
        <f t="shared" si="841"/>
        <v>0</v>
      </c>
      <c r="AD2073" s="19">
        <v>0</v>
      </c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  <c r="AZ2073" s="28"/>
      <c r="BA2073" s="28"/>
      <c r="BB2073" s="28"/>
      <c r="BC2073" s="229">
        <f t="shared" si="846"/>
        <v>0</v>
      </c>
      <c r="BD2073" s="48">
        <f t="shared" si="842"/>
        <v>0</v>
      </c>
      <c r="BE2073" s="19">
        <v>1</v>
      </c>
      <c r="BF2073" s="229">
        <f t="shared" si="847"/>
        <v>0</v>
      </c>
      <c r="BG2073" s="210">
        <f t="shared" si="843"/>
        <v>0</v>
      </c>
      <c r="BH2073" s="210">
        <f t="shared" si="844"/>
        <v>1</v>
      </c>
      <c r="BI2073" s="213">
        <f t="shared" si="848"/>
        <v>0</v>
      </c>
      <c r="BJ2073" s="141"/>
      <c r="BK2073" s="201"/>
      <c r="BL2073" s="4"/>
      <c r="BM2073" s="4"/>
    </row>
    <row r="2074" spans="1:65" s="38" customFormat="1" ht="18" customHeight="1">
      <c r="A2074" s="114">
        <v>108</v>
      </c>
      <c r="B2074" s="24" t="s">
        <v>822</v>
      </c>
      <c r="C2074" s="25" t="s">
        <v>823</v>
      </c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>
        <v>3</v>
      </c>
      <c r="AB2074" s="229">
        <f t="shared" si="845"/>
        <v>0</v>
      </c>
      <c r="AC2074" s="228">
        <f t="shared" si="841"/>
        <v>3</v>
      </c>
      <c r="AD2074" s="19">
        <v>0</v>
      </c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  <c r="AZ2074" s="28"/>
      <c r="BA2074" s="28"/>
      <c r="BB2074" s="28"/>
      <c r="BC2074" s="229">
        <f t="shared" si="846"/>
        <v>0</v>
      </c>
      <c r="BD2074" s="48">
        <f t="shared" si="842"/>
        <v>0</v>
      </c>
      <c r="BE2074" s="19">
        <v>1</v>
      </c>
      <c r="BF2074" s="229">
        <f t="shared" si="847"/>
        <v>0</v>
      </c>
      <c r="BG2074" s="210">
        <f t="shared" si="843"/>
        <v>3</v>
      </c>
      <c r="BH2074" s="210">
        <f t="shared" si="844"/>
        <v>1</v>
      </c>
      <c r="BI2074" s="213">
        <f t="shared" si="848"/>
        <v>300</v>
      </c>
      <c r="BJ2074" s="141"/>
      <c r="BK2074" s="201"/>
      <c r="BL2074" s="4"/>
      <c r="BM2074" s="4"/>
    </row>
    <row r="2075" spans="1:65" s="38" customFormat="1" ht="18" customHeight="1">
      <c r="A2075" s="114">
        <v>109</v>
      </c>
      <c r="B2075" s="24" t="s">
        <v>776</v>
      </c>
      <c r="C2075" s="25" t="s">
        <v>777</v>
      </c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229">
        <f t="shared" si="845"/>
        <v>0</v>
      </c>
      <c r="AC2075" s="228">
        <f t="shared" si="841"/>
        <v>0</v>
      </c>
      <c r="AD2075" s="19">
        <v>0</v>
      </c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  <c r="AZ2075" s="28"/>
      <c r="BA2075" s="28"/>
      <c r="BB2075" s="28"/>
      <c r="BC2075" s="229">
        <f t="shared" si="846"/>
        <v>0</v>
      </c>
      <c r="BD2075" s="48">
        <f t="shared" si="842"/>
        <v>0</v>
      </c>
      <c r="BE2075" s="19">
        <v>1</v>
      </c>
      <c r="BF2075" s="229">
        <f t="shared" si="847"/>
        <v>0</v>
      </c>
      <c r="BG2075" s="210">
        <f t="shared" si="843"/>
        <v>0</v>
      </c>
      <c r="BH2075" s="210">
        <f t="shared" si="844"/>
        <v>1</v>
      </c>
      <c r="BI2075" s="213">
        <f t="shared" si="848"/>
        <v>0</v>
      </c>
      <c r="BJ2075" s="141"/>
      <c r="BK2075" s="201"/>
      <c r="BL2075" s="4"/>
      <c r="BM2075" s="4"/>
    </row>
    <row r="2076" spans="1:65" s="38" customFormat="1" ht="21.95" customHeight="1">
      <c r="A2076" s="114">
        <v>110</v>
      </c>
      <c r="B2076" s="24" t="s">
        <v>799</v>
      </c>
      <c r="C2076" s="27" t="s">
        <v>1860</v>
      </c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229">
        <f t="shared" si="845"/>
        <v>0</v>
      </c>
      <c r="AC2076" s="228">
        <f t="shared" si="841"/>
        <v>0</v>
      </c>
      <c r="AD2076" s="19">
        <v>0</v>
      </c>
      <c r="AE2076" s="28"/>
      <c r="AF2076" s="28"/>
      <c r="AG2076" s="28"/>
      <c r="AH2076" s="28"/>
      <c r="AI2076" s="28"/>
      <c r="AJ2076" s="28">
        <v>70</v>
      </c>
      <c r="AK2076" s="28"/>
      <c r="AL2076" s="28"/>
      <c r="AM2076" s="28"/>
      <c r="AN2076" s="28"/>
      <c r="AO2076" s="28"/>
      <c r="AP2076" s="28">
        <f>20+2</f>
        <v>22</v>
      </c>
      <c r="AQ2076" s="28"/>
      <c r="AR2076" s="28"/>
      <c r="AS2076" s="28"/>
      <c r="AT2076" s="28"/>
      <c r="AU2076" s="28"/>
      <c r="AV2076" s="28">
        <f>83+24</f>
        <v>107</v>
      </c>
      <c r="AW2076" s="28"/>
      <c r="AX2076" s="28"/>
      <c r="AY2076" s="28"/>
      <c r="AZ2076" s="28"/>
      <c r="BA2076" s="28"/>
      <c r="BB2076" s="28">
        <v>76</v>
      </c>
      <c r="BC2076" s="229">
        <f t="shared" si="846"/>
        <v>0</v>
      </c>
      <c r="BD2076" s="48">
        <f t="shared" si="842"/>
        <v>275</v>
      </c>
      <c r="BE2076" s="19">
        <v>228</v>
      </c>
      <c r="BF2076" s="229">
        <f t="shared" si="847"/>
        <v>0</v>
      </c>
      <c r="BG2076" s="210">
        <f t="shared" si="843"/>
        <v>275</v>
      </c>
      <c r="BH2076" s="210">
        <f t="shared" si="844"/>
        <v>228</v>
      </c>
      <c r="BI2076" s="213">
        <f t="shared" si="848"/>
        <v>120.6140350877193</v>
      </c>
      <c r="BJ2076" s="141"/>
      <c r="BK2076" s="201"/>
      <c r="BL2076" s="4"/>
      <c r="BM2076" s="4"/>
    </row>
    <row r="2077" spans="1:65" s="38" customFormat="1" ht="21.95" customHeight="1">
      <c r="A2077" s="114">
        <v>111</v>
      </c>
      <c r="B2077" s="24" t="s">
        <v>657</v>
      </c>
      <c r="C2077" s="27" t="s">
        <v>1401</v>
      </c>
      <c r="D2077" s="121"/>
      <c r="E2077" s="121"/>
      <c r="F2077" s="121"/>
      <c r="G2077" s="121"/>
      <c r="H2077" s="121"/>
      <c r="I2077" s="121">
        <v>2</v>
      </c>
      <c r="J2077" s="121"/>
      <c r="K2077" s="121"/>
      <c r="L2077" s="121"/>
      <c r="M2077" s="121"/>
      <c r="N2077" s="121"/>
      <c r="O2077" s="121">
        <v>3</v>
      </c>
      <c r="P2077" s="121"/>
      <c r="Q2077" s="121"/>
      <c r="R2077" s="121"/>
      <c r="S2077" s="121"/>
      <c r="T2077" s="121"/>
      <c r="U2077" s="121">
        <v>11</v>
      </c>
      <c r="V2077" s="121"/>
      <c r="W2077" s="121"/>
      <c r="X2077" s="121"/>
      <c r="Y2077" s="121"/>
      <c r="Z2077" s="121"/>
      <c r="AA2077" s="121">
        <v>11</v>
      </c>
      <c r="AB2077" s="229">
        <f t="shared" si="845"/>
        <v>0</v>
      </c>
      <c r="AC2077" s="228">
        <f t="shared" si="841"/>
        <v>27</v>
      </c>
      <c r="AD2077" s="19">
        <v>58</v>
      </c>
      <c r="AE2077" s="28"/>
      <c r="AF2077" s="28"/>
      <c r="AG2077" s="28"/>
      <c r="AH2077" s="28"/>
      <c r="AI2077" s="28"/>
      <c r="AJ2077" s="28">
        <f>1710+13</f>
        <v>1723</v>
      </c>
      <c r="AK2077" s="28"/>
      <c r="AL2077" s="28"/>
      <c r="AM2077" s="28"/>
      <c r="AN2077" s="28"/>
      <c r="AO2077" s="28"/>
      <c r="AP2077" s="28">
        <f>1538+31</f>
        <v>1569</v>
      </c>
      <c r="AQ2077" s="28"/>
      <c r="AR2077" s="28"/>
      <c r="AS2077" s="28"/>
      <c r="AT2077" s="28"/>
      <c r="AU2077" s="28"/>
      <c r="AV2077" s="28">
        <f>1+1635</f>
        <v>1636</v>
      </c>
      <c r="AW2077" s="28"/>
      <c r="AX2077" s="28"/>
      <c r="AY2077" s="28"/>
      <c r="AZ2077" s="28"/>
      <c r="BA2077" s="28"/>
      <c r="BB2077" s="28">
        <f>2009+26</f>
        <v>2035</v>
      </c>
      <c r="BC2077" s="229">
        <f t="shared" si="846"/>
        <v>0</v>
      </c>
      <c r="BD2077" s="48">
        <f t="shared" si="842"/>
        <v>6963</v>
      </c>
      <c r="BE2077" s="19">
        <v>5997</v>
      </c>
      <c r="BF2077" s="229">
        <f t="shared" si="847"/>
        <v>0</v>
      </c>
      <c r="BG2077" s="210">
        <f t="shared" si="843"/>
        <v>6990</v>
      </c>
      <c r="BH2077" s="210">
        <f t="shared" si="844"/>
        <v>6055</v>
      </c>
      <c r="BI2077" s="213">
        <f t="shared" si="848"/>
        <v>115.44178364987614</v>
      </c>
      <c r="BJ2077" s="141"/>
      <c r="BK2077" s="201"/>
      <c r="BL2077" s="4"/>
      <c r="BM2077" s="4"/>
    </row>
    <row r="2078" spans="1:65" s="38" customFormat="1" ht="21.95" customHeight="1">
      <c r="A2078" s="114">
        <v>112</v>
      </c>
      <c r="B2078" s="24" t="s">
        <v>658</v>
      </c>
      <c r="C2078" s="25" t="s">
        <v>779</v>
      </c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229">
        <f t="shared" si="845"/>
        <v>0</v>
      </c>
      <c r="AC2078" s="228">
        <f t="shared" si="841"/>
        <v>0</v>
      </c>
      <c r="AD2078" s="19">
        <v>0</v>
      </c>
      <c r="AE2078" s="28"/>
      <c r="AF2078" s="28"/>
      <c r="AG2078" s="28"/>
      <c r="AH2078" s="28"/>
      <c r="AI2078" s="28"/>
      <c r="AJ2078" s="28">
        <f>362+2</f>
        <v>364</v>
      </c>
      <c r="AK2078" s="28"/>
      <c r="AL2078" s="28"/>
      <c r="AM2078" s="28"/>
      <c r="AN2078" s="28"/>
      <c r="AO2078" s="28"/>
      <c r="AP2078" s="28">
        <f>415+4</f>
        <v>419</v>
      </c>
      <c r="AQ2078" s="28"/>
      <c r="AR2078" s="28"/>
      <c r="AS2078" s="28"/>
      <c r="AT2078" s="28"/>
      <c r="AU2078" s="28"/>
      <c r="AV2078" s="28">
        <f>1+553</f>
        <v>554</v>
      </c>
      <c r="AW2078" s="28"/>
      <c r="AX2078" s="28"/>
      <c r="AY2078" s="28"/>
      <c r="AZ2078" s="28"/>
      <c r="BA2078" s="28"/>
      <c r="BB2078" s="28">
        <f>336+14</f>
        <v>350</v>
      </c>
      <c r="BC2078" s="229">
        <f t="shared" si="846"/>
        <v>0</v>
      </c>
      <c r="BD2078" s="48">
        <f t="shared" si="842"/>
        <v>1687</v>
      </c>
      <c r="BE2078" s="19">
        <v>2155</v>
      </c>
      <c r="BF2078" s="229">
        <f t="shared" si="847"/>
        <v>0</v>
      </c>
      <c r="BG2078" s="210">
        <f t="shared" si="843"/>
        <v>1687</v>
      </c>
      <c r="BH2078" s="210">
        <f t="shared" si="844"/>
        <v>2155</v>
      </c>
      <c r="BI2078" s="213">
        <f t="shared" si="848"/>
        <v>78.283062645011597</v>
      </c>
      <c r="BJ2078" s="141"/>
      <c r="BK2078" s="201"/>
      <c r="BL2078" s="4"/>
      <c r="BM2078" s="4"/>
    </row>
    <row r="2079" spans="1:65" s="38" customFormat="1" ht="18" customHeight="1">
      <c r="A2079" s="114">
        <v>113</v>
      </c>
      <c r="B2079" s="24" t="s">
        <v>782</v>
      </c>
      <c r="C2079" s="25" t="s">
        <v>783</v>
      </c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>
        <v>3</v>
      </c>
      <c r="AB2079" s="229">
        <f t="shared" si="845"/>
        <v>0</v>
      </c>
      <c r="AC2079" s="228">
        <f t="shared" si="841"/>
        <v>3</v>
      </c>
      <c r="AD2079" s="19">
        <v>0</v>
      </c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29">
        <f t="shared" si="846"/>
        <v>0</v>
      </c>
      <c r="BD2079" s="48">
        <f t="shared" si="842"/>
        <v>0</v>
      </c>
      <c r="BE2079" s="19">
        <v>1</v>
      </c>
      <c r="BF2079" s="229">
        <f t="shared" si="847"/>
        <v>0</v>
      </c>
      <c r="BG2079" s="210">
        <f t="shared" si="843"/>
        <v>3</v>
      </c>
      <c r="BH2079" s="210">
        <f t="shared" si="844"/>
        <v>1</v>
      </c>
      <c r="BI2079" s="213">
        <f t="shared" si="848"/>
        <v>300</v>
      </c>
      <c r="BJ2079" s="141"/>
      <c r="BK2079" s="201"/>
      <c r="BL2079" s="4"/>
      <c r="BM2079" s="4"/>
    </row>
    <row r="2080" spans="1:65" s="38" customFormat="1" ht="18" customHeight="1">
      <c r="A2080" s="114">
        <v>114</v>
      </c>
      <c r="B2080" s="24" t="s">
        <v>903</v>
      </c>
      <c r="C2080" s="25" t="s">
        <v>1165</v>
      </c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229">
        <f t="shared" si="845"/>
        <v>0</v>
      </c>
      <c r="AC2080" s="228">
        <f t="shared" si="841"/>
        <v>0</v>
      </c>
      <c r="AD2080" s="19">
        <v>0</v>
      </c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  <c r="AY2080" s="28"/>
      <c r="AZ2080" s="28"/>
      <c r="BA2080" s="28"/>
      <c r="BB2080" s="28"/>
      <c r="BC2080" s="229">
        <f t="shared" si="846"/>
        <v>0</v>
      </c>
      <c r="BD2080" s="48">
        <f t="shared" si="842"/>
        <v>0</v>
      </c>
      <c r="BE2080" s="19">
        <v>1782</v>
      </c>
      <c r="BF2080" s="229">
        <f t="shared" si="847"/>
        <v>0</v>
      </c>
      <c r="BG2080" s="210">
        <f t="shared" si="843"/>
        <v>0</v>
      </c>
      <c r="BH2080" s="210">
        <f t="shared" si="844"/>
        <v>1782</v>
      </c>
      <c r="BI2080" s="213">
        <f t="shared" si="848"/>
        <v>0</v>
      </c>
      <c r="BJ2080" s="141"/>
      <c r="BK2080" s="201"/>
      <c r="BL2080" s="4"/>
      <c r="BM2080" s="4"/>
    </row>
    <row r="2081" spans="1:65" s="38" customFormat="1" ht="18" customHeight="1">
      <c r="A2081" s="114">
        <v>115</v>
      </c>
      <c r="B2081" s="24" t="s">
        <v>659</v>
      </c>
      <c r="C2081" s="25" t="s">
        <v>660</v>
      </c>
      <c r="D2081" s="121"/>
      <c r="E2081" s="121"/>
      <c r="F2081" s="121"/>
      <c r="G2081" s="121"/>
      <c r="H2081" s="121"/>
      <c r="I2081" s="121">
        <v>2</v>
      </c>
      <c r="J2081" s="121"/>
      <c r="K2081" s="121"/>
      <c r="L2081" s="121"/>
      <c r="M2081" s="121"/>
      <c r="N2081" s="121"/>
      <c r="O2081" s="121">
        <v>5</v>
      </c>
      <c r="P2081" s="121"/>
      <c r="Q2081" s="121"/>
      <c r="R2081" s="121"/>
      <c r="S2081" s="121"/>
      <c r="T2081" s="121"/>
      <c r="U2081" s="121">
        <v>9</v>
      </c>
      <c r="V2081" s="121"/>
      <c r="W2081" s="121"/>
      <c r="X2081" s="121"/>
      <c r="Y2081" s="121"/>
      <c r="Z2081" s="121"/>
      <c r="AA2081" s="121">
        <v>6</v>
      </c>
      <c r="AB2081" s="229">
        <f t="shared" si="845"/>
        <v>0</v>
      </c>
      <c r="AC2081" s="228">
        <f t="shared" si="841"/>
        <v>22</v>
      </c>
      <c r="AD2081" s="19">
        <v>26</v>
      </c>
      <c r="AE2081" s="28"/>
      <c r="AF2081" s="28"/>
      <c r="AG2081" s="28"/>
      <c r="AH2081" s="28"/>
      <c r="AI2081" s="28"/>
      <c r="AJ2081" s="28">
        <f>1424+26</f>
        <v>1450</v>
      </c>
      <c r="AK2081" s="28"/>
      <c r="AL2081" s="28"/>
      <c r="AM2081" s="28"/>
      <c r="AN2081" s="28"/>
      <c r="AO2081" s="28"/>
      <c r="AP2081" s="28">
        <f>1334+20</f>
        <v>1354</v>
      </c>
      <c r="AQ2081" s="28"/>
      <c r="AR2081" s="28"/>
      <c r="AS2081" s="28"/>
      <c r="AT2081" s="28"/>
      <c r="AU2081" s="28"/>
      <c r="AV2081" s="28">
        <f>1+1374+34</f>
        <v>1409</v>
      </c>
      <c r="AW2081" s="28"/>
      <c r="AX2081" s="28"/>
      <c r="AY2081" s="28"/>
      <c r="AZ2081" s="28"/>
      <c r="BA2081" s="28"/>
      <c r="BB2081" s="28">
        <f>1281+17</f>
        <v>1298</v>
      </c>
      <c r="BC2081" s="229">
        <f t="shared" si="846"/>
        <v>0</v>
      </c>
      <c r="BD2081" s="48">
        <f t="shared" si="842"/>
        <v>5511</v>
      </c>
      <c r="BE2081" s="19">
        <v>5695</v>
      </c>
      <c r="BF2081" s="229">
        <f t="shared" si="847"/>
        <v>0</v>
      </c>
      <c r="BG2081" s="210">
        <f t="shared" si="843"/>
        <v>5533</v>
      </c>
      <c r="BH2081" s="210">
        <f t="shared" si="844"/>
        <v>5721</v>
      </c>
      <c r="BI2081" s="213">
        <f t="shared" si="848"/>
        <v>96.713861213074637</v>
      </c>
      <c r="BJ2081" s="141"/>
      <c r="BK2081" s="201"/>
      <c r="BL2081" s="4"/>
      <c r="BM2081" s="4"/>
    </row>
    <row r="2082" spans="1:65" s="38" customFormat="1" ht="21.95" customHeight="1">
      <c r="A2082" s="114">
        <v>116</v>
      </c>
      <c r="B2082" s="24" t="s">
        <v>661</v>
      </c>
      <c r="C2082" s="27" t="s">
        <v>743</v>
      </c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>
        <v>1</v>
      </c>
      <c r="P2082" s="121"/>
      <c r="Q2082" s="121"/>
      <c r="R2082" s="121"/>
      <c r="S2082" s="121"/>
      <c r="T2082" s="121"/>
      <c r="U2082" s="121">
        <v>2</v>
      </c>
      <c r="V2082" s="121"/>
      <c r="W2082" s="121"/>
      <c r="X2082" s="121"/>
      <c r="Y2082" s="121"/>
      <c r="Z2082" s="121"/>
      <c r="AA2082" s="121">
        <v>5</v>
      </c>
      <c r="AB2082" s="229">
        <f t="shared" si="845"/>
        <v>0</v>
      </c>
      <c r="AC2082" s="228">
        <f t="shared" si="841"/>
        <v>8</v>
      </c>
      <c r="AD2082" s="19">
        <v>59</v>
      </c>
      <c r="AE2082" s="28"/>
      <c r="AF2082" s="28"/>
      <c r="AG2082" s="28"/>
      <c r="AH2082" s="28"/>
      <c r="AI2082" s="28"/>
      <c r="AJ2082" s="28">
        <f>631+9</f>
        <v>640</v>
      </c>
      <c r="AK2082" s="28"/>
      <c r="AL2082" s="28"/>
      <c r="AM2082" s="28"/>
      <c r="AN2082" s="28"/>
      <c r="AO2082" s="28"/>
      <c r="AP2082" s="28">
        <f>466+11</f>
        <v>477</v>
      </c>
      <c r="AQ2082" s="28"/>
      <c r="AR2082" s="28"/>
      <c r="AS2082" s="28"/>
      <c r="AT2082" s="28"/>
      <c r="AU2082" s="28"/>
      <c r="AV2082" s="28">
        <f>2+734+35+23</f>
        <v>794</v>
      </c>
      <c r="AW2082" s="28"/>
      <c r="AX2082" s="28"/>
      <c r="AY2082" s="28"/>
      <c r="AZ2082" s="28"/>
      <c r="BA2082" s="28"/>
      <c r="BB2082" s="28">
        <f>870+1</f>
        <v>871</v>
      </c>
      <c r="BC2082" s="229">
        <f t="shared" si="846"/>
        <v>0</v>
      </c>
      <c r="BD2082" s="48">
        <f t="shared" si="842"/>
        <v>2782</v>
      </c>
      <c r="BE2082" s="19">
        <v>4298</v>
      </c>
      <c r="BF2082" s="229">
        <f t="shared" si="847"/>
        <v>0</v>
      </c>
      <c r="BG2082" s="210">
        <f t="shared" si="843"/>
        <v>2790</v>
      </c>
      <c r="BH2082" s="210">
        <f t="shared" si="844"/>
        <v>4357</v>
      </c>
      <c r="BI2082" s="213">
        <f t="shared" si="848"/>
        <v>64.034886389717698</v>
      </c>
      <c r="BJ2082" s="141"/>
      <c r="BK2082" s="201"/>
      <c r="BL2082" s="4"/>
      <c r="BM2082" s="4"/>
    </row>
    <row r="2083" spans="1:65" s="38" customFormat="1" ht="18" customHeight="1">
      <c r="A2083" s="114">
        <v>117</v>
      </c>
      <c r="B2083" s="24" t="s">
        <v>662</v>
      </c>
      <c r="C2083" s="25" t="s">
        <v>1096</v>
      </c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229"/>
      <c r="AC2083" s="228">
        <f t="shared" si="841"/>
        <v>0</v>
      </c>
      <c r="AD2083" s="19">
        <v>2</v>
      </c>
      <c r="AE2083" s="28"/>
      <c r="AF2083" s="28"/>
      <c r="AG2083" s="28"/>
      <c r="AH2083" s="28"/>
      <c r="AI2083" s="28"/>
      <c r="AJ2083" s="28">
        <v>436</v>
      </c>
      <c r="AK2083" s="28"/>
      <c r="AL2083" s="28"/>
      <c r="AM2083" s="28"/>
      <c r="AN2083" s="28"/>
      <c r="AO2083" s="28"/>
      <c r="AP2083" s="28">
        <v>434</v>
      </c>
      <c r="AQ2083" s="28"/>
      <c r="AR2083" s="28"/>
      <c r="AS2083" s="28"/>
      <c r="AT2083" s="28"/>
      <c r="AU2083" s="28"/>
      <c r="AV2083" s="28">
        <f>427+5</f>
        <v>432</v>
      </c>
      <c r="AW2083" s="28"/>
      <c r="AX2083" s="28"/>
      <c r="AY2083" s="28"/>
      <c r="AZ2083" s="28"/>
      <c r="BA2083" s="28"/>
      <c r="BB2083" s="28">
        <f>425+6</f>
        <v>431</v>
      </c>
      <c r="BC2083" s="229"/>
      <c r="BD2083" s="48">
        <f t="shared" si="842"/>
        <v>1733</v>
      </c>
      <c r="BE2083" s="19">
        <v>1849</v>
      </c>
      <c r="BF2083" s="229"/>
      <c r="BG2083" s="210">
        <f t="shared" si="843"/>
        <v>1733</v>
      </c>
      <c r="BH2083" s="210">
        <f t="shared" si="844"/>
        <v>1851</v>
      </c>
      <c r="BI2083" s="213">
        <f t="shared" si="848"/>
        <v>93.625067531064289</v>
      </c>
      <c r="BJ2083" s="141"/>
      <c r="BK2083" s="201"/>
      <c r="BL2083" s="4"/>
      <c r="BM2083" s="4"/>
    </row>
    <row r="2084" spans="1:65" s="38" customFormat="1" ht="21.95" customHeight="1">
      <c r="A2084" s="114">
        <v>118</v>
      </c>
      <c r="B2084" s="24" t="s">
        <v>664</v>
      </c>
      <c r="C2084" s="27" t="s">
        <v>1167</v>
      </c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229">
        <f t="shared" ref="AB2084:AB2089" si="849">D2084+F2084+H2084+J2084+L2084+N2084+P2084+R2084+T2084+V2084+X2084+Z2084</f>
        <v>0</v>
      </c>
      <c r="AC2084" s="228">
        <f t="shared" si="841"/>
        <v>0</v>
      </c>
      <c r="AD2084" s="19">
        <v>0</v>
      </c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28"/>
      <c r="BA2084" s="28"/>
      <c r="BB2084" s="28"/>
      <c r="BC2084" s="229">
        <f t="shared" ref="BC2084:BC2089" si="850">AE2084+AG2084+AI2084+AK2084+AM2084+AO2084+AQ2084+AS2084+AU2084+AW2084+AY2084+BA2084</f>
        <v>0</v>
      </c>
      <c r="BD2084" s="48">
        <f t="shared" si="842"/>
        <v>0</v>
      </c>
      <c r="BE2084" s="19">
        <v>1</v>
      </c>
      <c r="BF2084" s="229">
        <f t="shared" ref="BF2084:BF2089" si="851">AB2084+BC2084</f>
        <v>0</v>
      </c>
      <c r="BG2084" s="210">
        <f t="shared" si="843"/>
        <v>0</v>
      </c>
      <c r="BH2084" s="210">
        <f t="shared" si="844"/>
        <v>1</v>
      </c>
      <c r="BI2084" s="213">
        <f t="shared" si="848"/>
        <v>0</v>
      </c>
      <c r="BJ2084" s="141"/>
      <c r="BK2084" s="201"/>
      <c r="BL2084" s="4"/>
      <c r="BM2084" s="4"/>
    </row>
    <row r="2085" spans="1:65" s="38" customFormat="1" ht="18" customHeight="1">
      <c r="A2085" s="114">
        <v>119</v>
      </c>
      <c r="B2085" s="24" t="s">
        <v>1682</v>
      </c>
      <c r="C2085" s="25" t="s">
        <v>1683</v>
      </c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229">
        <f t="shared" si="849"/>
        <v>0</v>
      </c>
      <c r="AC2085" s="228">
        <f t="shared" si="841"/>
        <v>0</v>
      </c>
      <c r="AD2085" s="19">
        <v>0</v>
      </c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29">
        <f t="shared" si="850"/>
        <v>0</v>
      </c>
      <c r="BD2085" s="48">
        <f t="shared" si="842"/>
        <v>0</v>
      </c>
      <c r="BE2085" s="19">
        <v>1</v>
      </c>
      <c r="BF2085" s="229">
        <f t="shared" si="851"/>
        <v>0</v>
      </c>
      <c r="BG2085" s="210">
        <f t="shared" si="843"/>
        <v>0</v>
      </c>
      <c r="BH2085" s="210">
        <f t="shared" si="844"/>
        <v>1</v>
      </c>
      <c r="BI2085" s="213">
        <f t="shared" si="848"/>
        <v>0</v>
      </c>
      <c r="BJ2085" s="141"/>
      <c r="BK2085" s="201"/>
      <c r="BL2085" s="4"/>
      <c r="BM2085" s="4"/>
    </row>
    <row r="2086" spans="1:65" s="38" customFormat="1" ht="18" customHeight="1">
      <c r="A2086" s="114">
        <v>120</v>
      </c>
      <c r="B2086" s="24" t="s">
        <v>788</v>
      </c>
      <c r="C2086" s="25" t="s">
        <v>1172</v>
      </c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229">
        <f t="shared" si="849"/>
        <v>0</v>
      </c>
      <c r="AC2086" s="228">
        <f t="shared" si="841"/>
        <v>0</v>
      </c>
      <c r="AD2086" s="19">
        <v>0</v>
      </c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  <c r="AZ2086" s="28"/>
      <c r="BA2086" s="28"/>
      <c r="BB2086" s="28"/>
      <c r="BC2086" s="229">
        <f t="shared" si="850"/>
        <v>0</v>
      </c>
      <c r="BD2086" s="48">
        <f t="shared" si="842"/>
        <v>0</v>
      </c>
      <c r="BE2086" s="19">
        <v>1</v>
      </c>
      <c r="BF2086" s="229">
        <f t="shared" si="851"/>
        <v>0</v>
      </c>
      <c r="BG2086" s="210">
        <f t="shared" si="843"/>
        <v>0</v>
      </c>
      <c r="BH2086" s="210">
        <f t="shared" si="844"/>
        <v>1</v>
      </c>
      <c r="BI2086" s="213">
        <f t="shared" si="848"/>
        <v>0</v>
      </c>
      <c r="BJ2086" s="141"/>
      <c r="BK2086" s="201"/>
      <c r="BL2086" s="4"/>
      <c r="BM2086" s="4"/>
    </row>
    <row r="2087" spans="1:65" s="38" customFormat="1" ht="18" customHeight="1">
      <c r="A2087" s="114">
        <v>121</v>
      </c>
      <c r="B2087" s="24" t="s">
        <v>1174</v>
      </c>
      <c r="C2087" s="25" t="s">
        <v>2847</v>
      </c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229">
        <f t="shared" si="849"/>
        <v>0</v>
      </c>
      <c r="AC2087" s="228">
        <f t="shared" si="841"/>
        <v>0</v>
      </c>
      <c r="AD2087" s="19">
        <v>0</v>
      </c>
      <c r="AE2087" s="28"/>
      <c r="AF2087" s="28"/>
      <c r="AG2087" s="28"/>
      <c r="AH2087" s="28"/>
      <c r="AI2087" s="28"/>
      <c r="AJ2087" s="28">
        <v>11</v>
      </c>
      <c r="AK2087" s="28"/>
      <c r="AL2087" s="28"/>
      <c r="AM2087" s="28"/>
      <c r="AN2087" s="28"/>
      <c r="AO2087" s="28"/>
      <c r="AP2087" s="28">
        <f>156+9</f>
        <v>165</v>
      </c>
      <c r="AQ2087" s="28"/>
      <c r="AR2087" s="28"/>
      <c r="AS2087" s="28"/>
      <c r="AT2087" s="28"/>
      <c r="AU2087" s="28"/>
      <c r="AV2087" s="28">
        <f>245+3</f>
        <v>248</v>
      </c>
      <c r="AW2087" s="28"/>
      <c r="AX2087" s="28"/>
      <c r="AY2087" s="28"/>
      <c r="AZ2087" s="28"/>
      <c r="BA2087" s="28"/>
      <c r="BB2087" s="28">
        <v>4</v>
      </c>
      <c r="BC2087" s="229">
        <f t="shared" si="850"/>
        <v>0</v>
      </c>
      <c r="BD2087" s="48">
        <f t="shared" si="842"/>
        <v>428</v>
      </c>
      <c r="BE2087" s="19">
        <v>0</v>
      </c>
      <c r="BF2087" s="229">
        <f t="shared" si="851"/>
        <v>0</v>
      </c>
      <c r="BG2087" s="210">
        <f t="shared" si="843"/>
        <v>428</v>
      </c>
      <c r="BH2087" s="210">
        <f t="shared" si="844"/>
        <v>0</v>
      </c>
      <c r="BI2087" s="213" t="e">
        <f t="shared" si="848"/>
        <v>#DIV/0!</v>
      </c>
      <c r="BJ2087" s="141"/>
      <c r="BK2087" s="201"/>
      <c r="BL2087" s="4"/>
      <c r="BM2087" s="4"/>
    </row>
    <row r="2088" spans="1:65" s="38" customFormat="1" ht="21.95" customHeight="1">
      <c r="A2088" s="114">
        <v>122</v>
      </c>
      <c r="B2088" s="24" t="s">
        <v>790</v>
      </c>
      <c r="C2088" s="27" t="s">
        <v>2431</v>
      </c>
      <c r="D2088" s="121"/>
      <c r="E2088" s="121"/>
      <c r="F2088" s="121"/>
      <c r="G2088" s="121"/>
      <c r="H2088" s="121"/>
      <c r="I2088" s="121">
        <v>3</v>
      </c>
      <c r="J2088" s="121"/>
      <c r="K2088" s="121"/>
      <c r="L2088" s="121"/>
      <c r="M2088" s="121"/>
      <c r="N2088" s="121"/>
      <c r="O2088" s="121">
        <v>3</v>
      </c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229">
        <f t="shared" si="849"/>
        <v>0</v>
      </c>
      <c r="AC2088" s="228">
        <f t="shared" si="841"/>
        <v>6</v>
      </c>
      <c r="AD2088" s="19">
        <v>12</v>
      </c>
      <c r="AE2088" s="28"/>
      <c r="AF2088" s="28"/>
      <c r="AG2088" s="28"/>
      <c r="AH2088" s="28"/>
      <c r="AI2088" s="28"/>
      <c r="AJ2088" s="28">
        <f>1791+131</f>
        <v>1922</v>
      </c>
      <c r="AK2088" s="28"/>
      <c r="AL2088" s="28"/>
      <c r="AM2088" s="28"/>
      <c r="AN2088" s="28"/>
      <c r="AO2088" s="28"/>
      <c r="AP2088" s="28">
        <f>1700+130</f>
        <v>1830</v>
      </c>
      <c r="AQ2088" s="28"/>
      <c r="AR2088" s="28"/>
      <c r="AS2088" s="28"/>
      <c r="AT2088" s="28"/>
      <c r="AU2088" s="28"/>
      <c r="AV2088" s="28">
        <f>1826+120</f>
        <v>1946</v>
      </c>
      <c r="AW2088" s="28"/>
      <c r="AX2088" s="28"/>
      <c r="AY2088" s="28"/>
      <c r="AZ2088" s="28"/>
      <c r="BA2088" s="28"/>
      <c r="BB2088" s="28">
        <f>2227+117</f>
        <v>2344</v>
      </c>
      <c r="BC2088" s="229">
        <f t="shared" si="850"/>
        <v>0</v>
      </c>
      <c r="BD2088" s="48">
        <f t="shared" si="842"/>
        <v>8042</v>
      </c>
      <c r="BE2088" s="19">
        <v>9398</v>
      </c>
      <c r="BF2088" s="229">
        <f t="shared" si="851"/>
        <v>0</v>
      </c>
      <c r="BG2088" s="210">
        <f t="shared" si="843"/>
        <v>8048</v>
      </c>
      <c r="BH2088" s="210">
        <f t="shared" si="844"/>
        <v>9410</v>
      </c>
      <c r="BI2088" s="213">
        <f t="shared" si="848"/>
        <v>85.526036131774703</v>
      </c>
      <c r="BJ2088" s="141"/>
      <c r="BK2088" s="201"/>
      <c r="BL2088" s="4"/>
      <c r="BM2088" s="4"/>
    </row>
    <row r="2089" spans="1:65" s="38" customFormat="1" ht="18" customHeight="1">
      <c r="A2089" s="114">
        <v>123</v>
      </c>
      <c r="B2089" s="156" t="s">
        <v>1788</v>
      </c>
      <c r="C2089" s="159" t="s">
        <v>1789</v>
      </c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>
        <v>130</v>
      </c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229">
        <f t="shared" si="849"/>
        <v>0</v>
      </c>
      <c r="AC2089" s="228">
        <f t="shared" si="841"/>
        <v>130</v>
      </c>
      <c r="AD2089" s="19">
        <v>1</v>
      </c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>
        <v>4</v>
      </c>
      <c r="AW2089" s="28"/>
      <c r="AX2089" s="28"/>
      <c r="AY2089" s="28"/>
      <c r="AZ2089" s="28"/>
      <c r="BA2089" s="28"/>
      <c r="BB2089" s="28"/>
      <c r="BC2089" s="229">
        <f t="shared" si="850"/>
        <v>0</v>
      </c>
      <c r="BD2089" s="48">
        <f t="shared" si="842"/>
        <v>4</v>
      </c>
      <c r="BE2089" s="19">
        <v>0</v>
      </c>
      <c r="BF2089" s="229">
        <f t="shared" si="851"/>
        <v>0</v>
      </c>
      <c r="BG2089" s="210">
        <f t="shared" si="843"/>
        <v>134</v>
      </c>
      <c r="BH2089" s="210">
        <f t="shared" si="844"/>
        <v>1</v>
      </c>
      <c r="BI2089" s="313">
        <f t="shared" si="848"/>
        <v>13400</v>
      </c>
      <c r="BJ2089" s="269" t="s">
        <v>2856</v>
      </c>
      <c r="BK2089" s="201"/>
      <c r="BL2089" s="4"/>
      <c r="BM2089" s="4"/>
    </row>
    <row r="2090" spans="1:65" s="38" customFormat="1" ht="21.95" customHeight="1">
      <c r="A2090" s="375" t="s">
        <v>2769</v>
      </c>
      <c r="B2090" s="375"/>
      <c r="C2090" s="375"/>
      <c r="D2090" s="220">
        <f t="shared" ref="D2090:AA2090" si="852">SUM(D2091:D2126)</f>
        <v>0</v>
      </c>
      <c r="E2090" s="220">
        <f t="shared" si="852"/>
        <v>0</v>
      </c>
      <c r="F2090" s="220">
        <f t="shared" si="852"/>
        <v>0</v>
      </c>
      <c r="G2090" s="220">
        <f t="shared" si="852"/>
        <v>0</v>
      </c>
      <c r="H2090" s="220">
        <f t="shared" si="852"/>
        <v>0</v>
      </c>
      <c r="I2090" s="220">
        <f t="shared" si="852"/>
        <v>1786</v>
      </c>
      <c r="J2090" s="220">
        <f t="shared" si="852"/>
        <v>0</v>
      </c>
      <c r="K2090" s="220">
        <f t="shared" si="852"/>
        <v>0</v>
      </c>
      <c r="L2090" s="220">
        <f t="shared" si="852"/>
        <v>0</v>
      </c>
      <c r="M2090" s="220">
        <f t="shared" si="852"/>
        <v>0</v>
      </c>
      <c r="N2090" s="220">
        <f t="shared" si="852"/>
        <v>0</v>
      </c>
      <c r="O2090" s="220">
        <f t="shared" si="852"/>
        <v>1728</v>
      </c>
      <c r="P2090" s="220">
        <f t="shared" si="852"/>
        <v>0</v>
      </c>
      <c r="Q2090" s="220">
        <f t="shared" si="852"/>
        <v>0</v>
      </c>
      <c r="R2090" s="220">
        <f t="shared" si="852"/>
        <v>0</v>
      </c>
      <c r="S2090" s="220">
        <f t="shared" si="852"/>
        <v>0</v>
      </c>
      <c r="T2090" s="220">
        <f t="shared" si="852"/>
        <v>0</v>
      </c>
      <c r="U2090" s="220">
        <f t="shared" si="852"/>
        <v>4179</v>
      </c>
      <c r="V2090" s="220">
        <f t="shared" si="852"/>
        <v>0</v>
      </c>
      <c r="W2090" s="220">
        <f t="shared" si="852"/>
        <v>0</v>
      </c>
      <c r="X2090" s="220">
        <f t="shared" si="852"/>
        <v>0</v>
      </c>
      <c r="Y2090" s="220">
        <f t="shared" si="852"/>
        <v>0</v>
      </c>
      <c r="Z2090" s="220">
        <f t="shared" si="852"/>
        <v>0</v>
      </c>
      <c r="AA2090" s="220">
        <f t="shared" si="852"/>
        <v>0</v>
      </c>
      <c r="AB2090" s="220">
        <f t="shared" ref="AB2090:AB2127" si="853">D2090+F2090+H2090+J2090+L2090+N2090+P2090+R2090+T2090+V2090+X2090+Z2090</f>
        <v>0</v>
      </c>
      <c r="AC2090" s="220">
        <f t="shared" ref="AC2090:AC2127" si="854">E2090+G2090+I2090+K2090+M2090+O2090+Q2090+S2090+U2090+W2090+Y2090+AA2090</f>
        <v>7693</v>
      </c>
      <c r="AD2090" s="274">
        <f t="shared" ref="AD2090:BB2090" si="855">SUM(AD2091:AD2126)</f>
        <v>8607</v>
      </c>
      <c r="AE2090" s="210">
        <f t="shared" si="855"/>
        <v>0</v>
      </c>
      <c r="AF2090" s="210">
        <f t="shared" si="855"/>
        <v>0</v>
      </c>
      <c r="AG2090" s="210">
        <f t="shared" si="855"/>
        <v>0</v>
      </c>
      <c r="AH2090" s="210">
        <f t="shared" si="855"/>
        <v>0</v>
      </c>
      <c r="AI2090" s="210">
        <f t="shared" si="855"/>
        <v>0</v>
      </c>
      <c r="AJ2090" s="210">
        <f t="shared" si="855"/>
        <v>5686</v>
      </c>
      <c r="AK2090" s="210">
        <f t="shared" si="855"/>
        <v>0</v>
      </c>
      <c r="AL2090" s="210">
        <f t="shared" si="855"/>
        <v>0</v>
      </c>
      <c r="AM2090" s="210">
        <f t="shared" si="855"/>
        <v>0</v>
      </c>
      <c r="AN2090" s="210">
        <f t="shared" si="855"/>
        <v>0</v>
      </c>
      <c r="AO2090" s="210">
        <f t="shared" si="855"/>
        <v>0</v>
      </c>
      <c r="AP2090" s="210">
        <f t="shared" si="855"/>
        <v>5369</v>
      </c>
      <c r="AQ2090" s="210">
        <f t="shared" si="855"/>
        <v>0</v>
      </c>
      <c r="AR2090" s="210">
        <f t="shared" si="855"/>
        <v>0</v>
      </c>
      <c r="AS2090" s="210">
        <f t="shared" si="855"/>
        <v>0</v>
      </c>
      <c r="AT2090" s="210">
        <f t="shared" si="855"/>
        <v>0</v>
      </c>
      <c r="AU2090" s="210">
        <f t="shared" si="855"/>
        <v>0</v>
      </c>
      <c r="AV2090" s="210">
        <f t="shared" si="855"/>
        <v>6339</v>
      </c>
      <c r="AW2090" s="210">
        <f t="shared" si="855"/>
        <v>0</v>
      </c>
      <c r="AX2090" s="210">
        <f t="shared" si="855"/>
        <v>0</v>
      </c>
      <c r="AY2090" s="210">
        <f t="shared" si="855"/>
        <v>0</v>
      </c>
      <c r="AZ2090" s="210">
        <f t="shared" si="855"/>
        <v>0</v>
      </c>
      <c r="BA2090" s="210">
        <f t="shared" si="855"/>
        <v>0</v>
      </c>
      <c r="BB2090" s="210">
        <f t="shared" si="855"/>
        <v>6333</v>
      </c>
      <c r="BC2090" s="220">
        <f t="shared" ref="BC2090:BC2127" si="856">AE2090+AG2090+AI2090+AK2090+AM2090+AO2090+AQ2090+AS2090+AU2090+AW2090+AY2090+BA2090</f>
        <v>0</v>
      </c>
      <c r="BD2090" s="210">
        <f t="shared" ref="BD2090:BD2127" si="857">AF2090+AH2090+AJ2090+AL2090+AN2090+AP2090+AR2090+AT2090+AV2090+AX2090+AZ2090+BB2090</f>
        <v>23727</v>
      </c>
      <c r="BE2090" s="210">
        <f>SUM(BE2091:BE2126)</f>
        <v>26805</v>
      </c>
      <c r="BF2090" s="220">
        <f t="shared" ref="BF2090:BF2127" si="858">AB2090+BC2090</f>
        <v>0</v>
      </c>
      <c r="BG2090" s="210">
        <f t="shared" ref="BG2090:BG2127" si="859">AC2090+BD2090</f>
        <v>31420</v>
      </c>
      <c r="BH2090" s="210">
        <f t="shared" ref="BH2090" si="860">AD2090+BE2090</f>
        <v>35412</v>
      </c>
      <c r="BI2090" s="213">
        <f t="shared" ref="BI2090" si="861">BG2090/BH2090*100</f>
        <v>88.726985202756126</v>
      </c>
      <c r="BJ2090" s="140">
        <v>35412</v>
      </c>
      <c r="BK2090" s="203">
        <f>BJ2090-BH2090</f>
        <v>0</v>
      </c>
      <c r="BL2090" s="198">
        <v>41630</v>
      </c>
      <c r="BM2090" s="199">
        <f>BG2090-BL2090</f>
        <v>-10210</v>
      </c>
    </row>
    <row r="2091" spans="1:65" s="38" customFormat="1" ht="21.95" customHeight="1">
      <c r="A2091" s="114">
        <v>1</v>
      </c>
      <c r="B2091" s="24" t="s">
        <v>705</v>
      </c>
      <c r="C2091" s="27" t="s">
        <v>706</v>
      </c>
      <c r="D2091" s="121"/>
      <c r="E2091" s="121"/>
      <c r="F2091" s="121"/>
      <c r="G2091" s="121"/>
      <c r="H2091" s="121"/>
      <c r="I2091" s="121">
        <v>36</v>
      </c>
      <c r="J2091" s="121"/>
      <c r="K2091" s="121"/>
      <c r="L2091" s="121"/>
      <c r="M2091" s="121"/>
      <c r="N2091" s="121"/>
      <c r="O2091" s="121">
        <v>63</v>
      </c>
      <c r="P2091" s="121"/>
      <c r="Q2091" s="121"/>
      <c r="R2091" s="121"/>
      <c r="S2091" s="121"/>
      <c r="T2091" s="121"/>
      <c r="U2091" s="121">
        <f>65+70+70</f>
        <v>205</v>
      </c>
      <c r="V2091" s="121"/>
      <c r="W2091" s="121"/>
      <c r="X2091" s="121"/>
      <c r="Y2091" s="121"/>
      <c r="Z2091" s="121"/>
      <c r="AA2091" s="121"/>
      <c r="AB2091" s="229">
        <f t="shared" ref="AB2091:AB2126" si="862">D2091+F2091+H2091+J2091+L2091+N2091+P2091+R2091+T2091+V2091+X2091+Z2091</f>
        <v>0</v>
      </c>
      <c r="AC2091" s="228">
        <f t="shared" si="854"/>
        <v>304</v>
      </c>
      <c r="AD2091" s="19">
        <v>322</v>
      </c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  <c r="AZ2091" s="28"/>
      <c r="BA2091" s="28"/>
      <c r="BB2091" s="28"/>
      <c r="BC2091" s="229">
        <f t="shared" ref="BC2091:BC2126" si="863">AE2091+AG2091+AI2091+AK2091+AM2091+AO2091+AQ2091+AS2091+AU2091+AW2091+AY2091+BA2091</f>
        <v>0</v>
      </c>
      <c r="BD2091" s="48">
        <f t="shared" si="857"/>
        <v>0</v>
      </c>
      <c r="BE2091" s="19">
        <v>0</v>
      </c>
      <c r="BF2091" s="229">
        <f t="shared" ref="BF2091:BF2126" si="864">AB2091+BC2091</f>
        <v>0</v>
      </c>
      <c r="BG2091" s="210">
        <f t="shared" si="859"/>
        <v>304</v>
      </c>
      <c r="BH2091" s="210">
        <f t="shared" ref="BH2091:BH2126" si="865">AD2091+BE2091</f>
        <v>322</v>
      </c>
      <c r="BI2091" s="213">
        <f t="shared" ref="BI2091:BI2126" si="866">BG2091/BH2091*100</f>
        <v>94.409937888198755</v>
      </c>
      <c r="BJ2091" s="270" t="s">
        <v>2857</v>
      </c>
      <c r="BK2091" s="201"/>
      <c r="BL2091" s="4"/>
      <c r="BM2091" s="4"/>
    </row>
    <row r="2092" spans="1:65" s="38" customFormat="1" ht="18" customHeight="1">
      <c r="A2092" s="114">
        <v>2</v>
      </c>
      <c r="B2092" s="24" t="s">
        <v>937</v>
      </c>
      <c r="C2092" s="25" t="s">
        <v>938</v>
      </c>
      <c r="D2092" s="121"/>
      <c r="E2092" s="121"/>
      <c r="F2092" s="121"/>
      <c r="G2092" s="121"/>
      <c r="H2092" s="121"/>
      <c r="I2092" s="121">
        <v>311</v>
      </c>
      <c r="J2092" s="121"/>
      <c r="K2092" s="121"/>
      <c r="L2092" s="121"/>
      <c r="M2092" s="121"/>
      <c r="N2092" s="121"/>
      <c r="O2092" s="121">
        <v>327</v>
      </c>
      <c r="P2092" s="121"/>
      <c r="Q2092" s="121"/>
      <c r="R2092" s="121"/>
      <c r="S2092" s="121"/>
      <c r="T2092" s="121"/>
      <c r="U2092" s="121">
        <f>361+344</f>
        <v>705</v>
      </c>
      <c r="V2092" s="121"/>
      <c r="W2092" s="121"/>
      <c r="X2092" s="121"/>
      <c r="Y2092" s="121"/>
      <c r="Z2092" s="121"/>
      <c r="AA2092" s="121"/>
      <c r="AB2092" s="229">
        <f t="shared" si="862"/>
        <v>0</v>
      </c>
      <c r="AC2092" s="228">
        <f t="shared" si="854"/>
        <v>1343</v>
      </c>
      <c r="AD2092" s="19">
        <v>1498</v>
      </c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  <c r="AZ2092" s="28"/>
      <c r="BA2092" s="28"/>
      <c r="BB2092" s="28"/>
      <c r="BC2092" s="229">
        <f t="shared" si="863"/>
        <v>0</v>
      </c>
      <c r="BD2092" s="48">
        <f t="shared" si="857"/>
        <v>0</v>
      </c>
      <c r="BE2092" s="19">
        <v>0</v>
      </c>
      <c r="BF2092" s="229">
        <f t="shared" si="864"/>
        <v>0</v>
      </c>
      <c r="BG2092" s="210">
        <f t="shared" si="859"/>
        <v>1343</v>
      </c>
      <c r="BH2092" s="210">
        <f t="shared" si="865"/>
        <v>1498</v>
      </c>
      <c r="BI2092" s="213">
        <f t="shared" si="866"/>
        <v>89.652870493991983</v>
      </c>
      <c r="BJ2092" s="270" t="s">
        <v>2857</v>
      </c>
      <c r="BK2092" s="201"/>
      <c r="BL2092" s="4"/>
      <c r="BM2092" s="4"/>
    </row>
    <row r="2093" spans="1:65" s="38" customFormat="1" ht="18" customHeight="1">
      <c r="A2093" s="114">
        <v>3</v>
      </c>
      <c r="B2093" s="24" t="s">
        <v>1468</v>
      </c>
      <c r="C2093" s="25" t="s">
        <v>1471</v>
      </c>
      <c r="D2093" s="121"/>
      <c r="E2093" s="121"/>
      <c r="F2093" s="121"/>
      <c r="G2093" s="121"/>
      <c r="H2093" s="121"/>
      <c r="I2093" s="121">
        <v>1439</v>
      </c>
      <c r="J2093" s="121"/>
      <c r="K2093" s="121"/>
      <c r="L2093" s="121"/>
      <c r="M2093" s="121"/>
      <c r="N2093" s="121"/>
      <c r="O2093" s="121">
        <v>1338</v>
      </c>
      <c r="P2093" s="121"/>
      <c r="Q2093" s="121"/>
      <c r="R2093" s="121"/>
      <c r="S2093" s="121"/>
      <c r="T2093" s="121"/>
      <c r="U2093" s="121">
        <f>1657+1612</f>
        <v>3269</v>
      </c>
      <c r="V2093" s="121"/>
      <c r="W2093" s="121"/>
      <c r="X2093" s="121"/>
      <c r="Y2093" s="121"/>
      <c r="Z2093" s="121"/>
      <c r="AA2093" s="121"/>
      <c r="AB2093" s="229">
        <f t="shared" si="862"/>
        <v>0</v>
      </c>
      <c r="AC2093" s="228">
        <f t="shared" si="854"/>
        <v>6046</v>
      </c>
      <c r="AD2093" s="19">
        <v>6785</v>
      </c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  <c r="AZ2093" s="28"/>
      <c r="BA2093" s="28"/>
      <c r="BB2093" s="28"/>
      <c r="BC2093" s="229">
        <f t="shared" si="863"/>
        <v>0</v>
      </c>
      <c r="BD2093" s="48">
        <f t="shared" si="857"/>
        <v>0</v>
      </c>
      <c r="BE2093" s="19">
        <v>0</v>
      </c>
      <c r="BF2093" s="229">
        <f t="shared" si="864"/>
        <v>0</v>
      </c>
      <c r="BG2093" s="210">
        <f t="shared" si="859"/>
        <v>6046</v>
      </c>
      <c r="BH2093" s="210">
        <f t="shared" si="865"/>
        <v>6785</v>
      </c>
      <c r="BI2093" s="213">
        <f t="shared" si="866"/>
        <v>89.108327192336034</v>
      </c>
      <c r="BJ2093" s="270" t="s">
        <v>2857</v>
      </c>
      <c r="BK2093" s="201"/>
      <c r="BL2093" s="4"/>
      <c r="BM2093" s="4"/>
    </row>
    <row r="2094" spans="1:65" s="38" customFormat="1" ht="18" customHeight="1">
      <c r="A2094" s="114">
        <v>4</v>
      </c>
      <c r="B2094" s="24" t="s">
        <v>1708</v>
      </c>
      <c r="C2094" s="25" t="s">
        <v>1709</v>
      </c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229">
        <f t="shared" si="862"/>
        <v>0</v>
      </c>
      <c r="AC2094" s="228">
        <f t="shared" si="854"/>
        <v>0</v>
      </c>
      <c r="AD2094" s="19">
        <v>0</v>
      </c>
      <c r="AE2094" s="28"/>
      <c r="AF2094" s="28"/>
      <c r="AG2094" s="28"/>
      <c r="AH2094" s="28"/>
      <c r="AI2094" s="28"/>
      <c r="AJ2094" s="28">
        <v>303</v>
      </c>
      <c r="AK2094" s="28"/>
      <c r="AL2094" s="28"/>
      <c r="AM2094" s="28"/>
      <c r="AN2094" s="28"/>
      <c r="AO2094" s="28"/>
      <c r="AP2094" s="28">
        <v>351</v>
      </c>
      <c r="AQ2094" s="28"/>
      <c r="AR2094" s="28"/>
      <c r="AS2094" s="28"/>
      <c r="AT2094" s="28"/>
      <c r="AU2094" s="28"/>
      <c r="AV2094" s="28">
        <v>381</v>
      </c>
      <c r="AW2094" s="28"/>
      <c r="AX2094" s="28"/>
      <c r="AY2094" s="28"/>
      <c r="AZ2094" s="28"/>
      <c r="BA2094" s="28"/>
      <c r="BB2094" s="28">
        <v>373</v>
      </c>
      <c r="BC2094" s="229">
        <f t="shared" si="863"/>
        <v>0</v>
      </c>
      <c r="BD2094" s="48">
        <f t="shared" si="857"/>
        <v>1408</v>
      </c>
      <c r="BE2094" s="19">
        <v>752</v>
      </c>
      <c r="BF2094" s="229">
        <f t="shared" si="864"/>
        <v>0</v>
      </c>
      <c r="BG2094" s="210">
        <f t="shared" si="859"/>
        <v>1408</v>
      </c>
      <c r="BH2094" s="210">
        <f t="shared" si="865"/>
        <v>752</v>
      </c>
      <c r="BI2094" s="213">
        <f t="shared" si="866"/>
        <v>187.2340425531915</v>
      </c>
      <c r="BJ2094" s="141"/>
      <c r="BK2094" s="201"/>
      <c r="BL2094" s="4"/>
      <c r="BM2094" s="4"/>
    </row>
    <row r="2095" spans="1:65" s="38" customFormat="1" ht="18" customHeight="1">
      <c r="A2095" s="114">
        <v>5</v>
      </c>
      <c r="B2095" s="24" t="s">
        <v>551</v>
      </c>
      <c r="C2095" s="25" t="s">
        <v>552</v>
      </c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229">
        <f t="shared" si="862"/>
        <v>0</v>
      </c>
      <c r="AC2095" s="228">
        <f t="shared" si="854"/>
        <v>0</v>
      </c>
      <c r="AD2095" s="19">
        <v>0</v>
      </c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  <c r="AZ2095" s="28"/>
      <c r="BA2095" s="28"/>
      <c r="BB2095" s="28"/>
      <c r="BC2095" s="229">
        <f t="shared" si="863"/>
        <v>0</v>
      </c>
      <c r="BD2095" s="48">
        <f t="shared" si="857"/>
        <v>0</v>
      </c>
      <c r="BE2095" s="19">
        <v>1</v>
      </c>
      <c r="BF2095" s="229">
        <f t="shared" si="864"/>
        <v>0</v>
      </c>
      <c r="BG2095" s="210">
        <f t="shared" si="859"/>
        <v>0</v>
      </c>
      <c r="BH2095" s="210">
        <f t="shared" si="865"/>
        <v>1</v>
      </c>
      <c r="BI2095" s="213">
        <f t="shared" si="866"/>
        <v>0</v>
      </c>
      <c r="BJ2095" s="141"/>
      <c r="BK2095" s="201"/>
      <c r="BL2095" s="4"/>
      <c r="BM2095" s="4"/>
    </row>
    <row r="2096" spans="1:65" s="38" customFormat="1" ht="18" customHeight="1">
      <c r="A2096" s="114">
        <v>6</v>
      </c>
      <c r="B2096" s="24" t="s">
        <v>672</v>
      </c>
      <c r="C2096" s="25" t="s">
        <v>673</v>
      </c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229">
        <f t="shared" si="862"/>
        <v>0</v>
      </c>
      <c r="AC2096" s="228">
        <f t="shared" si="854"/>
        <v>0</v>
      </c>
      <c r="AD2096" s="19">
        <v>0</v>
      </c>
      <c r="AE2096" s="28"/>
      <c r="AF2096" s="28"/>
      <c r="AG2096" s="28"/>
      <c r="AH2096" s="28"/>
      <c r="AI2096" s="28"/>
      <c r="AJ2096" s="28">
        <v>4</v>
      </c>
      <c r="AK2096" s="28"/>
      <c r="AL2096" s="28"/>
      <c r="AM2096" s="28"/>
      <c r="AN2096" s="28"/>
      <c r="AO2096" s="28"/>
      <c r="AP2096" s="28">
        <v>4</v>
      </c>
      <c r="AQ2096" s="28"/>
      <c r="AR2096" s="28"/>
      <c r="AS2096" s="28"/>
      <c r="AT2096" s="28"/>
      <c r="AU2096" s="28"/>
      <c r="AV2096" s="28">
        <v>1</v>
      </c>
      <c r="AW2096" s="28"/>
      <c r="AX2096" s="28"/>
      <c r="AY2096" s="28"/>
      <c r="AZ2096" s="28"/>
      <c r="BA2096" s="28"/>
      <c r="BB2096" s="28">
        <v>4</v>
      </c>
      <c r="BC2096" s="229">
        <f t="shared" si="863"/>
        <v>0</v>
      </c>
      <c r="BD2096" s="48">
        <f t="shared" si="857"/>
        <v>13</v>
      </c>
      <c r="BE2096" s="19">
        <v>18</v>
      </c>
      <c r="BF2096" s="229">
        <f t="shared" si="864"/>
        <v>0</v>
      </c>
      <c r="BG2096" s="210">
        <f t="shared" si="859"/>
        <v>13</v>
      </c>
      <c r="BH2096" s="210">
        <f t="shared" si="865"/>
        <v>18</v>
      </c>
      <c r="BI2096" s="213">
        <f t="shared" si="866"/>
        <v>72.222222222222214</v>
      </c>
      <c r="BJ2096" s="141"/>
      <c r="BK2096" s="201"/>
      <c r="BL2096" s="4"/>
      <c r="BM2096" s="4"/>
    </row>
    <row r="2097" spans="1:65" s="38" customFormat="1" ht="18" customHeight="1">
      <c r="A2097" s="114">
        <v>7</v>
      </c>
      <c r="B2097" s="24" t="s">
        <v>1737</v>
      </c>
      <c r="C2097" s="25" t="s">
        <v>1738</v>
      </c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229">
        <f t="shared" si="862"/>
        <v>0</v>
      </c>
      <c r="AC2097" s="228">
        <f t="shared" si="854"/>
        <v>0</v>
      </c>
      <c r="AD2097" s="19">
        <v>0</v>
      </c>
      <c r="AE2097" s="28"/>
      <c r="AF2097" s="28"/>
      <c r="AG2097" s="28"/>
      <c r="AH2097" s="28"/>
      <c r="AI2097" s="28"/>
      <c r="AJ2097" s="28">
        <v>118</v>
      </c>
      <c r="AK2097" s="28"/>
      <c r="AL2097" s="28"/>
      <c r="AM2097" s="28"/>
      <c r="AN2097" s="28"/>
      <c r="AO2097" s="28"/>
      <c r="AP2097" s="28">
        <v>42</v>
      </c>
      <c r="AQ2097" s="28"/>
      <c r="AR2097" s="28"/>
      <c r="AS2097" s="28"/>
      <c r="AT2097" s="28"/>
      <c r="AU2097" s="28"/>
      <c r="AV2097" s="28">
        <v>85</v>
      </c>
      <c r="AW2097" s="28"/>
      <c r="AX2097" s="28"/>
      <c r="AY2097" s="28"/>
      <c r="AZ2097" s="28"/>
      <c r="BA2097" s="28"/>
      <c r="BB2097" s="28">
        <v>117</v>
      </c>
      <c r="BC2097" s="229">
        <f t="shared" si="863"/>
        <v>0</v>
      </c>
      <c r="BD2097" s="48">
        <f t="shared" si="857"/>
        <v>362</v>
      </c>
      <c r="BE2097" s="19">
        <v>505</v>
      </c>
      <c r="BF2097" s="229">
        <f t="shared" si="864"/>
        <v>0</v>
      </c>
      <c r="BG2097" s="210">
        <f t="shared" si="859"/>
        <v>362</v>
      </c>
      <c r="BH2097" s="210">
        <f t="shared" si="865"/>
        <v>505</v>
      </c>
      <c r="BI2097" s="213">
        <f t="shared" si="866"/>
        <v>71.683168316831683</v>
      </c>
      <c r="BJ2097" s="141"/>
      <c r="BK2097" s="201"/>
      <c r="BL2097" s="4"/>
      <c r="BM2097" s="4"/>
    </row>
    <row r="2098" spans="1:65" s="38" customFormat="1" ht="18" customHeight="1">
      <c r="A2098" s="114">
        <v>8</v>
      </c>
      <c r="B2098" s="24" t="s">
        <v>2120</v>
      </c>
      <c r="C2098" s="25" t="s">
        <v>2121</v>
      </c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229">
        <f t="shared" si="862"/>
        <v>0</v>
      </c>
      <c r="AC2098" s="228">
        <f t="shared" si="854"/>
        <v>0</v>
      </c>
      <c r="AD2098" s="19">
        <v>0</v>
      </c>
      <c r="AE2098" s="28"/>
      <c r="AF2098" s="28"/>
      <c r="AG2098" s="28"/>
      <c r="AH2098" s="28"/>
      <c r="AI2098" s="28"/>
      <c r="AJ2098" s="28">
        <v>18</v>
      </c>
      <c r="AK2098" s="28"/>
      <c r="AL2098" s="28"/>
      <c r="AM2098" s="28"/>
      <c r="AN2098" s="28"/>
      <c r="AO2098" s="28"/>
      <c r="AP2098" s="28">
        <v>2</v>
      </c>
      <c r="AQ2098" s="28"/>
      <c r="AR2098" s="28"/>
      <c r="AS2098" s="28"/>
      <c r="AT2098" s="28"/>
      <c r="AU2098" s="28"/>
      <c r="AV2098" s="28">
        <v>9</v>
      </c>
      <c r="AW2098" s="28"/>
      <c r="AX2098" s="28"/>
      <c r="AY2098" s="28"/>
      <c r="AZ2098" s="28"/>
      <c r="BA2098" s="28"/>
      <c r="BB2098" s="28">
        <v>7</v>
      </c>
      <c r="BC2098" s="229">
        <f t="shared" si="863"/>
        <v>0</v>
      </c>
      <c r="BD2098" s="48">
        <f t="shared" si="857"/>
        <v>36</v>
      </c>
      <c r="BE2098" s="19">
        <v>33</v>
      </c>
      <c r="BF2098" s="229">
        <f t="shared" si="864"/>
        <v>0</v>
      </c>
      <c r="BG2098" s="210">
        <f t="shared" si="859"/>
        <v>36</v>
      </c>
      <c r="BH2098" s="210">
        <f t="shared" si="865"/>
        <v>33</v>
      </c>
      <c r="BI2098" s="213">
        <f t="shared" si="866"/>
        <v>109.09090909090908</v>
      </c>
      <c r="BJ2098" s="141"/>
      <c r="BK2098" s="201"/>
      <c r="BL2098" s="4"/>
      <c r="BM2098" s="4"/>
    </row>
    <row r="2099" spans="1:65" s="38" customFormat="1" ht="18" customHeight="1">
      <c r="A2099" s="114">
        <v>9</v>
      </c>
      <c r="B2099" s="24" t="s">
        <v>930</v>
      </c>
      <c r="C2099" s="25" t="s">
        <v>931</v>
      </c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229">
        <f t="shared" si="862"/>
        <v>0</v>
      </c>
      <c r="AC2099" s="228">
        <f t="shared" si="854"/>
        <v>0</v>
      </c>
      <c r="AD2099" s="19">
        <v>0</v>
      </c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29">
        <f t="shared" si="863"/>
        <v>0</v>
      </c>
      <c r="BD2099" s="48">
        <f t="shared" si="857"/>
        <v>0</v>
      </c>
      <c r="BE2099" s="19">
        <v>6</v>
      </c>
      <c r="BF2099" s="229">
        <f t="shared" si="864"/>
        <v>0</v>
      </c>
      <c r="BG2099" s="210">
        <f t="shared" si="859"/>
        <v>0</v>
      </c>
      <c r="BH2099" s="210">
        <f t="shared" si="865"/>
        <v>6</v>
      </c>
      <c r="BI2099" s="213">
        <f t="shared" si="866"/>
        <v>0</v>
      </c>
      <c r="BJ2099" s="141"/>
      <c r="BK2099" s="201"/>
      <c r="BL2099" s="4"/>
      <c r="BM2099" s="4"/>
    </row>
    <row r="2100" spans="1:65" s="38" customFormat="1" ht="18" customHeight="1">
      <c r="A2100" s="114">
        <v>10</v>
      </c>
      <c r="B2100" s="24" t="s">
        <v>904</v>
      </c>
      <c r="C2100" s="25" t="s">
        <v>905</v>
      </c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229">
        <f t="shared" si="862"/>
        <v>0</v>
      </c>
      <c r="AC2100" s="228">
        <f t="shared" si="854"/>
        <v>0</v>
      </c>
      <c r="AD2100" s="19">
        <v>0</v>
      </c>
      <c r="AE2100" s="28"/>
      <c r="AF2100" s="28"/>
      <c r="AG2100" s="28"/>
      <c r="AH2100" s="28"/>
      <c r="AI2100" s="28"/>
      <c r="AJ2100" s="28">
        <v>634</v>
      </c>
      <c r="AK2100" s="28"/>
      <c r="AL2100" s="28"/>
      <c r="AM2100" s="28"/>
      <c r="AN2100" s="28"/>
      <c r="AO2100" s="28"/>
      <c r="AP2100" s="28">
        <v>553</v>
      </c>
      <c r="AQ2100" s="28"/>
      <c r="AR2100" s="28"/>
      <c r="AS2100" s="28"/>
      <c r="AT2100" s="28"/>
      <c r="AU2100" s="28"/>
      <c r="AV2100" s="28">
        <v>722</v>
      </c>
      <c r="AW2100" s="28"/>
      <c r="AX2100" s="28"/>
      <c r="AY2100" s="28"/>
      <c r="AZ2100" s="28"/>
      <c r="BA2100" s="28"/>
      <c r="BB2100" s="28">
        <v>766</v>
      </c>
      <c r="BC2100" s="229">
        <f t="shared" si="863"/>
        <v>0</v>
      </c>
      <c r="BD2100" s="48">
        <f t="shared" si="857"/>
        <v>2675</v>
      </c>
      <c r="BE2100" s="19">
        <v>3595</v>
      </c>
      <c r="BF2100" s="229">
        <f t="shared" si="864"/>
        <v>0</v>
      </c>
      <c r="BG2100" s="210">
        <f t="shared" si="859"/>
        <v>2675</v>
      </c>
      <c r="BH2100" s="210">
        <f t="shared" si="865"/>
        <v>3595</v>
      </c>
      <c r="BI2100" s="213">
        <f t="shared" si="866"/>
        <v>74.408901251738527</v>
      </c>
      <c r="BJ2100" s="141"/>
      <c r="BK2100" s="201"/>
      <c r="BL2100" s="4"/>
      <c r="BM2100" s="4"/>
    </row>
    <row r="2101" spans="1:65" s="38" customFormat="1" ht="18" customHeight="1">
      <c r="A2101" s="114">
        <v>11</v>
      </c>
      <c r="B2101" s="24" t="s">
        <v>565</v>
      </c>
      <c r="C2101" s="25" t="s">
        <v>566</v>
      </c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229">
        <f t="shared" si="862"/>
        <v>0</v>
      </c>
      <c r="AC2101" s="228">
        <f t="shared" si="854"/>
        <v>0</v>
      </c>
      <c r="AD2101" s="19">
        <v>0</v>
      </c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>
        <v>1</v>
      </c>
      <c r="BC2101" s="229">
        <f t="shared" si="863"/>
        <v>0</v>
      </c>
      <c r="BD2101" s="48">
        <f t="shared" si="857"/>
        <v>1</v>
      </c>
      <c r="BE2101" s="19">
        <v>7</v>
      </c>
      <c r="BF2101" s="229">
        <f t="shared" si="864"/>
        <v>0</v>
      </c>
      <c r="BG2101" s="210">
        <f t="shared" si="859"/>
        <v>1</v>
      </c>
      <c r="BH2101" s="210">
        <f t="shared" si="865"/>
        <v>7</v>
      </c>
      <c r="BI2101" s="213">
        <f t="shared" si="866"/>
        <v>14.285714285714285</v>
      </c>
      <c r="BJ2101" s="141"/>
      <c r="BK2101" s="201"/>
      <c r="BL2101" s="4"/>
      <c r="BM2101" s="4"/>
    </row>
    <row r="2102" spans="1:65" s="38" customFormat="1" ht="18" customHeight="1">
      <c r="A2102" s="114">
        <v>12</v>
      </c>
      <c r="B2102" s="24" t="s">
        <v>573</v>
      </c>
      <c r="C2102" s="25" t="s">
        <v>574</v>
      </c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229">
        <f t="shared" si="862"/>
        <v>0</v>
      </c>
      <c r="AC2102" s="228">
        <f t="shared" si="854"/>
        <v>0</v>
      </c>
      <c r="AD2102" s="19">
        <v>0</v>
      </c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  <c r="AY2102" s="28"/>
      <c r="AZ2102" s="28"/>
      <c r="BA2102" s="28"/>
      <c r="BB2102" s="28"/>
      <c r="BC2102" s="229">
        <f t="shared" si="863"/>
        <v>0</v>
      </c>
      <c r="BD2102" s="48">
        <f t="shared" si="857"/>
        <v>0</v>
      </c>
      <c r="BE2102" s="19">
        <v>1</v>
      </c>
      <c r="BF2102" s="229">
        <f t="shared" si="864"/>
        <v>0</v>
      </c>
      <c r="BG2102" s="210">
        <f t="shared" si="859"/>
        <v>0</v>
      </c>
      <c r="BH2102" s="210">
        <f t="shared" si="865"/>
        <v>1</v>
      </c>
      <c r="BI2102" s="213">
        <f t="shared" si="866"/>
        <v>0</v>
      </c>
      <c r="BJ2102" s="141"/>
      <c r="BK2102" s="201"/>
      <c r="BL2102" s="4"/>
      <c r="BM2102" s="4"/>
    </row>
    <row r="2103" spans="1:65" s="38" customFormat="1" ht="18" customHeight="1">
      <c r="A2103" s="114">
        <v>13</v>
      </c>
      <c r="B2103" s="24" t="s">
        <v>582</v>
      </c>
      <c r="C2103" s="25" t="s">
        <v>583</v>
      </c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229">
        <f t="shared" si="862"/>
        <v>0</v>
      </c>
      <c r="AC2103" s="228">
        <f t="shared" si="854"/>
        <v>0</v>
      </c>
      <c r="AD2103" s="19">
        <v>0</v>
      </c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>
        <v>1</v>
      </c>
      <c r="AQ2103" s="28"/>
      <c r="AR2103" s="28"/>
      <c r="AS2103" s="28"/>
      <c r="AT2103" s="28"/>
      <c r="AU2103" s="28"/>
      <c r="AV2103" s="28">
        <v>1</v>
      </c>
      <c r="AW2103" s="28"/>
      <c r="AX2103" s="28"/>
      <c r="AY2103" s="28"/>
      <c r="AZ2103" s="28"/>
      <c r="BA2103" s="28"/>
      <c r="BB2103" s="28">
        <v>1</v>
      </c>
      <c r="BC2103" s="229">
        <f t="shared" si="863"/>
        <v>0</v>
      </c>
      <c r="BD2103" s="48">
        <f t="shared" si="857"/>
        <v>3</v>
      </c>
      <c r="BE2103" s="19">
        <v>10</v>
      </c>
      <c r="BF2103" s="229">
        <f t="shared" si="864"/>
        <v>0</v>
      </c>
      <c r="BG2103" s="210">
        <f t="shared" si="859"/>
        <v>3</v>
      </c>
      <c r="BH2103" s="210">
        <f t="shared" si="865"/>
        <v>10</v>
      </c>
      <c r="BI2103" s="213">
        <f t="shared" si="866"/>
        <v>30</v>
      </c>
      <c r="BJ2103" s="141"/>
      <c r="BK2103" s="201"/>
      <c r="BL2103" s="4"/>
      <c r="BM2103" s="4"/>
    </row>
    <row r="2104" spans="1:65" s="38" customFormat="1" ht="18" customHeight="1">
      <c r="A2104" s="114">
        <v>14</v>
      </c>
      <c r="B2104" s="24" t="s">
        <v>585</v>
      </c>
      <c r="C2104" s="25" t="s">
        <v>932</v>
      </c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229">
        <f t="shared" si="862"/>
        <v>0</v>
      </c>
      <c r="AC2104" s="228">
        <f t="shared" si="854"/>
        <v>0</v>
      </c>
      <c r="AD2104" s="19">
        <v>0</v>
      </c>
      <c r="AE2104" s="28"/>
      <c r="AF2104" s="28"/>
      <c r="AG2104" s="28"/>
      <c r="AH2104" s="28"/>
      <c r="AI2104" s="28"/>
      <c r="AJ2104" s="28">
        <v>1438</v>
      </c>
      <c r="AK2104" s="28"/>
      <c r="AL2104" s="28"/>
      <c r="AM2104" s="28"/>
      <c r="AN2104" s="28"/>
      <c r="AO2104" s="28"/>
      <c r="AP2104" s="28">
        <v>1418</v>
      </c>
      <c r="AQ2104" s="28"/>
      <c r="AR2104" s="28"/>
      <c r="AS2104" s="28"/>
      <c r="AT2104" s="28"/>
      <c r="AU2104" s="28"/>
      <c r="AV2104" s="28">
        <v>1628</v>
      </c>
      <c r="AW2104" s="28"/>
      <c r="AX2104" s="28"/>
      <c r="AY2104" s="28"/>
      <c r="AZ2104" s="28"/>
      <c r="BA2104" s="28"/>
      <c r="BB2104" s="28">
        <v>1528</v>
      </c>
      <c r="BC2104" s="229">
        <f t="shared" si="863"/>
        <v>0</v>
      </c>
      <c r="BD2104" s="48">
        <f t="shared" si="857"/>
        <v>6012</v>
      </c>
      <c r="BE2104" s="19">
        <v>6885</v>
      </c>
      <c r="BF2104" s="229">
        <f t="shared" si="864"/>
        <v>0</v>
      </c>
      <c r="BG2104" s="210">
        <f t="shared" si="859"/>
        <v>6012</v>
      </c>
      <c r="BH2104" s="210">
        <f t="shared" si="865"/>
        <v>6885</v>
      </c>
      <c r="BI2104" s="213">
        <f t="shared" si="866"/>
        <v>87.320261437908499</v>
      </c>
      <c r="BJ2104" s="141"/>
      <c r="BK2104" s="201"/>
      <c r="BL2104" s="4"/>
      <c r="BM2104" s="4"/>
    </row>
    <row r="2105" spans="1:65" s="38" customFormat="1" ht="18" customHeight="1">
      <c r="A2105" s="114">
        <v>15</v>
      </c>
      <c r="B2105" s="24" t="s">
        <v>933</v>
      </c>
      <c r="C2105" s="25" t="s">
        <v>934</v>
      </c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229">
        <f t="shared" si="862"/>
        <v>0</v>
      </c>
      <c r="AC2105" s="228">
        <f t="shared" si="854"/>
        <v>0</v>
      </c>
      <c r="AD2105" s="19">
        <v>0</v>
      </c>
      <c r="AE2105" s="28"/>
      <c r="AF2105" s="28"/>
      <c r="AG2105" s="28"/>
      <c r="AH2105" s="28"/>
      <c r="AI2105" s="28"/>
      <c r="AJ2105" s="28">
        <v>41</v>
      </c>
      <c r="AK2105" s="28"/>
      <c r="AL2105" s="28"/>
      <c r="AM2105" s="28"/>
      <c r="AN2105" s="28"/>
      <c r="AO2105" s="28"/>
      <c r="AP2105" s="28">
        <v>45</v>
      </c>
      <c r="AQ2105" s="28"/>
      <c r="AR2105" s="28"/>
      <c r="AS2105" s="28"/>
      <c r="AT2105" s="28"/>
      <c r="AU2105" s="28"/>
      <c r="AV2105" s="28">
        <v>65</v>
      </c>
      <c r="AW2105" s="28"/>
      <c r="AX2105" s="28"/>
      <c r="AY2105" s="28"/>
      <c r="AZ2105" s="28"/>
      <c r="BA2105" s="28"/>
      <c r="BB2105" s="28">
        <v>84</v>
      </c>
      <c r="BC2105" s="229">
        <f t="shared" si="863"/>
        <v>0</v>
      </c>
      <c r="BD2105" s="48">
        <f t="shared" si="857"/>
        <v>235</v>
      </c>
      <c r="BE2105" s="19">
        <v>354</v>
      </c>
      <c r="BF2105" s="229">
        <f t="shared" si="864"/>
        <v>0</v>
      </c>
      <c r="BG2105" s="210">
        <f t="shared" si="859"/>
        <v>235</v>
      </c>
      <c r="BH2105" s="210">
        <f t="shared" si="865"/>
        <v>354</v>
      </c>
      <c r="BI2105" s="213">
        <f t="shared" si="866"/>
        <v>66.384180790960457</v>
      </c>
      <c r="BJ2105" s="141"/>
      <c r="BK2105" s="201"/>
      <c r="BL2105" s="4"/>
      <c r="BM2105" s="4"/>
    </row>
    <row r="2106" spans="1:65" s="38" customFormat="1" ht="18" customHeight="1">
      <c r="A2106" s="114">
        <v>16</v>
      </c>
      <c r="B2106" s="24" t="s">
        <v>630</v>
      </c>
      <c r="C2106" s="25" t="s">
        <v>631</v>
      </c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229">
        <f t="shared" si="862"/>
        <v>0</v>
      </c>
      <c r="AC2106" s="228">
        <f t="shared" si="854"/>
        <v>0</v>
      </c>
      <c r="AD2106" s="19">
        <v>0</v>
      </c>
      <c r="AE2106" s="28"/>
      <c r="AF2106" s="28"/>
      <c r="AG2106" s="28"/>
      <c r="AH2106" s="28"/>
      <c r="AI2106" s="28"/>
      <c r="AJ2106" s="28">
        <v>1</v>
      </c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  <c r="AY2106" s="28"/>
      <c r="AZ2106" s="28"/>
      <c r="BA2106" s="28"/>
      <c r="BB2106" s="28">
        <v>3</v>
      </c>
      <c r="BC2106" s="229">
        <f t="shared" si="863"/>
        <v>0</v>
      </c>
      <c r="BD2106" s="48">
        <f t="shared" si="857"/>
        <v>4</v>
      </c>
      <c r="BE2106" s="19">
        <v>8</v>
      </c>
      <c r="BF2106" s="229">
        <f t="shared" si="864"/>
        <v>0</v>
      </c>
      <c r="BG2106" s="210">
        <f t="shared" si="859"/>
        <v>4</v>
      </c>
      <c r="BH2106" s="210">
        <f t="shared" si="865"/>
        <v>8</v>
      </c>
      <c r="BI2106" s="213">
        <f t="shared" si="866"/>
        <v>50</v>
      </c>
      <c r="BJ2106" s="141"/>
      <c r="BK2106" s="201"/>
      <c r="BL2106" s="4"/>
      <c r="BM2106" s="4"/>
    </row>
    <row r="2107" spans="1:65" s="38" customFormat="1" ht="18" customHeight="1">
      <c r="A2107" s="114">
        <v>17</v>
      </c>
      <c r="B2107" s="24" t="s">
        <v>634</v>
      </c>
      <c r="C2107" s="25" t="s">
        <v>696</v>
      </c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229">
        <f t="shared" si="862"/>
        <v>0</v>
      </c>
      <c r="AC2107" s="228">
        <f t="shared" si="854"/>
        <v>0</v>
      </c>
      <c r="AD2107" s="19">
        <v>0</v>
      </c>
      <c r="AE2107" s="28"/>
      <c r="AF2107" s="28"/>
      <c r="AG2107" s="28"/>
      <c r="AH2107" s="28"/>
      <c r="AI2107" s="28"/>
      <c r="AJ2107" s="28">
        <v>6</v>
      </c>
      <c r="AK2107" s="28"/>
      <c r="AL2107" s="28"/>
      <c r="AM2107" s="28"/>
      <c r="AN2107" s="28"/>
      <c r="AO2107" s="28"/>
      <c r="AP2107" s="28">
        <v>6</v>
      </c>
      <c r="AQ2107" s="28"/>
      <c r="AR2107" s="28"/>
      <c r="AS2107" s="28"/>
      <c r="AT2107" s="28"/>
      <c r="AU2107" s="28"/>
      <c r="AV2107" s="28">
        <v>7</v>
      </c>
      <c r="AW2107" s="28"/>
      <c r="AX2107" s="28"/>
      <c r="AY2107" s="28"/>
      <c r="AZ2107" s="28"/>
      <c r="BA2107" s="28"/>
      <c r="BB2107" s="28">
        <v>11</v>
      </c>
      <c r="BC2107" s="229">
        <f t="shared" si="863"/>
        <v>0</v>
      </c>
      <c r="BD2107" s="48">
        <f t="shared" si="857"/>
        <v>30</v>
      </c>
      <c r="BE2107" s="19">
        <v>32</v>
      </c>
      <c r="BF2107" s="229">
        <f t="shared" si="864"/>
        <v>0</v>
      </c>
      <c r="BG2107" s="210">
        <f t="shared" si="859"/>
        <v>30</v>
      </c>
      <c r="BH2107" s="210">
        <f t="shared" si="865"/>
        <v>32</v>
      </c>
      <c r="BI2107" s="213">
        <f t="shared" si="866"/>
        <v>93.75</v>
      </c>
      <c r="BJ2107" s="141"/>
      <c r="BK2107" s="201"/>
      <c r="BL2107" s="4"/>
      <c r="BM2107" s="4"/>
    </row>
    <row r="2108" spans="1:65" s="38" customFormat="1" ht="18" customHeight="1">
      <c r="A2108" s="114">
        <v>18</v>
      </c>
      <c r="B2108" s="24" t="s">
        <v>636</v>
      </c>
      <c r="C2108" s="25" t="s">
        <v>637</v>
      </c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229">
        <f t="shared" si="862"/>
        <v>0</v>
      </c>
      <c r="AC2108" s="228">
        <f t="shared" si="854"/>
        <v>0</v>
      </c>
      <c r="AD2108" s="19">
        <v>0</v>
      </c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  <c r="AZ2108" s="28"/>
      <c r="BA2108" s="28"/>
      <c r="BB2108" s="28"/>
      <c r="BC2108" s="229">
        <f t="shared" si="863"/>
        <v>0</v>
      </c>
      <c r="BD2108" s="48">
        <f t="shared" si="857"/>
        <v>0</v>
      </c>
      <c r="BE2108" s="19">
        <v>4</v>
      </c>
      <c r="BF2108" s="229">
        <f t="shared" si="864"/>
        <v>0</v>
      </c>
      <c r="BG2108" s="210">
        <f t="shared" si="859"/>
        <v>0</v>
      </c>
      <c r="BH2108" s="210">
        <f t="shared" si="865"/>
        <v>4</v>
      </c>
      <c r="BI2108" s="213">
        <f t="shared" si="866"/>
        <v>0</v>
      </c>
      <c r="BJ2108" s="141"/>
      <c r="BK2108" s="201"/>
      <c r="BL2108" s="4"/>
      <c r="BM2108" s="4"/>
    </row>
    <row r="2109" spans="1:65" s="38" customFormat="1" ht="18" customHeight="1">
      <c r="A2109" s="114">
        <v>19</v>
      </c>
      <c r="B2109" s="24" t="s">
        <v>644</v>
      </c>
      <c r="C2109" s="25" t="s">
        <v>645</v>
      </c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229">
        <f t="shared" si="862"/>
        <v>0</v>
      </c>
      <c r="AC2109" s="228">
        <f t="shared" si="854"/>
        <v>0</v>
      </c>
      <c r="AD2109" s="19">
        <v>0</v>
      </c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29">
        <f t="shared" si="863"/>
        <v>0</v>
      </c>
      <c r="BD2109" s="48">
        <f t="shared" si="857"/>
        <v>0</v>
      </c>
      <c r="BE2109" s="19">
        <v>1</v>
      </c>
      <c r="BF2109" s="229">
        <f t="shared" si="864"/>
        <v>0</v>
      </c>
      <c r="BG2109" s="210">
        <f t="shared" si="859"/>
        <v>0</v>
      </c>
      <c r="BH2109" s="210">
        <f t="shared" si="865"/>
        <v>1</v>
      </c>
      <c r="BI2109" s="213">
        <f t="shared" si="866"/>
        <v>0</v>
      </c>
      <c r="BJ2109" s="141"/>
      <c r="BK2109" s="201"/>
      <c r="BL2109" s="4"/>
      <c r="BM2109" s="4"/>
    </row>
    <row r="2110" spans="1:65" s="38" customFormat="1" ht="18" customHeight="1">
      <c r="A2110" s="114">
        <v>20</v>
      </c>
      <c r="B2110" s="24" t="s">
        <v>918</v>
      </c>
      <c r="C2110" s="25" t="s">
        <v>919</v>
      </c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229">
        <f t="shared" si="862"/>
        <v>0</v>
      </c>
      <c r="AC2110" s="228">
        <f t="shared" si="854"/>
        <v>0</v>
      </c>
      <c r="AD2110" s="19">
        <v>0</v>
      </c>
      <c r="AE2110" s="28"/>
      <c r="AF2110" s="28"/>
      <c r="AG2110" s="28"/>
      <c r="AH2110" s="28"/>
      <c r="AI2110" s="28"/>
      <c r="AJ2110" s="28">
        <v>336</v>
      </c>
      <c r="AK2110" s="28"/>
      <c r="AL2110" s="28"/>
      <c r="AM2110" s="28"/>
      <c r="AN2110" s="28"/>
      <c r="AO2110" s="28"/>
      <c r="AP2110" s="28">
        <v>350</v>
      </c>
      <c r="AQ2110" s="28"/>
      <c r="AR2110" s="28"/>
      <c r="AS2110" s="28"/>
      <c r="AT2110" s="28"/>
      <c r="AU2110" s="28"/>
      <c r="AV2110" s="28">
        <v>381</v>
      </c>
      <c r="AW2110" s="28"/>
      <c r="AX2110" s="28"/>
      <c r="AY2110" s="28"/>
      <c r="AZ2110" s="28"/>
      <c r="BA2110" s="28"/>
      <c r="BB2110" s="28">
        <v>370</v>
      </c>
      <c r="BC2110" s="229">
        <f t="shared" si="863"/>
        <v>0</v>
      </c>
      <c r="BD2110" s="48">
        <f t="shared" si="857"/>
        <v>1437</v>
      </c>
      <c r="BE2110" s="19">
        <v>1532</v>
      </c>
      <c r="BF2110" s="229">
        <f t="shared" si="864"/>
        <v>0</v>
      </c>
      <c r="BG2110" s="210">
        <f t="shared" si="859"/>
        <v>1437</v>
      </c>
      <c r="BH2110" s="210">
        <f t="shared" si="865"/>
        <v>1532</v>
      </c>
      <c r="BI2110" s="213">
        <f t="shared" si="866"/>
        <v>93.798955613577021</v>
      </c>
      <c r="BJ2110" s="141"/>
      <c r="BK2110" s="201"/>
      <c r="BL2110" s="4"/>
      <c r="BM2110" s="4"/>
    </row>
    <row r="2111" spans="1:65" s="38" customFormat="1" ht="18" customHeight="1">
      <c r="A2111" s="114">
        <v>21</v>
      </c>
      <c r="B2111" s="24" t="s">
        <v>1631</v>
      </c>
      <c r="C2111" s="25" t="s">
        <v>1632</v>
      </c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229">
        <f t="shared" si="862"/>
        <v>0</v>
      </c>
      <c r="AC2111" s="228">
        <f t="shared" si="854"/>
        <v>0</v>
      </c>
      <c r="AD2111" s="19">
        <v>0</v>
      </c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29">
        <f t="shared" si="863"/>
        <v>0</v>
      </c>
      <c r="BD2111" s="48">
        <f t="shared" si="857"/>
        <v>0</v>
      </c>
      <c r="BE2111" s="19">
        <v>1</v>
      </c>
      <c r="BF2111" s="229">
        <f t="shared" si="864"/>
        <v>0</v>
      </c>
      <c r="BG2111" s="210">
        <f t="shared" si="859"/>
        <v>0</v>
      </c>
      <c r="BH2111" s="210">
        <f t="shared" si="865"/>
        <v>1</v>
      </c>
      <c r="BI2111" s="213">
        <f t="shared" si="866"/>
        <v>0</v>
      </c>
      <c r="BJ2111" s="141"/>
      <c r="BK2111" s="201"/>
      <c r="BL2111" s="4"/>
      <c r="BM2111" s="4"/>
    </row>
    <row r="2112" spans="1:65" s="38" customFormat="1" ht="18" customHeight="1">
      <c r="A2112" s="114">
        <v>22</v>
      </c>
      <c r="B2112" s="24" t="s">
        <v>920</v>
      </c>
      <c r="C2112" s="25" t="s">
        <v>921</v>
      </c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229">
        <f t="shared" si="862"/>
        <v>0</v>
      </c>
      <c r="AC2112" s="228">
        <f t="shared" si="854"/>
        <v>0</v>
      </c>
      <c r="AD2112" s="19">
        <v>0</v>
      </c>
      <c r="AE2112" s="28"/>
      <c r="AF2112" s="28"/>
      <c r="AG2112" s="28"/>
      <c r="AH2112" s="28"/>
      <c r="AI2112" s="28"/>
      <c r="AJ2112" s="28">
        <v>338</v>
      </c>
      <c r="AK2112" s="28"/>
      <c r="AL2112" s="28"/>
      <c r="AM2112" s="28"/>
      <c r="AN2112" s="28"/>
      <c r="AO2112" s="28"/>
      <c r="AP2112" s="28">
        <v>350</v>
      </c>
      <c r="AQ2112" s="28"/>
      <c r="AR2112" s="28"/>
      <c r="AS2112" s="28"/>
      <c r="AT2112" s="28"/>
      <c r="AU2112" s="28"/>
      <c r="AV2112" s="28">
        <v>379</v>
      </c>
      <c r="AW2112" s="28"/>
      <c r="AX2112" s="28"/>
      <c r="AY2112" s="28"/>
      <c r="AZ2112" s="28"/>
      <c r="BA2112" s="28"/>
      <c r="BB2112" s="28">
        <v>373</v>
      </c>
      <c r="BC2112" s="229">
        <f t="shared" si="863"/>
        <v>0</v>
      </c>
      <c r="BD2112" s="48">
        <f t="shared" si="857"/>
        <v>1440</v>
      </c>
      <c r="BE2112" s="19">
        <v>1652</v>
      </c>
      <c r="BF2112" s="229">
        <f t="shared" si="864"/>
        <v>0</v>
      </c>
      <c r="BG2112" s="210">
        <f t="shared" si="859"/>
        <v>1440</v>
      </c>
      <c r="BH2112" s="210">
        <f t="shared" si="865"/>
        <v>1652</v>
      </c>
      <c r="BI2112" s="213">
        <f t="shared" si="866"/>
        <v>87.167070217917669</v>
      </c>
      <c r="BJ2112" s="141"/>
      <c r="BK2112" s="201"/>
      <c r="BL2112" s="4"/>
      <c r="BM2112" s="4"/>
    </row>
    <row r="2113" spans="1:65" s="38" customFormat="1" ht="18" customHeight="1">
      <c r="A2113" s="114">
        <v>23</v>
      </c>
      <c r="B2113" s="24" t="s">
        <v>2320</v>
      </c>
      <c r="C2113" s="25" t="s">
        <v>2446</v>
      </c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229">
        <f t="shared" si="862"/>
        <v>0</v>
      </c>
      <c r="AC2113" s="228">
        <f t="shared" si="854"/>
        <v>0</v>
      </c>
      <c r="AD2113" s="19">
        <v>0</v>
      </c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29">
        <f t="shared" si="863"/>
        <v>0</v>
      </c>
      <c r="BD2113" s="48">
        <f t="shared" si="857"/>
        <v>0</v>
      </c>
      <c r="BE2113" s="19">
        <v>3</v>
      </c>
      <c r="BF2113" s="229">
        <f t="shared" si="864"/>
        <v>0</v>
      </c>
      <c r="BG2113" s="210">
        <f t="shared" si="859"/>
        <v>0</v>
      </c>
      <c r="BH2113" s="210">
        <f t="shared" si="865"/>
        <v>3</v>
      </c>
      <c r="BI2113" s="213">
        <f t="shared" si="866"/>
        <v>0</v>
      </c>
      <c r="BJ2113" s="141"/>
      <c r="BK2113" s="201"/>
      <c r="BL2113" s="4"/>
      <c r="BM2113" s="4"/>
    </row>
    <row r="2114" spans="1:65" s="38" customFormat="1" ht="21.95" customHeight="1">
      <c r="A2114" s="114">
        <v>24</v>
      </c>
      <c r="B2114" s="24" t="s">
        <v>922</v>
      </c>
      <c r="C2114" s="27" t="s">
        <v>923</v>
      </c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229">
        <f t="shared" si="862"/>
        <v>0</v>
      </c>
      <c r="AC2114" s="228">
        <f t="shared" si="854"/>
        <v>0</v>
      </c>
      <c r="AD2114" s="19">
        <v>0</v>
      </c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  <c r="AZ2114" s="28"/>
      <c r="BA2114" s="28"/>
      <c r="BB2114" s="28"/>
      <c r="BC2114" s="229">
        <f t="shared" si="863"/>
        <v>0</v>
      </c>
      <c r="BD2114" s="48">
        <f t="shared" si="857"/>
        <v>0</v>
      </c>
      <c r="BE2114" s="19">
        <v>1</v>
      </c>
      <c r="BF2114" s="229">
        <f t="shared" si="864"/>
        <v>0</v>
      </c>
      <c r="BG2114" s="210">
        <f t="shared" si="859"/>
        <v>0</v>
      </c>
      <c r="BH2114" s="210">
        <f t="shared" si="865"/>
        <v>1</v>
      </c>
      <c r="BI2114" s="213">
        <f t="shared" si="866"/>
        <v>0</v>
      </c>
      <c r="BJ2114" s="141"/>
      <c r="BK2114" s="201"/>
      <c r="BL2114" s="4"/>
      <c r="BM2114" s="4"/>
    </row>
    <row r="2115" spans="1:65" s="38" customFormat="1" ht="18" customHeight="1">
      <c r="A2115" s="114">
        <v>25</v>
      </c>
      <c r="B2115" s="24" t="s">
        <v>822</v>
      </c>
      <c r="C2115" s="25" t="s">
        <v>1405</v>
      </c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229">
        <f t="shared" si="862"/>
        <v>0</v>
      </c>
      <c r="AC2115" s="228">
        <f t="shared" si="854"/>
        <v>0</v>
      </c>
      <c r="AD2115" s="19">
        <v>0</v>
      </c>
      <c r="AE2115" s="28"/>
      <c r="AF2115" s="28"/>
      <c r="AG2115" s="28"/>
      <c r="AH2115" s="28"/>
      <c r="AI2115" s="28"/>
      <c r="AJ2115" s="28">
        <v>4</v>
      </c>
      <c r="AK2115" s="28"/>
      <c r="AL2115" s="28"/>
      <c r="AM2115" s="28"/>
      <c r="AN2115" s="28"/>
      <c r="AO2115" s="28"/>
      <c r="AP2115" s="28">
        <v>3</v>
      </c>
      <c r="AQ2115" s="28"/>
      <c r="AR2115" s="28"/>
      <c r="AS2115" s="28"/>
      <c r="AT2115" s="28"/>
      <c r="AU2115" s="28"/>
      <c r="AV2115" s="28">
        <v>3</v>
      </c>
      <c r="AW2115" s="28"/>
      <c r="AX2115" s="28"/>
      <c r="AY2115" s="28"/>
      <c r="AZ2115" s="28"/>
      <c r="BA2115" s="28"/>
      <c r="BB2115" s="28">
        <v>8</v>
      </c>
      <c r="BC2115" s="229">
        <f t="shared" si="863"/>
        <v>0</v>
      </c>
      <c r="BD2115" s="48">
        <f t="shared" si="857"/>
        <v>18</v>
      </c>
      <c r="BE2115" s="19">
        <v>51</v>
      </c>
      <c r="BF2115" s="229">
        <f t="shared" si="864"/>
        <v>0</v>
      </c>
      <c r="BG2115" s="210">
        <f t="shared" si="859"/>
        <v>18</v>
      </c>
      <c r="BH2115" s="210">
        <f t="shared" si="865"/>
        <v>51</v>
      </c>
      <c r="BI2115" s="213">
        <f t="shared" si="866"/>
        <v>35.294117647058826</v>
      </c>
      <c r="BJ2115" s="141"/>
      <c r="BK2115" s="201"/>
      <c r="BL2115" s="4"/>
      <c r="BM2115" s="4"/>
    </row>
    <row r="2116" spans="1:65" s="38" customFormat="1" ht="18" customHeight="1">
      <c r="A2116" s="114">
        <v>26</v>
      </c>
      <c r="B2116" s="24" t="s">
        <v>776</v>
      </c>
      <c r="C2116" s="25" t="s">
        <v>777</v>
      </c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229">
        <f t="shared" si="862"/>
        <v>0</v>
      </c>
      <c r="AC2116" s="228">
        <f t="shared" si="854"/>
        <v>0</v>
      </c>
      <c r="AD2116" s="19">
        <v>0</v>
      </c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  <c r="AZ2116" s="28"/>
      <c r="BA2116" s="28"/>
      <c r="BB2116" s="28"/>
      <c r="BC2116" s="229">
        <f t="shared" si="863"/>
        <v>0</v>
      </c>
      <c r="BD2116" s="48">
        <f t="shared" si="857"/>
        <v>0</v>
      </c>
      <c r="BE2116" s="19">
        <v>1</v>
      </c>
      <c r="BF2116" s="229">
        <f t="shared" si="864"/>
        <v>0</v>
      </c>
      <c r="BG2116" s="210">
        <f t="shared" si="859"/>
        <v>0</v>
      </c>
      <c r="BH2116" s="210">
        <f t="shared" si="865"/>
        <v>1</v>
      </c>
      <c r="BI2116" s="213">
        <f t="shared" si="866"/>
        <v>0</v>
      </c>
      <c r="BJ2116" s="141"/>
      <c r="BK2116" s="201"/>
      <c r="BL2116" s="4"/>
      <c r="BM2116" s="4"/>
    </row>
    <row r="2117" spans="1:65" s="38" customFormat="1" ht="21.95" customHeight="1">
      <c r="A2117" s="114">
        <v>27</v>
      </c>
      <c r="B2117" s="24" t="s">
        <v>799</v>
      </c>
      <c r="C2117" s="27" t="s">
        <v>1860</v>
      </c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229">
        <f t="shared" si="862"/>
        <v>0</v>
      </c>
      <c r="AC2117" s="228">
        <f t="shared" si="854"/>
        <v>0</v>
      </c>
      <c r="AD2117" s="19">
        <v>0</v>
      </c>
      <c r="AE2117" s="28"/>
      <c r="AF2117" s="28"/>
      <c r="AG2117" s="28"/>
      <c r="AH2117" s="28"/>
      <c r="AI2117" s="28"/>
      <c r="AJ2117" s="28">
        <v>6</v>
      </c>
      <c r="AK2117" s="28"/>
      <c r="AL2117" s="28"/>
      <c r="AM2117" s="28"/>
      <c r="AN2117" s="28"/>
      <c r="AO2117" s="28"/>
      <c r="AP2117" s="28">
        <v>1</v>
      </c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29">
        <f t="shared" si="863"/>
        <v>0</v>
      </c>
      <c r="BD2117" s="48">
        <f t="shared" si="857"/>
        <v>7</v>
      </c>
      <c r="BE2117" s="19">
        <v>14</v>
      </c>
      <c r="BF2117" s="229">
        <f t="shared" si="864"/>
        <v>0</v>
      </c>
      <c r="BG2117" s="210">
        <f t="shared" si="859"/>
        <v>7</v>
      </c>
      <c r="BH2117" s="210">
        <f t="shared" si="865"/>
        <v>14</v>
      </c>
      <c r="BI2117" s="213">
        <f t="shared" si="866"/>
        <v>50</v>
      </c>
      <c r="BJ2117" s="141"/>
      <c r="BK2117" s="201"/>
      <c r="BL2117" s="4"/>
      <c r="BM2117" s="4"/>
    </row>
    <row r="2118" spans="1:65" s="38" customFormat="1" ht="21.95" customHeight="1">
      <c r="A2118" s="114">
        <v>28</v>
      </c>
      <c r="B2118" s="24" t="s">
        <v>657</v>
      </c>
      <c r="C2118" s="27" t="s">
        <v>1401</v>
      </c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229">
        <f t="shared" si="862"/>
        <v>0</v>
      </c>
      <c r="AC2118" s="228">
        <f t="shared" si="854"/>
        <v>0</v>
      </c>
      <c r="AD2118" s="19">
        <v>0</v>
      </c>
      <c r="AE2118" s="28"/>
      <c r="AF2118" s="28"/>
      <c r="AG2118" s="28"/>
      <c r="AH2118" s="28"/>
      <c r="AI2118" s="28"/>
      <c r="AJ2118" s="28">
        <v>345</v>
      </c>
      <c r="AK2118" s="28"/>
      <c r="AL2118" s="28"/>
      <c r="AM2118" s="28"/>
      <c r="AN2118" s="28"/>
      <c r="AO2118" s="28"/>
      <c r="AP2118" s="28">
        <v>356</v>
      </c>
      <c r="AQ2118" s="28"/>
      <c r="AR2118" s="28"/>
      <c r="AS2118" s="28"/>
      <c r="AT2118" s="28"/>
      <c r="AU2118" s="28"/>
      <c r="AV2118" s="28">
        <v>387</v>
      </c>
      <c r="AW2118" s="28"/>
      <c r="AX2118" s="28"/>
      <c r="AY2118" s="28"/>
      <c r="AZ2118" s="28"/>
      <c r="BA2118" s="28"/>
      <c r="BB2118" s="28">
        <v>384</v>
      </c>
      <c r="BC2118" s="229">
        <f t="shared" si="863"/>
        <v>0</v>
      </c>
      <c r="BD2118" s="48">
        <f t="shared" si="857"/>
        <v>1472</v>
      </c>
      <c r="BE2118" s="19">
        <v>1639</v>
      </c>
      <c r="BF2118" s="229">
        <f t="shared" si="864"/>
        <v>0</v>
      </c>
      <c r="BG2118" s="210">
        <f t="shared" si="859"/>
        <v>1472</v>
      </c>
      <c r="BH2118" s="210">
        <f t="shared" si="865"/>
        <v>1639</v>
      </c>
      <c r="BI2118" s="213">
        <f t="shared" si="866"/>
        <v>89.810860280658929</v>
      </c>
      <c r="BJ2118" s="141"/>
      <c r="BK2118" s="201"/>
      <c r="BL2118" s="4"/>
      <c r="BM2118" s="4"/>
    </row>
    <row r="2119" spans="1:65" s="38" customFormat="1" ht="21.95" customHeight="1">
      <c r="A2119" s="114">
        <v>29</v>
      </c>
      <c r="B2119" s="24" t="s">
        <v>658</v>
      </c>
      <c r="C2119" s="25" t="s">
        <v>779</v>
      </c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229">
        <f t="shared" si="862"/>
        <v>0</v>
      </c>
      <c r="AC2119" s="228">
        <f t="shared" si="854"/>
        <v>0</v>
      </c>
      <c r="AD2119" s="19">
        <v>0</v>
      </c>
      <c r="AE2119" s="28"/>
      <c r="AF2119" s="28"/>
      <c r="AG2119" s="28"/>
      <c r="AH2119" s="28"/>
      <c r="AI2119" s="28"/>
      <c r="AJ2119" s="28">
        <v>233</v>
      </c>
      <c r="AK2119" s="28"/>
      <c r="AL2119" s="28"/>
      <c r="AM2119" s="28"/>
      <c r="AN2119" s="28"/>
      <c r="AO2119" s="28"/>
      <c r="AP2119" s="28">
        <v>78</v>
      </c>
      <c r="AQ2119" s="28"/>
      <c r="AR2119" s="28"/>
      <c r="AS2119" s="28"/>
      <c r="AT2119" s="28"/>
      <c r="AU2119" s="28"/>
      <c r="AV2119" s="28">
        <v>203</v>
      </c>
      <c r="AW2119" s="28"/>
      <c r="AX2119" s="28"/>
      <c r="AY2119" s="28"/>
      <c r="AZ2119" s="28"/>
      <c r="BA2119" s="28"/>
      <c r="BB2119" s="28">
        <v>247</v>
      </c>
      <c r="BC2119" s="229">
        <f t="shared" si="863"/>
        <v>0</v>
      </c>
      <c r="BD2119" s="48">
        <f t="shared" si="857"/>
        <v>761</v>
      </c>
      <c r="BE2119" s="19">
        <v>1171</v>
      </c>
      <c r="BF2119" s="229">
        <f t="shared" si="864"/>
        <v>0</v>
      </c>
      <c r="BG2119" s="210">
        <f t="shared" si="859"/>
        <v>761</v>
      </c>
      <c r="BH2119" s="210">
        <f t="shared" si="865"/>
        <v>1171</v>
      </c>
      <c r="BI2119" s="213">
        <f t="shared" si="866"/>
        <v>64.987190435525193</v>
      </c>
      <c r="BJ2119" s="141"/>
      <c r="BK2119" s="201"/>
      <c r="BL2119" s="4"/>
      <c r="BM2119" s="4"/>
    </row>
    <row r="2120" spans="1:65" s="38" customFormat="1" ht="18" customHeight="1">
      <c r="A2120" s="114">
        <v>30</v>
      </c>
      <c r="B2120" s="24" t="s">
        <v>659</v>
      </c>
      <c r="C2120" s="117" t="s">
        <v>660</v>
      </c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229">
        <f t="shared" si="862"/>
        <v>0</v>
      </c>
      <c r="AC2120" s="228">
        <f t="shared" si="854"/>
        <v>0</v>
      </c>
      <c r="AD2120" s="19">
        <v>0</v>
      </c>
      <c r="AE2120" s="28"/>
      <c r="AF2120" s="28"/>
      <c r="AG2120" s="28"/>
      <c r="AH2120" s="28"/>
      <c r="AI2120" s="28"/>
      <c r="AJ2120" s="28">
        <v>60</v>
      </c>
      <c r="AK2120" s="28"/>
      <c r="AL2120" s="28"/>
      <c r="AM2120" s="28"/>
      <c r="AN2120" s="28"/>
      <c r="AO2120" s="28"/>
      <c r="AP2120" s="28">
        <v>20</v>
      </c>
      <c r="AQ2120" s="28"/>
      <c r="AR2120" s="28"/>
      <c r="AS2120" s="28"/>
      <c r="AT2120" s="28"/>
      <c r="AU2120" s="28"/>
      <c r="AV2120" s="28">
        <v>23</v>
      </c>
      <c r="AW2120" s="28"/>
      <c r="AX2120" s="28"/>
      <c r="AY2120" s="28"/>
      <c r="AZ2120" s="28"/>
      <c r="BA2120" s="28"/>
      <c r="BB2120" s="28">
        <v>53</v>
      </c>
      <c r="BC2120" s="229">
        <f t="shared" si="863"/>
        <v>0</v>
      </c>
      <c r="BD2120" s="48">
        <f t="shared" si="857"/>
        <v>156</v>
      </c>
      <c r="BE2120" s="19">
        <v>255</v>
      </c>
      <c r="BF2120" s="229">
        <f t="shared" si="864"/>
        <v>0</v>
      </c>
      <c r="BG2120" s="210">
        <f t="shared" si="859"/>
        <v>156</v>
      </c>
      <c r="BH2120" s="210">
        <f t="shared" si="865"/>
        <v>255</v>
      </c>
      <c r="BI2120" s="213">
        <f t="shared" si="866"/>
        <v>61.176470588235297</v>
      </c>
      <c r="BJ2120" s="141"/>
      <c r="BK2120" s="201"/>
      <c r="BL2120" s="4"/>
      <c r="BM2120" s="4"/>
    </row>
    <row r="2121" spans="1:65" s="38" customFormat="1" ht="21.95" customHeight="1">
      <c r="A2121" s="114">
        <v>31</v>
      </c>
      <c r="B2121" s="24" t="s">
        <v>661</v>
      </c>
      <c r="C2121" s="27" t="s">
        <v>743</v>
      </c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229">
        <f t="shared" si="862"/>
        <v>0</v>
      </c>
      <c r="AC2121" s="228">
        <f t="shared" si="854"/>
        <v>0</v>
      </c>
      <c r="AD2121" s="19">
        <v>0</v>
      </c>
      <c r="AE2121" s="28"/>
      <c r="AF2121" s="28"/>
      <c r="AG2121" s="28"/>
      <c r="AH2121" s="28"/>
      <c r="AI2121" s="28"/>
      <c r="AJ2121" s="28">
        <v>7</v>
      </c>
      <c r="AK2121" s="28"/>
      <c r="AL2121" s="28"/>
      <c r="AM2121" s="28"/>
      <c r="AN2121" s="28"/>
      <c r="AO2121" s="28"/>
      <c r="AP2121" s="28">
        <v>2</v>
      </c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>
        <v>4</v>
      </c>
      <c r="BC2121" s="229">
        <f t="shared" si="863"/>
        <v>0</v>
      </c>
      <c r="BD2121" s="48">
        <f t="shared" si="857"/>
        <v>13</v>
      </c>
      <c r="BE2121" s="19">
        <v>24</v>
      </c>
      <c r="BF2121" s="229">
        <f t="shared" si="864"/>
        <v>0</v>
      </c>
      <c r="BG2121" s="210">
        <f t="shared" si="859"/>
        <v>13</v>
      </c>
      <c r="BH2121" s="210">
        <f t="shared" si="865"/>
        <v>24</v>
      </c>
      <c r="BI2121" s="213">
        <f t="shared" si="866"/>
        <v>54.166666666666664</v>
      </c>
      <c r="BJ2121" s="141"/>
      <c r="BK2121" s="201"/>
      <c r="BL2121" s="4"/>
      <c r="BM2121" s="4"/>
    </row>
    <row r="2122" spans="1:65" s="38" customFormat="1" ht="21.95" customHeight="1">
      <c r="A2122" s="114">
        <v>32</v>
      </c>
      <c r="B2122" s="24" t="s">
        <v>790</v>
      </c>
      <c r="C2122" s="27" t="s">
        <v>2431</v>
      </c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229">
        <f t="shared" si="862"/>
        <v>0</v>
      </c>
      <c r="AC2122" s="228">
        <f t="shared" si="854"/>
        <v>0</v>
      </c>
      <c r="AD2122" s="19">
        <v>0</v>
      </c>
      <c r="AE2122" s="28"/>
      <c r="AF2122" s="28"/>
      <c r="AG2122" s="28"/>
      <c r="AH2122" s="28"/>
      <c r="AI2122" s="28"/>
      <c r="AJ2122" s="28">
        <v>3</v>
      </c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>
        <v>2</v>
      </c>
      <c r="AW2122" s="28"/>
      <c r="AX2122" s="28"/>
      <c r="AY2122" s="28"/>
      <c r="AZ2122" s="28"/>
      <c r="BA2122" s="28"/>
      <c r="BB2122" s="28"/>
      <c r="BC2122" s="229">
        <f t="shared" si="863"/>
        <v>0</v>
      </c>
      <c r="BD2122" s="48">
        <f t="shared" si="857"/>
        <v>5</v>
      </c>
      <c r="BE2122" s="19">
        <v>6</v>
      </c>
      <c r="BF2122" s="229">
        <f t="shared" si="864"/>
        <v>0</v>
      </c>
      <c r="BG2122" s="210">
        <f t="shared" si="859"/>
        <v>5</v>
      </c>
      <c r="BH2122" s="210">
        <f t="shared" si="865"/>
        <v>6</v>
      </c>
      <c r="BI2122" s="213">
        <f t="shared" si="866"/>
        <v>83.333333333333343</v>
      </c>
      <c r="BJ2122" s="141"/>
      <c r="BK2122" s="201"/>
      <c r="BL2122" s="4"/>
      <c r="BM2122" s="4"/>
    </row>
    <row r="2123" spans="1:65" s="38" customFormat="1" ht="21.95" customHeight="1">
      <c r="A2123" s="114">
        <v>33</v>
      </c>
      <c r="B2123" s="24" t="s">
        <v>1553</v>
      </c>
      <c r="C2123" s="27" t="s">
        <v>1555</v>
      </c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229">
        <f t="shared" si="862"/>
        <v>0</v>
      </c>
      <c r="AC2123" s="228">
        <f t="shared" si="854"/>
        <v>0</v>
      </c>
      <c r="AD2123" s="19">
        <v>0</v>
      </c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29">
        <f t="shared" si="863"/>
        <v>0</v>
      </c>
      <c r="BD2123" s="48">
        <f t="shared" si="857"/>
        <v>0</v>
      </c>
      <c r="BE2123" s="19">
        <v>6</v>
      </c>
      <c r="BF2123" s="229">
        <f t="shared" si="864"/>
        <v>0</v>
      </c>
      <c r="BG2123" s="210">
        <f t="shared" si="859"/>
        <v>0</v>
      </c>
      <c r="BH2123" s="210">
        <f t="shared" si="865"/>
        <v>6</v>
      </c>
      <c r="BI2123" s="213">
        <f t="shared" si="866"/>
        <v>0</v>
      </c>
      <c r="BJ2123" s="141"/>
      <c r="BK2123" s="201"/>
      <c r="BL2123" s="4"/>
      <c r="BM2123" s="4"/>
    </row>
    <row r="2124" spans="1:65" s="38" customFormat="1" ht="21.95" customHeight="1">
      <c r="A2124" s="114">
        <v>34</v>
      </c>
      <c r="B2124" s="24" t="s">
        <v>744</v>
      </c>
      <c r="C2124" s="27" t="s">
        <v>745</v>
      </c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229">
        <f t="shared" si="862"/>
        <v>0</v>
      </c>
      <c r="AC2124" s="228">
        <f t="shared" si="854"/>
        <v>0</v>
      </c>
      <c r="AD2124" s="19">
        <v>0</v>
      </c>
      <c r="AE2124" s="28"/>
      <c r="AF2124" s="28"/>
      <c r="AG2124" s="28"/>
      <c r="AH2124" s="28"/>
      <c r="AI2124" s="28"/>
      <c r="AJ2124" s="28">
        <v>345</v>
      </c>
      <c r="AK2124" s="28"/>
      <c r="AL2124" s="28"/>
      <c r="AM2124" s="28"/>
      <c r="AN2124" s="28"/>
      <c r="AO2124" s="28"/>
      <c r="AP2124" s="28">
        <v>362</v>
      </c>
      <c r="AQ2124" s="28"/>
      <c r="AR2124" s="28"/>
      <c r="AS2124" s="28"/>
      <c r="AT2124" s="28"/>
      <c r="AU2124" s="28"/>
      <c r="AV2124" s="28">
        <v>391</v>
      </c>
      <c r="AW2124" s="28"/>
      <c r="AX2124" s="28"/>
      <c r="AY2124" s="28"/>
      <c r="AZ2124" s="28"/>
      <c r="BA2124" s="28"/>
      <c r="BB2124" s="28">
        <v>386</v>
      </c>
      <c r="BC2124" s="229">
        <f t="shared" si="863"/>
        <v>0</v>
      </c>
      <c r="BD2124" s="48">
        <f t="shared" si="857"/>
        <v>1484</v>
      </c>
      <c r="BE2124" s="19">
        <v>1683</v>
      </c>
      <c r="BF2124" s="229">
        <f t="shared" si="864"/>
        <v>0</v>
      </c>
      <c r="BG2124" s="210">
        <f t="shared" si="859"/>
        <v>1484</v>
      </c>
      <c r="BH2124" s="210">
        <f t="shared" si="865"/>
        <v>1683</v>
      </c>
      <c r="BI2124" s="213">
        <f t="shared" si="866"/>
        <v>88.175876411170535</v>
      </c>
      <c r="BJ2124" s="141"/>
      <c r="BK2124" s="201"/>
      <c r="BL2124" s="4"/>
      <c r="BM2124" s="4"/>
    </row>
    <row r="2125" spans="1:65" s="38" customFormat="1" ht="18" customHeight="1">
      <c r="A2125" s="114">
        <v>35</v>
      </c>
      <c r="B2125" s="24" t="s">
        <v>1807</v>
      </c>
      <c r="C2125" s="25" t="s">
        <v>694</v>
      </c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229">
        <f t="shared" si="862"/>
        <v>0</v>
      </c>
      <c r="AC2125" s="228">
        <f t="shared" si="854"/>
        <v>0</v>
      </c>
      <c r="AD2125" s="19">
        <v>1</v>
      </c>
      <c r="AE2125" s="28"/>
      <c r="AF2125" s="28"/>
      <c r="AG2125" s="28"/>
      <c r="AH2125" s="28"/>
      <c r="AI2125" s="28"/>
      <c r="AJ2125" s="28">
        <v>8</v>
      </c>
      <c r="AK2125" s="28"/>
      <c r="AL2125" s="28"/>
      <c r="AM2125" s="28"/>
      <c r="AN2125" s="28"/>
      <c r="AO2125" s="28"/>
      <c r="AP2125" s="28">
        <v>2</v>
      </c>
      <c r="AQ2125" s="28"/>
      <c r="AR2125" s="28"/>
      <c r="AS2125" s="28"/>
      <c r="AT2125" s="28"/>
      <c r="AU2125" s="28"/>
      <c r="AV2125" s="28">
        <v>14</v>
      </c>
      <c r="AW2125" s="28"/>
      <c r="AX2125" s="28"/>
      <c r="AY2125" s="28"/>
      <c r="AZ2125" s="28"/>
      <c r="BA2125" s="28"/>
      <c r="BB2125" s="28">
        <v>1</v>
      </c>
      <c r="BC2125" s="229">
        <f t="shared" si="863"/>
        <v>0</v>
      </c>
      <c r="BD2125" s="48">
        <f t="shared" si="857"/>
        <v>25</v>
      </c>
      <c r="BE2125" s="19">
        <f>34+22</f>
        <v>56</v>
      </c>
      <c r="BF2125" s="229">
        <f t="shared" si="864"/>
        <v>0</v>
      </c>
      <c r="BG2125" s="210">
        <f t="shared" si="859"/>
        <v>25</v>
      </c>
      <c r="BH2125" s="210">
        <f t="shared" si="865"/>
        <v>57</v>
      </c>
      <c r="BI2125" s="213">
        <f t="shared" si="866"/>
        <v>43.859649122807014</v>
      </c>
      <c r="BJ2125" s="269" t="s">
        <v>2856</v>
      </c>
      <c r="BK2125" s="201"/>
      <c r="BL2125" s="4"/>
      <c r="BM2125" s="4"/>
    </row>
    <row r="2126" spans="1:65" s="38" customFormat="1" ht="18" customHeight="1">
      <c r="A2126" s="114">
        <v>36</v>
      </c>
      <c r="B2126" s="24" t="s">
        <v>1887</v>
      </c>
      <c r="C2126" s="25" t="s">
        <v>1862</v>
      </c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229">
        <f t="shared" si="862"/>
        <v>0</v>
      </c>
      <c r="AC2126" s="228">
        <f t="shared" si="854"/>
        <v>0</v>
      </c>
      <c r="AD2126" s="19">
        <v>1</v>
      </c>
      <c r="AE2126" s="28"/>
      <c r="AF2126" s="28"/>
      <c r="AG2126" s="28"/>
      <c r="AH2126" s="28"/>
      <c r="AI2126" s="28"/>
      <c r="AJ2126" s="28">
        <v>1438</v>
      </c>
      <c r="AK2126" s="28"/>
      <c r="AL2126" s="28"/>
      <c r="AM2126" s="28"/>
      <c r="AN2126" s="28"/>
      <c r="AO2126" s="28"/>
      <c r="AP2126" s="28">
        <v>1423</v>
      </c>
      <c r="AQ2126" s="28"/>
      <c r="AR2126" s="28"/>
      <c r="AS2126" s="28"/>
      <c r="AT2126" s="28"/>
      <c r="AU2126" s="28"/>
      <c r="AV2126" s="28">
        <v>1657</v>
      </c>
      <c r="AW2126" s="28"/>
      <c r="AX2126" s="28"/>
      <c r="AY2126" s="28"/>
      <c r="AZ2126" s="28"/>
      <c r="BA2126" s="28"/>
      <c r="BB2126" s="28">
        <v>1612</v>
      </c>
      <c r="BC2126" s="229">
        <f t="shared" si="863"/>
        <v>0</v>
      </c>
      <c r="BD2126" s="48">
        <f t="shared" si="857"/>
        <v>6130</v>
      </c>
      <c r="BE2126" s="19">
        <v>6498</v>
      </c>
      <c r="BF2126" s="229">
        <f t="shared" si="864"/>
        <v>0</v>
      </c>
      <c r="BG2126" s="210">
        <f t="shared" si="859"/>
        <v>6130</v>
      </c>
      <c r="BH2126" s="210">
        <f t="shared" si="865"/>
        <v>6499</v>
      </c>
      <c r="BI2126" s="213">
        <f t="shared" si="866"/>
        <v>94.322203415910138</v>
      </c>
      <c r="BJ2126" s="269" t="s">
        <v>2856</v>
      </c>
      <c r="BK2126" s="201"/>
      <c r="BL2126" s="4"/>
      <c r="BM2126" s="4"/>
    </row>
    <row r="2127" spans="1:65" s="38" customFormat="1" ht="21.95" customHeight="1">
      <c r="A2127" s="375" t="s">
        <v>2770</v>
      </c>
      <c r="B2127" s="375"/>
      <c r="C2127" s="375"/>
      <c r="D2127" s="220">
        <f t="shared" ref="D2127:BE2127" si="867">SUM(D2128:D2160)</f>
        <v>0</v>
      </c>
      <c r="E2127" s="220">
        <f t="shared" si="867"/>
        <v>0</v>
      </c>
      <c r="F2127" s="220">
        <f t="shared" si="867"/>
        <v>0</v>
      </c>
      <c r="G2127" s="220">
        <f t="shared" si="867"/>
        <v>0</v>
      </c>
      <c r="H2127" s="220">
        <f t="shared" si="867"/>
        <v>0</v>
      </c>
      <c r="I2127" s="220">
        <f t="shared" si="867"/>
        <v>5568</v>
      </c>
      <c r="J2127" s="220">
        <f t="shared" si="867"/>
        <v>0</v>
      </c>
      <c r="K2127" s="220">
        <f t="shared" si="867"/>
        <v>0</v>
      </c>
      <c r="L2127" s="220">
        <f t="shared" si="867"/>
        <v>0</v>
      </c>
      <c r="M2127" s="220">
        <f t="shared" si="867"/>
        <v>0</v>
      </c>
      <c r="N2127" s="220">
        <f t="shared" si="867"/>
        <v>0</v>
      </c>
      <c r="O2127" s="220">
        <f t="shared" si="867"/>
        <v>5688</v>
      </c>
      <c r="P2127" s="220">
        <f t="shared" si="867"/>
        <v>0</v>
      </c>
      <c r="Q2127" s="220">
        <f t="shared" si="867"/>
        <v>0</v>
      </c>
      <c r="R2127" s="220">
        <f t="shared" si="867"/>
        <v>0</v>
      </c>
      <c r="S2127" s="220">
        <f t="shared" si="867"/>
        <v>0</v>
      </c>
      <c r="T2127" s="220">
        <f t="shared" si="867"/>
        <v>0</v>
      </c>
      <c r="U2127" s="220">
        <f t="shared" si="867"/>
        <v>10485</v>
      </c>
      <c r="V2127" s="220">
        <f t="shared" si="867"/>
        <v>0</v>
      </c>
      <c r="W2127" s="220">
        <f t="shared" si="867"/>
        <v>0</v>
      </c>
      <c r="X2127" s="220">
        <f t="shared" si="867"/>
        <v>0</v>
      </c>
      <c r="Y2127" s="220">
        <f t="shared" si="867"/>
        <v>0</v>
      </c>
      <c r="Z2127" s="220">
        <f t="shared" si="867"/>
        <v>0</v>
      </c>
      <c r="AA2127" s="220">
        <f t="shared" si="867"/>
        <v>2776</v>
      </c>
      <c r="AB2127" s="220">
        <f t="shared" si="853"/>
        <v>0</v>
      </c>
      <c r="AC2127" s="220">
        <f t="shared" si="854"/>
        <v>24517</v>
      </c>
      <c r="AD2127" s="274">
        <f t="shared" si="867"/>
        <v>15972</v>
      </c>
      <c r="AE2127" s="210">
        <f t="shared" si="867"/>
        <v>0</v>
      </c>
      <c r="AF2127" s="210">
        <f t="shared" si="867"/>
        <v>0</v>
      </c>
      <c r="AG2127" s="210">
        <f t="shared" si="867"/>
        <v>0</v>
      </c>
      <c r="AH2127" s="210">
        <f t="shared" si="867"/>
        <v>0</v>
      </c>
      <c r="AI2127" s="210">
        <f t="shared" si="867"/>
        <v>0</v>
      </c>
      <c r="AJ2127" s="210">
        <f t="shared" si="867"/>
        <v>13408</v>
      </c>
      <c r="AK2127" s="210">
        <f t="shared" si="867"/>
        <v>0</v>
      </c>
      <c r="AL2127" s="210">
        <f t="shared" si="867"/>
        <v>0</v>
      </c>
      <c r="AM2127" s="210">
        <f t="shared" si="867"/>
        <v>0</v>
      </c>
      <c r="AN2127" s="210">
        <f t="shared" si="867"/>
        <v>0</v>
      </c>
      <c r="AO2127" s="210">
        <f t="shared" si="867"/>
        <v>0</v>
      </c>
      <c r="AP2127" s="210">
        <f t="shared" si="867"/>
        <v>9251</v>
      </c>
      <c r="AQ2127" s="210">
        <f t="shared" si="867"/>
        <v>0</v>
      </c>
      <c r="AR2127" s="210">
        <f t="shared" si="867"/>
        <v>0</v>
      </c>
      <c r="AS2127" s="210">
        <f t="shared" si="867"/>
        <v>0</v>
      </c>
      <c r="AT2127" s="210">
        <f t="shared" si="867"/>
        <v>0</v>
      </c>
      <c r="AU2127" s="210">
        <f t="shared" si="867"/>
        <v>0</v>
      </c>
      <c r="AV2127" s="210">
        <f t="shared" si="867"/>
        <v>9541</v>
      </c>
      <c r="AW2127" s="210">
        <f t="shared" si="867"/>
        <v>0</v>
      </c>
      <c r="AX2127" s="210">
        <f t="shared" si="867"/>
        <v>0</v>
      </c>
      <c r="AY2127" s="210">
        <f t="shared" si="867"/>
        <v>0</v>
      </c>
      <c r="AZ2127" s="210">
        <f t="shared" si="867"/>
        <v>0</v>
      </c>
      <c r="BA2127" s="210">
        <f t="shared" si="867"/>
        <v>0</v>
      </c>
      <c r="BB2127" s="210">
        <f t="shared" si="867"/>
        <v>19110</v>
      </c>
      <c r="BC2127" s="220">
        <f t="shared" si="856"/>
        <v>0</v>
      </c>
      <c r="BD2127" s="210">
        <f t="shared" si="857"/>
        <v>51310</v>
      </c>
      <c r="BE2127" s="210">
        <f t="shared" si="867"/>
        <v>36968</v>
      </c>
      <c r="BF2127" s="220">
        <f t="shared" si="858"/>
        <v>0</v>
      </c>
      <c r="BG2127" s="210">
        <f t="shared" si="859"/>
        <v>75827</v>
      </c>
      <c r="BH2127" s="210">
        <f t="shared" ref="BH2127:BH2161" si="868">AD2127+BE2127</f>
        <v>52940</v>
      </c>
      <c r="BI2127" s="213">
        <f t="shared" ref="BI2127:BI2161" si="869">BG2127/BH2127*100</f>
        <v>143.23196071023801</v>
      </c>
      <c r="BJ2127" s="140">
        <v>52940</v>
      </c>
      <c r="BK2127" s="203">
        <f>BH2127-BJ2127</f>
        <v>0</v>
      </c>
      <c r="BL2127" s="198">
        <v>13260</v>
      </c>
      <c r="BM2127" s="199">
        <f>BG2127-BL2127</f>
        <v>62567</v>
      </c>
    </row>
    <row r="2128" spans="1:65" s="38" customFormat="1" ht="18" customHeight="1">
      <c r="A2128" s="114">
        <v>1</v>
      </c>
      <c r="B2128" s="24" t="s">
        <v>937</v>
      </c>
      <c r="C2128" s="25" t="s">
        <v>938</v>
      </c>
      <c r="D2128" s="121"/>
      <c r="E2128" s="121"/>
      <c r="F2128" s="121"/>
      <c r="G2128" s="121"/>
      <c r="H2128" s="121"/>
      <c r="I2128" s="121">
        <f>81+956</f>
        <v>1037</v>
      </c>
      <c r="J2128" s="121"/>
      <c r="K2128" s="121"/>
      <c r="L2128" s="121"/>
      <c r="M2128" s="121"/>
      <c r="N2128" s="121"/>
      <c r="O2128" s="121">
        <f>50+1014</f>
        <v>1064</v>
      </c>
      <c r="P2128" s="121"/>
      <c r="Q2128" s="121"/>
      <c r="R2128" s="121"/>
      <c r="S2128" s="121"/>
      <c r="T2128" s="121"/>
      <c r="U2128" s="121">
        <f>42+1098+1502</f>
        <v>2642</v>
      </c>
      <c r="V2128" s="121"/>
      <c r="W2128" s="121"/>
      <c r="X2128" s="121"/>
      <c r="Y2128" s="121"/>
      <c r="Z2128" s="121"/>
      <c r="AA2128" s="121">
        <v>76</v>
      </c>
      <c r="AB2128" s="229">
        <f t="shared" ref="AB2128:AB2142" si="870">D2128+F2128+H2128+J2128+L2128+N2128+P2128+R2128+T2128+V2128+X2128+Z2128</f>
        <v>0</v>
      </c>
      <c r="AC2128" s="228">
        <f t="shared" ref="AC2128:AC2142" si="871">E2128+G2128+I2128+K2128+M2128+O2128+Q2128+S2128+U2128+W2128+Y2128+AA2128</f>
        <v>4819</v>
      </c>
      <c r="AD2128" s="19">
        <v>3498</v>
      </c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  <c r="AY2128" s="28"/>
      <c r="AZ2128" s="28"/>
      <c r="BA2128" s="28"/>
      <c r="BB2128" s="28"/>
      <c r="BC2128" s="229">
        <f t="shared" ref="BC2128:BC2142" si="872">AE2128+AG2128+AI2128+AK2128+AM2128+AO2128+AQ2128+AS2128+AU2128+AW2128+AY2128+BA2128</f>
        <v>0</v>
      </c>
      <c r="BD2128" s="48">
        <f t="shared" ref="BD2128:BD2142" si="873">AF2128+AH2128+AJ2128+AL2128+AN2128+AP2128+AR2128+AT2128+AV2128+AX2128+AZ2128+BB2128</f>
        <v>0</v>
      </c>
      <c r="BE2128" s="19">
        <v>0</v>
      </c>
      <c r="BF2128" s="229">
        <f t="shared" ref="BF2128:BF2142" si="874">AB2128+BC2128</f>
        <v>0</v>
      </c>
      <c r="BG2128" s="210">
        <f t="shared" ref="BG2128:BG2142" si="875">AC2128+BD2128</f>
        <v>4819</v>
      </c>
      <c r="BH2128" s="210">
        <f t="shared" si="868"/>
        <v>3498</v>
      </c>
      <c r="BI2128" s="213">
        <f t="shared" ref="BI2128:BI2160" si="876">BG2128/BH2128*100</f>
        <v>137.76443682104059</v>
      </c>
      <c r="BJ2128" s="270" t="s">
        <v>2857</v>
      </c>
      <c r="BK2128" s="201"/>
      <c r="BL2128" s="4"/>
      <c r="BM2128" s="4"/>
    </row>
    <row r="2129" spans="1:65" s="38" customFormat="1" ht="18" customHeight="1">
      <c r="A2129" s="114">
        <v>2</v>
      </c>
      <c r="B2129" s="24" t="s">
        <v>1468</v>
      </c>
      <c r="C2129" s="25" t="s">
        <v>1471</v>
      </c>
      <c r="D2129" s="121"/>
      <c r="E2129" s="121"/>
      <c r="F2129" s="121"/>
      <c r="G2129" s="121"/>
      <c r="H2129" s="121"/>
      <c r="I2129" s="121">
        <f>11+553</f>
        <v>564</v>
      </c>
      <c r="J2129" s="121"/>
      <c r="K2129" s="121"/>
      <c r="L2129" s="121"/>
      <c r="M2129" s="121"/>
      <c r="N2129" s="121"/>
      <c r="O2129" s="121">
        <v>1435</v>
      </c>
      <c r="P2129" s="121"/>
      <c r="Q2129" s="121"/>
      <c r="R2129" s="121"/>
      <c r="S2129" s="121"/>
      <c r="T2129" s="121"/>
      <c r="U2129" s="121">
        <f>1+1891+975</f>
        <v>2867</v>
      </c>
      <c r="V2129" s="121"/>
      <c r="W2129" s="121"/>
      <c r="X2129" s="121"/>
      <c r="Y2129" s="121"/>
      <c r="Z2129" s="121"/>
      <c r="AA2129" s="121">
        <v>3</v>
      </c>
      <c r="AB2129" s="229">
        <f t="shared" si="870"/>
        <v>0</v>
      </c>
      <c r="AC2129" s="228">
        <f t="shared" si="871"/>
        <v>4869</v>
      </c>
      <c r="AD2129" s="19">
        <v>1898</v>
      </c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29">
        <f t="shared" si="872"/>
        <v>0</v>
      </c>
      <c r="BD2129" s="48">
        <f t="shared" si="873"/>
        <v>0</v>
      </c>
      <c r="BE2129" s="19">
        <v>0</v>
      </c>
      <c r="BF2129" s="229">
        <f t="shared" si="874"/>
        <v>0</v>
      </c>
      <c r="BG2129" s="210">
        <f t="shared" si="875"/>
        <v>4869</v>
      </c>
      <c r="BH2129" s="210">
        <f t="shared" si="868"/>
        <v>1898</v>
      </c>
      <c r="BI2129" s="213">
        <f t="shared" si="876"/>
        <v>256.53319283456273</v>
      </c>
      <c r="BJ2129" s="270" t="s">
        <v>2857</v>
      </c>
      <c r="BK2129" s="201"/>
      <c r="BL2129" s="4"/>
      <c r="BM2129" s="4"/>
    </row>
    <row r="2130" spans="1:65" s="38" customFormat="1" ht="18" customHeight="1">
      <c r="A2130" s="114">
        <v>3</v>
      </c>
      <c r="B2130" s="24" t="s">
        <v>1482</v>
      </c>
      <c r="C2130" s="25" t="s">
        <v>1483</v>
      </c>
      <c r="D2130" s="121"/>
      <c r="E2130" s="121"/>
      <c r="F2130" s="121"/>
      <c r="G2130" s="121"/>
      <c r="H2130" s="121"/>
      <c r="I2130" s="121">
        <v>22</v>
      </c>
      <c r="J2130" s="121"/>
      <c r="K2130" s="121"/>
      <c r="L2130" s="121"/>
      <c r="M2130" s="121"/>
      <c r="N2130" s="121"/>
      <c r="O2130" s="121">
        <f>25+50</f>
        <v>75</v>
      </c>
      <c r="P2130" s="121"/>
      <c r="Q2130" s="121"/>
      <c r="R2130" s="121"/>
      <c r="S2130" s="121"/>
      <c r="T2130" s="121"/>
      <c r="U2130" s="121">
        <v>1</v>
      </c>
      <c r="V2130" s="121"/>
      <c r="W2130" s="121"/>
      <c r="X2130" s="121"/>
      <c r="Y2130" s="121"/>
      <c r="Z2130" s="121"/>
      <c r="AA2130" s="121">
        <v>23</v>
      </c>
      <c r="AB2130" s="229">
        <f t="shared" si="870"/>
        <v>0</v>
      </c>
      <c r="AC2130" s="228">
        <f t="shared" si="871"/>
        <v>121</v>
      </c>
      <c r="AD2130" s="19">
        <v>220</v>
      </c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  <c r="AY2130" s="28"/>
      <c r="AZ2130" s="28"/>
      <c r="BA2130" s="28"/>
      <c r="BB2130" s="28"/>
      <c r="BC2130" s="229">
        <f t="shared" si="872"/>
        <v>0</v>
      </c>
      <c r="BD2130" s="48">
        <f t="shared" si="873"/>
        <v>0</v>
      </c>
      <c r="BE2130" s="19">
        <v>0</v>
      </c>
      <c r="BF2130" s="229">
        <f t="shared" si="874"/>
        <v>0</v>
      </c>
      <c r="BG2130" s="210">
        <f t="shared" si="875"/>
        <v>121</v>
      </c>
      <c r="BH2130" s="210">
        <f t="shared" si="868"/>
        <v>220</v>
      </c>
      <c r="BI2130" s="213">
        <f t="shared" si="876"/>
        <v>55.000000000000007</v>
      </c>
      <c r="BJ2130" s="270" t="s">
        <v>2857</v>
      </c>
      <c r="BK2130" s="201"/>
      <c r="BL2130" s="4"/>
      <c r="BM2130" s="4"/>
    </row>
    <row r="2131" spans="1:65" s="38" customFormat="1" ht="18" customHeight="1">
      <c r="A2131" s="114">
        <v>4</v>
      </c>
      <c r="B2131" s="24" t="s">
        <v>939</v>
      </c>
      <c r="C2131" s="25" t="s">
        <v>940</v>
      </c>
      <c r="D2131" s="121"/>
      <c r="E2131" s="121"/>
      <c r="F2131" s="121"/>
      <c r="G2131" s="121"/>
      <c r="H2131" s="121"/>
      <c r="I2131" s="121">
        <f>196+26+1904</f>
        <v>2126</v>
      </c>
      <c r="J2131" s="121"/>
      <c r="K2131" s="121"/>
      <c r="L2131" s="121"/>
      <c r="M2131" s="121"/>
      <c r="N2131" s="121"/>
      <c r="O2131" s="121">
        <f>240+26+1183</f>
        <v>1449</v>
      </c>
      <c r="P2131" s="121"/>
      <c r="Q2131" s="121"/>
      <c r="R2131" s="121"/>
      <c r="S2131" s="121"/>
      <c r="T2131" s="121"/>
      <c r="U2131" s="121">
        <f>260+2+1334+1894</f>
        <v>3490</v>
      </c>
      <c r="V2131" s="121"/>
      <c r="W2131" s="121"/>
      <c r="X2131" s="121"/>
      <c r="Y2131" s="121"/>
      <c r="Z2131" s="121"/>
      <c r="AA2131" s="121">
        <f>258+2</f>
        <v>260</v>
      </c>
      <c r="AB2131" s="229">
        <f t="shared" si="870"/>
        <v>0</v>
      </c>
      <c r="AC2131" s="228">
        <f t="shared" si="871"/>
        <v>7325</v>
      </c>
      <c r="AD2131" s="19">
        <v>4889</v>
      </c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29">
        <f t="shared" si="872"/>
        <v>0</v>
      </c>
      <c r="BD2131" s="48">
        <f t="shared" si="873"/>
        <v>0</v>
      </c>
      <c r="BE2131" s="19">
        <v>0</v>
      </c>
      <c r="BF2131" s="229">
        <f t="shared" si="874"/>
        <v>0</v>
      </c>
      <c r="BG2131" s="210">
        <f t="shared" si="875"/>
        <v>7325</v>
      </c>
      <c r="BH2131" s="210">
        <f t="shared" si="868"/>
        <v>4889</v>
      </c>
      <c r="BI2131" s="213">
        <f t="shared" si="876"/>
        <v>149.82614031499284</v>
      </c>
      <c r="BJ2131" s="270" t="s">
        <v>2857</v>
      </c>
      <c r="BK2131" s="201"/>
      <c r="BL2131" s="4"/>
      <c r="BM2131" s="4"/>
    </row>
    <row r="2132" spans="1:65" s="38" customFormat="1" ht="18" customHeight="1">
      <c r="A2132" s="114">
        <v>5</v>
      </c>
      <c r="B2132" s="24" t="s">
        <v>941</v>
      </c>
      <c r="C2132" s="25" t="s">
        <v>942</v>
      </c>
      <c r="D2132" s="121"/>
      <c r="E2132" s="121"/>
      <c r="F2132" s="121"/>
      <c r="G2132" s="121"/>
      <c r="H2132" s="121"/>
      <c r="I2132" s="121">
        <v>103</v>
      </c>
      <c r="J2132" s="121"/>
      <c r="K2132" s="121"/>
      <c r="L2132" s="121"/>
      <c r="M2132" s="121"/>
      <c r="N2132" s="121"/>
      <c r="O2132" s="121">
        <v>93</v>
      </c>
      <c r="P2132" s="121"/>
      <c r="Q2132" s="121"/>
      <c r="R2132" s="121"/>
      <c r="S2132" s="121"/>
      <c r="T2132" s="121"/>
      <c r="U2132" s="121">
        <v>104</v>
      </c>
      <c r="V2132" s="121"/>
      <c r="W2132" s="121"/>
      <c r="X2132" s="121"/>
      <c r="Y2132" s="121"/>
      <c r="Z2132" s="121"/>
      <c r="AA2132" s="121">
        <v>109</v>
      </c>
      <c r="AB2132" s="229">
        <f t="shared" si="870"/>
        <v>0</v>
      </c>
      <c r="AC2132" s="228">
        <f t="shared" si="871"/>
        <v>409</v>
      </c>
      <c r="AD2132" s="19">
        <v>445</v>
      </c>
      <c r="AE2132" s="28"/>
      <c r="AF2132" s="28"/>
      <c r="AG2132" s="28"/>
      <c r="AH2132" s="28"/>
      <c r="AI2132" s="28"/>
      <c r="AJ2132" s="28">
        <v>1</v>
      </c>
      <c r="AK2132" s="28"/>
      <c r="AL2132" s="28"/>
      <c r="AM2132" s="28"/>
      <c r="AN2132" s="28"/>
      <c r="AO2132" s="28"/>
      <c r="AP2132" s="28">
        <v>3</v>
      </c>
      <c r="AQ2132" s="28"/>
      <c r="AR2132" s="28"/>
      <c r="AS2132" s="28"/>
      <c r="AT2132" s="28"/>
      <c r="AU2132" s="28"/>
      <c r="AV2132" s="28">
        <v>2</v>
      </c>
      <c r="AW2132" s="28"/>
      <c r="AX2132" s="28"/>
      <c r="AY2132" s="28"/>
      <c r="AZ2132" s="28"/>
      <c r="BA2132" s="28"/>
      <c r="BB2132" s="28">
        <v>3</v>
      </c>
      <c r="BC2132" s="229">
        <f t="shared" si="872"/>
        <v>0</v>
      </c>
      <c r="BD2132" s="48">
        <f t="shared" si="873"/>
        <v>9</v>
      </c>
      <c r="BE2132" s="19">
        <v>4</v>
      </c>
      <c r="BF2132" s="229">
        <f t="shared" si="874"/>
        <v>0</v>
      </c>
      <c r="BG2132" s="210">
        <f t="shared" si="875"/>
        <v>418</v>
      </c>
      <c r="BH2132" s="210">
        <f t="shared" si="868"/>
        <v>449</v>
      </c>
      <c r="BI2132" s="213">
        <f t="shared" si="876"/>
        <v>93.095768374164805</v>
      </c>
      <c r="BJ2132" s="141"/>
      <c r="BK2132" s="201"/>
      <c r="BL2132" s="4"/>
      <c r="BM2132" s="4"/>
    </row>
    <row r="2133" spans="1:65" s="38" customFormat="1" ht="21.95" customHeight="1">
      <c r="A2133" s="114">
        <v>6</v>
      </c>
      <c r="B2133" s="24" t="s">
        <v>550</v>
      </c>
      <c r="C2133" s="27" t="s">
        <v>1922</v>
      </c>
      <c r="D2133" s="121"/>
      <c r="E2133" s="121"/>
      <c r="F2133" s="121"/>
      <c r="G2133" s="121"/>
      <c r="H2133" s="121"/>
      <c r="I2133" s="121">
        <v>119</v>
      </c>
      <c r="J2133" s="121"/>
      <c r="K2133" s="121"/>
      <c r="L2133" s="121"/>
      <c r="M2133" s="121"/>
      <c r="N2133" s="121"/>
      <c r="O2133" s="121">
        <v>111</v>
      </c>
      <c r="P2133" s="121"/>
      <c r="Q2133" s="121"/>
      <c r="R2133" s="121"/>
      <c r="S2133" s="121"/>
      <c r="T2133" s="121"/>
      <c r="U2133" s="121">
        <v>127</v>
      </c>
      <c r="V2133" s="121"/>
      <c r="W2133" s="121"/>
      <c r="X2133" s="121"/>
      <c r="Y2133" s="121"/>
      <c r="Z2133" s="121"/>
      <c r="AA2133" s="121">
        <v>122</v>
      </c>
      <c r="AB2133" s="229">
        <f t="shared" si="870"/>
        <v>0</v>
      </c>
      <c r="AC2133" s="228">
        <f t="shared" si="871"/>
        <v>479</v>
      </c>
      <c r="AD2133" s="19">
        <v>475</v>
      </c>
      <c r="AE2133" s="28"/>
      <c r="AF2133" s="28"/>
      <c r="AG2133" s="28"/>
      <c r="AH2133" s="28"/>
      <c r="AI2133" s="28"/>
      <c r="AJ2133" s="28">
        <v>1</v>
      </c>
      <c r="AK2133" s="28"/>
      <c r="AL2133" s="28"/>
      <c r="AM2133" s="28"/>
      <c r="AN2133" s="28"/>
      <c r="AO2133" s="28"/>
      <c r="AP2133" s="28">
        <v>3</v>
      </c>
      <c r="AQ2133" s="28"/>
      <c r="AR2133" s="28"/>
      <c r="AS2133" s="28"/>
      <c r="AT2133" s="28"/>
      <c r="AU2133" s="28"/>
      <c r="AV2133" s="28">
        <v>2</v>
      </c>
      <c r="AW2133" s="28"/>
      <c r="AX2133" s="28"/>
      <c r="AY2133" s="28"/>
      <c r="AZ2133" s="28"/>
      <c r="BA2133" s="28"/>
      <c r="BB2133" s="28">
        <v>3</v>
      </c>
      <c r="BC2133" s="229">
        <f t="shared" si="872"/>
        <v>0</v>
      </c>
      <c r="BD2133" s="48">
        <f t="shared" si="873"/>
        <v>9</v>
      </c>
      <c r="BE2133" s="19">
        <v>4</v>
      </c>
      <c r="BF2133" s="229">
        <f t="shared" si="874"/>
        <v>0</v>
      </c>
      <c r="BG2133" s="210">
        <f t="shared" si="875"/>
        <v>488</v>
      </c>
      <c r="BH2133" s="210">
        <f t="shared" si="868"/>
        <v>479</v>
      </c>
      <c r="BI2133" s="213">
        <f t="shared" si="876"/>
        <v>101.87891440501045</v>
      </c>
      <c r="BJ2133" s="141"/>
      <c r="BK2133" s="201"/>
      <c r="BL2133" s="4"/>
      <c r="BM2133" s="4"/>
    </row>
    <row r="2134" spans="1:65" s="38" customFormat="1" ht="18" customHeight="1">
      <c r="A2134" s="114">
        <v>7</v>
      </c>
      <c r="B2134" s="24" t="s">
        <v>557</v>
      </c>
      <c r="C2134" s="25" t="s">
        <v>558</v>
      </c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>
        <v>1</v>
      </c>
      <c r="V2134" s="121"/>
      <c r="W2134" s="121"/>
      <c r="X2134" s="121"/>
      <c r="Y2134" s="121"/>
      <c r="Z2134" s="121"/>
      <c r="AA2134" s="121"/>
      <c r="AB2134" s="229">
        <f t="shared" si="870"/>
        <v>0</v>
      </c>
      <c r="AC2134" s="228">
        <f t="shared" si="871"/>
        <v>1</v>
      </c>
      <c r="AD2134" s="19">
        <v>1</v>
      </c>
      <c r="AE2134" s="28"/>
      <c r="AF2134" s="28"/>
      <c r="AG2134" s="28"/>
      <c r="AH2134" s="28"/>
      <c r="AI2134" s="28"/>
      <c r="AJ2134" s="28">
        <v>8</v>
      </c>
      <c r="AK2134" s="28"/>
      <c r="AL2134" s="28"/>
      <c r="AM2134" s="28"/>
      <c r="AN2134" s="28"/>
      <c r="AO2134" s="28"/>
      <c r="AP2134" s="28">
        <f>7+10</f>
        <v>17</v>
      </c>
      <c r="AQ2134" s="28"/>
      <c r="AR2134" s="28"/>
      <c r="AS2134" s="28"/>
      <c r="AT2134" s="28"/>
      <c r="AU2134" s="28"/>
      <c r="AV2134" s="28">
        <v>7</v>
      </c>
      <c r="AW2134" s="28"/>
      <c r="AX2134" s="28"/>
      <c r="AY2134" s="28"/>
      <c r="AZ2134" s="28"/>
      <c r="BA2134" s="28"/>
      <c r="BB2134" s="28">
        <f>3+14</f>
        <v>17</v>
      </c>
      <c r="BC2134" s="229">
        <f t="shared" si="872"/>
        <v>0</v>
      </c>
      <c r="BD2134" s="48">
        <f t="shared" si="873"/>
        <v>49</v>
      </c>
      <c r="BE2134" s="19">
        <v>72</v>
      </c>
      <c r="BF2134" s="229">
        <f t="shared" si="874"/>
        <v>0</v>
      </c>
      <c r="BG2134" s="210">
        <f t="shared" si="875"/>
        <v>50</v>
      </c>
      <c r="BH2134" s="210">
        <f t="shared" si="868"/>
        <v>73</v>
      </c>
      <c r="BI2134" s="213">
        <f t="shared" si="876"/>
        <v>68.493150684931507</v>
      </c>
      <c r="BJ2134" s="141"/>
      <c r="BK2134" s="201"/>
      <c r="BL2134" s="4"/>
      <c r="BM2134" s="4"/>
    </row>
    <row r="2135" spans="1:65" s="38" customFormat="1" ht="18" customHeight="1">
      <c r="A2135" s="114">
        <v>8</v>
      </c>
      <c r="B2135" s="24" t="s">
        <v>561</v>
      </c>
      <c r="C2135" s="25" t="s">
        <v>562</v>
      </c>
      <c r="D2135" s="121"/>
      <c r="E2135" s="121"/>
      <c r="F2135" s="121"/>
      <c r="G2135" s="121"/>
      <c r="H2135" s="121"/>
      <c r="I2135" s="121">
        <f>159+42</f>
        <v>201</v>
      </c>
      <c r="J2135" s="121"/>
      <c r="K2135" s="121"/>
      <c r="L2135" s="121"/>
      <c r="M2135" s="121"/>
      <c r="N2135" s="121"/>
      <c r="O2135" s="121">
        <f>213+25</f>
        <v>238</v>
      </c>
      <c r="P2135" s="121"/>
      <c r="Q2135" s="121"/>
      <c r="R2135" s="121"/>
      <c r="S2135" s="121"/>
      <c r="T2135" s="121"/>
      <c r="U2135" s="121">
        <f>170+2</f>
        <v>172</v>
      </c>
      <c r="V2135" s="121"/>
      <c r="W2135" s="121"/>
      <c r="X2135" s="121"/>
      <c r="Y2135" s="121"/>
      <c r="Z2135" s="121"/>
      <c r="AA2135" s="121">
        <f>203+2</f>
        <v>205</v>
      </c>
      <c r="AB2135" s="229">
        <f t="shared" si="870"/>
        <v>0</v>
      </c>
      <c r="AC2135" s="228">
        <f t="shared" si="871"/>
        <v>816</v>
      </c>
      <c r="AD2135" s="19">
        <v>515</v>
      </c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>
        <v>1</v>
      </c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29">
        <f t="shared" si="872"/>
        <v>0</v>
      </c>
      <c r="BD2135" s="48">
        <f t="shared" si="873"/>
        <v>1</v>
      </c>
      <c r="BE2135" s="19">
        <v>2</v>
      </c>
      <c r="BF2135" s="229">
        <f t="shared" si="874"/>
        <v>0</v>
      </c>
      <c r="BG2135" s="210">
        <f t="shared" si="875"/>
        <v>817</v>
      </c>
      <c r="BH2135" s="210">
        <f t="shared" si="868"/>
        <v>517</v>
      </c>
      <c r="BI2135" s="213">
        <f t="shared" si="876"/>
        <v>158.02707930367507</v>
      </c>
      <c r="BJ2135" s="141"/>
      <c r="BK2135" s="201"/>
      <c r="BL2135" s="4"/>
      <c r="BM2135" s="4"/>
    </row>
    <row r="2136" spans="1:65" s="38" customFormat="1" ht="18" customHeight="1">
      <c r="A2136" s="114">
        <v>9</v>
      </c>
      <c r="B2136" s="24" t="s">
        <v>674</v>
      </c>
      <c r="C2136" s="25" t="s">
        <v>943</v>
      </c>
      <c r="D2136" s="121"/>
      <c r="E2136" s="121"/>
      <c r="F2136" s="121"/>
      <c r="G2136" s="121"/>
      <c r="H2136" s="121"/>
      <c r="I2136" s="121">
        <v>38</v>
      </c>
      <c r="J2136" s="121"/>
      <c r="K2136" s="121"/>
      <c r="L2136" s="121"/>
      <c r="M2136" s="121"/>
      <c r="N2136" s="121"/>
      <c r="O2136" s="121">
        <f>41+50</f>
        <v>91</v>
      </c>
      <c r="P2136" s="121"/>
      <c r="Q2136" s="121"/>
      <c r="R2136" s="121"/>
      <c r="S2136" s="121"/>
      <c r="T2136" s="121"/>
      <c r="U2136" s="121">
        <v>55</v>
      </c>
      <c r="V2136" s="121"/>
      <c r="W2136" s="121"/>
      <c r="X2136" s="121"/>
      <c r="Y2136" s="121"/>
      <c r="Z2136" s="121"/>
      <c r="AA2136" s="121">
        <v>62</v>
      </c>
      <c r="AB2136" s="229">
        <f t="shared" si="870"/>
        <v>0</v>
      </c>
      <c r="AC2136" s="228">
        <f t="shared" si="871"/>
        <v>246</v>
      </c>
      <c r="AD2136" s="19">
        <v>258</v>
      </c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  <c r="AZ2136" s="28"/>
      <c r="BA2136" s="28"/>
      <c r="BB2136" s="28"/>
      <c r="BC2136" s="229">
        <f t="shared" si="872"/>
        <v>0</v>
      </c>
      <c r="BD2136" s="48">
        <f t="shared" si="873"/>
        <v>0</v>
      </c>
      <c r="BE2136" s="19">
        <v>0</v>
      </c>
      <c r="BF2136" s="229">
        <f t="shared" si="874"/>
        <v>0</v>
      </c>
      <c r="BG2136" s="210">
        <f t="shared" si="875"/>
        <v>246</v>
      </c>
      <c r="BH2136" s="210">
        <f t="shared" si="868"/>
        <v>258</v>
      </c>
      <c r="BI2136" s="213">
        <f t="shared" si="876"/>
        <v>95.348837209302332</v>
      </c>
      <c r="BJ2136" s="141"/>
      <c r="BK2136" s="201"/>
      <c r="BL2136" s="4"/>
      <c r="BM2136" s="4"/>
    </row>
    <row r="2137" spans="1:65" s="38" customFormat="1" ht="18" customHeight="1">
      <c r="A2137" s="114">
        <v>10</v>
      </c>
      <c r="B2137" s="24" t="s">
        <v>571</v>
      </c>
      <c r="C2137" s="25" t="s">
        <v>572</v>
      </c>
      <c r="D2137" s="121"/>
      <c r="E2137" s="121"/>
      <c r="F2137" s="121"/>
      <c r="G2137" s="121"/>
      <c r="H2137" s="121"/>
      <c r="I2137" s="121">
        <v>319</v>
      </c>
      <c r="J2137" s="121"/>
      <c r="K2137" s="121"/>
      <c r="L2137" s="121"/>
      <c r="M2137" s="121"/>
      <c r="N2137" s="121"/>
      <c r="O2137" s="121">
        <v>204</v>
      </c>
      <c r="P2137" s="121"/>
      <c r="Q2137" s="121"/>
      <c r="R2137" s="121"/>
      <c r="S2137" s="121"/>
      <c r="T2137" s="121"/>
      <c r="U2137" s="121">
        <v>137</v>
      </c>
      <c r="V2137" s="121"/>
      <c r="W2137" s="121"/>
      <c r="X2137" s="121"/>
      <c r="Y2137" s="121"/>
      <c r="Z2137" s="121"/>
      <c r="AA2137" s="121">
        <v>349</v>
      </c>
      <c r="AB2137" s="229">
        <f t="shared" si="870"/>
        <v>0</v>
      </c>
      <c r="AC2137" s="228">
        <f t="shared" si="871"/>
        <v>1009</v>
      </c>
      <c r="AD2137" s="19">
        <v>797</v>
      </c>
      <c r="AE2137" s="28"/>
      <c r="AF2137" s="28"/>
      <c r="AG2137" s="28"/>
      <c r="AH2137" s="28"/>
      <c r="AI2137" s="28"/>
      <c r="AJ2137" s="28">
        <v>1067</v>
      </c>
      <c r="AK2137" s="28"/>
      <c r="AL2137" s="28"/>
      <c r="AM2137" s="28"/>
      <c r="AN2137" s="28"/>
      <c r="AO2137" s="28"/>
      <c r="AP2137" s="28">
        <f>856+1+29</f>
        <v>886</v>
      </c>
      <c r="AQ2137" s="28"/>
      <c r="AR2137" s="28"/>
      <c r="AS2137" s="28"/>
      <c r="AT2137" s="28"/>
      <c r="AU2137" s="28"/>
      <c r="AV2137" s="28">
        <f>820+20</f>
        <v>840</v>
      </c>
      <c r="AW2137" s="28"/>
      <c r="AX2137" s="28"/>
      <c r="AY2137" s="28"/>
      <c r="AZ2137" s="28"/>
      <c r="BA2137" s="28"/>
      <c r="BB2137" s="28">
        <f>1200+51</f>
        <v>1251</v>
      </c>
      <c r="BC2137" s="229">
        <f t="shared" si="872"/>
        <v>0</v>
      </c>
      <c r="BD2137" s="48">
        <f t="shared" si="873"/>
        <v>4044</v>
      </c>
      <c r="BE2137" s="19">
        <v>3257</v>
      </c>
      <c r="BF2137" s="229">
        <f t="shared" si="874"/>
        <v>0</v>
      </c>
      <c r="BG2137" s="210">
        <f t="shared" si="875"/>
        <v>5053</v>
      </c>
      <c r="BH2137" s="210">
        <f t="shared" si="868"/>
        <v>4054</v>
      </c>
      <c r="BI2137" s="213">
        <f t="shared" si="876"/>
        <v>124.64232856438086</v>
      </c>
      <c r="BJ2137" s="141"/>
      <c r="BK2137" s="201"/>
      <c r="BL2137" s="4"/>
      <c r="BM2137" s="4"/>
    </row>
    <row r="2138" spans="1:65" s="38" customFormat="1" ht="18" customHeight="1">
      <c r="A2138" s="114">
        <v>11</v>
      </c>
      <c r="B2138" s="24" t="s">
        <v>573</v>
      </c>
      <c r="C2138" s="25" t="s">
        <v>574</v>
      </c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229">
        <f t="shared" si="870"/>
        <v>0</v>
      </c>
      <c r="AC2138" s="228">
        <f t="shared" si="871"/>
        <v>0</v>
      </c>
      <c r="AD2138" s="19">
        <v>1</v>
      </c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/>
      <c r="AZ2138" s="28"/>
      <c r="BA2138" s="28"/>
      <c r="BB2138" s="28"/>
      <c r="BC2138" s="229">
        <f t="shared" si="872"/>
        <v>0</v>
      </c>
      <c r="BD2138" s="48">
        <f t="shared" si="873"/>
        <v>0</v>
      </c>
      <c r="BE2138" s="19">
        <v>0</v>
      </c>
      <c r="BF2138" s="229">
        <f t="shared" si="874"/>
        <v>0</v>
      </c>
      <c r="BG2138" s="210">
        <f t="shared" si="875"/>
        <v>0</v>
      </c>
      <c r="BH2138" s="210">
        <f t="shared" si="868"/>
        <v>1</v>
      </c>
      <c r="BI2138" s="213">
        <f t="shared" si="876"/>
        <v>0</v>
      </c>
      <c r="BJ2138" s="141"/>
      <c r="BK2138" s="201"/>
      <c r="BL2138" s="4"/>
      <c r="BM2138" s="4"/>
    </row>
    <row r="2139" spans="1:65" s="38" customFormat="1" ht="18" customHeight="1">
      <c r="A2139" s="114">
        <v>12</v>
      </c>
      <c r="B2139" s="24" t="s">
        <v>585</v>
      </c>
      <c r="C2139" s="25" t="s">
        <v>586</v>
      </c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>
        <v>4</v>
      </c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229">
        <f t="shared" si="870"/>
        <v>0</v>
      </c>
      <c r="AC2139" s="228">
        <f t="shared" si="871"/>
        <v>4</v>
      </c>
      <c r="AD2139" s="19">
        <v>3</v>
      </c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>
        <v>7</v>
      </c>
      <c r="AW2139" s="28"/>
      <c r="AX2139" s="28"/>
      <c r="AY2139" s="28"/>
      <c r="AZ2139" s="28"/>
      <c r="BA2139" s="28"/>
      <c r="BB2139" s="28">
        <v>8</v>
      </c>
      <c r="BC2139" s="229">
        <f t="shared" si="872"/>
        <v>0</v>
      </c>
      <c r="BD2139" s="48">
        <f t="shared" si="873"/>
        <v>15</v>
      </c>
      <c r="BE2139" s="19">
        <v>9</v>
      </c>
      <c r="BF2139" s="229">
        <f t="shared" si="874"/>
        <v>0</v>
      </c>
      <c r="BG2139" s="210">
        <f t="shared" si="875"/>
        <v>19</v>
      </c>
      <c r="BH2139" s="210">
        <f t="shared" si="868"/>
        <v>12</v>
      </c>
      <c r="BI2139" s="213">
        <f t="shared" si="876"/>
        <v>158.33333333333331</v>
      </c>
      <c r="BJ2139" s="141"/>
      <c r="BK2139" s="201"/>
      <c r="BL2139" s="4"/>
      <c r="BM2139" s="4"/>
    </row>
    <row r="2140" spans="1:65" s="38" customFormat="1" ht="18" customHeight="1">
      <c r="A2140" s="114">
        <v>13</v>
      </c>
      <c r="B2140" s="24" t="s">
        <v>1972</v>
      </c>
      <c r="C2140" s="25" t="s">
        <v>1973</v>
      </c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229">
        <f t="shared" si="870"/>
        <v>0</v>
      </c>
      <c r="AC2140" s="228">
        <f t="shared" si="871"/>
        <v>0</v>
      </c>
      <c r="AD2140" s="19">
        <v>0</v>
      </c>
      <c r="AE2140" s="28"/>
      <c r="AF2140" s="28"/>
      <c r="AG2140" s="28"/>
      <c r="AH2140" s="28"/>
      <c r="AI2140" s="28"/>
      <c r="AJ2140" s="28">
        <v>109</v>
      </c>
      <c r="AK2140" s="28"/>
      <c r="AL2140" s="28"/>
      <c r="AM2140" s="28"/>
      <c r="AN2140" s="28"/>
      <c r="AO2140" s="28"/>
      <c r="AP2140" s="28">
        <v>62</v>
      </c>
      <c r="AQ2140" s="28"/>
      <c r="AR2140" s="28"/>
      <c r="AS2140" s="28"/>
      <c r="AT2140" s="28"/>
      <c r="AU2140" s="28"/>
      <c r="AV2140" s="28">
        <v>79</v>
      </c>
      <c r="AW2140" s="28"/>
      <c r="AX2140" s="28"/>
      <c r="AY2140" s="28"/>
      <c r="AZ2140" s="28"/>
      <c r="BA2140" s="28"/>
      <c r="BB2140" s="28">
        <v>48</v>
      </c>
      <c r="BC2140" s="229">
        <f t="shared" si="872"/>
        <v>0</v>
      </c>
      <c r="BD2140" s="48">
        <f t="shared" si="873"/>
        <v>298</v>
      </c>
      <c r="BE2140" s="19">
        <v>224</v>
      </c>
      <c r="BF2140" s="229">
        <f t="shared" si="874"/>
        <v>0</v>
      </c>
      <c r="BG2140" s="210">
        <f t="shared" si="875"/>
        <v>298</v>
      </c>
      <c r="BH2140" s="210">
        <f t="shared" si="868"/>
        <v>224</v>
      </c>
      <c r="BI2140" s="213">
        <f t="shared" si="876"/>
        <v>133.03571428571428</v>
      </c>
      <c r="BJ2140" s="141"/>
      <c r="BK2140" s="201"/>
      <c r="BL2140" s="4"/>
      <c r="BM2140" s="4"/>
    </row>
    <row r="2141" spans="1:65" s="38" customFormat="1" ht="18" customHeight="1">
      <c r="A2141" s="330"/>
      <c r="B2141" s="331" t="s">
        <v>757</v>
      </c>
      <c r="C2141" s="332" t="s">
        <v>758</v>
      </c>
      <c r="D2141" s="333"/>
      <c r="E2141" s="333"/>
      <c r="F2141" s="333"/>
      <c r="G2141" s="333"/>
      <c r="H2141" s="333"/>
      <c r="I2141" s="333"/>
      <c r="J2141" s="333"/>
      <c r="K2141" s="333"/>
      <c r="L2141" s="333"/>
      <c r="M2141" s="333"/>
      <c r="N2141" s="333"/>
      <c r="O2141" s="333"/>
      <c r="P2141" s="333"/>
      <c r="Q2141" s="333"/>
      <c r="R2141" s="333"/>
      <c r="S2141" s="333"/>
      <c r="T2141" s="333"/>
      <c r="U2141" s="333"/>
      <c r="V2141" s="333"/>
      <c r="W2141" s="333"/>
      <c r="X2141" s="333"/>
      <c r="Y2141" s="333"/>
      <c r="Z2141" s="333"/>
      <c r="AA2141" s="333"/>
      <c r="AB2141" s="323"/>
      <c r="AC2141" s="228">
        <f t="shared" si="871"/>
        <v>0</v>
      </c>
      <c r="AD2141" s="326">
        <v>0</v>
      </c>
      <c r="AE2141" s="334"/>
      <c r="AF2141" s="334"/>
      <c r="AG2141" s="334"/>
      <c r="AH2141" s="334"/>
      <c r="AI2141" s="334"/>
      <c r="AJ2141" s="334"/>
      <c r="AK2141" s="334"/>
      <c r="AL2141" s="334"/>
      <c r="AM2141" s="334"/>
      <c r="AN2141" s="334"/>
      <c r="AO2141" s="334"/>
      <c r="AP2141" s="334"/>
      <c r="AQ2141" s="334"/>
      <c r="AR2141" s="334"/>
      <c r="AS2141" s="334"/>
      <c r="AT2141" s="334"/>
      <c r="AU2141" s="334"/>
      <c r="AV2141" s="334"/>
      <c r="AW2141" s="334"/>
      <c r="AX2141" s="334"/>
      <c r="AY2141" s="334"/>
      <c r="AZ2141" s="334"/>
      <c r="BA2141" s="334"/>
      <c r="BB2141" s="334">
        <v>1</v>
      </c>
      <c r="BC2141" s="323"/>
      <c r="BD2141" s="48">
        <f t="shared" si="873"/>
        <v>1</v>
      </c>
      <c r="BE2141" s="326">
        <v>0</v>
      </c>
      <c r="BF2141" s="323"/>
      <c r="BG2141" s="210">
        <f t="shared" ref="BG2141" si="877">AC2141+BD2141</f>
        <v>1</v>
      </c>
      <c r="BH2141" s="210">
        <f t="shared" ref="BH2141" si="878">AD2141+BE2141</f>
        <v>0</v>
      </c>
      <c r="BI2141" s="213" t="e">
        <f t="shared" ref="BI2141" si="879">BG2141/BH2141*100</f>
        <v>#DIV/0!</v>
      </c>
      <c r="BJ2141" s="141"/>
      <c r="BK2141" s="201"/>
      <c r="BL2141" s="4"/>
      <c r="BM2141" s="4"/>
    </row>
    <row r="2142" spans="1:65" s="38" customFormat="1" ht="18" customHeight="1">
      <c r="A2142" s="114">
        <v>14</v>
      </c>
      <c r="B2142" s="24" t="s">
        <v>794</v>
      </c>
      <c r="C2142" s="25" t="s">
        <v>1974</v>
      </c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229">
        <f t="shared" si="870"/>
        <v>0</v>
      </c>
      <c r="AC2142" s="228">
        <f t="shared" si="871"/>
        <v>0</v>
      </c>
      <c r="AD2142" s="19">
        <v>0</v>
      </c>
      <c r="AE2142" s="28"/>
      <c r="AF2142" s="28"/>
      <c r="AG2142" s="28"/>
      <c r="AH2142" s="28"/>
      <c r="AI2142" s="28"/>
      <c r="AJ2142" s="28">
        <v>75</v>
      </c>
      <c r="AK2142" s="28"/>
      <c r="AL2142" s="28"/>
      <c r="AM2142" s="28"/>
      <c r="AN2142" s="28"/>
      <c r="AO2142" s="28"/>
      <c r="AP2142" s="28">
        <v>40</v>
      </c>
      <c r="AQ2142" s="28"/>
      <c r="AR2142" s="28"/>
      <c r="AS2142" s="28"/>
      <c r="AT2142" s="28"/>
      <c r="AU2142" s="28"/>
      <c r="AV2142" s="28">
        <v>67</v>
      </c>
      <c r="AW2142" s="28"/>
      <c r="AX2142" s="28"/>
      <c r="AY2142" s="28"/>
      <c r="AZ2142" s="28"/>
      <c r="BA2142" s="28"/>
      <c r="BB2142" s="28">
        <v>52</v>
      </c>
      <c r="BC2142" s="229">
        <f t="shared" si="872"/>
        <v>0</v>
      </c>
      <c r="BD2142" s="48">
        <f t="shared" si="873"/>
        <v>234</v>
      </c>
      <c r="BE2142" s="19">
        <v>272</v>
      </c>
      <c r="BF2142" s="229">
        <f t="shared" si="874"/>
        <v>0</v>
      </c>
      <c r="BG2142" s="210">
        <f t="shared" si="875"/>
        <v>234</v>
      </c>
      <c r="BH2142" s="210">
        <f t="shared" si="868"/>
        <v>272</v>
      </c>
      <c r="BI2142" s="213">
        <f t="shared" si="876"/>
        <v>86.029411764705884</v>
      </c>
      <c r="BJ2142" s="141"/>
      <c r="BK2142" s="201"/>
      <c r="BL2142" s="4"/>
      <c r="BM2142" s="4"/>
    </row>
    <row r="2143" spans="1:65" s="38" customFormat="1" ht="18" customHeight="1">
      <c r="A2143" s="114">
        <v>15</v>
      </c>
      <c r="B2143" s="24" t="s">
        <v>933</v>
      </c>
      <c r="C2143" s="25" t="s">
        <v>934</v>
      </c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229"/>
      <c r="AC2143" s="228">
        <f t="shared" ref="AC2143:AC2160" si="880">E2143+G2143+I2143+K2143+M2143+O2143+Q2143+S2143+U2143+W2143+Y2143+AA2143</f>
        <v>0</v>
      </c>
      <c r="AD2143" s="19">
        <v>0</v>
      </c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>
        <v>3</v>
      </c>
      <c r="AW2143" s="28"/>
      <c r="AX2143" s="28"/>
      <c r="AY2143" s="28"/>
      <c r="AZ2143" s="28"/>
      <c r="BA2143" s="28"/>
      <c r="BB2143" s="28"/>
      <c r="BC2143" s="229"/>
      <c r="BD2143" s="48">
        <f t="shared" ref="BD2143:BD2160" si="881">AF2143+AH2143+AJ2143+AL2143+AN2143+AP2143+AR2143+AT2143+AV2143+AX2143+AZ2143+BB2143</f>
        <v>3</v>
      </c>
      <c r="BE2143" s="19">
        <v>0</v>
      </c>
      <c r="BF2143" s="229"/>
      <c r="BG2143" s="210">
        <f t="shared" ref="BG2143:BG2160" si="882">AC2143+BD2143</f>
        <v>3</v>
      </c>
      <c r="BH2143" s="210">
        <f t="shared" si="868"/>
        <v>0</v>
      </c>
      <c r="BI2143" s="213" t="e">
        <f t="shared" si="876"/>
        <v>#DIV/0!</v>
      </c>
      <c r="BJ2143" s="141"/>
      <c r="BK2143" s="201"/>
      <c r="BL2143" s="4"/>
      <c r="BM2143" s="4"/>
    </row>
    <row r="2144" spans="1:65" s="38" customFormat="1" ht="18" customHeight="1">
      <c r="A2144" s="114">
        <v>16</v>
      </c>
      <c r="B2144" s="24" t="s">
        <v>944</v>
      </c>
      <c r="C2144" s="25" t="s">
        <v>945</v>
      </c>
      <c r="D2144" s="121"/>
      <c r="E2144" s="121"/>
      <c r="F2144" s="121"/>
      <c r="G2144" s="121"/>
      <c r="H2144" s="121"/>
      <c r="I2144" s="121">
        <v>81</v>
      </c>
      <c r="J2144" s="121"/>
      <c r="K2144" s="121"/>
      <c r="L2144" s="121"/>
      <c r="M2144" s="121"/>
      <c r="N2144" s="121"/>
      <c r="O2144" s="121">
        <v>78</v>
      </c>
      <c r="P2144" s="121"/>
      <c r="Q2144" s="121"/>
      <c r="R2144" s="121"/>
      <c r="S2144" s="121"/>
      <c r="T2144" s="121"/>
      <c r="U2144" s="121">
        <v>63</v>
      </c>
      <c r="V2144" s="121"/>
      <c r="W2144" s="121"/>
      <c r="X2144" s="121"/>
      <c r="Y2144" s="121"/>
      <c r="Z2144" s="121"/>
      <c r="AA2144" s="121">
        <v>124</v>
      </c>
      <c r="AB2144" s="229">
        <f t="shared" ref="AB2144:AB2160" si="883">D2144+F2144+H2144+J2144+L2144+N2144+P2144+R2144+T2144+V2144+X2144+Z2144</f>
        <v>0</v>
      </c>
      <c r="AC2144" s="228">
        <f t="shared" si="880"/>
        <v>346</v>
      </c>
      <c r="AD2144" s="19">
        <v>265</v>
      </c>
      <c r="AE2144" s="28"/>
      <c r="AF2144" s="28"/>
      <c r="AG2144" s="28"/>
      <c r="AH2144" s="28"/>
      <c r="AI2144" s="28"/>
      <c r="AJ2144" s="28">
        <v>1312</v>
      </c>
      <c r="AK2144" s="28"/>
      <c r="AL2144" s="28"/>
      <c r="AM2144" s="28"/>
      <c r="AN2144" s="28"/>
      <c r="AO2144" s="28"/>
      <c r="AP2144" s="28">
        <f>862+3</f>
        <v>865</v>
      </c>
      <c r="AQ2144" s="28"/>
      <c r="AR2144" s="28"/>
      <c r="AS2144" s="28"/>
      <c r="AT2144" s="28"/>
      <c r="AU2144" s="28"/>
      <c r="AV2144" s="28">
        <v>840</v>
      </c>
      <c r="AW2144" s="28"/>
      <c r="AX2144" s="28"/>
      <c r="AY2144" s="28"/>
      <c r="AZ2144" s="28"/>
      <c r="BA2144" s="28"/>
      <c r="BB2144" s="28">
        <v>2272</v>
      </c>
      <c r="BC2144" s="229">
        <f t="shared" ref="BC2144:BC2160" si="884">AE2144+AG2144+AI2144+AK2144+AM2144+AO2144+AQ2144+AS2144+AU2144+AW2144+AY2144+BA2144</f>
        <v>0</v>
      </c>
      <c r="BD2144" s="48">
        <f t="shared" si="881"/>
        <v>5289</v>
      </c>
      <c r="BE2144" s="19">
        <v>3598</v>
      </c>
      <c r="BF2144" s="229">
        <f t="shared" ref="BF2144:BF2160" si="885">AB2144+BC2144</f>
        <v>0</v>
      </c>
      <c r="BG2144" s="210">
        <f t="shared" si="882"/>
        <v>5635</v>
      </c>
      <c r="BH2144" s="210">
        <f t="shared" si="868"/>
        <v>3863</v>
      </c>
      <c r="BI2144" s="213">
        <f t="shared" si="876"/>
        <v>145.87108464923634</v>
      </c>
      <c r="BJ2144" s="141"/>
      <c r="BK2144" s="201"/>
      <c r="BL2144" s="4"/>
      <c r="BM2144" s="4"/>
    </row>
    <row r="2145" spans="1:65" s="38" customFormat="1" ht="18" customHeight="1">
      <c r="A2145" s="114">
        <v>17</v>
      </c>
      <c r="B2145" s="24" t="s">
        <v>632</v>
      </c>
      <c r="C2145" s="25" t="s">
        <v>633</v>
      </c>
      <c r="D2145" s="121"/>
      <c r="E2145" s="121"/>
      <c r="F2145" s="121"/>
      <c r="G2145" s="121"/>
      <c r="H2145" s="121"/>
      <c r="I2145" s="121">
        <v>48</v>
      </c>
      <c r="J2145" s="121"/>
      <c r="K2145" s="121"/>
      <c r="L2145" s="121"/>
      <c r="M2145" s="121"/>
      <c r="N2145" s="121"/>
      <c r="O2145" s="121">
        <v>58</v>
      </c>
      <c r="P2145" s="121"/>
      <c r="Q2145" s="121"/>
      <c r="R2145" s="121"/>
      <c r="S2145" s="121"/>
      <c r="T2145" s="121"/>
      <c r="U2145" s="121">
        <v>44</v>
      </c>
      <c r="V2145" s="121"/>
      <c r="W2145" s="121"/>
      <c r="X2145" s="121"/>
      <c r="Y2145" s="121"/>
      <c r="Z2145" s="121"/>
      <c r="AA2145" s="121">
        <v>121</v>
      </c>
      <c r="AB2145" s="229">
        <f t="shared" si="883"/>
        <v>0</v>
      </c>
      <c r="AC2145" s="228">
        <f t="shared" si="880"/>
        <v>271</v>
      </c>
      <c r="AD2145" s="19">
        <v>221</v>
      </c>
      <c r="AE2145" s="28"/>
      <c r="AF2145" s="28"/>
      <c r="AG2145" s="28"/>
      <c r="AH2145" s="28"/>
      <c r="AI2145" s="28"/>
      <c r="AJ2145" s="28">
        <v>2506</v>
      </c>
      <c r="AK2145" s="28"/>
      <c r="AL2145" s="28"/>
      <c r="AM2145" s="28"/>
      <c r="AN2145" s="28"/>
      <c r="AO2145" s="28"/>
      <c r="AP2145" s="28">
        <f>1863+12</f>
        <v>1875</v>
      </c>
      <c r="AQ2145" s="28"/>
      <c r="AR2145" s="28"/>
      <c r="AS2145" s="28"/>
      <c r="AT2145" s="28"/>
      <c r="AU2145" s="28"/>
      <c r="AV2145" s="28">
        <v>1709</v>
      </c>
      <c r="AW2145" s="28"/>
      <c r="AX2145" s="28"/>
      <c r="AY2145" s="28"/>
      <c r="AZ2145" s="28"/>
      <c r="BA2145" s="28"/>
      <c r="BB2145" s="28">
        <f>5442+1</f>
        <v>5443</v>
      </c>
      <c r="BC2145" s="229">
        <f t="shared" si="884"/>
        <v>0</v>
      </c>
      <c r="BD2145" s="48">
        <f t="shared" si="881"/>
        <v>11533</v>
      </c>
      <c r="BE2145" s="19">
        <v>5795</v>
      </c>
      <c r="BF2145" s="229">
        <f t="shared" si="885"/>
        <v>0</v>
      </c>
      <c r="BG2145" s="210">
        <f t="shared" si="882"/>
        <v>11804</v>
      </c>
      <c r="BH2145" s="210">
        <f t="shared" si="868"/>
        <v>6016</v>
      </c>
      <c r="BI2145" s="213">
        <f t="shared" si="876"/>
        <v>196.21010638297872</v>
      </c>
      <c r="BJ2145" s="141"/>
      <c r="BK2145" s="201"/>
      <c r="BL2145" s="4"/>
      <c r="BM2145" s="4"/>
    </row>
    <row r="2146" spans="1:65" s="38" customFormat="1" ht="18" customHeight="1">
      <c r="A2146" s="114">
        <v>18</v>
      </c>
      <c r="B2146" s="24" t="s">
        <v>634</v>
      </c>
      <c r="C2146" s="25" t="s">
        <v>696</v>
      </c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>
        <v>2</v>
      </c>
      <c r="V2146" s="121"/>
      <c r="W2146" s="121"/>
      <c r="X2146" s="121"/>
      <c r="Y2146" s="121"/>
      <c r="Z2146" s="121"/>
      <c r="AA2146" s="121"/>
      <c r="AB2146" s="229">
        <f t="shared" si="883"/>
        <v>0</v>
      </c>
      <c r="AC2146" s="228">
        <f t="shared" si="880"/>
        <v>2</v>
      </c>
      <c r="AD2146" s="19">
        <v>4</v>
      </c>
      <c r="AE2146" s="28"/>
      <c r="AF2146" s="28"/>
      <c r="AG2146" s="28"/>
      <c r="AH2146" s="28"/>
      <c r="AI2146" s="28"/>
      <c r="AJ2146" s="28">
        <v>125</v>
      </c>
      <c r="AK2146" s="28"/>
      <c r="AL2146" s="28"/>
      <c r="AM2146" s="28"/>
      <c r="AN2146" s="28"/>
      <c r="AO2146" s="28"/>
      <c r="AP2146" s="28">
        <v>84</v>
      </c>
      <c r="AQ2146" s="28"/>
      <c r="AR2146" s="28"/>
      <c r="AS2146" s="28"/>
      <c r="AT2146" s="28"/>
      <c r="AU2146" s="28"/>
      <c r="AV2146" s="28">
        <v>68</v>
      </c>
      <c r="AW2146" s="28"/>
      <c r="AX2146" s="28"/>
      <c r="AY2146" s="28"/>
      <c r="AZ2146" s="28"/>
      <c r="BA2146" s="28"/>
      <c r="BB2146" s="28">
        <v>243</v>
      </c>
      <c r="BC2146" s="229">
        <f t="shared" si="884"/>
        <v>0</v>
      </c>
      <c r="BD2146" s="48">
        <f t="shared" si="881"/>
        <v>520</v>
      </c>
      <c r="BE2146" s="19">
        <v>364</v>
      </c>
      <c r="BF2146" s="229">
        <f t="shared" si="885"/>
        <v>0</v>
      </c>
      <c r="BG2146" s="210">
        <f t="shared" si="882"/>
        <v>522</v>
      </c>
      <c r="BH2146" s="210">
        <f t="shared" si="868"/>
        <v>368</v>
      </c>
      <c r="BI2146" s="213">
        <f t="shared" si="876"/>
        <v>141.84782608695653</v>
      </c>
      <c r="BJ2146" s="141"/>
      <c r="BK2146" s="201"/>
      <c r="BL2146" s="4"/>
      <c r="BM2146" s="4"/>
    </row>
    <row r="2147" spans="1:65" s="38" customFormat="1" ht="18" customHeight="1">
      <c r="A2147" s="114">
        <v>19</v>
      </c>
      <c r="B2147" s="24" t="s">
        <v>1975</v>
      </c>
      <c r="C2147" s="25" t="s">
        <v>1976</v>
      </c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229">
        <f t="shared" si="883"/>
        <v>0</v>
      </c>
      <c r="AC2147" s="228">
        <f t="shared" si="880"/>
        <v>0</v>
      </c>
      <c r="AD2147" s="19">
        <v>0</v>
      </c>
      <c r="AE2147" s="28"/>
      <c r="AF2147" s="28"/>
      <c r="AG2147" s="28"/>
      <c r="AH2147" s="28"/>
      <c r="AI2147" s="28"/>
      <c r="AJ2147" s="28">
        <v>38</v>
      </c>
      <c r="AK2147" s="28"/>
      <c r="AL2147" s="28"/>
      <c r="AM2147" s="28"/>
      <c r="AN2147" s="28"/>
      <c r="AO2147" s="28"/>
      <c r="AP2147" s="28">
        <v>2</v>
      </c>
      <c r="AQ2147" s="28"/>
      <c r="AR2147" s="28"/>
      <c r="AS2147" s="28"/>
      <c r="AT2147" s="28"/>
      <c r="AU2147" s="28"/>
      <c r="AV2147" s="28">
        <v>33</v>
      </c>
      <c r="AW2147" s="28"/>
      <c r="AX2147" s="28"/>
      <c r="AY2147" s="28"/>
      <c r="AZ2147" s="28"/>
      <c r="BA2147" s="28"/>
      <c r="BB2147" s="28">
        <v>1</v>
      </c>
      <c r="BC2147" s="229">
        <f t="shared" si="884"/>
        <v>0</v>
      </c>
      <c r="BD2147" s="48">
        <f t="shared" si="881"/>
        <v>74</v>
      </c>
      <c r="BE2147" s="19">
        <v>138</v>
      </c>
      <c r="BF2147" s="229">
        <f t="shared" si="885"/>
        <v>0</v>
      </c>
      <c r="BG2147" s="210">
        <f t="shared" si="882"/>
        <v>74</v>
      </c>
      <c r="BH2147" s="210">
        <f t="shared" si="868"/>
        <v>138</v>
      </c>
      <c r="BI2147" s="213">
        <f t="shared" si="876"/>
        <v>53.623188405797109</v>
      </c>
      <c r="BJ2147" s="141"/>
      <c r="BK2147" s="201"/>
      <c r="BL2147" s="4"/>
      <c r="BM2147" s="4"/>
    </row>
    <row r="2148" spans="1:65" s="38" customFormat="1" ht="18" customHeight="1">
      <c r="A2148" s="114">
        <v>20</v>
      </c>
      <c r="B2148" s="24" t="s">
        <v>653</v>
      </c>
      <c r="C2148" s="25" t="s">
        <v>2271</v>
      </c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229">
        <f t="shared" si="883"/>
        <v>0</v>
      </c>
      <c r="AC2148" s="228">
        <f t="shared" si="880"/>
        <v>0</v>
      </c>
      <c r="AD2148" s="19">
        <v>5</v>
      </c>
      <c r="AE2148" s="28"/>
      <c r="AF2148" s="28"/>
      <c r="AG2148" s="28"/>
      <c r="AH2148" s="28"/>
      <c r="AI2148" s="28"/>
      <c r="AJ2148" s="28">
        <v>1</v>
      </c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  <c r="AZ2148" s="28"/>
      <c r="BA2148" s="28"/>
      <c r="BB2148" s="28"/>
      <c r="BC2148" s="229">
        <f t="shared" si="884"/>
        <v>0</v>
      </c>
      <c r="BD2148" s="48">
        <f t="shared" si="881"/>
        <v>1</v>
      </c>
      <c r="BE2148" s="19">
        <v>6</v>
      </c>
      <c r="BF2148" s="229">
        <f t="shared" si="885"/>
        <v>0</v>
      </c>
      <c r="BG2148" s="210">
        <f t="shared" si="882"/>
        <v>1</v>
      </c>
      <c r="BH2148" s="210">
        <f t="shared" si="868"/>
        <v>11</v>
      </c>
      <c r="BI2148" s="213">
        <f t="shared" si="876"/>
        <v>9.0909090909090917</v>
      </c>
      <c r="BJ2148" s="141"/>
      <c r="BK2148" s="201"/>
      <c r="BL2148" s="4"/>
      <c r="BM2148" s="4"/>
    </row>
    <row r="2149" spans="1:65" s="38" customFormat="1" ht="18" customHeight="1">
      <c r="A2149" s="114">
        <v>21</v>
      </c>
      <c r="B2149" s="24" t="s">
        <v>822</v>
      </c>
      <c r="C2149" s="25" t="s">
        <v>1405</v>
      </c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229">
        <f t="shared" si="883"/>
        <v>0</v>
      </c>
      <c r="AC2149" s="228">
        <f t="shared" si="880"/>
        <v>0</v>
      </c>
      <c r="AD2149" s="19">
        <v>0</v>
      </c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29">
        <f t="shared" si="884"/>
        <v>0</v>
      </c>
      <c r="BD2149" s="48">
        <f t="shared" si="881"/>
        <v>0</v>
      </c>
      <c r="BE2149" s="19">
        <v>1</v>
      </c>
      <c r="BF2149" s="229">
        <f t="shared" si="885"/>
        <v>0</v>
      </c>
      <c r="BG2149" s="210">
        <f t="shared" si="882"/>
        <v>0</v>
      </c>
      <c r="BH2149" s="210">
        <f t="shared" si="868"/>
        <v>1</v>
      </c>
      <c r="BI2149" s="213">
        <f t="shared" si="876"/>
        <v>0</v>
      </c>
      <c r="BJ2149" s="141"/>
      <c r="BK2149" s="201"/>
      <c r="BL2149" s="4"/>
      <c r="BM2149" s="4"/>
    </row>
    <row r="2150" spans="1:65" s="38" customFormat="1" ht="21.95" customHeight="1">
      <c r="A2150" s="114">
        <v>22</v>
      </c>
      <c r="B2150" s="24" t="s">
        <v>799</v>
      </c>
      <c r="C2150" s="27" t="s">
        <v>1860</v>
      </c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>
        <v>2</v>
      </c>
      <c r="P2150" s="121"/>
      <c r="Q2150" s="121"/>
      <c r="R2150" s="121"/>
      <c r="S2150" s="121"/>
      <c r="T2150" s="121"/>
      <c r="U2150" s="121">
        <v>2</v>
      </c>
      <c r="V2150" s="121"/>
      <c r="W2150" s="121"/>
      <c r="X2150" s="121"/>
      <c r="Y2150" s="121"/>
      <c r="Z2150" s="121"/>
      <c r="AA2150" s="121">
        <v>12</v>
      </c>
      <c r="AB2150" s="229">
        <f t="shared" si="883"/>
        <v>0</v>
      </c>
      <c r="AC2150" s="228">
        <f t="shared" si="880"/>
        <v>16</v>
      </c>
      <c r="AD2150" s="19">
        <v>2</v>
      </c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  <c r="AY2150" s="28"/>
      <c r="AZ2150" s="28"/>
      <c r="BA2150" s="28"/>
      <c r="BB2150" s="28"/>
      <c r="BC2150" s="229">
        <f t="shared" si="884"/>
        <v>0</v>
      </c>
      <c r="BD2150" s="48">
        <f t="shared" si="881"/>
        <v>0</v>
      </c>
      <c r="BE2150" s="19">
        <v>18</v>
      </c>
      <c r="BF2150" s="229">
        <f t="shared" si="885"/>
        <v>0</v>
      </c>
      <c r="BG2150" s="210">
        <f t="shared" si="882"/>
        <v>16</v>
      </c>
      <c r="BH2150" s="210">
        <f t="shared" si="868"/>
        <v>20</v>
      </c>
      <c r="BI2150" s="213">
        <f t="shared" si="876"/>
        <v>80</v>
      </c>
      <c r="BJ2150" s="141"/>
      <c r="BK2150" s="201"/>
      <c r="BL2150" s="4"/>
      <c r="BM2150" s="4"/>
    </row>
    <row r="2151" spans="1:65" s="38" customFormat="1" ht="21.95" customHeight="1">
      <c r="A2151" s="114">
        <v>23</v>
      </c>
      <c r="B2151" s="24" t="s">
        <v>658</v>
      </c>
      <c r="C2151" s="25" t="s">
        <v>779</v>
      </c>
      <c r="D2151" s="121"/>
      <c r="E2151" s="121"/>
      <c r="F2151" s="121"/>
      <c r="G2151" s="121"/>
      <c r="H2151" s="121"/>
      <c r="I2151" s="121">
        <v>29</v>
      </c>
      <c r="J2151" s="121"/>
      <c r="K2151" s="121"/>
      <c r="L2151" s="121"/>
      <c r="M2151" s="121"/>
      <c r="N2151" s="121"/>
      <c r="O2151" s="121">
        <v>48</v>
      </c>
      <c r="P2151" s="121"/>
      <c r="Q2151" s="121"/>
      <c r="R2151" s="121"/>
      <c r="S2151" s="121"/>
      <c r="T2151" s="121"/>
      <c r="U2151" s="121">
        <v>23</v>
      </c>
      <c r="V2151" s="121"/>
      <c r="W2151" s="121"/>
      <c r="X2151" s="121"/>
      <c r="Y2151" s="121"/>
      <c r="Z2151" s="121"/>
      <c r="AA2151" s="121">
        <v>92</v>
      </c>
      <c r="AB2151" s="229">
        <f t="shared" si="883"/>
        <v>0</v>
      </c>
      <c r="AC2151" s="228">
        <f t="shared" si="880"/>
        <v>192</v>
      </c>
      <c r="AD2151" s="19">
        <v>126</v>
      </c>
      <c r="AE2151" s="28"/>
      <c r="AF2151" s="28"/>
      <c r="AG2151" s="28"/>
      <c r="AH2151" s="28"/>
      <c r="AI2151" s="28"/>
      <c r="AJ2151" s="28">
        <v>2757</v>
      </c>
      <c r="AK2151" s="28"/>
      <c r="AL2151" s="28"/>
      <c r="AM2151" s="28"/>
      <c r="AN2151" s="28"/>
      <c r="AO2151" s="28"/>
      <c r="AP2151" s="28">
        <f>1943+40</f>
        <v>1983</v>
      </c>
      <c r="AQ2151" s="28"/>
      <c r="AR2151" s="28"/>
      <c r="AS2151" s="28"/>
      <c r="AT2151" s="28"/>
      <c r="AU2151" s="28"/>
      <c r="AV2151" s="28">
        <f>1970+35</f>
        <v>2005</v>
      </c>
      <c r="AW2151" s="28"/>
      <c r="AX2151" s="28"/>
      <c r="AY2151" s="28"/>
      <c r="AZ2151" s="28"/>
      <c r="BA2151" s="28"/>
      <c r="BB2151" s="28">
        <f>3972+77</f>
        <v>4049</v>
      </c>
      <c r="BC2151" s="229">
        <f t="shared" si="884"/>
        <v>0</v>
      </c>
      <c r="BD2151" s="48">
        <f t="shared" si="881"/>
        <v>10794</v>
      </c>
      <c r="BE2151" s="19">
        <v>5697</v>
      </c>
      <c r="BF2151" s="229">
        <f t="shared" si="885"/>
        <v>0</v>
      </c>
      <c r="BG2151" s="210">
        <f t="shared" si="882"/>
        <v>10986</v>
      </c>
      <c r="BH2151" s="210">
        <f t="shared" si="868"/>
        <v>5823</v>
      </c>
      <c r="BI2151" s="213">
        <f t="shared" si="876"/>
        <v>188.66563626996393</v>
      </c>
      <c r="BJ2151" s="141"/>
      <c r="BK2151" s="201"/>
      <c r="BL2151" s="4"/>
      <c r="BM2151" s="4"/>
    </row>
    <row r="2152" spans="1:65" s="38" customFormat="1" ht="18" customHeight="1">
      <c r="A2152" s="114">
        <v>24</v>
      </c>
      <c r="B2152" s="24" t="s">
        <v>659</v>
      </c>
      <c r="C2152" s="25" t="s">
        <v>660</v>
      </c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>
        <v>2</v>
      </c>
      <c r="AB2152" s="229">
        <f t="shared" si="883"/>
        <v>0</v>
      </c>
      <c r="AC2152" s="228">
        <f t="shared" si="880"/>
        <v>2</v>
      </c>
      <c r="AD2152" s="19">
        <v>0</v>
      </c>
      <c r="AE2152" s="28"/>
      <c r="AF2152" s="28"/>
      <c r="AG2152" s="28"/>
      <c r="AH2152" s="28"/>
      <c r="AI2152" s="28"/>
      <c r="AJ2152" s="28">
        <v>439</v>
      </c>
      <c r="AK2152" s="28"/>
      <c r="AL2152" s="28"/>
      <c r="AM2152" s="28"/>
      <c r="AN2152" s="28"/>
      <c r="AO2152" s="28"/>
      <c r="AP2152" s="28">
        <v>616</v>
      </c>
      <c r="AQ2152" s="28"/>
      <c r="AR2152" s="28"/>
      <c r="AS2152" s="28"/>
      <c r="AT2152" s="28"/>
      <c r="AU2152" s="28"/>
      <c r="AV2152" s="28">
        <v>854</v>
      </c>
      <c r="AW2152" s="28"/>
      <c r="AX2152" s="28"/>
      <c r="AY2152" s="28"/>
      <c r="AZ2152" s="28"/>
      <c r="BA2152" s="28"/>
      <c r="BB2152" s="28">
        <v>864</v>
      </c>
      <c r="BC2152" s="229">
        <f t="shared" si="884"/>
        <v>0</v>
      </c>
      <c r="BD2152" s="48">
        <f t="shared" si="881"/>
        <v>2773</v>
      </c>
      <c r="BE2152" s="19">
        <v>1741</v>
      </c>
      <c r="BF2152" s="229">
        <f t="shared" si="885"/>
        <v>0</v>
      </c>
      <c r="BG2152" s="210">
        <f t="shared" si="882"/>
        <v>2775</v>
      </c>
      <c r="BH2152" s="210">
        <f t="shared" si="868"/>
        <v>1741</v>
      </c>
      <c r="BI2152" s="213">
        <f t="shared" si="876"/>
        <v>159.39115450890293</v>
      </c>
      <c r="BJ2152" s="141"/>
      <c r="BK2152" s="201"/>
      <c r="BL2152" s="4"/>
      <c r="BM2152" s="4"/>
    </row>
    <row r="2153" spans="1:65" s="38" customFormat="1" ht="21.95" customHeight="1">
      <c r="A2153" s="114">
        <v>25</v>
      </c>
      <c r="B2153" s="24" t="s">
        <v>661</v>
      </c>
      <c r="C2153" s="27" t="s">
        <v>743</v>
      </c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>
        <v>1</v>
      </c>
      <c r="P2153" s="121"/>
      <c r="Q2153" s="121"/>
      <c r="R2153" s="121"/>
      <c r="S2153" s="121"/>
      <c r="T2153" s="121"/>
      <c r="U2153" s="121">
        <v>2</v>
      </c>
      <c r="V2153" s="121"/>
      <c r="W2153" s="121"/>
      <c r="X2153" s="121"/>
      <c r="Y2153" s="121"/>
      <c r="Z2153" s="121"/>
      <c r="AA2153" s="121">
        <v>6</v>
      </c>
      <c r="AB2153" s="229">
        <f t="shared" si="883"/>
        <v>0</v>
      </c>
      <c r="AC2153" s="228">
        <f t="shared" si="880"/>
        <v>9</v>
      </c>
      <c r="AD2153" s="19">
        <v>5</v>
      </c>
      <c r="AE2153" s="28"/>
      <c r="AF2153" s="28"/>
      <c r="AG2153" s="28"/>
      <c r="AH2153" s="28"/>
      <c r="AI2153" s="28"/>
      <c r="AJ2153" s="28">
        <v>1220</v>
      </c>
      <c r="AK2153" s="28"/>
      <c r="AL2153" s="28"/>
      <c r="AM2153" s="28"/>
      <c r="AN2153" s="28"/>
      <c r="AO2153" s="28"/>
      <c r="AP2153" s="28">
        <v>970</v>
      </c>
      <c r="AQ2153" s="28"/>
      <c r="AR2153" s="28"/>
      <c r="AS2153" s="28"/>
      <c r="AT2153" s="28"/>
      <c r="AU2153" s="28"/>
      <c r="AV2153" s="28">
        <v>1278</v>
      </c>
      <c r="AW2153" s="28"/>
      <c r="AX2153" s="28"/>
      <c r="AY2153" s="28"/>
      <c r="AZ2153" s="28"/>
      <c r="BA2153" s="28"/>
      <c r="BB2153" s="28">
        <f>1499+1</f>
        <v>1500</v>
      </c>
      <c r="BC2153" s="229">
        <f t="shared" si="884"/>
        <v>0</v>
      </c>
      <c r="BD2153" s="48">
        <f t="shared" si="881"/>
        <v>4968</v>
      </c>
      <c r="BE2153" s="19">
        <v>3898</v>
      </c>
      <c r="BF2153" s="229">
        <f t="shared" si="885"/>
        <v>0</v>
      </c>
      <c r="BG2153" s="210">
        <f t="shared" si="882"/>
        <v>4977</v>
      </c>
      <c r="BH2153" s="210">
        <f t="shared" si="868"/>
        <v>3903</v>
      </c>
      <c r="BI2153" s="213">
        <f t="shared" si="876"/>
        <v>127.5172943889316</v>
      </c>
      <c r="BJ2153" s="141"/>
      <c r="BK2153" s="201"/>
      <c r="BL2153" s="4"/>
      <c r="BM2153" s="4"/>
    </row>
    <row r="2154" spans="1:65" s="38" customFormat="1" ht="18" customHeight="1">
      <c r="A2154" s="114">
        <v>26</v>
      </c>
      <c r="B2154" s="24" t="s">
        <v>704</v>
      </c>
      <c r="C2154" s="25" t="s">
        <v>1383</v>
      </c>
      <c r="D2154" s="121"/>
      <c r="E2154" s="121"/>
      <c r="F2154" s="121"/>
      <c r="G2154" s="121"/>
      <c r="H2154" s="121"/>
      <c r="I2154" s="121">
        <v>1</v>
      </c>
      <c r="J2154" s="121"/>
      <c r="K2154" s="121"/>
      <c r="L2154" s="121"/>
      <c r="M2154" s="121"/>
      <c r="N2154" s="121"/>
      <c r="O2154" s="121">
        <v>3</v>
      </c>
      <c r="P2154" s="121"/>
      <c r="Q2154" s="121"/>
      <c r="R2154" s="121"/>
      <c r="S2154" s="121"/>
      <c r="T2154" s="121"/>
      <c r="U2154" s="121">
        <v>1</v>
      </c>
      <c r="V2154" s="121"/>
      <c r="W2154" s="121"/>
      <c r="X2154" s="121"/>
      <c r="Y2154" s="121"/>
      <c r="Z2154" s="121"/>
      <c r="AA2154" s="121"/>
      <c r="AB2154" s="229">
        <f t="shared" si="883"/>
        <v>0</v>
      </c>
      <c r="AC2154" s="228">
        <f t="shared" si="880"/>
        <v>5</v>
      </c>
      <c r="AD2154" s="19">
        <v>7</v>
      </c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>
        <v>4</v>
      </c>
      <c r="AW2154" s="28"/>
      <c r="AX2154" s="28"/>
      <c r="AY2154" s="28"/>
      <c r="AZ2154" s="28"/>
      <c r="BA2154" s="28"/>
      <c r="BB2154" s="28">
        <v>1</v>
      </c>
      <c r="BC2154" s="229">
        <f t="shared" si="884"/>
        <v>0</v>
      </c>
      <c r="BD2154" s="48">
        <f t="shared" si="881"/>
        <v>5</v>
      </c>
      <c r="BE2154" s="19">
        <v>7</v>
      </c>
      <c r="BF2154" s="229">
        <f t="shared" si="885"/>
        <v>0</v>
      </c>
      <c r="BG2154" s="210">
        <f t="shared" si="882"/>
        <v>10</v>
      </c>
      <c r="BH2154" s="210">
        <f t="shared" si="868"/>
        <v>14</v>
      </c>
      <c r="BI2154" s="213">
        <f t="shared" si="876"/>
        <v>71.428571428571431</v>
      </c>
      <c r="BJ2154" s="141"/>
      <c r="BK2154" s="201"/>
      <c r="BL2154" s="4"/>
      <c r="BM2154" s="4"/>
    </row>
    <row r="2155" spans="1:65" s="38" customFormat="1" ht="18" customHeight="1">
      <c r="A2155" s="114">
        <v>27</v>
      </c>
      <c r="B2155" s="24" t="s">
        <v>787</v>
      </c>
      <c r="C2155" s="25" t="s">
        <v>1171</v>
      </c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229">
        <f t="shared" si="883"/>
        <v>0</v>
      </c>
      <c r="AC2155" s="228">
        <f t="shared" si="880"/>
        <v>0</v>
      </c>
      <c r="AD2155" s="19">
        <v>0</v>
      </c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29">
        <f t="shared" si="884"/>
        <v>0</v>
      </c>
      <c r="BD2155" s="48">
        <f t="shared" si="881"/>
        <v>0</v>
      </c>
      <c r="BE2155" s="19">
        <v>26</v>
      </c>
      <c r="BF2155" s="229">
        <f t="shared" si="885"/>
        <v>0</v>
      </c>
      <c r="BG2155" s="210">
        <f t="shared" si="882"/>
        <v>0</v>
      </c>
      <c r="BH2155" s="210">
        <f t="shared" si="868"/>
        <v>26</v>
      </c>
      <c r="BI2155" s="213">
        <f t="shared" si="876"/>
        <v>0</v>
      </c>
      <c r="BJ2155" s="141"/>
      <c r="BK2155" s="201"/>
      <c r="BL2155" s="4"/>
      <c r="BM2155" s="4"/>
    </row>
    <row r="2156" spans="1:65" s="38" customFormat="1" ht="18" customHeight="1">
      <c r="A2156" s="114">
        <v>28</v>
      </c>
      <c r="B2156" s="24" t="s">
        <v>788</v>
      </c>
      <c r="C2156" s="25" t="s">
        <v>1172</v>
      </c>
      <c r="D2156" s="121"/>
      <c r="E2156" s="121"/>
      <c r="F2156" s="121"/>
      <c r="G2156" s="121"/>
      <c r="H2156" s="121"/>
      <c r="I2156" s="121">
        <v>43</v>
      </c>
      <c r="J2156" s="121"/>
      <c r="K2156" s="121"/>
      <c r="L2156" s="121"/>
      <c r="M2156" s="121"/>
      <c r="N2156" s="121"/>
      <c r="O2156" s="121">
        <v>32</v>
      </c>
      <c r="P2156" s="121"/>
      <c r="Q2156" s="121"/>
      <c r="R2156" s="121"/>
      <c r="S2156" s="121"/>
      <c r="T2156" s="121"/>
      <c r="U2156" s="121">
        <v>31</v>
      </c>
      <c r="V2156" s="121"/>
      <c r="W2156" s="121"/>
      <c r="X2156" s="121"/>
      <c r="Y2156" s="121"/>
      <c r="Z2156" s="121"/>
      <c r="AA2156" s="121">
        <v>53</v>
      </c>
      <c r="AB2156" s="229">
        <f t="shared" si="883"/>
        <v>0</v>
      </c>
      <c r="AC2156" s="228">
        <f t="shared" si="880"/>
        <v>159</v>
      </c>
      <c r="AD2156" s="19">
        <v>80</v>
      </c>
      <c r="AE2156" s="28"/>
      <c r="AF2156" s="28"/>
      <c r="AG2156" s="28"/>
      <c r="AH2156" s="28"/>
      <c r="AI2156" s="28"/>
      <c r="AJ2156" s="28">
        <v>852</v>
      </c>
      <c r="AK2156" s="28"/>
      <c r="AL2156" s="28"/>
      <c r="AM2156" s="28"/>
      <c r="AN2156" s="28"/>
      <c r="AO2156" s="28"/>
      <c r="AP2156" s="28">
        <f>560+1</f>
        <v>561</v>
      </c>
      <c r="AQ2156" s="28"/>
      <c r="AR2156" s="28"/>
      <c r="AS2156" s="28"/>
      <c r="AT2156" s="28"/>
      <c r="AU2156" s="28"/>
      <c r="AV2156" s="28">
        <v>558</v>
      </c>
      <c r="AW2156" s="28"/>
      <c r="AX2156" s="28"/>
      <c r="AY2156" s="28"/>
      <c r="AZ2156" s="28"/>
      <c r="BA2156" s="28"/>
      <c r="BB2156" s="28">
        <v>927</v>
      </c>
      <c r="BC2156" s="229">
        <f t="shared" si="884"/>
        <v>0</v>
      </c>
      <c r="BD2156" s="48">
        <f t="shared" si="881"/>
        <v>2898</v>
      </c>
      <c r="BE2156" s="19">
        <v>2992</v>
      </c>
      <c r="BF2156" s="229">
        <f t="shared" si="885"/>
        <v>0</v>
      </c>
      <c r="BG2156" s="210">
        <f t="shared" si="882"/>
        <v>3057</v>
      </c>
      <c r="BH2156" s="210">
        <f t="shared" si="868"/>
        <v>3072</v>
      </c>
      <c r="BI2156" s="213">
        <f t="shared" si="876"/>
        <v>99.51171875</v>
      </c>
      <c r="BJ2156" s="141"/>
      <c r="BK2156" s="201"/>
      <c r="BL2156" s="4"/>
      <c r="BM2156" s="4"/>
    </row>
    <row r="2157" spans="1:65" s="38" customFormat="1" ht="21.95" customHeight="1">
      <c r="A2157" s="114">
        <v>29</v>
      </c>
      <c r="B2157" s="24" t="s">
        <v>791</v>
      </c>
      <c r="C2157" s="27" t="s">
        <v>2318</v>
      </c>
      <c r="D2157" s="121"/>
      <c r="E2157" s="121"/>
      <c r="F2157" s="121"/>
      <c r="G2157" s="121"/>
      <c r="H2157" s="121"/>
      <c r="I2157" s="121">
        <v>4</v>
      </c>
      <c r="J2157" s="121"/>
      <c r="K2157" s="121"/>
      <c r="L2157" s="121"/>
      <c r="M2157" s="121"/>
      <c r="N2157" s="121"/>
      <c r="O2157" s="121">
        <v>2</v>
      </c>
      <c r="P2157" s="121"/>
      <c r="Q2157" s="121"/>
      <c r="R2157" s="121"/>
      <c r="S2157" s="121"/>
      <c r="T2157" s="121"/>
      <c r="U2157" s="121">
        <v>4</v>
      </c>
      <c r="V2157" s="121"/>
      <c r="W2157" s="121"/>
      <c r="X2157" s="121"/>
      <c r="Y2157" s="121"/>
      <c r="Z2157" s="121"/>
      <c r="AA2157" s="121">
        <v>2</v>
      </c>
      <c r="AB2157" s="229">
        <f t="shared" si="883"/>
        <v>0</v>
      </c>
      <c r="AC2157" s="228">
        <f t="shared" si="880"/>
        <v>12</v>
      </c>
      <c r="AD2157" s="19">
        <v>0</v>
      </c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29">
        <f t="shared" si="884"/>
        <v>0</v>
      </c>
      <c r="BD2157" s="48">
        <f t="shared" si="881"/>
        <v>0</v>
      </c>
      <c r="BE2157" s="19">
        <v>0</v>
      </c>
      <c r="BF2157" s="229">
        <f t="shared" si="885"/>
        <v>0</v>
      </c>
      <c r="BG2157" s="210">
        <f t="shared" si="882"/>
        <v>12</v>
      </c>
      <c r="BH2157" s="210">
        <f t="shared" si="868"/>
        <v>0</v>
      </c>
      <c r="BI2157" s="213" t="e">
        <f t="shared" si="876"/>
        <v>#DIV/0!</v>
      </c>
      <c r="BJ2157" s="141"/>
      <c r="BK2157" s="201"/>
      <c r="BL2157" s="4"/>
      <c r="BM2157" s="4"/>
    </row>
    <row r="2158" spans="1:65" s="38" customFormat="1" ht="21.95" customHeight="1">
      <c r="A2158" s="114">
        <v>30</v>
      </c>
      <c r="B2158" s="24" t="s">
        <v>744</v>
      </c>
      <c r="C2158" s="27" t="s">
        <v>745</v>
      </c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>
        <v>2</v>
      </c>
      <c r="P2158" s="121"/>
      <c r="Q2158" s="121"/>
      <c r="R2158" s="121"/>
      <c r="S2158" s="121"/>
      <c r="T2158" s="121"/>
      <c r="U2158" s="121">
        <v>8</v>
      </c>
      <c r="V2158" s="121"/>
      <c r="W2158" s="121"/>
      <c r="X2158" s="121"/>
      <c r="Y2158" s="121"/>
      <c r="Z2158" s="121"/>
      <c r="AA2158" s="121">
        <v>6</v>
      </c>
      <c r="AB2158" s="229">
        <f t="shared" si="883"/>
        <v>0</v>
      </c>
      <c r="AC2158" s="228">
        <f t="shared" si="880"/>
        <v>16</v>
      </c>
      <c r="AD2158" s="19">
        <v>8</v>
      </c>
      <c r="AE2158" s="28"/>
      <c r="AF2158" s="28"/>
      <c r="AG2158" s="28"/>
      <c r="AH2158" s="28"/>
      <c r="AI2158" s="28"/>
      <c r="AJ2158" s="28">
        <v>102</v>
      </c>
      <c r="AK2158" s="28"/>
      <c r="AL2158" s="28"/>
      <c r="AM2158" s="28"/>
      <c r="AN2158" s="28"/>
      <c r="AO2158" s="28"/>
      <c r="AP2158" s="28">
        <v>57</v>
      </c>
      <c r="AQ2158" s="28"/>
      <c r="AR2158" s="28"/>
      <c r="AS2158" s="28"/>
      <c r="AT2158" s="28"/>
      <c r="AU2158" s="28"/>
      <c r="AV2158" s="28">
        <v>123</v>
      </c>
      <c r="AW2158" s="28"/>
      <c r="AX2158" s="28"/>
      <c r="AY2158" s="28"/>
      <c r="AZ2158" s="28"/>
      <c r="BA2158" s="28"/>
      <c r="BB2158" s="28">
        <f>66+1</f>
        <v>67</v>
      </c>
      <c r="BC2158" s="229">
        <f t="shared" si="884"/>
        <v>0</v>
      </c>
      <c r="BD2158" s="48">
        <f t="shared" si="881"/>
        <v>349</v>
      </c>
      <c r="BE2158" s="19">
        <v>295</v>
      </c>
      <c r="BF2158" s="229">
        <f t="shared" si="885"/>
        <v>0</v>
      </c>
      <c r="BG2158" s="210">
        <f t="shared" si="882"/>
        <v>365</v>
      </c>
      <c r="BH2158" s="210">
        <f t="shared" si="868"/>
        <v>303</v>
      </c>
      <c r="BI2158" s="213">
        <f t="shared" si="876"/>
        <v>120.46204620462046</v>
      </c>
      <c r="BJ2158" s="141"/>
      <c r="BK2158" s="201"/>
      <c r="BL2158" s="4"/>
      <c r="BM2158" s="4"/>
    </row>
    <row r="2159" spans="1:65" s="38" customFormat="1" ht="18" customHeight="1">
      <c r="A2159" s="114">
        <v>31</v>
      </c>
      <c r="B2159" s="156" t="s">
        <v>1792</v>
      </c>
      <c r="C2159" s="162" t="s">
        <v>1793</v>
      </c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229">
        <f t="shared" si="883"/>
        <v>0</v>
      </c>
      <c r="AC2159" s="228">
        <f t="shared" si="880"/>
        <v>0</v>
      </c>
      <c r="AD2159" s="19">
        <v>1</v>
      </c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29">
        <f t="shared" si="884"/>
        <v>0</v>
      </c>
      <c r="BD2159" s="48">
        <f t="shared" si="881"/>
        <v>0</v>
      </c>
      <c r="BE2159" s="19">
        <v>0</v>
      </c>
      <c r="BF2159" s="229">
        <f t="shared" si="885"/>
        <v>0</v>
      </c>
      <c r="BG2159" s="210">
        <f t="shared" si="882"/>
        <v>0</v>
      </c>
      <c r="BH2159" s="210">
        <f t="shared" si="868"/>
        <v>1</v>
      </c>
      <c r="BI2159" s="213">
        <f t="shared" si="876"/>
        <v>0</v>
      </c>
      <c r="BJ2159" s="269" t="s">
        <v>2856</v>
      </c>
      <c r="BK2159" s="201"/>
      <c r="BL2159" s="4"/>
      <c r="BM2159" s="4"/>
    </row>
    <row r="2160" spans="1:65" s="38" customFormat="1" ht="18" customHeight="1">
      <c r="A2160" s="114">
        <v>32</v>
      </c>
      <c r="B2160" s="156" t="s">
        <v>1788</v>
      </c>
      <c r="C2160" s="159" t="s">
        <v>1789</v>
      </c>
      <c r="D2160" s="121"/>
      <c r="E2160" s="121"/>
      <c r="F2160" s="121"/>
      <c r="G2160" s="121"/>
      <c r="H2160" s="121"/>
      <c r="I2160" s="121">
        <f>832+1</f>
        <v>833</v>
      </c>
      <c r="J2160" s="121"/>
      <c r="K2160" s="121"/>
      <c r="L2160" s="121"/>
      <c r="M2160" s="121"/>
      <c r="N2160" s="121"/>
      <c r="O2160" s="121">
        <v>698</v>
      </c>
      <c r="P2160" s="121"/>
      <c r="Q2160" s="121"/>
      <c r="R2160" s="121"/>
      <c r="S2160" s="121"/>
      <c r="T2160" s="121"/>
      <c r="U2160" s="121">
        <v>709</v>
      </c>
      <c r="V2160" s="121"/>
      <c r="W2160" s="121"/>
      <c r="X2160" s="121"/>
      <c r="Y2160" s="121"/>
      <c r="Z2160" s="121"/>
      <c r="AA2160" s="121">
        <v>1149</v>
      </c>
      <c r="AB2160" s="229">
        <f t="shared" si="883"/>
        <v>0</v>
      </c>
      <c r="AC2160" s="228">
        <f t="shared" si="880"/>
        <v>3389</v>
      </c>
      <c r="AD2160" s="19">
        <v>2248</v>
      </c>
      <c r="AE2160" s="28"/>
      <c r="AF2160" s="28"/>
      <c r="AG2160" s="28"/>
      <c r="AH2160" s="28"/>
      <c r="AI2160" s="28"/>
      <c r="AJ2160" s="28">
        <v>2795</v>
      </c>
      <c r="AK2160" s="28"/>
      <c r="AL2160" s="28"/>
      <c r="AM2160" s="28"/>
      <c r="AN2160" s="28"/>
      <c r="AO2160" s="28"/>
      <c r="AP2160" s="28">
        <f>1214+1+11</f>
        <v>1226</v>
      </c>
      <c r="AQ2160" s="28"/>
      <c r="AR2160" s="28"/>
      <c r="AS2160" s="28"/>
      <c r="AT2160" s="28"/>
      <c r="AU2160" s="28"/>
      <c r="AV2160" s="28">
        <f>1060+2</f>
        <v>1062</v>
      </c>
      <c r="AW2160" s="28"/>
      <c r="AX2160" s="28"/>
      <c r="AY2160" s="28"/>
      <c r="AZ2160" s="28"/>
      <c r="BA2160" s="28"/>
      <c r="BB2160" s="28">
        <v>2360</v>
      </c>
      <c r="BC2160" s="229">
        <f t="shared" si="884"/>
        <v>0</v>
      </c>
      <c r="BD2160" s="48">
        <f t="shared" si="881"/>
        <v>7443</v>
      </c>
      <c r="BE2160" s="19">
        <v>8548</v>
      </c>
      <c r="BF2160" s="229">
        <f t="shared" si="885"/>
        <v>0</v>
      </c>
      <c r="BG2160" s="210">
        <f t="shared" si="882"/>
        <v>10832</v>
      </c>
      <c r="BH2160" s="210">
        <f t="shared" si="868"/>
        <v>10796</v>
      </c>
      <c r="BI2160" s="213">
        <f t="shared" si="876"/>
        <v>100.33345683586515</v>
      </c>
      <c r="BJ2160" s="269" t="s">
        <v>2856</v>
      </c>
      <c r="BK2160" s="201"/>
      <c r="BL2160" s="4"/>
      <c r="BM2160" s="4"/>
    </row>
    <row r="2161" spans="1:65" s="38" customFormat="1" ht="21.95" customHeight="1">
      <c r="A2161" s="373" t="s">
        <v>2771</v>
      </c>
      <c r="B2161" s="373"/>
      <c r="C2161" s="373"/>
      <c r="D2161" s="220">
        <f t="shared" ref="D2161:AA2161" si="886">SUM(D2162:D2361)</f>
        <v>0</v>
      </c>
      <c r="E2161" s="220">
        <f t="shared" si="886"/>
        <v>0</v>
      </c>
      <c r="F2161" s="220">
        <f t="shared" si="886"/>
        <v>0</v>
      </c>
      <c r="G2161" s="220">
        <f t="shared" si="886"/>
        <v>0</v>
      </c>
      <c r="H2161" s="220">
        <f t="shared" si="886"/>
        <v>0</v>
      </c>
      <c r="I2161" s="220">
        <f t="shared" si="886"/>
        <v>4237</v>
      </c>
      <c r="J2161" s="220">
        <f t="shared" si="886"/>
        <v>0</v>
      </c>
      <c r="K2161" s="220">
        <f t="shared" si="886"/>
        <v>0</v>
      </c>
      <c r="L2161" s="220">
        <f t="shared" si="886"/>
        <v>0</v>
      </c>
      <c r="M2161" s="220">
        <f t="shared" si="886"/>
        <v>0</v>
      </c>
      <c r="N2161" s="220">
        <f t="shared" si="886"/>
        <v>0</v>
      </c>
      <c r="O2161" s="220">
        <f t="shared" si="886"/>
        <v>4256</v>
      </c>
      <c r="P2161" s="220">
        <f t="shared" si="886"/>
        <v>0</v>
      </c>
      <c r="Q2161" s="220">
        <f t="shared" si="886"/>
        <v>0</v>
      </c>
      <c r="R2161" s="220">
        <f t="shared" si="886"/>
        <v>0</v>
      </c>
      <c r="S2161" s="220">
        <f t="shared" si="886"/>
        <v>0</v>
      </c>
      <c r="T2161" s="220">
        <f t="shared" si="886"/>
        <v>0</v>
      </c>
      <c r="U2161" s="220">
        <f t="shared" si="886"/>
        <v>6824</v>
      </c>
      <c r="V2161" s="220">
        <f t="shared" si="886"/>
        <v>0</v>
      </c>
      <c r="W2161" s="220">
        <f t="shared" si="886"/>
        <v>0</v>
      </c>
      <c r="X2161" s="220">
        <f t="shared" si="886"/>
        <v>0</v>
      </c>
      <c r="Y2161" s="220">
        <f t="shared" si="886"/>
        <v>0</v>
      </c>
      <c r="Z2161" s="220">
        <f t="shared" si="886"/>
        <v>0</v>
      </c>
      <c r="AA2161" s="220">
        <f t="shared" si="886"/>
        <v>3329</v>
      </c>
      <c r="AB2161" s="220">
        <f t="shared" ref="AB2161" si="887">D2161+F2161+H2161+J2161+L2161+N2161+P2161+R2161+T2161+V2161+X2161+Z2161</f>
        <v>0</v>
      </c>
      <c r="AC2161" s="220">
        <f t="shared" ref="AC2161" si="888">E2161+G2161+I2161+K2161+M2161+O2161+Q2161+S2161+U2161+W2161+Y2161+AA2161</f>
        <v>18646</v>
      </c>
      <c r="AD2161" s="274">
        <f t="shared" ref="AD2161:BB2161" si="889">SUM(AD2162:AD2361)</f>
        <v>21373</v>
      </c>
      <c r="AE2161" s="210">
        <f t="shared" si="889"/>
        <v>0</v>
      </c>
      <c r="AF2161" s="210">
        <f t="shared" si="889"/>
        <v>0</v>
      </c>
      <c r="AG2161" s="210">
        <f t="shared" si="889"/>
        <v>0</v>
      </c>
      <c r="AH2161" s="210">
        <f t="shared" si="889"/>
        <v>0</v>
      </c>
      <c r="AI2161" s="210">
        <f t="shared" si="889"/>
        <v>0</v>
      </c>
      <c r="AJ2161" s="210">
        <f t="shared" si="889"/>
        <v>45885</v>
      </c>
      <c r="AK2161" s="210">
        <f t="shared" si="889"/>
        <v>0</v>
      </c>
      <c r="AL2161" s="210">
        <f t="shared" si="889"/>
        <v>0</v>
      </c>
      <c r="AM2161" s="210">
        <f t="shared" si="889"/>
        <v>0</v>
      </c>
      <c r="AN2161" s="210">
        <f t="shared" si="889"/>
        <v>0</v>
      </c>
      <c r="AO2161" s="210">
        <f t="shared" si="889"/>
        <v>0</v>
      </c>
      <c r="AP2161" s="210">
        <f t="shared" si="889"/>
        <v>34886</v>
      </c>
      <c r="AQ2161" s="210">
        <f t="shared" si="889"/>
        <v>0</v>
      </c>
      <c r="AR2161" s="210">
        <f t="shared" si="889"/>
        <v>0</v>
      </c>
      <c r="AS2161" s="210">
        <f t="shared" si="889"/>
        <v>0</v>
      </c>
      <c r="AT2161" s="210">
        <f t="shared" si="889"/>
        <v>0</v>
      </c>
      <c r="AU2161" s="210">
        <f t="shared" si="889"/>
        <v>0</v>
      </c>
      <c r="AV2161" s="210">
        <f t="shared" si="889"/>
        <v>38105</v>
      </c>
      <c r="AW2161" s="210">
        <f t="shared" si="889"/>
        <v>0</v>
      </c>
      <c r="AX2161" s="210">
        <f t="shared" si="889"/>
        <v>0</v>
      </c>
      <c r="AY2161" s="210">
        <f t="shared" si="889"/>
        <v>0</v>
      </c>
      <c r="AZ2161" s="210">
        <f t="shared" si="889"/>
        <v>0</v>
      </c>
      <c r="BA2161" s="210">
        <f t="shared" si="889"/>
        <v>0</v>
      </c>
      <c r="BB2161" s="210">
        <f t="shared" si="889"/>
        <v>39302</v>
      </c>
      <c r="BC2161" s="220">
        <f t="shared" ref="BC2161" si="890">AE2161+AG2161+AI2161+AK2161+AM2161+AO2161+AQ2161+AS2161+AU2161+AW2161+AY2161+BA2161</f>
        <v>0</v>
      </c>
      <c r="BD2161" s="210">
        <f t="shared" ref="BD2161" si="891">AF2161+AH2161+AJ2161+AL2161+AN2161+AP2161+AR2161+AT2161+AV2161+AX2161+AZ2161+BB2161</f>
        <v>158178</v>
      </c>
      <c r="BE2161" s="210">
        <f>SUM(BE2162:BE2361)</f>
        <v>236957</v>
      </c>
      <c r="BF2161" s="220">
        <f t="shared" ref="BF2161" si="892">AB2161+BC2161</f>
        <v>0</v>
      </c>
      <c r="BG2161" s="210">
        <f t="shared" ref="BG2161" si="893">AC2161+BD2161</f>
        <v>176824</v>
      </c>
      <c r="BH2161" s="210">
        <f t="shared" si="868"/>
        <v>258330</v>
      </c>
      <c r="BI2161" s="213">
        <f t="shared" si="869"/>
        <v>68.448883211396279</v>
      </c>
      <c r="BJ2161" s="140">
        <v>258330</v>
      </c>
      <c r="BK2161" s="203">
        <f>BH2161-BJ2161</f>
        <v>0</v>
      </c>
      <c r="BL2161" s="198">
        <v>235460</v>
      </c>
      <c r="BM2161" s="199">
        <f>BG2161-BL2161</f>
        <v>-58636</v>
      </c>
    </row>
    <row r="2162" spans="1:65" s="38" customFormat="1" ht="18" customHeight="1">
      <c r="A2162" s="114">
        <v>1</v>
      </c>
      <c r="B2162" s="24" t="s">
        <v>2122</v>
      </c>
      <c r="C2162" s="25" t="s">
        <v>2123</v>
      </c>
      <c r="D2162" s="121"/>
      <c r="E2162" s="121"/>
      <c r="F2162" s="121"/>
      <c r="G2162" s="121"/>
      <c r="H2162" s="121"/>
      <c r="I2162" s="121">
        <v>1</v>
      </c>
      <c r="J2162" s="121"/>
      <c r="K2162" s="121"/>
      <c r="L2162" s="121"/>
      <c r="M2162" s="121"/>
      <c r="N2162" s="121"/>
      <c r="O2162" s="121">
        <v>3</v>
      </c>
      <c r="P2162" s="121"/>
      <c r="Q2162" s="121"/>
      <c r="R2162" s="121"/>
      <c r="S2162" s="121"/>
      <c r="T2162" s="121"/>
      <c r="U2162" s="121">
        <f>1+1</f>
        <v>2</v>
      </c>
      <c r="V2162" s="121"/>
      <c r="W2162" s="121"/>
      <c r="X2162" s="121"/>
      <c r="Y2162" s="121"/>
      <c r="Z2162" s="121"/>
      <c r="AA2162" s="121"/>
      <c r="AB2162" s="229">
        <f t="shared" ref="AB2162:AB2209" si="894">D2162+F2162+H2162+J2162+L2162+N2162+P2162+R2162+T2162+V2162+X2162+Z2162</f>
        <v>0</v>
      </c>
      <c r="AC2162" s="228">
        <f t="shared" ref="AC2162:AC2209" si="895">E2162+G2162+I2162+K2162+M2162+O2162+Q2162+S2162+U2162+W2162+Y2162+AA2162</f>
        <v>6</v>
      </c>
      <c r="AD2162" s="19">
        <v>0</v>
      </c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29">
        <f t="shared" ref="BC2162:BC2209" si="896">AE2162+AG2162+AI2162+AK2162+AM2162+AO2162+AQ2162+AS2162+AU2162+AW2162+AY2162+BA2162</f>
        <v>0</v>
      </c>
      <c r="BD2162" s="48">
        <f t="shared" ref="BD2162:BD2209" si="897">AF2162+AH2162+AJ2162+AL2162+AN2162+AP2162+AR2162+AT2162+AV2162+AX2162+AZ2162+BB2162</f>
        <v>0</v>
      </c>
      <c r="BE2162" s="19">
        <v>0</v>
      </c>
      <c r="BF2162" s="229">
        <f t="shared" ref="BF2162:BF2209" si="898">AB2162+BC2162</f>
        <v>0</v>
      </c>
      <c r="BG2162" s="210">
        <f t="shared" ref="BG2162:BG2209" si="899">AC2162+BD2162</f>
        <v>6</v>
      </c>
      <c r="BH2162" s="210">
        <f t="shared" ref="BH2162:BH2209" si="900">AD2162+BE2162</f>
        <v>0</v>
      </c>
      <c r="BI2162" s="213" t="e">
        <f t="shared" ref="BI2162:BI2193" si="901">BG2162/BH2162*100</f>
        <v>#DIV/0!</v>
      </c>
      <c r="BJ2162" s="270" t="s">
        <v>2857</v>
      </c>
      <c r="BK2162" s="201"/>
      <c r="BL2162" s="4"/>
      <c r="BM2162" s="4"/>
    </row>
    <row r="2163" spans="1:65" s="38" customFormat="1" ht="18" customHeight="1">
      <c r="A2163" s="114">
        <v>2</v>
      </c>
      <c r="B2163" s="24" t="s">
        <v>2138</v>
      </c>
      <c r="C2163" s="25" t="s">
        <v>2139</v>
      </c>
      <c r="D2163" s="121"/>
      <c r="E2163" s="121"/>
      <c r="F2163" s="121"/>
      <c r="G2163" s="121"/>
      <c r="H2163" s="121"/>
      <c r="I2163" s="121">
        <v>2</v>
      </c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229">
        <f t="shared" si="894"/>
        <v>0</v>
      </c>
      <c r="AC2163" s="228">
        <f t="shared" si="895"/>
        <v>2</v>
      </c>
      <c r="AD2163" s="19">
        <v>0</v>
      </c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29">
        <f t="shared" si="896"/>
        <v>0</v>
      </c>
      <c r="BD2163" s="48">
        <f t="shared" si="897"/>
        <v>0</v>
      </c>
      <c r="BE2163" s="19">
        <v>0</v>
      </c>
      <c r="BF2163" s="229">
        <f t="shared" si="898"/>
        <v>0</v>
      </c>
      <c r="BG2163" s="210">
        <f t="shared" si="899"/>
        <v>2</v>
      </c>
      <c r="BH2163" s="210">
        <f t="shared" si="900"/>
        <v>0</v>
      </c>
      <c r="BI2163" s="213" t="e">
        <f t="shared" si="901"/>
        <v>#DIV/0!</v>
      </c>
      <c r="BJ2163" s="270" t="s">
        <v>2857</v>
      </c>
      <c r="BK2163" s="201"/>
      <c r="BL2163" s="4"/>
      <c r="BM2163" s="4"/>
    </row>
    <row r="2164" spans="1:65" s="38" customFormat="1" ht="21.95" customHeight="1">
      <c r="A2164" s="114">
        <v>3</v>
      </c>
      <c r="B2164" s="24" t="s">
        <v>705</v>
      </c>
      <c r="C2164" s="27" t="s">
        <v>706</v>
      </c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>
        <f>1+7+7+7+7</f>
        <v>29</v>
      </c>
      <c r="V2164" s="121"/>
      <c r="W2164" s="121"/>
      <c r="X2164" s="121"/>
      <c r="Y2164" s="121"/>
      <c r="Z2164" s="121"/>
      <c r="AA2164" s="121"/>
      <c r="AB2164" s="229">
        <f t="shared" si="894"/>
        <v>0</v>
      </c>
      <c r="AC2164" s="228">
        <f t="shared" si="895"/>
        <v>29</v>
      </c>
      <c r="AD2164" s="19">
        <v>168</v>
      </c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29">
        <f t="shared" si="896"/>
        <v>0</v>
      </c>
      <c r="BD2164" s="48">
        <f t="shared" si="897"/>
        <v>0</v>
      </c>
      <c r="BE2164" s="19">
        <v>0</v>
      </c>
      <c r="BF2164" s="229">
        <f t="shared" si="898"/>
        <v>0</v>
      </c>
      <c r="BG2164" s="210">
        <f t="shared" si="899"/>
        <v>29</v>
      </c>
      <c r="BH2164" s="210">
        <f t="shared" si="900"/>
        <v>168</v>
      </c>
      <c r="BI2164" s="213">
        <f t="shared" si="901"/>
        <v>17.261904761904763</v>
      </c>
      <c r="BJ2164" s="270" t="s">
        <v>2857</v>
      </c>
      <c r="BK2164" s="201"/>
      <c r="BL2164" s="4"/>
      <c r="BM2164" s="4"/>
    </row>
    <row r="2165" spans="1:65" s="38" customFormat="1" ht="18" customHeight="1">
      <c r="A2165" s="114">
        <v>4</v>
      </c>
      <c r="B2165" s="24" t="s">
        <v>2364</v>
      </c>
      <c r="C2165" s="25" t="s">
        <v>2365</v>
      </c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229">
        <f t="shared" si="894"/>
        <v>0</v>
      </c>
      <c r="AC2165" s="228">
        <f t="shared" si="895"/>
        <v>0</v>
      </c>
      <c r="AD2165" s="19">
        <v>3</v>
      </c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29">
        <f t="shared" si="896"/>
        <v>0</v>
      </c>
      <c r="BD2165" s="48">
        <f t="shared" si="897"/>
        <v>0</v>
      </c>
      <c r="BE2165" s="19">
        <v>0</v>
      </c>
      <c r="BF2165" s="229">
        <f t="shared" si="898"/>
        <v>0</v>
      </c>
      <c r="BG2165" s="210">
        <f t="shared" si="899"/>
        <v>0</v>
      </c>
      <c r="BH2165" s="210">
        <f t="shared" si="900"/>
        <v>3</v>
      </c>
      <c r="BI2165" s="213">
        <f t="shared" si="901"/>
        <v>0</v>
      </c>
      <c r="BJ2165" s="270" t="s">
        <v>2857</v>
      </c>
      <c r="BK2165" s="201"/>
      <c r="BL2165" s="4"/>
      <c r="BM2165" s="4"/>
    </row>
    <row r="2166" spans="1:65" s="38" customFormat="1" ht="18" customHeight="1">
      <c r="A2166" s="114">
        <v>5</v>
      </c>
      <c r="B2166" s="24" t="s">
        <v>937</v>
      </c>
      <c r="C2166" s="25" t="s">
        <v>938</v>
      </c>
      <c r="D2166" s="121"/>
      <c r="E2166" s="121"/>
      <c r="F2166" s="121"/>
      <c r="G2166" s="121"/>
      <c r="H2166" s="121"/>
      <c r="I2166" s="121">
        <v>16</v>
      </c>
      <c r="J2166" s="121"/>
      <c r="K2166" s="121"/>
      <c r="L2166" s="121"/>
      <c r="M2166" s="121"/>
      <c r="N2166" s="121"/>
      <c r="O2166" s="121">
        <v>6</v>
      </c>
      <c r="P2166" s="121"/>
      <c r="Q2166" s="121"/>
      <c r="R2166" s="121"/>
      <c r="S2166" s="121"/>
      <c r="T2166" s="121"/>
      <c r="U2166" s="121">
        <f>2+9+9</f>
        <v>20</v>
      </c>
      <c r="V2166" s="121"/>
      <c r="W2166" s="121"/>
      <c r="X2166" s="121"/>
      <c r="Y2166" s="121"/>
      <c r="Z2166" s="121"/>
      <c r="AA2166" s="121"/>
      <c r="AB2166" s="229">
        <f t="shared" si="894"/>
        <v>0</v>
      </c>
      <c r="AC2166" s="228">
        <f t="shared" si="895"/>
        <v>42</v>
      </c>
      <c r="AD2166" s="19">
        <v>40</v>
      </c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29">
        <f t="shared" si="896"/>
        <v>0</v>
      </c>
      <c r="BD2166" s="48">
        <f t="shared" si="897"/>
        <v>0</v>
      </c>
      <c r="BE2166" s="19">
        <v>0</v>
      </c>
      <c r="BF2166" s="229">
        <f t="shared" si="898"/>
        <v>0</v>
      </c>
      <c r="BG2166" s="210">
        <f t="shared" si="899"/>
        <v>42</v>
      </c>
      <c r="BH2166" s="210">
        <f t="shared" si="900"/>
        <v>40</v>
      </c>
      <c r="BI2166" s="213">
        <f t="shared" si="901"/>
        <v>105</v>
      </c>
      <c r="BJ2166" s="270" t="s">
        <v>2857</v>
      </c>
      <c r="BK2166" s="201"/>
      <c r="BL2166" s="4"/>
      <c r="BM2166" s="4"/>
    </row>
    <row r="2167" spans="1:65" s="38" customFormat="1" ht="18" customHeight="1">
      <c r="A2167" s="114">
        <v>6</v>
      </c>
      <c r="B2167" s="24" t="s">
        <v>1468</v>
      </c>
      <c r="C2167" s="25" t="s">
        <v>1471</v>
      </c>
      <c r="D2167" s="121"/>
      <c r="E2167" s="121"/>
      <c r="F2167" s="121"/>
      <c r="G2167" s="121"/>
      <c r="H2167" s="121"/>
      <c r="I2167" s="121">
        <v>580</v>
      </c>
      <c r="J2167" s="121"/>
      <c r="K2167" s="121"/>
      <c r="L2167" s="121"/>
      <c r="M2167" s="121"/>
      <c r="N2167" s="121"/>
      <c r="O2167" s="121">
        <v>544</v>
      </c>
      <c r="P2167" s="121"/>
      <c r="Q2167" s="121"/>
      <c r="R2167" s="121"/>
      <c r="S2167" s="121"/>
      <c r="T2167" s="121"/>
      <c r="U2167" s="121">
        <f>594+662+662</f>
        <v>1918</v>
      </c>
      <c r="V2167" s="121"/>
      <c r="W2167" s="121"/>
      <c r="X2167" s="121"/>
      <c r="Y2167" s="121"/>
      <c r="Z2167" s="121"/>
      <c r="AA2167" s="121">
        <v>1</v>
      </c>
      <c r="AB2167" s="229">
        <f t="shared" si="894"/>
        <v>0</v>
      </c>
      <c r="AC2167" s="228">
        <f t="shared" si="895"/>
        <v>3043</v>
      </c>
      <c r="AD2167" s="19">
        <v>3590</v>
      </c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29">
        <f t="shared" si="896"/>
        <v>0</v>
      </c>
      <c r="BD2167" s="48">
        <f t="shared" si="897"/>
        <v>0</v>
      </c>
      <c r="BE2167" s="19">
        <v>0</v>
      </c>
      <c r="BF2167" s="229">
        <f t="shared" si="898"/>
        <v>0</v>
      </c>
      <c r="BG2167" s="210">
        <f t="shared" si="899"/>
        <v>3043</v>
      </c>
      <c r="BH2167" s="210">
        <f t="shared" si="900"/>
        <v>3590</v>
      </c>
      <c r="BI2167" s="213">
        <f t="shared" si="901"/>
        <v>84.763231197771589</v>
      </c>
      <c r="BJ2167" s="270" t="s">
        <v>2857</v>
      </c>
      <c r="BK2167" s="201"/>
      <c r="BL2167" s="4"/>
      <c r="BM2167" s="4"/>
    </row>
    <row r="2168" spans="1:65" s="38" customFormat="1" ht="18" customHeight="1">
      <c r="A2168" s="114">
        <v>7</v>
      </c>
      <c r="B2168" s="24" t="s">
        <v>1482</v>
      </c>
      <c r="C2168" s="25" t="s">
        <v>1483</v>
      </c>
      <c r="D2168" s="121"/>
      <c r="E2168" s="121"/>
      <c r="F2168" s="121"/>
      <c r="G2168" s="121"/>
      <c r="H2168" s="121"/>
      <c r="I2168" s="121">
        <f>1885+1036</f>
        <v>2921</v>
      </c>
      <c r="J2168" s="121"/>
      <c r="K2168" s="121"/>
      <c r="L2168" s="121"/>
      <c r="M2168" s="121"/>
      <c r="N2168" s="121"/>
      <c r="O2168" s="121">
        <f>2054+202+670</f>
        <v>2926</v>
      </c>
      <c r="P2168" s="121"/>
      <c r="Q2168" s="121"/>
      <c r="R2168" s="121"/>
      <c r="S2168" s="121"/>
      <c r="T2168" s="121"/>
      <c r="U2168" s="121">
        <f>1843+674+801+801</f>
        <v>4119</v>
      </c>
      <c r="V2168" s="121"/>
      <c r="W2168" s="121"/>
      <c r="X2168" s="121"/>
      <c r="Y2168" s="121"/>
      <c r="Z2168" s="121"/>
      <c r="AA2168" s="121">
        <v>2097</v>
      </c>
      <c r="AB2168" s="229">
        <f t="shared" si="894"/>
        <v>0</v>
      </c>
      <c r="AC2168" s="228">
        <f t="shared" si="895"/>
        <v>12063</v>
      </c>
      <c r="AD2168" s="19">
        <v>13698</v>
      </c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29">
        <f t="shared" si="896"/>
        <v>0</v>
      </c>
      <c r="BD2168" s="48">
        <f t="shared" si="897"/>
        <v>0</v>
      </c>
      <c r="BE2168" s="19">
        <v>0</v>
      </c>
      <c r="BF2168" s="229">
        <f t="shared" si="898"/>
        <v>0</v>
      </c>
      <c r="BG2168" s="210">
        <f t="shared" si="899"/>
        <v>12063</v>
      </c>
      <c r="BH2168" s="210">
        <f t="shared" si="900"/>
        <v>13698</v>
      </c>
      <c r="BI2168" s="213">
        <f t="shared" si="901"/>
        <v>88.063950941743315</v>
      </c>
      <c r="BJ2168" s="270" t="s">
        <v>2857</v>
      </c>
      <c r="BK2168" s="201"/>
      <c r="BL2168" s="4"/>
      <c r="BM2168" s="4"/>
    </row>
    <row r="2169" spans="1:65" s="38" customFormat="1" ht="21.95" customHeight="1">
      <c r="A2169" s="114">
        <v>8</v>
      </c>
      <c r="B2169" s="24" t="s">
        <v>1484</v>
      </c>
      <c r="C2169" s="182" t="s">
        <v>2596</v>
      </c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229">
        <f t="shared" si="894"/>
        <v>0</v>
      </c>
      <c r="AC2169" s="228">
        <f t="shared" si="895"/>
        <v>0</v>
      </c>
      <c r="AD2169" s="19">
        <v>1</v>
      </c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29">
        <f t="shared" si="896"/>
        <v>0</v>
      </c>
      <c r="BD2169" s="48">
        <f t="shared" si="897"/>
        <v>0</v>
      </c>
      <c r="BE2169" s="19">
        <v>0</v>
      </c>
      <c r="BF2169" s="229">
        <f t="shared" si="898"/>
        <v>0</v>
      </c>
      <c r="BG2169" s="210">
        <f t="shared" si="899"/>
        <v>0</v>
      </c>
      <c r="BH2169" s="210">
        <f t="shared" si="900"/>
        <v>1</v>
      </c>
      <c r="BI2169" s="213">
        <f t="shared" si="901"/>
        <v>0</v>
      </c>
      <c r="BJ2169" s="270" t="s">
        <v>2857</v>
      </c>
      <c r="BK2169" s="201"/>
      <c r="BL2169" s="4"/>
      <c r="BM2169" s="4"/>
    </row>
    <row r="2170" spans="1:65" s="38" customFormat="1" ht="18" customHeight="1">
      <c r="A2170" s="114">
        <v>9</v>
      </c>
      <c r="B2170" s="24" t="s">
        <v>2234</v>
      </c>
      <c r="C2170" s="25" t="s">
        <v>2235</v>
      </c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229">
        <f t="shared" si="894"/>
        <v>0</v>
      </c>
      <c r="AC2170" s="228">
        <f t="shared" si="895"/>
        <v>0</v>
      </c>
      <c r="AD2170" s="19">
        <v>0</v>
      </c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29">
        <f t="shared" si="896"/>
        <v>0</v>
      </c>
      <c r="BD2170" s="48">
        <f t="shared" si="897"/>
        <v>0</v>
      </c>
      <c r="BE2170" s="19">
        <v>52</v>
      </c>
      <c r="BF2170" s="229">
        <f t="shared" si="898"/>
        <v>0</v>
      </c>
      <c r="BG2170" s="210">
        <f t="shared" si="899"/>
        <v>0</v>
      </c>
      <c r="BH2170" s="210">
        <f t="shared" si="900"/>
        <v>52</v>
      </c>
      <c r="BI2170" s="213">
        <f t="shared" si="901"/>
        <v>0</v>
      </c>
      <c r="BJ2170" s="141"/>
      <c r="BK2170" s="201"/>
      <c r="BL2170" s="4"/>
      <c r="BM2170" s="4"/>
    </row>
    <row r="2171" spans="1:65" s="38" customFormat="1" ht="18" customHeight="1">
      <c r="A2171" s="114">
        <v>10</v>
      </c>
      <c r="B2171" s="24" t="s">
        <v>2287</v>
      </c>
      <c r="C2171" s="25" t="s">
        <v>2288</v>
      </c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229">
        <f t="shared" si="894"/>
        <v>0</v>
      </c>
      <c r="AC2171" s="228">
        <f t="shared" si="895"/>
        <v>0</v>
      </c>
      <c r="AD2171" s="19">
        <v>0</v>
      </c>
      <c r="AE2171" s="26"/>
      <c r="AF2171" s="26"/>
      <c r="AG2171" s="26"/>
      <c r="AH2171" s="26"/>
      <c r="AI2171" s="26"/>
      <c r="AJ2171" s="26">
        <v>1</v>
      </c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>
        <v>1</v>
      </c>
      <c r="BC2171" s="229">
        <f t="shared" si="896"/>
        <v>0</v>
      </c>
      <c r="BD2171" s="48">
        <f t="shared" si="897"/>
        <v>2</v>
      </c>
      <c r="BE2171" s="19">
        <v>38</v>
      </c>
      <c r="BF2171" s="229">
        <f t="shared" si="898"/>
        <v>0</v>
      </c>
      <c r="BG2171" s="210">
        <f t="shared" si="899"/>
        <v>2</v>
      </c>
      <c r="BH2171" s="210">
        <f t="shared" si="900"/>
        <v>38</v>
      </c>
      <c r="BI2171" s="213">
        <f t="shared" si="901"/>
        <v>5.2631578947368416</v>
      </c>
      <c r="BJ2171" s="141"/>
      <c r="BK2171" s="201"/>
      <c r="BL2171" s="4"/>
      <c r="BM2171" s="4"/>
    </row>
    <row r="2172" spans="1:65" s="38" customFormat="1" ht="18" customHeight="1">
      <c r="A2172" s="114">
        <v>11</v>
      </c>
      <c r="B2172" s="24" t="s">
        <v>2715</v>
      </c>
      <c r="C2172" s="25" t="s">
        <v>2716</v>
      </c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229">
        <f t="shared" si="894"/>
        <v>0</v>
      </c>
      <c r="AC2172" s="228">
        <f t="shared" si="895"/>
        <v>0</v>
      </c>
      <c r="AD2172" s="19">
        <v>0</v>
      </c>
      <c r="AE2172" s="26"/>
      <c r="AF2172" s="26"/>
      <c r="AG2172" s="26"/>
      <c r="AH2172" s="26"/>
      <c r="AI2172" s="26"/>
      <c r="AJ2172" s="26">
        <v>11</v>
      </c>
      <c r="AK2172" s="26"/>
      <c r="AL2172" s="26"/>
      <c r="AM2172" s="26"/>
      <c r="AN2172" s="26"/>
      <c r="AO2172" s="26"/>
      <c r="AP2172" s="26">
        <v>3</v>
      </c>
      <c r="AQ2172" s="26"/>
      <c r="AR2172" s="26"/>
      <c r="AS2172" s="26"/>
      <c r="AT2172" s="26"/>
      <c r="AU2172" s="26"/>
      <c r="AV2172" s="26">
        <v>2</v>
      </c>
      <c r="AW2172" s="26"/>
      <c r="AX2172" s="26"/>
      <c r="AY2172" s="26"/>
      <c r="AZ2172" s="26"/>
      <c r="BA2172" s="26"/>
      <c r="BB2172" s="26">
        <v>8</v>
      </c>
      <c r="BC2172" s="229">
        <f t="shared" si="896"/>
        <v>0</v>
      </c>
      <c r="BD2172" s="48">
        <f t="shared" si="897"/>
        <v>24</v>
      </c>
      <c r="BE2172" s="19">
        <v>22</v>
      </c>
      <c r="BF2172" s="229">
        <f t="shared" si="898"/>
        <v>0</v>
      </c>
      <c r="BG2172" s="210">
        <f t="shared" si="899"/>
        <v>24</v>
      </c>
      <c r="BH2172" s="210">
        <f t="shared" si="900"/>
        <v>22</v>
      </c>
      <c r="BI2172" s="213">
        <f t="shared" si="901"/>
        <v>109.09090909090908</v>
      </c>
      <c r="BJ2172" s="141"/>
      <c r="BK2172" s="201"/>
      <c r="BL2172" s="4"/>
      <c r="BM2172" s="4"/>
    </row>
    <row r="2173" spans="1:65" s="38" customFormat="1" ht="18" customHeight="1">
      <c r="A2173" s="114">
        <v>12</v>
      </c>
      <c r="B2173" s="24" t="s">
        <v>2694</v>
      </c>
      <c r="C2173" s="25" t="s">
        <v>2695</v>
      </c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229">
        <f t="shared" si="894"/>
        <v>0</v>
      </c>
      <c r="AC2173" s="228">
        <f t="shared" si="895"/>
        <v>0</v>
      </c>
      <c r="AD2173" s="19">
        <v>0</v>
      </c>
      <c r="AE2173" s="26"/>
      <c r="AF2173" s="26"/>
      <c r="AG2173" s="26"/>
      <c r="AH2173" s="26"/>
      <c r="AI2173" s="26"/>
      <c r="AJ2173" s="26">
        <v>16</v>
      </c>
      <c r="AK2173" s="26"/>
      <c r="AL2173" s="26"/>
      <c r="AM2173" s="26"/>
      <c r="AN2173" s="26"/>
      <c r="AO2173" s="26"/>
      <c r="AP2173" s="26">
        <v>15</v>
      </c>
      <c r="AQ2173" s="26"/>
      <c r="AR2173" s="26"/>
      <c r="AS2173" s="26"/>
      <c r="AT2173" s="26"/>
      <c r="AU2173" s="26"/>
      <c r="AV2173" s="26">
        <v>12</v>
      </c>
      <c r="AW2173" s="26"/>
      <c r="AX2173" s="26"/>
      <c r="AY2173" s="26"/>
      <c r="AZ2173" s="26"/>
      <c r="BA2173" s="26"/>
      <c r="BB2173" s="26">
        <v>16</v>
      </c>
      <c r="BC2173" s="229">
        <f t="shared" si="896"/>
        <v>0</v>
      </c>
      <c r="BD2173" s="48">
        <f t="shared" si="897"/>
        <v>59</v>
      </c>
      <c r="BE2173" s="19">
        <v>48</v>
      </c>
      <c r="BF2173" s="229">
        <f t="shared" si="898"/>
        <v>0</v>
      </c>
      <c r="BG2173" s="210">
        <f t="shared" si="899"/>
        <v>59</v>
      </c>
      <c r="BH2173" s="210">
        <f t="shared" si="900"/>
        <v>48</v>
      </c>
      <c r="BI2173" s="213">
        <f t="shared" si="901"/>
        <v>122.91666666666667</v>
      </c>
      <c r="BJ2173" s="141"/>
      <c r="BK2173" s="201"/>
      <c r="BL2173" s="4"/>
      <c r="BM2173" s="4"/>
    </row>
    <row r="2174" spans="1:65" s="38" customFormat="1" ht="18" customHeight="1">
      <c r="A2174" s="114">
        <v>13</v>
      </c>
      <c r="B2174" s="24" t="s">
        <v>2289</v>
      </c>
      <c r="C2174" s="25" t="s">
        <v>2290</v>
      </c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229">
        <f t="shared" si="894"/>
        <v>0</v>
      </c>
      <c r="AC2174" s="228">
        <f t="shared" si="895"/>
        <v>0</v>
      </c>
      <c r="AD2174" s="19">
        <v>0</v>
      </c>
      <c r="AE2174" s="26"/>
      <c r="AF2174" s="26"/>
      <c r="AG2174" s="26"/>
      <c r="AH2174" s="26"/>
      <c r="AI2174" s="26"/>
      <c r="AJ2174" s="26">
        <v>12</v>
      </c>
      <c r="AK2174" s="26"/>
      <c r="AL2174" s="26"/>
      <c r="AM2174" s="26"/>
      <c r="AN2174" s="26"/>
      <c r="AO2174" s="26"/>
      <c r="AP2174" s="26">
        <v>4</v>
      </c>
      <c r="AQ2174" s="26"/>
      <c r="AR2174" s="26"/>
      <c r="AS2174" s="26"/>
      <c r="AT2174" s="26"/>
      <c r="AU2174" s="26"/>
      <c r="AV2174" s="26">
        <v>3</v>
      </c>
      <c r="AW2174" s="26"/>
      <c r="AX2174" s="26"/>
      <c r="AY2174" s="26"/>
      <c r="AZ2174" s="26"/>
      <c r="BA2174" s="26"/>
      <c r="BB2174" s="26">
        <v>9</v>
      </c>
      <c r="BC2174" s="229">
        <f t="shared" si="896"/>
        <v>0</v>
      </c>
      <c r="BD2174" s="48">
        <f t="shared" si="897"/>
        <v>28</v>
      </c>
      <c r="BE2174" s="19">
        <v>48</v>
      </c>
      <c r="BF2174" s="229">
        <f t="shared" si="898"/>
        <v>0</v>
      </c>
      <c r="BG2174" s="210">
        <f t="shared" si="899"/>
        <v>28</v>
      </c>
      <c r="BH2174" s="210">
        <f t="shared" si="900"/>
        <v>48</v>
      </c>
      <c r="BI2174" s="213">
        <f t="shared" si="901"/>
        <v>58.333333333333336</v>
      </c>
      <c r="BJ2174" s="141"/>
      <c r="BK2174" s="201"/>
      <c r="BL2174" s="4"/>
      <c r="BM2174" s="4"/>
    </row>
    <row r="2175" spans="1:65" s="38" customFormat="1" ht="18" customHeight="1">
      <c r="A2175" s="114">
        <v>14</v>
      </c>
      <c r="B2175" s="24" t="s">
        <v>2717</v>
      </c>
      <c r="C2175" s="25" t="s">
        <v>2718</v>
      </c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229">
        <f t="shared" si="894"/>
        <v>0</v>
      </c>
      <c r="AC2175" s="228">
        <f t="shared" si="895"/>
        <v>0</v>
      </c>
      <c r="AD2175" s="19">
        <v>0</v>
      </c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29">
        <f t="shared" si="896"/>
        <v>0</v>
      </c>
      <c r="BD2175" s="48">
        <f t="shared" si="897"/>
        <v>0</v>
      </c>
      <c r="BE2175" s="19">
        <v>5</v>
      </c>
      <c r="BF2175" s="229">
        <f t="shared" si="898"/>
        <v>0</v>
      </c>
      <c r="BG2175" s="210">
        <f t="shared" si="899"/>
        <v>0</v>
      </c>
      <c r="BH2175" s="210">
        <f t="shared" si="900"/>
        <v>5</v>
      </c>
      <c r="BI2175" s="213">
        <f t="shared" si="901"/>
        <v>0</v>
      </c>
      <c r="BJ2175" s="141"/>
      <c r="BK2175" s="201"/>
      <c r="BL2175" s="4"/>
      <c r="BM2175" s="4"/>
    </row>
    <row r="2176" spans="1:65" s="38" customFormat="1" ht="18" customHeight="1">
      <c r="A2176" s="114">
        <v>15</v>
      </c>
      <c r="B2176" s="24" t="s">
        <v>2313</v>
      </c>
      <c r="C2176" s="25" t="s">
        <v>2719</v>
      </c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229">
        <f t="shared" si="894"/>
        <v>0</v>
      </c>
      <c r="AC2176" s="228">
        <f t="shared" si="895"/>
        <v>0</v>
      </c>
      <c r="AD2176" s="19">
        <v>0</v>
      </c>
      <c r="AE2176" s="26"/>
      <c r="AF2176" s="26"/>
      <c r="AG2176" s="26"/>
      <c r="AH2176" s="26"/>
      <c r="AI2176" s="26"/>
      <c r="AJ2176" s="26">
        <v>34</v>
      </c>
      <c r="AK2176" s="26"/>
      <c r="AL2176" s="26"/>
      <c r="AM2176" s="26"/>
      <c r="AN2176" s="26"/>
      <c r="AO2176" s="26"/>
      <c r="AP2176" s="26">
        <v>42</v>
      </c>
      <c r="AQ2176" s="26"/>
      <c r="AR2176" s="26"/>
      <c r="AS2176" s="26"/>
      <c r="AT2176" s="26"/>
      <c r="AU2176" s="26"/>
      <c r="AV2176" s="26">
        <v>32</v>
      </c>
      <c r="AW2176" s="26"/>
      <c r="AX2176" s="26"/>
      <c r="AY2176" s="26"/>
      <c r="AZ2176" s="26"/>
      <c r="BA2176" s="26"/>
      <c r="BB2176" s="26">
        <v>29</v>
      </c>
      <c r="BC2176" s="229">
        <f t="shared" si="896"/>
        <v>0</v>
      </c>
      <c r="BD2176" s="48">
        <f t="shared" si="897"/>
        <v>137</v>
      </c>
      <c r="BE2176" s="19">
        <v>88</v>
      </c>
      <c r="BF2176" s="229">
        <f t="shared" si="898"/>
        <v>0</v>
      </c>
      <c r="BG2176" s="210">
        <f t="shared" si="899"/>
        <v>137</v>
      </c>
      <c r="BH2176" s="210">
        <f t="shared" si="900"/>
        <v>88</v>
      </c>
      <c r="BI2176" s="213">
        <f t="shared" si="901"/>
        <v>155.68181818181819</v>
      </c>
      <c r="BJ2176" s="141"/>
      <c r="BK2176" s="201"/>
      <c r="BL2176" s="4"/>
      <c r="BM2176" s="4"/>
    </row>
    <row r="2177" spans="1:65" s="38" customFormat="1" ht="18" customHeight="1">
      <c r="A2177" s="114">
        <v>16</v>
      </c>
      <c r="B2177" s="24" t="s">
        <v>2314</v>
      </c>
      <c r="C2177" s="25" t="s">
        <v>2720</v>
      </c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229">
        <f t="shared" si="894"/>
        <v>0</v>
      </c>
      <c r="AC2177" s="228">
        <f t="shared" si="895"/>
        <v>0</v>
      </c>
      <c r="AD2177" s="19">
        <v>0</v>
      </c>
      <c r="AE2177" s="26"/>
      <c r="AF2177" s="26"/>
      <c r="AG2177" s="26"/>
      <c r="AH2177" s="26"/>
      <c r="AI2177" s="26"/>
      <c r="AJ2177" s="26">
        <v>7</v>
      </c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29">
        <f t="shared" si="896"/>
        <v>0</v>
      </c>
      <c r="BD2177" s="48">
        <f t="shared" si="897"/>
        <v>7</v>
      </c>
      <c r="BE2177" s="19">
        <v>22</v>
      </c>
      <c r="BF2177" s="229">
        <f t="shared" si="898"/>
        <v>0</v>
      </c>
      <c r="BG2177" s="210">
        <f t="shared" si="899"/>
        <v>7</v>
      </c>
      <c r="BH2177" s="210">
        <f t="shared" si="900"/>
        <v>22</v>
      </c>
      <c r="BI2177" s="213">
        <f t="shared" si="901"/>
        <v>31.818181818181817</v>
      </c>
      <c r="BJ2177" s="141"/>
      <c r="BK2177" s="201"/>
      <c r="BL2177" s="4"/>
      <c r="BM2177" s="4"/>
    </row>
    <row r="2178" spans="1:65" s="38" customFormat="1" ht="18" customHeight="1">
      <c r="A2178" s="114">
        <v>17</v>
      </c>
      <c r="B2178" s="24" t="s">
        <v>2321</v>
      </c>
      <c r="C2178" s="25" t="s">
        <v>2322</v>
      </c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229">
        <f t="shared" si="894"/>
        <v>0</v>
      </c>
      <c r="AC2178" s="228">
        <f t="shared" si="895"/>
        <v>0</v>
      </c>
      <c r="AD2178" s="19">
        <v>0</v>
      </c>
      <c r="AE2178" s="26"/>
      <c r="AF2178" s="26"/>
      <c r="AG2178" s="26"/>
      <c r="AH2178" s="26"/>
      <c r="AI2178" s="26"/>
      <c r="AJ2178" s="26">
        <v>1</v>
      </c>
      <c r="AK2178" s="26"/>
      <c r="AL2178" s="26"/>
      <c r="AM2178" s="26"/>
      <c r="AN2178" s="26"/>
      <c r="AO2178" s="26"/>
      <c r="AP2178" s="26">
        <v>2</v>
      </c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>
        <v>2</v>
      </c>
      <c r="BC2178" s="229">
        <f t="shared" si="896"/>
        <v>0</v>
      </c>
      <c r="BD2178" s="48">
        <f t="shared" si="897"/>
        <v>5</v>
      </c>
      <c r="BE2178" s="19">
        <v>7</v>
      </c>
      <c r="BF2178" s="229">
        <f t="shared" si="898"/>
        <v>0</v>
      </c>
      <c r="BG2178" s="210">
        <f t="shared" si="899"/>
        <v>5</v>
      </c>
      <c r="BH2178" s="210">
        <f t="shared" si="900"/>
        <v>7</v>
      </c>
      <c r="BI2178" s="213">
        <f t="shared" si="901"/>
        <v>71.428571428571431</v>
      </c>
      <c r="BJ2178" s="141"/>
      <c r="BK2178" s="201"/>
      <c r="BL2178" s="4"/>
      <c r="BM2178" s="4"/>
    </row>
    <row r="2179" spans="1:65" s="38" customFormat="1" ht="18" customHeight="1">
      <c r="A2179" s="114">
        <v>18</v>
      </c>
      <c r="B2179" s="24" t="s">
        <v>551</v>
      </c>
      <c r="C2179" s="25" t="s">
        <v>552</v>
      </c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>
        <v>1</v>
      </c>
      <c r="V2179" s="121"/>
      <c r="W2179" s="121"/>
      <c r="X2179" s="121"/>
      <c r="Y2179" s="121"/>
      <c r="Z2179" s="121"/>
      <c r="AA2179" s="121"/>
      <c r="AB2179" s="229">
        <f t="shared" si="894"/>
        <v>0</v>
      </c>
      <c r="AC2179" s="228">
        <f t="shared" si="895"/>
        <v>1</v>
      </c>
      <c r="AD2179" s="19">
        <v>0</v>
      </c>
      <c r="AE2179" s="26"/>
      <c r="AF2179" s="26"/>
      <c r="AG2179" s="26"/>
      <c r="AH2179" s="26"/>
      <c r="AI2179" s="26"/>
      <c r="AJ2179" s="26">
        <v>45</v>
      </c>
      <c r="AK2179" s="26"/>
      <c r="AL2179" s="26"/>
      <c r="AM2179" s="26"/>
      <c r="AN2179" s="26"/>
      <c r="AO2179" s="26"/>
      <c r="AP2179" s="26">
        <f>104+37</f>
        <v>141</v>
      </c>
      <c r="AQ2179" s="26"/>
      <c r="AR2179" s="26"/>
      <c r="AS2179" s="26"/>
      <c r="AT2179" s="26"/>
      <c r="AU2179" s="26"/>
      <c r="AV2179" s="26">
        <v>24</v>
      </c>
      <c r="AW2179" s="26"/>
      <c r="AX2179" s="26"/>
      <c r="AY2179" s="26"/>
      <c r="AZ2179" s="26"/>
      <c r="BA2179" s="26"/>
      <c r="BB2179" s="26">
        <f>18+24</f>
        <v>42</v>
      </c>
      <c r="BC2179" s="229">
        <f t="shared" si="896"/>
        <v>0</v>
      </c>
      <c r="BD2179" s="48">
        <f t="shared" si="897"/>
        <v>252</v>
      </c>
      <c r="BE2179" s="19">
        <v>587</v>
      </c>
      <c r="BF2179" s="229">
        <f t="shared" si="898"/>
        <v>0</v>
      </c>
      <c r="BG2179" s="210">
        <f t="shared" si="899"/>
        <v>253</v>
      </c>
      <c r="BH2179" s="210">
        <f t="shared" si="900"/>
        <v>587</v>
      </c>
      <c r="BI2179" s="213">
        <f t="shared" si="901"/>
        <v>43.100511073253834</v>
      </c>
      <c r="BJ2179" s="141"/>
      <c r="BK2179" s="201"/>
      <c r="BL2179" s="4"/>
      <c r="BM2179" s="4"/>
    </row>
    <row r="2180" spans="1:65" s="38" customFormat="1" ht="18" customHeight="1">
      <c r="A2180" s="114">
        <v>19</v>
      </c>
      <c r="B2180" s="24" t="s">
        <v>553</v>
      </c>
      <c r="C2180" s="25" t="s">
        <v>554</v>
      </c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229">
        <f t="shared" si="894"/>
        <v>0</v>
      </c>
      <c r="AC2180" s="228">
        <f t="shared" si="895"/>
        <v>0</v>
      </c>
      <c r="AD2180" s="19">
        <v>3</v>
      </c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>
        <f>79+1</f>
        <v>80</v>
      </c>
      <c r="AW2180" s="26"/>
      <c r="AX2180" s="26"/>
      <c r="AY2180" s="26"/>
      <c r="AZ2180" s="26"/>
      <c r="BA2180" s="26"/>
      <c r="BB2180" s="26">
        <v>130</v>
      </c>
      <c r="BC2180" s="229">
        <f t="shared" si="896"/>
        <v>0</v>
      </c>
      <c r="BD2180" s="48">
        <f t="shared" si="897"/>
        <v>210</v>
      </c>
      <c r="BE2180" s="19">
        <v>267</v>
      </c>
      <c r="BF2180" s="229">
        <f t="shared" si="898"/>
        <v>0</v>
      </c>
      <c r="BG2180" s="210">
        <f t="shared" si="899"/>
        <v>210</v>
      </c>
      <c r="BH2180" s="210">
        <f t="shared" si="900"/>
        <v>270</v>
      </c>
      <c r="BI2180" s="213">
        <f t="shared" si="901"/>
        <v>77.777777777777786</v>
      </c>
      <c r="BJ2180" s="141"/>
      <c r="BK2180" s="201"/>
      <c r="BL2180" s="4"/>
      <c r="BM2180" s="4"/>
    </row>
    <row r="2181" spans="1:65" s="38" customFormat="1" ht="18" customHeight="1">
      <c r="A2181" s="114">
        <v>20</v>
      </c>
      <c r="B2181" s="24" t="s">
        <v>555</v>
      </c>
      <c r="C2181" s="25" t="s">
        <v>556</v>
      </c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229">
        <f t="shared" si="894"/>
        <v>0</v>
      </c>
      <c r="AC2181" s="228">
        <f t="shared" si="895"/>
        <v>0</v>
      </c>
      <c r="AD2181" s="19">
        <v>0</v>
      </c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29">
        <f t="shared" si="896"/>
        <v>0</v>
      </c>
      <c r="BD2181" s="48">
        <f t="shared" si="897"/>
        <v>0</v>
      </c>
      <c r="BE2181" s="19">
        <v>2</v>
      </c>
      <c r="BF2181" s="229">
        <f t="shared" si="898"/>
        <v>0</v>
      </c>
      <c r="BG2181" s="210">
        <f t="shared" si="899"/>
        <v>0</v>
      </c>
      <c r="BH2181" s="210">
        <f t="shared" si="900"/>
        <v>2</v>
      </c>
      <c r="BI2181" s="213">
        <f t="shared" si="901"/>
        <v>0</v>
      </c>
      <c r="BJ2181" s="141"/>
      <c r="BK2181" s="201"/>
      <c r="BL2181" s="4"/>
      <c r="BM2181" s="4"/>
    </row>
    <row r="2182" spans="1:65" s="38" customFormat="1" ht="18" customHeight="1">
      <c r="A2182" s="114">
        <v>21</v>
      </c>
      <c r="B2182" s="24" t="s">
        <v>561</v>
      </c>
      <c r="C2182" s="25" t="s">
        <v>562</v>
      </c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>
        <v>1</v>
      </c>
      <c r="AB2182" s="229">
        <f t="shared" si="894"/>
        <v>0</v>
      </c>
      <c r="AC2182" s="228">
        <f t="shared" si="895"/>
        <v>1</v>
      </c>
      <c r="AD2182" s="19">
        <v>0</v>
      </c>
      <c r="AE2182" s="26"/>
      <c r="AF2182" s="26"/>
      <c r="AG2182" s="26"/>
      <c r="AH2182" s="26"/>
      <c r="AI2182" s="26"/>
      <c r="AJ2182" s="26">
        <f>1+1+1+639</f>
        <v>642</v>
      </c>
      <c r="AK2182" s="26"/>
      <c r="AL2182" s="26"/>
      <c r="AM2182" s="26"/>
      <c r="AN2182" s="26"/>
      <c r="AO2182" s="26"/>
      <c r="AP2182" s="26">
        <f>3+620</f>
        <v>623</v>
      </c>
      <c r="AQ2182" s="26"/>
      <c r="AR2182" s="26"/>
      <c r="AS2182" s="26"/>
      <c r="AT2182" s="26"/>
      <c r="AU2182" s="26"/>
      <c r="AV2182" s="26">
        <v>697</v>
      </c>
      <c r="AW2182" s="26"/>
      <c r="AX2182" s="26"/>
      <c r="AY2182" s="26"/>
      <c r="AZ2182" s="26"/>
      <c r="BA2182" s="26"/>
      <c r="BB2182" s="26">
        <v>780</v>
      </c>
      <c r="BC2182" s="229">
        <f t="shared" si="896"/>
        <v>0</v>
      </c>
      <c r="BD2182" s="48">
        <f t="shared" si="897"/>
        <v>2742</v>
      </c>
      <c r="BE2182" s="19">
        <v>4100</v>
      </c>
      <c r="BF2182" s="229">
        <f t="shared" si="898"/>
        <v>0</v>
      </c>
      <c r="BG2182" s="210">
        <f t="shared" si="899"/>
        <v>2743</v>
      </c>
      <c r="BH2182" s="210">
        <f t="shared" si="900"/>
        <v>4100</v>
      </c>
      <c r="BI2182" s="213">
        <f t="shared" si="901"/>
        <v>66.902439024390247</v>
      </c>
      <c r="BJ2182" s="141"/>
      <c r="BK2182" s="201"/>
      <c r="BL2182" s="4"/>
      <c r="BM2182" s="4"/>
    </row>
    <row r="2183" spans="1:65" s="38" customFormat="1" ht="18" customHeight="1">
      <c r="A2183" s="114">
        <v>22</v>
      </c>
      <c r="B2183" s="24" t="s">
        <v>672</v>
      </c>
      <c r="C2183" s="25" t="s">
        <v>673</v>
      </c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229">
        <f t="shared" si="894"/>
        <v>0</v>
      </c>
      <c r="AC2183" s="228">
        <f t="shared" si="895"/>
        <v>0</v>
      </c>
      <c r="AD2183" s="19">
        <v>0</v>
      </c>
      <c r="AE2183" s="26"/>
      <c r="AF2183" s="26"/>
      <c r="AG2183" s="26"/>
      <c r="AH2183" s="26"/>
      <c r="AI2183" s="26"/>
      <c r="AJ2183" s="26">
        <f>2+200+304+149+194+575+10</f>
        <v>1434</v>
      </c>
      <c r="AK2183" s="26"/>
      <c r="AL2183" s="26"/>
      <c r="AM2183" s="26"/>
      <c r="AN2183" s="26"/>
      <c r="AO2183" s="26"/>
      <c r="AP2183" s="26">
        <f>192+545+1</f>
        <v>738</v>
      </c>
      <c r="AQ2183" s="26"/>
      <c r="AR2183" s="26"/>
      <c r="AS2183" s="26"/>
      <c r="AT2183" s="26"/>
      <c r="AU2183" s="26"/>
      <c r="AV2183" s="26">
        <f>145+2+594</f>
        <v>741</v>
      </c>
      <c r="AW2183" s="26"/>
      <c r="AX2183" s="26"/>
      <c r="AY2183" s="26"/>
      <c r="AZ2183" s="26"/>
      <c r="BA2183" s="26"/>
      <c r="BB2183" s="26">
        <f>194+667</f>
        <v>861</v>
      </c>
      <c r="BC2183" s="229">
        <f t="shared" si="896"/>
        <v>0</v>
      </c>
      <c r="BD2183" s="48">
        <f t="shared" si="897"/>
        <v>3774</v>
      </c>
      <c r="BE2183" s="19">
        <v>6392</v>
      </c>
      <c r="BF2183" s="229">
        <f t="shared" si="898"/>
        <v>0</v>
      </c>
      <c r="BG2183" s="210">
        <f t="shared" si="899"/>
        <v>3774</v>
      </c>
      <c r="BH2183" s="210">
        <f t="shared" si="900"/>
        <v>6392</v>
      </c>
      <c r="BI2183" s="213">
        <f t="shared" si="901"/>
        <v>59.042553191489368</v>
      </c>
      <c r="BJ2183" s="141"/>
      <c r="BK2183" s="201"/>
      <c r="BL2183" s="4"/>
      <c r="BM2183" s="4"/>
    </row>
    <row r="2184" spans="1:65" s="38" customFormat="1" ht="21.95" customHeight="1">
      <c r="A2184" s="114">
        <v>23</v>
      </c>
      <c r="B2184" s="24" t="s">
        <v>480</v>
      </c>
      <c r="C2184" s="27" t="s">
        <v>1418</v>
      </c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229">
        <f t="shared" si="894"/>
        <v>0</v>
      </c>
      <c r="AC2184" s="228">
        <f t="shared" si="895"/>
        <v>0</v>
      </c>
      <c r="AD2184" s="19">
        <v>0</v>
      </c>
      <c r="AE2184" s="26"/>
      <c r="AF2184" s="26"/>
      <c r="AG2184" s="26"/>
      <c r="AH2184" s="26"/>
      <c r="AI2184" s="26"/>
      <c r="AJ2184" s="26">
        <v>1</v>
      </c>
      <c r="AK2184" s="26"/>
      <c r="AL2184" s="26"/>
      <c r="AM2184" s="26"/>
      <c r="AN2184" s="26"/>
      <c r="AO2184" s="26"/>
      <c r="AP2184" s="26">
        <v>4</v>
      </c>
      <c r="AQ2184" s="26"/>
      <c r="AR2184" s="26"/>
      <c r="AS2184" s="26"/>
      <c r="AT2184" s="26"/>
      <c r="AU2184" s="26"/>
      <c r="AV2184" s="26">
        <v>2</v>
      </c>
      <c r="AW2184" s="26"/>
      <c r="AX2184" s="26"/>
      <c r="AY2184" s="26"/>
      <c r="AZ2184" s="26"/>
      <c r="BA2184" s="26"/>
      <c r="BB2184" s="26">
        <v>1</v>
      </c>
      <c r="BC2184" s="229">
        <f t="shared" si="896"/>
        <v>0</v>
      </c>
      <c r="BD2184" s="48">
        <f t="shared" si="897"/>
        <v>8</v>
      </c>
      <c r="BE2184" s="19">
        <v>25</v>
      </c>
      <c r="BF2184" s="229">
        <f t="shared" si="898"/>
        <v>0</v>
      </c>
      <c r="BG2184" s="210">
        <f t="shared" si="899"/>
        <v>8</v>
      </c>
      <c r="BH2184" s="210">
        <f t="shared" si="900"/>
        <v>25</v>
      </c>
      <c r="BI2184" s="213">
        <f t="shared" si="901"/>
        <v>32</v>
      </c>
      <c r="BJ2184" s="141"/>
      <c r="BK2184" s="201"/>
      <c r="BL2184" s="4"/>
      <c r="BM2184" s="4"/>
    </row>
    <row r="2185" spans="1:65" s="38" customFormat="1" ht="21.95" customHeight="1">
      <c r="A2185" s="114">
        <v>24</v>
      </c>
      <c r="B2185" s="24" t="s">
        <v>2181</v>
      </c>
      <c r="C2185" s="25" t="s">
        <v>2182</v>
      </c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229">
        <f t="shared" si="894"/>
        <v>0</v>
      </c>
      <c r="AC2185" s="228">
        <f t="shared" si="895"/>
        <v>0</v>
      </c>
      <c r="AD2185" s="19">
        <v>0</v>
      </c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>
        <v>1</v>
      </c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29">
        <f t="shared" si="896"/>
        <v>0</v>
      </c>
      <c r="BD2185" s="48">
        <f t="shared" si="897"/>
        <v>1</v>
      </c>
      <c r="BE2185" s="19">
        <v>6</v>
      </c>
      <c r="BF2185" s="229">
        <f t="shared" si="898"/>
        <v>0</v>
      </c>
      <c r="BG2185" s="210">
        <f t="shared" si="899"/>
        <v>1</v>
      </c>
      <c r="BH2185" s="210">
        <f t="shared" si="900"/>
        <v>6</v>
      </c>
      <c r="BI2185" s="213">
        <f t="shared" si="901"/>
        <v>16.666666666666664</v>
      </c>
      <c r="BJ2185" s="141"/>
      <c r="BK2185" s="201"/>
      <c r="BL2185" s="4"/>
      <c r="BM2185" s="4"/>
    </row>
    <row r="2186" spans="1:65" s="38" customFormat="1" ht="21.95" customHeight="1">
      <c r="A2186" s="114">
        <v>25</v>
      </c>
      <c r="B2186" s="24" t="s">
        <v>1518</v>
      </c>
      <c r="C2186" s="27" t="s">
        <v>1519</v>
      </c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229">
        <f t="shared" si="894"/>
        <v>0</v>
      </c>
      <c r="AC2186" s="228">
        <f t="shared" si="895"/>
        <v>0</v>
      </c>
      <c r="AD2186" s="19">
        <v>0</v>
      </c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>
        <v>2</v>
      </c>
      <c r="BC2186" s="229">
        <f t="shared" si="896"/>
        <v>0</v>
      </c>
      <c r="BD2186" s="48">
        <f t="shared" si="897"/>
        <v>2</v>
      </c>
      <c r="BE2186" s="19">
        <v>7</v>
      </c>
      <c r="BF2186" s="229">
        <f t="shared" si="898"/>
        <v>0</v>
      </c>
      <c r="BG2186" s="210">
        <f t="shared" si="899"/>
        <v>2</v>
      </c>
      <c r="BH2186" s="210">
        <f t="shared" si="900"/>
        <v>7</v>
      </c>
      <c r="BI2186" s="213">
        <f t="shared" si="901"/>
        <v>28.571428571428569</v>
      </c>
      <c r="BJ2186" s="141"/>
      <c r="BK2186" s="201"/>
      <c r="BL2186" s="4"/>
      <c r="BM2186" s="4"/>
    </row>
    <row r="2187" spans="1:65" ht="18" customHeight="1">
      <c r="A2187" s="114">
        <v>26</v>
      </c>
      <c r="B2187" s="24" t="s">
        <v>563</v>
      </c>
      <c r="C2187" s="25" t="s">
        <v>564</v>
      </c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229">
        <f t="shared" si="894"/>
        <v>0</v>
      </c>
      <c r="AC2187" s="228">
        <f t="shared" si="895"/>
        <v>0</v>
      </c>
      <c r="AD2187" s="19">
        <v>0</v>
      </c>
      <c r="AE2187" s="26"/>
      <c r="AF2187" s="26"/>
      <c r="AG2187" s="26"/>
      <c r="AH2187" s="26"/>
      <c r="AI2187" s="26"/>
      <c r="AJ2187" s="26">
        <v>2</v>
      </c>
      <c r="AK2187" s="26"/>
      <c r="AL2187" s="26"/>
      <c r="AM2187" s="26"/>
      <c r="AN2187" s="26"/>
      <c r="AO2187" s="26"/>
      <c r="AP2187" s="26">
        <v>16</v>
      </c>
      <c r="AQ2187" s="26"/>
      <c r="AR2187" s="26"/>
      <c r="AS2187" s="26"/>
      <c r="AT2187" s="26"/>
      <c r="AU2187" s="26"/>
      <c r="AV2187" s="26">
        <v>2</v>
      </c>
      <c r="AW2187" s="26"/>
      <c r="AX2187" s="26"/>
      <c r="AY2187" s="26"/>
      <c r="AZ2187" s="26"/>
      <c r="BA2187" s="26"/>
      <c r="BB2187" s="26"/>
      <c r="BC2187" s="229">
        <f t="shared" si="896"/>
        <v>0</v>
      </c>
      <c r="BD2187" s="48">
        <f t="shared" si="897"/>
        <v>20</v>
      </c>
      <c r="BE2187" s="19">
        <v>34</v>
      </c>
      <c r="BF2187" s="229">
        <f t="shared" si="898"/>
        <v>0</v>
      </c>
      <c r="BG2187" s="210">
        <f t="shared" si="899"/>
        <v>20</v>
      </c>
      <c r="BH2187" s="210">
        <f t="shared" si="900"/>
        <v>34</v>
      </c>
      <c r="BI2187" s="213">
        <f t="shared" si="901"/>
        <v>58.82352941176471</v>
      </c>
      <c r="BJ2187" s="141"/>
      <c r="BK2187" s="201"/>
    </row>
    <row r="2188" spans="1:65" ht="18" customHeight="1">
      <c r="A2188" s="114">
        <v>27</v>
      </c>
      <c r="B2188" s="24" t="s">
        <v>808</v>
      </c>
      <c r="C2188" s="25" t="s">
        <v>809</v>
      </c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229">
        <f t="shared" si="894"/>
        <v>0</v>
      </c>
      <c r="AC2188" s="228">
        <f t="shared" si="895"/>
        <v>0</v>
      </c>
      <c r="AD2188" s="19">
        <v>0</v>
      </c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>
        <v>2</v>
      </c>
      <c r="AQ2188" s="28"/>
      <c r="AR2188" s="28"/>
      <c r="AS2188" s="28"/>
      <c r="AT2188" s="28"/>
      <c r="AU2188" s="28"/>
      <c r="AV2188" s="28">
        <v>2</v>
      </c>
      <c r="AW2188" s="28"/>
      <c r="AX2188" s="28"/>
      <c r="AY2188" s="28"/>
      <c r="AZ2188" s="28"/>
      <c r="BA2188" s="28"/>
      <c r="BB2188" s="28">
        <v>5</v>
      </c>
      <c r="BC2188" s="229">
        <f t="shared" si="896"/>
        <v>0</v>
      </c>
      <c r="BD2188" s="48">
        <f t="shared" si="897"/>
        <v>9</v>
      </c>
      <c r="BE2188" s="19">
        <v>11</v>
      </c>
      <c r="BF2188" s="229">
        <f t="shared" si="898"/>
        <v>0</v>
      </c>
      <c r="BG2188" s="210">
        <f t="shared" si="899"/>
        <v>9</v>
      </c>
      <c r="BH2188" s="210">
        <f t="shared" si="900"/>
        <v>11</v>
      </c>
      <c r="BI2188" s="213">
        <f t="shared" si="901"/>
        <v>81.818181818181827</v>
      </c>
      <c r="BJ2188" s="141"/>
      <c r="BK2188" s="201"/>
    </row>
    <row r="2189" spans="1:65" ht="18" customHeight="1">
      <c r="A2189" s="114">
        <v>28</v>
      </c>
      <c r="B2189" s="24" t="s">
        <v>565</v>
      </c>
      <c r="C2189" s="25" t="s">
        <v>566</v>
      </c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>
        <v>2</v>
      </c>
      <c r="V2189" s="121"/>
      <c r="W2189" s="121"/>
      <c r="X2189" s="121"/>
      <c r="Y2189" s="121"/>
      <c r="Z2189" s="121"/>
      <c r="AA2189" s="121"/>
      <c r="AB2189" s="229">
        <f t="shared" si="894"/>
        <v>0</v>
      </c>
      <c r="AC2189" s="228">
        <f t="shared" si="895"/>
        <v>2</v>
      </c>
      <c r="AD2189" s="19">
        <v>0</v>
      </c>
      <c r="AE2189" s="28"/>
      <c r="AF2189" s="28"/>
      <c r="AG2189" s="28"/>
      <c r="AH2189" s="28"/>
      <c r="AI2189" s="28"/>
      <c r="AJ2189" s="28">
        <f>24+16+4+13+33+10+116+1</f>
        <v>217</v>
      </c>
      <c r="AK2189" s="28"/>
      <c r="AL2189" s="28"/>
      <c r="AM2189" s="28"/>
      <c r="AN2189" s="28"/>
      <c r="AO2189" s="28"/>
      <c r="AP2189" s="28">
        <f>13+37+7+97+5</f>
        <v>159</v>
      </c>
      <c r="AQ2189" s="28"/>
      <c r="AR2189" s="28"/>
      <c r="AS2189" s="28"/>
      <c r="AT2189" s="28"/>
      <c r="AU2189" s="28"/>
      <c r="AV2189" s="28">
        <f>23+34+2+152</f>
        <v>211</v>
      </c>
      <c r="AW2189" s="28"/>
      <c r="AX2189" s="28"/>
      <c r="AY2189" s="28"/>
      <c r="AZ2189" s="28"/>
      <c r="BA2189" s="28"/>
      <c r="BB2189" s="28">
        <f>11+46+175</f>
        <v>232</v>
      </c>
      <c r="BC2189" s="229">
        <f t="shared" si="896"/>
        <v>0</v>
      </c>
      <c r="BD2189" s="48">
        <f t="shared" si="897"/>
        <v>819</v>
      </c>
      <c r="BE2189" s="19">
        <v>1295</v>
      </c>
      <c r="BF2189" s="229">
        <f t="shared" si="898"/>
        <v>0</v>
      </c>
      <c r="BG2189" s="210">
        <f t="shared" si="899"/>
        <v>821</v>
      </c>
      <c r="BH2189" s="210">
        <f t="shared" si="900"/>
        <v>1295</v>
      </c>
      <c r="BI2189" s="213">
        <f t="shared" si="901"/>
        <v>63.397683397683402</v>
      </c>
      <c r="BJ2189" s="141"/>
      <c r="BK2189" s="201"/>
    </row>
    <row r="2190" spans="1:65" ht="18" customHeight="1">
      <c r="A2190" s="114">
        <v>29</v>
      </c>
      <c r="B2190" s="24" t="s">
        <v>707</v>
      </c>
      <c r="C2190" s="25" t="s">
        <v>708</v>
      </c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229">
        <f t="shared" si="894"/>
        <v>0</v>
      </c>
      <c r="AC2190" s="228">
        <f t="shared" si="895"/>
        <v>0</v>
      </c>
      <c r="AD2190" s="19">
        <v>0</v>
      </c>
      <c r="AE2190" s="28"/>
      <c r="AF2190" s="28"/>
      <c r="AG2190" s="28"/>
      <c r="AH2190" s="28"/>
      <c r="AI2190" s="28"/>
      <c r="AJ2190" s="28">
        <f>5+11</f>
        <v>16</v>
      </c>
      <c r="AK2190" s="28"/>
      <c r="AL2190" s="28"/>
      <c r="AM2190" s="28"/>
      <c r="AN2190" s="28"/>
      <c r="AO2190" s="28"/>
      <c r="AP2190" s="28">
        <f>2+55</f>
        <v>57</v>
      </c>
      <c r="AQ2190" s="28"/>
      <c r="AR2190" s="28"/>
      <c r="AS2190" s="28"/>
      <c r="AT2190" s="28"/>
      <c r="AU2190" s="28"/>
      <c r="AV2190" s="28">
        <v>26</v>
      </c>
      <c r="AW2190" s="28"/>
      <c r="AX2190" s="28"/>
      <c r="AY2190" s="28"/>
      <c r="AZ2190" s="28"/>
      <c r="BA2190" s="28"/>
      <c r="BB2190" s="28">
        <f>1+6</f>
        <v>7</v>
      </c>
      <c r="BC2190" s="229">
        <f t="shared" si="896"/>
        <v>0</v>
      </c>
      <c r="BD2190" s="48">
        <f t="shared" si="897"/>
        <v>106</v>
      </c>
      <c r="BE2190" s="19">
        <v>196</v>
      </c>
      <c r="BF2190" s="229">
        <f t="shared" si="898"/>
        <v>0</v>
      </c>
      <c r="BG2190" s="210">
        <f t="shared" si="899"/>
        <v>106</v>
      </c>
      <c r="BH2190" s="210">
        <f t="shared" si="900"/>
        <v>196</v>
      </c>
      <c r="BI2190" s="213">
        <f t="shared" si="901"/>
        <v>54.081632653061227</v>
      </c>
      <c r="BJ2190" s="141"/>
      <c r="BK2190" s="201"/>
    </row>
    <row r="2191" spans="1:65" ht="18" customHeight="1">
      <c r="A2191" s="114">
        <v>30</v>
      </c>
      <c r="B2191" s="24" t="s">
        <v>678</v>
      </c>
      <c r="C2191" s="25" t="s">
        <v>679</v>
      </c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229">
        <f t="shared" si="894"/>
        <v>0</v>
      </c>
      <c r="AC2191" s="228">
        <f t="shared" si="895"/>
        <v>0</v>
      </c>
      <c r="AD2191" s="19">
        <v>0</v>
      </c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29">
        <f t="shared" si="896"/>
        <v>0</v>
      </c>
      <c r="BD2191" s="48">
        <f t="shared" si="897"/>
        <v>0</v>
      </c>
      <c r="BE2191" s="19">
        <v>2</v>
      </c>
      <c r="BF2191" s="229">
        <f t="shared" si="898"/>
        <v>0</v>
      </c>
      <c r="BG2191" s="210">
        <f t="shared" si="899"/>
        <v>0</v>
      </c>
      <c r="BH2191" s="210">
        <f t="shared" si="900"/>
        <v>2</v>
      </c>
      <c r="BI2191" s="213">
        <f t="shared" si="901"/>
        <v>0</v>
      </c>
      <c r="BJ2191" s="141"/>
      <c r="BK2191" s="201"/>
    </row>
    <row r="2192" spans="1:65" ht="18" customHeight="1">
      <c r="A2192" s="114">
        <v>31</v>
      </c>
      <c r="B2192" s="24" t="s">
        <v>567</v>
      </c>
      <c r="C2192" s="25" t="s">
        <v>568</v>
      </c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229">
        <f t="shared" si="894"/>
        <v>0</v>
      </c>
      <c r="AC2192" s="228">
        <f t="shared" si="895"/>
        <v>0</v>
      </c>
      <c r="AD2192" s="19">
        <v>5</v>
      </c>
      <c r="AE2192" s="28"/>
      <c r="AF2192" s="28"/>
      <c r="AG2192" s="28"/>
      <c r="AH2192" s="28"/>
      <c r="AI2192" s="28"/>
      <c r="AJ2192" s="28">
        <v>1</v>
      </c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>
        <f>1+40</f>
        <v>41</v>
      </c>
      <c r="AW2192" s="28"/>
      <c r="AX2192" s="28"/>
      <c r="AY2192" s="28"/>
      <c r="AZ2192" s="28"/>
      <c r="BA2192" s="28"/>
      <c r="BB2192" s="28"/>
      <c r="BC2192" s="229">
        <f t="shared" si="896"/>
        <v>0</v>
      </c>
      <c r="BD2192" s="48">
        <f t="shared" si="897"/>
        <v>42</v>
      </c>
      <c r="BE2192" s="19">
        <v>13</v>
      </c>
      <c r="BF2192" s="229">
        <f t="shared" si="898"/>
        <v>0</v>
      </c>
      <c r="BG2192" s="210">
        <f t="shared" si="899"/>
        <v>42</v>
      </c>
      <c r="BH2192" s="210">
        <f t="shared" si="900"/>
        <v>18</v>
      </c>
      <c r="BI2192" s="213">
        <f t="shared" si="901"/>
        <v>233.33333333333334</v>
      </c>
      <c r="BJ2192" s="141"/>
      <c r="BK2192" s="201"/>
    </row>
    <row r="2193" spans="1:65" ht="18" customHeight="1">
      <c r="A2193" s="114">
        <v>32</v>
      </c>
      <c r="B2193" s="24" t="s">
        <v>569</v>
      </c>
      <c r="C2193" s="25" t="s">
        <v>948</v>
      </c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>
        <v>2</v>
      </c>
      <c r="V2193" s="121"/>
      <c r="W2193" s="121"/>
      <c r="X2193" s="121"/>
      <c r="Y2193" s="121"/>
      <c r="Z2193" s="121"/>
      <c r="AA2193" s="121">
        <v>7</v>
      </c>
      <c r="AB2193" s="229">
        <f t="shared" si="894"/>
        <v>0</v>
      </c>
      <c r="AC2193" s="228">
        <f t="shared" si="895"/>
        <v>9</v>
      </c>
      <c r="AD2193" s="19">
        <v>0</v>
      </c>
      <c r="AE2193" s="28"/>
      <c r="AF2193" s="28"/>
      <c r="AG2193" s="28"/>
      <c r="AH2193" s="28"/>
      <c r="AI2193" s="28"/>
      <c r="AJ2193" s="28">
        <f>228+39</f>
        <v>267</v>
      </c>
      <c r="AK2193" s="28"/>
      <c r="AL2193" s="28"/>
      <c r="AM2193" s="28"/>
      <c r="AN2193" s="28"/>
      <c r="AO2193" s="28"/>
      <c r="AP2193" s="28">
        <f>270+1+33+76</f>
        <v>380</v>
      </c>
      <c r="AQ2193" s="28"/>
      <c r="AR2193" s="28"/>
      <c r="AS2193" s="28"/>
      <c r="AT2193" s="28"/>
      <c r="AU2193" s="28"/>
      <c r="AV2193" s="28">
        <f>235+66</f>
        <v>301</v>
      </c>
      <c r="AW2193" s="28"/>
      <c r="AX2193" s="28"/>
      <c r="AY2193" s="28"/>
      <c r="AZ2193" s="28"/>
      <c r="BA2193" s="28"/>
      <c r="BB2193" s="28">
        <f>166+35+70</f>
        <v>271</v>
      </c>
      <c r="BC2193" s="229">
        <f t="shared" si="896"/>
        <v>0</v>
      </c>
      <c r="BD2193" s="48">
        <f t="shared" si="897"/>
        <v>1219</v>
      </c>
      <c r="BE2193" s="19">
        <v>1768</v>
      </c>
      <c r="BF2193" s="229">
        <f t="shared" si="898"/>
        <v>0</v>
      </c>
      <c r="BG2193" s="210">
        <f t="shared" si="899"/>
        <v>1228</v>
      </c>
      <c r="BH2193" s="210">
        <f t="shared" si="900"/>
        <v>1768</v>
      </c>
      <c r="BI2193" s="213">
        <f t="shared" si="901"/>
        <v>69.457013574660635</v>
      </c>
      <c r="BJ2193" s="141"/>
      <c r="BK2193" s="201"/>
    </row>
    <row r="2194" spans="1:65" ht="18" customHeight="1">
      <c r="A2194" s="114">
        <v>33</v>
      </c>
      <c r="B2194" s="24" t="s">
        <v>571</v>
      </c>
      <c r="C2194" s="25" t="s">
        <v>572</v>
      </c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>
        <v>1</v>
      </c>
      <c r="AB2194" s="229">
        <f t="shared" si="894"/>
        <v>0</v>
      </c>
      <c r="AC2194" s="228">
        <f t="shared" si="895"/>
        <v>1</v>
      </c>
      <c r="AD2194" s="19">
        <v>0</v>
      </c>
      <c r="AE2194" s="26"/>
      <c r="AF2194" s="26"/>
      <c r="AG2194" s="26"/>
      <c r="AH2194" s="26"/>
      <c r="AI2194" s="26"/>
      <c r="AJ2194" s="26">
        <f>2+747+494+324+551+1+662+7</f>
        <v>2788</v>
      </c>
      <c r="AK2194" s="26"/>
      <c r="AL2194" s="26"/>
      <c r="AM2194" s="26"/>
      <c r="AN2194" s="26"/>
      <c r="AO2194" s="26"/>
      <c r="AP2194" s="26">
        <f>14+460+1+657+28+200</f>
        <v>1360</v>
      </c>
      <c r="AQ2194" s="26"/>
      <c r="AR2194" s="26"/>
      <c r="AS2194" s="26"/>
      <c r="AT2194" s="26"/>
      <c r="AU2194" s="26"/>
      <c r="AV2194" s="26">
        <f>1+587+3+697</f>
        <v>1288</v>
      </c>
      <c r="AW2194" s="26"/>
      <c r="AX2194" s="26"/>
      <c r="AY2194" s="26"/>
      <c r="AZ2194" s="26"/>
      <c r="BA2194" s="26"/>
      <c r="BB2194" s="26">
        <f>623+4+759</f>
        <v>1386</v>
      </c>
      <c r="BC2194" s="229">
        <f t="shared" si="896"/>
        <v>0</v>
      </c>
      <c r="BD2194" s="48">
        <f t="shared" si="897"/>
        <v>6822</v>
      </c>
      <c r="BE2194" s="19">
        <v>10050</v>
      </c>
      <c r="BF2194" s="229">
        <f t="shared" si="898"/>
        <v>0</v>
      </c>
      <c r="BG2194" s="210">
        <f t="shared" si="899"/>
        <v>6823</v>
      </c>
      <c r="BH2194" s="210">
        <f t="shared" si="900"/>
        <v>10050</v>
      </c>
      <c r="BI2194" s="213">
        <f t="shared" ref="BI2194:BI2230" si="902">BG2194/BH2194*100</f>
        <v>67.890547263681583</v>
      </c>
      <c r="BJ2194" s="141"/>
      <c r="BK2194" s="201"/>
    </row>
    <row r="2195" spans="1:65" ht="18" customHeight="1">
      <c r="A2195" s="114">
        <v>34</v>
      </c>
      <c r="B2195" s="24" t="s">
        <v>573</v>
      </c>
      <c r="C2195" s="25" t="s">
        <v>574</v>
      </c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229">
        <f t="shared" si="894"/>
        <v>0</v>
      </c>
      <c r="AC2195" s="228">
        <f t="shared" si="895"/>
        <v>0</v>
      </c>
      <c r="AD2195" s="19">
        <v>0</v>
      </c>
      <c r="AE2195" s="26"/>
      <c r="AF2195" s="26"/>
      <c r="AG2195" s="26"/>
      <c r="AH2195" s="26"/>
      <c r="AI2195" s="26"/>
      <c r="AJ2195" s="26">
        <f>1+1+207</f>
        <v>209</v>
      </c>
      <c r="AK2195" s="26"/>
      <c r="AL2195" s="26"/>
      <c r="AM2195" s="26"/>
      <c r="AN2195" s="26"/>
      <c r="AO2195" s="26"/>
      <c r="AP2195" s="26">
        <f>3+213</f>
        <v>216</v>
      </c>
      <c r="AQ2195" s="26"/>
      <c r="AR2195" s="26"/>
      <c r="AS2195" s="26"/>
      <c r="AT2195" s="26"/>
      <c r="AU2195" s="26"/>
      <c r="AV2195" s="26">
        <v>273</v>
      </c>
      <c r="AW2195" s="26"/>
      <c r="AX2195" s="26"/>
      <c r="AY2195" s="26"/>
      <c r="AZ2195" s="26"/>
      <c r="BA2195" s="26"/>
      <c r="BB2195" s="26">
        <v>269</v>
      </c>
      <c r="BC2195" s="229">
        <f t="shared" si="896"/>
        <v>0</v>
      </c>
      <c r="BD2195" s="48">
        <f t="shared" si="897"/>
        <v>967</v>
      </c>
      <c r="BE2195" s="19">
        <v>1780</v>
      </c>
      <c r="BF2195" s="229">
        <f t="shared" si="898"/>
        <v>0</v>
      </c>
      <c r="BG2195" s="210">
        <f t="shared" si="899"/>
        <v>967</v>
      </c>
      <c r="BH2195" s="210">
        <f t="shared" si="900"/>
        <v>1780</v>
      </c>
      <c r="BI2195" s="213">
        <f t="shared" si="902"/>
        <v>54.325842696629209</v>
      </c>
      <c r="BJ2195" s="141"/>
      <c r="BK2195" s="201"/>
    </row>
    <row r="2196" spans="1:65" ht="18" customHeight="1">
      <c r="A2196" s="114">
        <v>35</v>
      </c>
      <c r="B2196" s="24" t="s">
        <v>575</v>
      </c>
      <c r="C2196" s="25" t="s">
        <v>711</v>
      </c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229">
        <f t="shared" si="894"/>
        <v>0</v>
      </c>
      <c r="AC2196" s="228">
        <f t="shared" si="895"/>
        <v>0</v>
      </c>
      <c r="AD2196" s="19">
        <v>0</v>
      </c>
      <c r="AE2196" s="28"/>
      <c r="AF2196" s="28"/>
      <c r="AG2196" s="28"/>
      <c r="AH2196" s="28"/>
      <c r="AI2196" s="28"/>
      <c r="AJ2196" s="28">
        <f>1+1+72</f>
        <v>74</v>
      </c>
      <c r="AK2196" s="28"/>
      <c r="AL2196" s="28"/>
      <c r="AM2196" s="28"/>
      <c r="AN2196" s="28"/>
      <c r="AO2196" s="28"/>
      <c r="AP2196" s="28">
        <f>3+78</f>
        <v>81</v>
      </c>
      <c r="AQ2196" s="28"/>
      <c r="AR2196" s="28"/>
      <c r="AS2196" s="28"/>
      <c r="AT2196" s="28"/>
      <c r="AU2196" s="28"/>
      <c r="AV2196" s="28">
        <v>87</v>
      </c>
      <c r="AW2196" s="28"/>
      <c r="AX2196" s="28"/>
      <c r="AY2196" s="28"/>
      <c r="AZ2196" s="28"/>
      <c r="BA2196" s="28"/>
      <c r="BB2196" s="28">
        <v>86</v>
      </c>
      <c r="BC2196" s="229">
        <f t="shared" si="896"/>
        <v>0</v>
      </c>
      <c r="BD2196" s="48">
        <f t="shared" si="897"/>
        <v>328</v>
      </c>
      <c r="BE2196" s="19">
        <v>520</v>
      </c>
      <c r="BF2196" s="229">
        <f t="shared" si="898"/>
        <v>0</v>
      </c>
      <c r="BG2196" s="210">
        <f t="shared" si="899"/>
        <v>328</v>
      </c>
      <c r="BH2196" s="210">
        <f t="shared" si="900"/>
        <v>520</v>
      </c>
      <c r="BI2196" s="213">
        <f t="shared" si="902"/>
        <v>63.076923076923073</v>
      </c>
      <c r="BJ2196" s="141"/>
      <c r="BK2196" s="201"/>
    </row>
    <row r="2197" spans="1:65" s="38" customFormat="1" ht="21.95" customHeight="1">
      <c r="A2197" s="114">
        <v>36</v>
      </c>
      <c r="B2197" s="24" t="s">
        <v>577</v>
      </c>
      <c r="C2197" s="27" t="s">
        <v>1630</v>
      </c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229">
        <f t="shared" si="894"/>
        <v>0</v>
      </c>
      <c r="AC2197" s="228">
        <f t="shared" si="895"/>
        <v>0</v>
      </c>
      <c r="AD2197" s="19">
        <v>0</v>
      </c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>
        <v>2</v>
      </c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29">
        <f t="shared" si="896"/>
        <v>0</v>
      </c>
      <c r="BD2197" s="48">
        <f t="shared" si="897"/>
        <v>2</v>
      </c>
      <c r="BE2197" s="19">
        <v>3</v>
      </c>
      <c r="BF2197" s="229">
        <f t="shared" si="898"/>
        <v>0</v>
      </c>
      <c r="BG2197" s="210">
        <f t="shared" si="899"/>
        <v>2</v>
      </c>
      <c r="BH2197" s="210">
        <f t="shared" si="900"/>
        <v>3</v>
      </c>
      <c r="BI2197" s="213">
        <f t="shared" si="902"/>
        <v>66.666666666666657</v>
      </c>
      <c r="BJ2197" s="141"/>
      <c r="BK2197" s="201"/>
      <c r="BL2197" s="4"/>
      <c r="BM2197" s="4"/>
    </row>
    <row r="2198" spans="1:65" s="38" customFormat="1" ht="18" customHeight="1">
      <c r="A2198" s="114">
        <v>37</v>
      </c>
      <c r="B2198" s="24" t="s">
        <v>578</v>
      </c>
      <c r="C2198" s="25" t="s">
        <v>1587</v>
      </c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229">
        <f t="shared" si="894"/>
        <v>0</v>
      </c>
      <c r="AC2198" s="228">
        <f t="shared" si="895"/>
        <v>0</v>
      </c>
      <c r="AD2198" s="19">
        <v>0</v>
      </c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>
        <v>1</v>
      </c>
      <c r="AQ2198" s="28"/>
      <c r="AR2198" s="28"/>
      <c r="AS2198" s="28"/>
      <c r="AT2198" s="28"/>
      <c r="AU2198" s="28"/>
      <c r="AV2198" s="28">
        <v>1</v>
      </c>
      <c r="AW2198" s="28"/>
      <c r="AX2198" s="28"/>
      <c r="AY2198" s="28"/>
      <c r="AZ2198" s="28"/>
      <c r="BA2198" s="28"/>
      <c r="BB2198" s="28"/>
      <c r="BC2198" s="229">
        <f t="shared" si="896"/>
        <v>0</v>
      </c>
      <c r="BD2198" s="48">
        <f t="shared" si="897"/>
        <v>2</v>
      </c>
      <c r="BE2198" s="19">
        <v>1</v>
      </c>
      <c r="BF2198" s="229">
        <f t="shared" si="898"/>
        <v>0</v>
      </c>
      <c r="BG2198" s="210">
        <f t="shared" si="899"/>
        <v>2</v>
      </c>
      <c r="BH2198" s="210">
        <f t="shared" si="900"/>
        <v>1</v>
      </c>
      <c r="BI2198" s="213">
        <f t="shared" si="902"/>
        <v>200</v>
      </c>
      <c r="BJ2198" s="141"/>
      <c r="BK2198" s="201"/>
      <c r="BL2198" s="4"/>
      <c r="BM2198" s="4"/>
    </row>
    <row r="2199" spans="1:65" s="38" customFormat="1" ht="18" customHeight="1">
      <c r="A2199" s="114">
        <v>38</v>
      </c>
      <c r="B2199" s="24" t="s">
        <v>579</v>
      </c>
      <c r="C2199" s="25" t="s">
        <v>580</v>
      </c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229">
        <f t="shared" si="894"/>
        <v>0</v>
      </c>
      <c r="AC2199" s="228">
        <f t="shared" si="895"/>
        <v>0</v>
      </c>
      <c r="AD2199" s="19">
        <v>0</v>
      </c>
      <c r="AE2199" s="28"/>
      <c r="AF2199" s="28"/>
      <c r="AG2199" s="28"/>
      <c r="AH2199" s="28"/>
      <c r="AI2199" s="28"/>
      <c r="AJ2199" s="28">
        <v>275</v>
      </c>
      <c r="AK2199" s="28"/>
      <c r="AL2199" s="28"/>
      <c r="AM2199" s="28"/>
      <c r="AN2199" s="28"/>
      <c r="AO2199" s="28"/>
      <c r="AP2199" s="28">
        <v>262</v>
      </c>
      <c r="AQ2199" s="28"/>
      <c r="AR2199" s="28"/>
      <c r="AS2199" s="28"/>
      <c r="AT2199" s="28"/>
      <c r="AU2199" s="28"/>
      <c r="AV2199" s="28">
        <v>258</v>
      </c>
      <c r="AW2199" s="28"/>
      <c r="AX2199" s="28"/>
      <c r="AY2199" s="28"/>
      <c r="AZ2199" s="28"/>
      <c r="BA2199" s="28"/>
      <c r="BB2199" s="28">
        <v>210</v>
      </c>
      <c r="BC2199" s="229">
        <f t="shared" si="896"/>
        <v>0</v>
      </c>
      <c r="BD2199" s="48">
        <f t="shared" si="897"/>
        <v>1005</v>
      </c>
      <c r="BE2199" s="19">
        <v>1385</v>
      </c>
      <c r="BF2199" s="229">
        <f t="shared" si="898"/>
        <v>0</v>
      </c>
      <c r="BG2199" s="210">
        <f t="shared" si="899"/>
        <v>1005</v>
      </c>
      <c r="BH2199" s="210">
        <f t="shared" si="900"/>
        <v>1385</v>
      </c>
      <c r="BI2199" s="213">
        <f t="shared" si="902"/>
        <v>72.563176895306853</v>
      </c>
      <c r="BJ2199" s="141"/>
      <c r="BK2199" s="201"/>
      <c r="BL2199" s="4"/>
      <c r="BM2199" s="4"/>
    </row>
    <row r="2200" spans="1:65" s="38" customFormat="1" ht="18" customHeight="1">
      <c r="A2200" s="114">
        <v>39</v>
      </c>
      <c r="B2200" s="24" t="s">
        <v>810</v>
      </c>
      <c r="C2200" s="25" t="s">
        <v>811</v>
      </c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229">
        <f t="shared" si="894"/>
        <v>0</v>
      </c>
      <c r="AC2200" s="228">
        <f t="shared" si="895"/>
        <v>0</v>
      </c>
      <c r="AD2200" s="19">
        <v>0</v>
      </c>
      <c r="AE2200" s="28"/>
      <c r="AF2200" s="28"/>
      <c r="AG2200" s="28"/>
      <c r="AH2200" s="28"/>
      <c r="AI2200" s="28"/>
      <c r="AJ2200" s="28">
        <v>2</v>
      </c>
      <c r="AK2200" s="28"/>
      <c r="AL2200" s="28"/>
      <c r="AM2200" s="28"/>
      <c r="AN2200" s="28"/>
      <c r="AO2200" s="28"/>
      <c r="AP2200" s="28">
        <v>3</v>
      </c>
      <c r="AQ2200" s="28"/>
      <c r="AR2200" s="28"/>
      <c r="AS2200" s="28"/>
      <c r="AT2200" s="28"/>
      <c r="AU2200" s="28"/>
      <c r="AV2200" s="28">
        <v>1</v>
      </c>
      <c r="AW2200" s="28"/>
      <c r="AX2200" s="28"/>
      <c r="AY2200" s="28"/>
      <c r="AZ2200" s="28"/>
      <c r="BA2200" s="28"/>
      <c r="BB2200" s="28">
        <v>1</v>
      </c>
      <c r="BC2200" s="229">
        <f t="shared" si="896"/>
        <v>0</v>
      </c>
      <c r="BD2200" s="48">
        <f t="shared" si="897"/>
        <v>7</v>
      </c>
      <c r="BE2200" s="19">
        <v>3</v>
      </c>
      <c r="BF2200" s="229">
        <f t="shared" si="898"/>
        <v>0</v>
      </c>
      <c r="BG2200" s="210">
        <f t="shared" si="899"/>
        <v>7</v>
      </c>
      <c r="BH2200" s="210">
        <f t="shared" si="900"/>
        <v>3</v>
      </c>
      <c r="BI2200" s="213">
        <f t="shared" si="902"/>
        <v>233.33333333333334</v>
      </c>
      <c r="BJ2200" s="141"/>
      <c r="BK2200" s="201"/>
      <c r="BL2200" s="4"/>
      <c r="BM2200" s="4"/>
    </row>
    <row r="2201" spans="1:65" s="38" customFormat="1" ht="18" customHeight="1">
      <c r="A2201" s="114">
        <v>40</v>
      </c>
      <c r="B2201" s="24" t="s">
        <v>849</v>
      </c>
      <c r="C2201" s="25" t="s">
        <v>850</v>
      </c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229">
        <f t="shared" si="894"/>
        <v>0</v>
      </c>
      <c r="AC2201" s="228">
        <f t="shared" si="895"/>
        <v>0</v>
      </c>
      <c r="AD2201" s="19">
        <v>0</v>
      </c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29">
        <f t="shared" si="896"/>
        <v>0</v>
      </c>
      <c r="BD2201" s="48">
        <f t="shared" si="897"/>
        <v>0</v>
      </c>
      <c r="BE2201" s="19">
        <v>1</v>
      </c>
      <c r="BF2201" s="229">
        <f t="shared" si="898"/>
        <v>0</v>
      </c>
      <c r="BG2201" s="210">
        <f t="shared" si="899"/>
        <v>0</v>
      </c>
      <c r="BH2201" s="210">
        <f t="shared" si="900"/>
        <v>1</v>
      </c>
      <c r="BI2201" s="213">
        <f t="shared" si="902"/>
        <v>0</v>
      </c>
      <c r="BJ2201" s="141"/>
      <c r="BK2201" s="201"/>
      <c r="BL2201" s="4"/>
      <c r="BM2201" s="4"/>
    </row>
    <row r="2202" spans="1:65" s="38" customFormat="1" ht="18" customHeight="1">
      <c r="A2202" s="114">
        <v>41</v>
      </c>
      <c r="B2202" s="24" t="s">
        <v>1002</v>
      </c>
      <c r="C2202" s="25" t="s">
        <v>1003</v>
      </c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229">
        <f t="shared" si="894"/>
        <v>0</v>
      </c>
      <c r="AC2202" s="228">
        <f t="shared" si="895"/>
        <v>0</v>
      </c>
      <c r="AD2202" s="19">
        <v>0</v>
      </c>
      <c r="AE2202" s="28"/>
      <c r="AF2202" s="28"/>
      <c r="AG2202" s="28"/>
      <c r="AH2202" s="28"/>
      <c r="AI2202" s="28"/>
      <c r="AJ2202" s="28">
        <f>1+13</f>
        <v>14</v>
      </c>
      <c r="AK2202" s="28"/>
      <c r="AL2202" s="28"/>
      <c r="AM2202" s="28"/>
      <c r="AN2202" s="28"/>
      <c r="AO2202" s="28"/>
      <c r="AP2202" s="28">
        <v>12</v>
      </c>
      <c r="AQ2202" s="28"/>
      <c r="AR2202" s="28"/>
      <c r="AS2202" s="28"/>
      <c r="AT2202" s="28"/>
      <c r="AU2202" s="28"/>
      <c r="AV2202" s="28">
        <f>5+5</f>
        <v>10</v>
      </c>
      <c r="AW2202" s="28"/>
      <c r="AX2202" s="28"/>
      <c r="AY2202" s="28"/>
      <c r="AZ2202" s="28"/>
      <c r="BA2202" s="28"/>
      <c r="BB2202" s="28">
        <v>7</v>
      </c>
      <c r="BC2202" s="229">
        <f t="shared" si="896"/>
        <v>0</v>
      </c>
      <c r="BD2202" s="48">
        <f t="shared" si="897"/>
        <v>43</v>
      </c>
      <c r="BE2202" s="19">
        <v>48</v>
      </c>
      <c r="BF2202" s="229">
        <f t="shared" si="898"/>
        <v>0</v>
      </c>
      <c r="BG2202" s="210">
        <f t="shared" si="899"/>
        <v>43</v>
      </c>
      <c r="BH2202" s="210">
        <f t="shared" si="900"/>
        <v>48</v>
      </c>
      <c r="BI2202" s="213">
        <f t="shared" si="902"/>
        <v>89.583333333333343</v>
      </c>
      <c r="BJ2202" s="141"/>
      <c r="BK2202" s="201"/>
      <c r="BL2202" s="4"/>
      <c r="BM2202" s="4"/>
    </row>
    <row r="2203" spans="1:65" s="38" customFormat="1" ht="18" customHeight="1">
      <c r="A2203" s="114">
        <v>42</v>
      </c>
      <c r="B2203" s="24" t="s">
        <v>1735</v>
      </c>
      <c r="C2203" s="159" t="s">
        <v>2414</v>
      </c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229">
        <f t="shared" si="894"/>
        <v>0</v>
      </c>
      <c r="AC2203" s="228">
        <f t="shared" si="895"/>
        <v>0</v>
      </c>
      <c r="AD2203" s="19">
        <v>0</v>
      </c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29">
        <f t="shared" si="896"/>
        <v>0</v>
      </c>
      <c r="BD2203" s="48">
        <f t="shared" si="897"/>
        <v>0</v>
      </c>
      <c r="BE2203" s="19">
        <v>1</v>
      </c>
      <c r="BF2203" s="229">
        <f t="shared" si="898"/>
        <v>0</v>
      </c>
      <c r="BG2203" s="210">
        <f t="shared" si="899"/>
        <v>0</v>
      </c>
      <c r="BH2203" s="210">
        <f t="shared" si="900"/>
        <v>1</v>
      </c>
      <c r="BI2203" s="213">
        <f t="shared" si="902"/>
        <v>0</v>
      </c>
      <c r="BJ2203" s="141"/>
      <c r="BK2203" s="201"/>
      <c r="BL2203" s="4"/>
      <c r="BM2203" s="4"/>
    </row>
    <row r="2204" spans="1:65" s="38" customFormat="1" ht="18" customHeight="1">
      <c r="A2204" s="330"/>
      <c r="B2204" s="331" t="s">
        <v>2047</v>
      </c>
      <c r="C2204" s="335" t="s">
        <v>2048</v>
      </c>
      <c r="D2204" s="333"/>
      <c r="E2204" s="333"/>
      <c r="F2204" s="333"/>
      <c r="G2204" s="333"/>
      <c r="H2204" s="333"/>
      <c r="I2204" s="333"/>
      <c r="J2204" s="333"/>
      <c r="K2204" s="333"/>
      <c r="L2204" s="333"/>
      <c r="M2204" s="333"/>
      <c r="N2204" s="333"/>
      <c r="O2204" s="333"/>
      <c r="P2204" s="333"/>
      <c r="Q2204" s="333"/>
      <c r="R2204" s="333"/>
      <c r="S2204" s="333"/>
      <c r="T2204" s="333"/>
      <c r="U2204" s="333"/>
      <c r="V2204" s="333"/>
      <c r="W2204" s="333"/>
      <c r="X2204" s="333"/>
      <c r="Y2204" s="333"/>
      <c r="Z2204" s="333"/>
      <c r="AA2204" s="333">
        <v>5</v>
      </c>
      <c r="AB2204" s="323"/>
      <c r="AC2204" s="228">
        <f t="shared" si="895"/>
        <v>5</v>
      </c>
      <c r="AD2204" s="326">
        <v>0</v>
      </c>
      <c r="AE2204" s="334"/>
      <c r="AF2204" s="334"/>
      <c r="AG2204" s="334"/>
      <c r="AH2204" s="334"/>
      <c r="AI2204" s="334"/>
      <c r="AJ2204" s="334"/>
      <c r="AK2204" s="334"/>
      <c r="AL2204" s="334"/>
      <c r="AM2204" s="334"/>
      <c r="AN2204" s="334"/>
      <c r="AO2204" s="334"/>
      <c r="AP2204" s="334"/>
      <c r="AQ2204" s="334"/>
      <c r="AR2204" s="334"/>
      <c r="AS2204" s="334"/>
      <c r="AT2204" s="334"/>
      <c r="AU2204" s="334"/>
      <c r="AV2204" s="334"/>
      <c r="AW2204" s="334"/>
      <c r="AX2204" s="334"/>
      <c r="AY2204" s="334"/>
      <c r="AZ2204" s="334"/>
      <c r="BA2204" s="334"/>
      <c r="BB2204" s="334"/>
      <c r="BC2204" s="323"/>
      <c r="BD2204" s="48">
        <f t="shared" si="897"/>
        <v>0</v>
      </c>
      <c r="BE2204" s="326">
        <v>0</v>
      </c>
      <c r="BF2204" s="323"/>
      <c r="BG2204" s="210">
        <f t="shared" ref="BG2204" si="903">AC2204+BD2204</f>
        <v>5</v>
      </c>
      <c r="BH2204" s="210">
        <f t="shared" ref="BH2204" si="904">AD2204+BE2204</f>
        <v>0</v>
      </c>
      <c r="BI2204" s="213" t="e">
        <f t="shared" ref="BI2204" si="905">BG2204/BH2204*100</f>
        <v>#DIV/0!</v>
      </c>
      <c r="BJ2204" s="141"/>
      <c r="BK2204" s="201"/>
      <c r="BL2204" s="4"/>
      <c r="BM2204" s="4"/>
    </row>
    <row r="2205" spans="1:65" s="38" customFormat="1" ht="18" customHeight="1">
      <c r="A2205" s="114">
        <v>43</v>
      </c>
      <c r="B2205" s="24" t="s">
        <v>582</v>
      </c>
      <c r="C2205" s="25" t="s">
        <v>583</v>
      </c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>
        <v>5</v>
      </c>
      <c r="V2205" s="121"/>
      <c r="W2205" s="121"/>
      <c r="X2205" s="121"/>
      <c r="Y2205" s="121"/>
      <c r="Z2205" s="121"/>
      <c r="AA2205" s="121">
        <f>1+5</f>
        <v>6</v>
      </c>
      <c r="AB2205" s="229">
        <f t="shared" si="894"/>
        <v>0</v>
      </c>
      <c r="AC2205" s="228">
        <f t="shared" si="895"/>
        <v>11</v>
      </c>
      <c r="AD2205" s="19">
        <v>5</v>
      </c>
      <c r="AE2205" s="28"/>
      <c r="AF2205" s="28"/>
      <c r="AG2205" s="28"/>
      <c r="AH2205" s="28"/>
      <c r="AI2205" s="28"/>
      <c r="AJ2205" s="28">
        <f>880+25</f>
        <v>905</v>
      </c>
      <c r="AK2205" s="28"/>
      <c r="AL2205" s="28"/>
      <c r="AM2205" s="28"/>
      <c r="AN2205" s="28"/>
      <c r="AO2205" s="28"/>
      <c r="AP2205" s="28">
        <f>943+37+4</f>
        <v>984</v>
      </c>
      <c r="AQ2205" s="28"/>
      <c r="AR2205" s="28"/>
      <c r="AS2205" s="28"/>
      <c r="AT2205" s="28"/>
      <c r="AU2205" s="28"/>
      <c r="AV2205" s="28">
        <f>799+42+8</f>
        <v>849</v>
      </c>
      <c r="AW2205" s="28"/>
      <c r="AX2205" s="28"/>
      <c r="AY2205" s="28"/>
      <c r="AZ2205" s="28"/>
      <c r="BA2205" s="28"/>
      <c r="BB2205" s="28">
        <f>1038+31</f>
        <v>1069</v>
      </c>
      <c r="BC2205" s="229">
        <f t="shared" si="896"/>
        <v>0</v>
      </c>
      <c r="BD2205" s="48">
        <f t="shared" si="897"/>
        <v>3807</v>
      </c>
      <c r="BE2205" s="19">
        <v>4450</v>
      </c>
      <c r="BF2205" s="229">
        <f t="shared" si="898"/>
        <v>0</v>
      </c>
      <c r="BG2205" s="210">
        <f t="shared" si="899"/>
        <v>3818</v>
      </c>
      <c r="BH2205" s="210">
        <f t="shared" si="900"/>
        <v>4455</v>
      </c>
      <c r="BI2205" s="213">
        <f t="shared" si="902"/>
        <v>85.701459034792364</v>
      </c>
      <c r="BJ2205" s="141"/>
      <c r="BK2205" s="201"/>
      <c r="BL2205" s="4"/>
      <c r="BM2205" s="4"/>
    </row>
    <row r="2206" spans="1:65" s="38" customFormat="1" ht="18" customHeight="1">
      <c r="A2206" s="114">
        <v>44</v>
      </c>
      <c r="B2206" s="24" t="s">
        <v>584</v>
      </c>
      <c r="C2206" s="25" t="s">
        <v>2603</v>
      </c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229">
        <f t="shared" si="894"/>
        <v>0</v>
      </c>
      <c r="AC2206" s="228">
        <f t="shared" si="895"/>
        <v>0</v>
      </c>
      <c r="AD2206" s="19">
        <v>7</v>
      </c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29">
        <f t="shared" si="896"/>
        <v>0</v>
      </c>
      <c r="BD2206" s="48">
        <f t="shared" si="897"/>
        <v>0</v>
      </c>
      <c r="BE2206" s="19">
        <v>4795</v>
      </c>
      <c r="BF2206" s="229">
        <f t="shared" si="898"/>
        <v>0</v>
      </c>
      <c r="BG2206" s="210">
        <f t="shared" si="899"/>
        <v>0</v>
      </c>
      <c r="BH2206" s="210">
        <f t="shared" si="900"/>
        <v>4802</v>
      </c>
      <c r="BI2206" s="213">
        <f t="shared" si="902"/>
        <v>0</v>
      </c>
      <c r="BJ2206" s="141"/>
      <c r="BK2206" s="201"/>
      <c r="BL2206" s="4"/>
      <c r="BM2206" s="4"/>
    </row>
    <row r="2207" spans="1:65" s="38" customFormat="1" ht="18" customHeight="1">
      <c r="A2207" s="114">
        <v>45</v>
      </c>
      <c r="B2207" s="24" t="s">
        <v>585</v>
      </c>
      <c r="C2207" s="25" t="s">
        <v>586</v>
      </c>
      <c r="D2207" s="121"/>
      <c r="E2207" s="121"/>
      <c r="F2207" s="121"/>
      <c r="G2207" s="121"/>
      <c r="H2207" s="121"/>
      <c r="I2207" s="121">
        <v>455</v>
      </c>
      <c r="J2207" s="121"/>
      <c r="K2207" s="121"/>
      <c r="L2207" s="121"/>
      <c r="M2207" s="121"/>
      <c r="N2207" s="121"/>
      <c r="O2207" s="121">
        <v>456</v>
      </c>
      <c r="P2207" s="121"/>
      <c r="Q2207" s="121"/>
      <c r="R2207" s="121"/>
      <c r="S2207" s="121"/>
      <c r="T2207" s="121"/>
      <c r="U2207" s="121">
        <v>427</v>
      </c>
      <c r="V2207" s="121"/>
      <c r="W2207" s="121"/>
      <c r="X2207" s="121"/>
      <c r="Y2207" s="121"/>
      <c r="Z2207" s="121"/>
      <c r="AA2207" s="121">
        <v>388</v>
      </c>
      <c r="AB2207" s="229">
        <f t="shared" si="894"/>
        <v>0</v>
      </c>
      <c r="AC2207" s="228">
        <f t="shared" si="895"/>
        <v>1726</v>
      </c>
      <c r="AD2207" s="19">
        <v>2497</v>
      </c>
      <c r="AE2207" s="28"/>
      <c r="AF2207" s="28"/>
      <c r="AG2207" s="28"/>
      <c r="AH2207" s="28"/>
      <c r="AI2207" s="28"/>
      <c r="AJ2207" s="28">
        <f>716+602+342+548+4+826+45</f>
        <v>3083</v>
      </c>
      <c r="AK2207" s="28"/>
      <c r="AL2207" s="28"/>
      <c r="AM2207" s="28"/>
      <c r="AN2207" s="28"/>
      <c r="AO2207" s="28"/>
      <c r="AP2207" s="28">
        <f>520+2+687+543</f>
        <v>1752</v>
      </c>
      <c r="AQ2207" s="28"/>
      <c r="AR2207" s="28"/>
      <c r="AS2207" s="28"/>
      <c r="AT2207" s="28"/>
      <c r="AU2207" s="28"/>
      <c r="AV2207" s="28">
        <f>652+87+759</f>
        <v>1498</v>
      </c>
      <c r="AW2207" s="28"/>
      <c r="AX2207" s="28"/>
      <c r="AY2207" s="28"/>
      <c r="AZ2207" s="28"/>
      <c r="BA2207" s="28"/>
      <c r="BB2207" s="28">
        <f>670+2+894</f>
        <v>1566</v>
      </c>
      <c r="BC2207" s="229">
        <f t="shared" si="896"/>
        <v>0</v>
      </c>
      <c r="BD2207" s="48">
        <f t="shared" si="897"/>
        <v>7899</v>
      </c>
      <c r="BE2207" s="19">
        <v>9994</v>
      </c>
      <c r="BF2207" s="229">
        <f t="shared" si="898"/>
        <v>0</v>
      </c>
      <c r="BG2207" s="210">
        <f t="shared" si="899"/>
        <v>9625</v>
      </c>
      <c r="BH2207" s="210">
        <f t="shared" si="900"/>
        <v>12491</v>
      </c>
      <c r="BI2207" s="213">
        <f t="shared" si="902"/>
        <v>77.055479945560805</v>
      </c>
      <c r="BJ2207" s="141"/>
      <c r="BK2207" s="201"/>
      <c r="BL2207" s="4"/>
      <c r="BM2207" s="4"/>
    </row>
    <row r="2208" spans="1:65" s="38" customFormat="1" ht="21.95" customHeight="1">
      <c r="A2208" s="114">
        <v>46</v>
      </c>
      <c r="B2208" s="24" t="s">
        <v>1675</v>
      </c>
      <c r="C2208" s="27" t="s">
        <v>1676</v>
      </c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229">
        <f t="shared" si="894"/>
        <v>0</v>
      </c>
      <c r="AC2208" s="228">
        <f t="shared" si="895"/>
        <v>0</v>
      </c>
      <c r="AD2208" s="19">
        <v>0</v>
      </c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29">
        <f t="shared" si="896"/>
        <v>0</v>
      </c>
      <c r="BD2208" s="48">
        <f t="shared" si="897"/>
        <v>0</v>
      </c>
      <c r="BE2208" s="19">
        <v>1</v>
      </c>
      <c r="BF2208" s="229">
        <f t="shared" si="898"/>
        <v>0</v>
      </c>
      <c r="BG2208" s="210">
        <f t="shared" si="899"/>
        <v>0</v>
      </c>
      <c r="BH2208" s="210">
        <f t="shared" si="900"/>
        <v>1</v>
      </c>
      <c r="BI2208" s="213">
        <f t="shared" si="902"/>
        <v>0</v>
      </c>
      <c r="BJ2208" s="141"/>
      <c r="BK2208" s="201"/>
      <c r="BL2208" s="4"/>
      <c r="BM2208" s="4"/>
    </row>
    <row r="2209" spans="1:65" s="38" customFormat="1" ht="18" customHeight="1">
      <c r="A2209" s="114">
        <v>47</v>
      </c>
      <c r="B2209" s="24" t="s">
        <v>2183</v>
      </c>
      <c r="C2209" s="25" t="s">
        <v>2184</v>
      </c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229">
        <f t="shared" si="894"/>
        <v>0</v>
      </c>
      <c r="AC2209" s="228">
        <f t="shared" si="895"/>
        <v>0</v>
      </c>
      <c r="AD2209" s="21">
        <v>0</v>
      </c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  <c r="AZ2209" s="28"/>
      <c r="BA2209" s="28"/>
      <c r="BB2209" s="28"/>
      <c r="BC2209" s="229">
        <f t="shared" si="896"/>
        <v>0</v>
      </c>
      <c r="BD2209" s="48">
        <f t="shared" si="897"/>
        <v>0</v>
      </c>
      <c r="BE2209" s="19">
        <v>2</v>
      </c>
      <c r="BF2209" s="229">
        <f t="shared" si="898"/>
        <v>0</v>
      </c>
      <c r="BG2209" s="210">
        <f t="shared" si="899"/>
        <v>0</v>
      </c>
      <c r="BH2209" s="210">
        <f t="shared" si="900"/>
        <v>2</v>
      </c>
      <c r="BI2209" s="213">
        <f t="shared" si="902"/>
        <v>0</v>
      </c>
      <c r="BJ2209" s="165"/>
      <c r="BK2209" s="201"/>
      <c r="BL2209" s="4"/>
      <c r="BM2209" s="4"/>
    </row>
    <row r="2210" spans="1:65" s="38" customFormat="1" ht="18" customHeight="1">
      <c r="A2210" s="114">
        <v>48</v>
      </c>
      <c r="B2210" s="24" t="s">
        <v>3058</v>
      </c>
      <c r="C2210" s="25" t="s">
        <v>3059</v>
      </c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229"/>
      <c r="AC2210" s="228">
        <f t="shared" ref="AC2210:AC2246" si="906">E2210+G2210+I2210+K2210+M2210+O2210+Q2210+S2210+U2210+W2210+Y2210+AA2210</f>
        <v>0</v>
      </c>
      <c r="AD2210" s="21">
        <v>0</v>
      </c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>
        <v>1</v>
      </c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29"/>
      <c r="BD2210" s="48">
        <f t="shared" ref="BD2210:BD2246" si="907">AF2210+AH2210+AJ2210+AL2210+AN2210+AP2210+AR2210+AT2210+AV2210+AX2210+AZ2210+BB2210</f>
        <v>1</v>
      </c>
      <c r="BE2210" s="19">
        <v>0</v>
      </c>
      <c r="BF2210" s="229"/>
      <c r="BG2210" s="210">
        <f t="shared" ref="BG2210:BG2246" si="908">AC2210+BD2210</f>
        <v>1</v>
      </c>
      <c r="BH2210" s="210">
        <f t="shared" ref="BH2210:BH2246" si="909">AD2210+BE2210</f>
        <v>0</v>
      </c>
      <c r="BI2210" s="213" t="e">
        <f t="shared" si="902"/>
        <v>#DIV/0!</v>
      </c>
      <c r="BJ2210" s="165"/>
      <c r="BK2210" s="201"/>
      <c r="BL2210" s="4"/>
      <c r="BM2210" s="4"/>
    </row>
    <row r="2211" spans="1:65" s="38" customFormat="1" ht="18" customHeight="1">
      <c r="A2211" s="114">
        <v>49</v>
      </c>
      <c r="B2211" s="24" t="s">
        <v>1624</v>
      </c>
      <c r="C2211" s="25" t="s">
        <v>1628</v>
      </c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229">
        <f t="shared" ref="AB2211:AB2225" si="910">D2211+F2211+H2211+J2211+L2211+N2211+P2211+R2211+T2211+V2211+X2211+Z2211</f>
        <v>0</v>
      </c>
      <c r="AC2211" s="228">
        <f t="shared" si="906"/>
        <v>0</v>
      </c>
      <c r="AD2211" s="21">
        <v>0</v>
      </c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29">
        <f t="shared" ref="BC2211:BC2225" si="911">AE2211+AG2211+AI2211+AK2211+AM2211+AO2211+AQ2211+AS2211+AU2211+AW2211+AY2211+BA2211</f>
        <v>0</v>
      </c>
      <c r="BD2211" s="48">
        <f t="shared" si="907"/>
        <v>0</v>
      </c>
      <c r="BE2211" s="19">
        <v>1</v>
      </c>
      <c r="BF2211" s="229">
        <f t="shared" ref="BF2211:BF2225" si="912">AB2211+BC2211</f>
        <v>0</v>
      </c>
      <c r="BG2211" s="210">
        <f t="shared" si="908"/>
        <v>0</v>
      </c>
      <c r="BH2211" s="210">
        <f t="shared" si="909"/>
        <v>1</v>
      </c>
      <c r="BI2211" s="213">
        <f t="shared" si="902"/>
        <v>0</v>
      </c>
      <c r="BJ2211" s="165"/>
      <c r="BK2211" s="201"/>
      <c r="BL2211" s="4"/>
      <c r="BM2211" s="4"/>
    </row>
    <row r="2212" spans="1:65" s="38" customFormat="1" ht="18" customHeight="1">
      <c r="A2212" s="114">
        <v>50</v>
      </c>
      <c r="B2212" s="24" t="s">
        <v>966</v>
      </c>
      <c r="C2212" s="25" t="s">
        <v>2542</v>
      </c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229">
        <f t="shared" si="910"/>
        <v>0</v>
      </c>
      <c r="AC2212" s="228">
        <f t="shared" si="906"/>
        <v>0</v>
      </c>
      <c r="AD2212" s="19">
        <v>0</v>
      </c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>
        <v>2</v>
      </c>
      <c r="AW2212" s="28"/>
      <c r="AX2212" s="28"/>
      <c r="AY2212" s="28"/>
      <c r="AZ2212" s="28"/>
      <c r="BA2212" s="28"/>
      <c r="BB2212" s="28">
        <v>1</v>
      </c>
      <c r="BC2212" s="229">
        <f t="shared" si="911"/>
        <v>0</v>
      </c>
      <c r="BD2212" s="48">
        <f t="shared" si="907"/>
        <v>3</v>
      </c>
      <c r="BE2212" s="19">
        <v>6</v>
      </c>
      <c r="BF2212" s="229">
        <f t="shared" si="912"/>
        <v>0</v>
      </c>
      <c r="BG2212" s="210">
        <f t="shared" si="908"/>
        <v>3</v>
      </c>
      <c r="BH2212" s="210">
        <f t="shared" si="909"/>
        <v>6</v>
      </c>
      <c r="BI2212" s="213">
        <f t="shared" si="902"/>
        <v>50</v>
      </c>
      <c r="BJ2212" s="141"/>
      <c r="BK2212" s="201"/>
      <c r="BL2212" s="4"/>
      <c r="BM2212" s="4"/>
    </row>
    <row r="2213" spans="1:65" s="38" customFormat="1" ht="18" customHeight="1">
      <c r="A2213" s="114">
        <v>51</v>
      </c>
      <c r="B2213" s="24" t="s">
        <v>593</v>
      </c>
      <c r="C2213" s="25" t="s">
        <v>755</v>
      </c>
      <c r="D2213" s="121"/>
      <c r="E2213" s="121"/>
      <c r="F2213" s="121"/>
      <c r="G2213" s="121"/>
      <c r="H2213" s="121"/>
      <c r="I2213" s="121">
        <v>93</v>
      </c>
      <c r="J2213" s="121"/>
      <c r="K2213" s="121"/>
      <c r="L2213" s="121"/>
      <c r="M2213" s="121"/>
      <c r="N2213" s="121"/>
      <c r="O2213" s="121">
        <v>90</v>
      </c>
      <c r="P2213" s="121"/>
      <c r="Q2213" s="121"/>
      <c r="R2213" s="121"/>
      <c r="S2213" s="121"/>
      <c r="T2213" s="121"/>
      <c r="U2213" s="121">
        <v>73</v>
      </c>
      <c r="V2213" s="121"/>
      <c r="W2213" s="121"/>
      <c r="X2213" s="121"/>
      <c r="Y2213" s="121"/>
      <c r="Z2213" s="121"/>
      <c r="AA2213" s="121">
        <v>127</v>
      </c>
      <c r="AB2213" s="229">
        <f t="shared" si="910"/>
        <v>0</v>
      </c>
      <c r="AC2213" s="228">
        <f t="shared" si="906"/>
        <v>383</v>
      </c>
      <c r="AD2213" s="19">
        <v>521</v>
      </c>
      <c r="AE2213" s="26"/>
      <c r="AF2213" s="26"/>
      <c r="AG2213" s="26"/>
      <c r="AH2213" s="26"/>
      <c r="AI2213" s="26"/>
      <c r="AJ2213" s="26">
        <v>3</v>
      </c>
      <c r="AK2213" s="26"/>
      <c r="AL2213" s="26"/>
      <c r="AM2213" s="26"/>
      <c r="AN2213" s="26"/>
      <c r="AO2213" s="26"/>
      <c r="AP2213" s="26">
        <v>1</v>
      </c>
      <c r="AQ2213" s="26"/>
      <c r="AR2213" s="26"/>
      <c r="AS2213" s="26"/>
      <c r="AT2213" s="26"/>
      <c r="AU2213" s="26"/>
      <c r="AV2213" s="26">
        <v>1</v>
      </c>
      <c r="AW2213" s="26"/>
      <c r="AX2213" s="26"/>
      <c r="AY2213" s="26"/>
      <c r="AZ2213" s="26"/>
      <c r="BA2213" s="26"/>
      <c r="BB2213" s="26"/>
      <c r="BC2213" s="229">
        <f t="shared" si="911"/>
        <v>0</v>
      </c>
      <c r="BD2213" s="48">
        <f t="shared" si="907"/>
        <v>5</v>
      </c>
      <c r="BE2213" s="19">
        <v>10</v>
      </c>
      <c r="BF2213" s="229">
        <f t="shared" si="912"/>
        <v>0</v>
      </c>
      <c r="BG2213" s="210">
        <f t="shared" si="908"/>
        <v>388</v>
      </c>
      <c r="BH2213" s="210">
        <f t="shared" si="909"/>
        <v>531</v>
      </c>
      <c r="BI2213" s="213">
        <f t="shared" si="902"/>
        <v>73.069679849340858</v>
      </c>
      <c r="BJ2213" s="141"/>
      <c r="BK2213" s="201"/>
      <c r="BL2213" s="4"/>
      <c r="BM2213" s="4"/>
    </row>
    <row r="2214" spans="1:65" s="38" customFormat="1" ht="18" customHeight="1">
      <c r="A2214" s="114">
        <v>52</v>
      </c>
      <c r="B2214" s="24" t="s">
        <v>1410</v>
      </c>
      <c r="C2214" s="25" t="s">
        <v>2537</v>
      </c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229">
        <f t="shared" si="910"/>
        <v>0</v>
      </c>
      <c r="AC2214" s="228">
        <f t="shared" si="906"/>
        <v>0</v>
      </c>
      <c r="AD2214" s="19">
        <v>0</v>
      </c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229">
        <f t="shared" si="911"/>
        <v>0</v>
      </c>
      <c r="BD2214" s="48">
        <f t="shared" si="907"/>
        <v>0</v>
      </c>
      <c r="BE2214" s="19">
        <v>5</v>
      </c>
      <c r="BF2214" s="229">
        <f t="shared" si="912"/>
        <v>0</v>
      </c>
      <c r="BG2214" s="210">
        <f t="shared" si="908"/>
        <v>0</v>
      </c>
      <c r="BH2214" s="210">
        <f t="shared" si="909"/>
        <v>5</v>
      </c>
      <c r="BI2214" s="213">
        <f t="shared" si="902"/>
        <v>0</v>
      </c>
      <c r="BJ2214" s="141"/>
      <c r="BK2214" s="201"/>
      <c r="BL2214" s="4"/>
      <c r="BM2214" s="4"/>
    </row>
    <row r="2215" spans="1:65" s="38" customFormat="1" ht="18" customHeight="1">
      <c r="A2215" s="114">
        <v>53</v>
      </c>
      <c r="B2215" s="24" t="s">
        <v>1625</v>
      </c>
      <c r="C2215" s="25" t="s">
        <v>1650</v>
      </c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229">
        <f t="shared" si="910"/>
        <v>0</v>
      </c>
      <c r="AC2215" s="228">
        <f t="shared" si="906"/>
        <v>0</v>
      </c>
      <c r="AD2215" s="19">
        <v>0</v>
      </c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>
        <v>1</v>
      </c>
      <c r="BC2215" s="229">
        <f t="shared" si="911"/>
        <v>0</v>
      </c>
      <c r="BD2215" s="48">
        <f t="shared" si="907"/>
        <v>1</v>
      </c>
      <c r="BE2215" s="19">
        <v>1</v>
      </c>
      <c r="BF2215" s="229">
        <f t="shared" si="912"/>
        <v>0</v>
      </c>
      <c r="BG2215" s="210">
        <f t="shared" si="908"/>
        <v>1</v>
      </c>
      <c r="BH2215" s="210">
        <f t="shared" si="909"/>
        <v>1</v>
      </c>
      <c r="BI2215" s="213">
        <f t="shared" si="902"/>
        <v>100</v>
      </c>
      <c r="BJ2215" s="141"/>
      <c r="BK2215" s="201"/>
      <c r="BL2215" s="4"/>
      <c r="BM2215" s="4"/>
    </row>
    <row r="2216" spans="1:65" s="38" customFormat="1" ht="21.95" customHeight="1">
      <c r="A2216" s="114">
        <v>54</v>
      </c>
      <c r="B2216" s="24" t="s">
        <v>1514</v>
      </c>
      <c r="C2216" s="27" t="s">
        <v>1515</v>
      </c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229">
        <f t="shared" si="910"/>
        <v>0</v>
      </c>
      <c r="AC2216" s="228">
        <f t="shared" si="906"/>
        <v>0</v>
      </c>
      <c r="AD2216" s="19">
        <v>0</v>
      </c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29">
        <f t="shared" si="911"/>
        <v>0</v>
      </c>
      <c r="BD2216" s="48">
        <f t="shared" si="907"/>
        <v>0</v>
      </c>
      <c r="BE2216" s="19">
        <v>6</v>
      </c>
      <c r="BF2216" s="229">
        <f t="shared" si="912"/>
        <v>0</v>
      </c>
      <c r="BG2216" s="210">
        <f t="shared" si="908"/>
        <v>0</v>
      </c>
      <c r="BH2216" s="210">
        <f t="shared" si="909"/>
        <v>6</v>
      </c>
      <c r="BI2216" s="213">
        <f t="shared" si="902"/>
        <v>0</v>
      </c>
      <c r="BJ2216" s="141"/>
      <c r="BK2216" s="201"/>
      <c r="BL2216" s="4"/>
      <c r="BM2216" s="4"/>
    </row>
    <row r="2217" spans="1:65" s="38" customFormat="1" ht="21.95" customHeight="1">
      <c r="A2217" s="330"/>
      <c r="B2217" s="331" t="s">
        <v>324</v>
      </c>
      <c r="C2217" s="332" t="s">
        <v>325</v>
      </c>
      <c r="D2217" s="333"/>
      <c r="E2217" s="333"/>
      <c r="F2217" s="333"/>
      <c r="G2217" s="333"/>
      <c r="H2217" s="333"/>
      <c r="I2217" s="333"/>
      <c r="J2217" s="333"/>
      <c r="K2217" s="333"/>
      <c r="L2217" s="333"/>
      <c r="M2217" s="333"/>
      <c r="N2217" s="333"/>
      <c r="O2217" s="333"/>
      <c r="P2217" s="333"/>
      <c r="Q2217" s="333"/>
      <c r="R2217" s="333"/>
      <c r="S2217" s="333"/>
      <c r="T2217" s="333"/>
      <c r="U2217" s="333"/>
      <c r="V2217" s="333"/>
      <c r="W2217" s="333"/>
      <c r="X2217" s="333"/>
      <c r="Y2217" s="333"/>
      <c r="Z2217" s="333"/>
      <c r="AA2217" s="333">
        <v>5</v>
      </c>
      <c r="AB2217" s="323"/>
      <c r="AC2217" s="228">
        <f t="shared" si="906"/>
        <v>5</v>
      </c>
      <c r="AD2217" s="326">
        <v>0</v>
      </c>
      <c r="AE2217" s="334"/>
      <c r="AF2217" s="334"/>
      <c r="AG2217" s="334"/>
      <c r="AH2217" s="334"/>
      <c r="AI2217" s="334"/>
      <c r="AJ2217" s="334"/>
      <c r="AK2217" s="334"/>
      <c r="AL2217" s="334"/>
      <c r="AM2217" s="334"/>
      <c r="AN2217" s="334"/>
      <c r="AO2217" s="334"/>
      <c r="AP2217" s="334"/>
      <c r="AQ2217" s="334"/>
      <c r="AR2217" s="334"/>
      <c r="AS2217" s="334"/>
      <c r="AT2217" s="334"/>
      <c r="AU2217" s="334"/>
      <c r="AV2217" s="334"/>
      <c r="AW2217" s="334"/>
      <c r="AX2217" s="334"/>
      <c r="AY2217" s="334"/>
      <c r="AZ2217" s="334"/>
      <c r="BA2217" s="334"/>
      <c r="BB2217" s="334"/>
      <c r="BC2217" s="323"/>
      <c r="BD2217" s="48">
        <f t="shared" si="907"/>
        <v>0</v>
      </c>
      <c r="BE2217" s="326">
        <v>0</v>
      </c>
      <c r="BF2217" s="323"/>
      <c r="BG2217" s="210">
        <f t="shared" ref="BG2217" si="913">AC2217+BD2217</f>
        <v>5</v>
      </c>
      <c r="BH2217" s="210">
        <f t="shared" ref="BH2217" si="914">AD2217+BE2217</f>
        <v>0</v>
      </c>
      <c r="BI2217" s="213" t="e">
        <f t="shared" ref="BI2217" si="915">BG2217/BH2217*100</f>
        <v>#DIV/0!</v>
      </c>
      <c r="BJ2217" s="141"/>
      <c r="BK2217" s="201"/>
      <c r="BL2217" s="4"/>
      <c r="BM2217" s="4"/>
    </row>
    <row r="2218" spans="1:65" s="38" customFormat="1" ht="18" customHeight="1">
      <c r="A2218" s="114">
        <v>55</v>
      </c>
      <c r="B2218" s="24" t="s">
        <v>826</v>
      </c>
      <c r="C2218" s="25" t="s">
        <v>827</v>
      </c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229">
        <f t="shared" si="910"/>
        <v>0</v>
      </c>
      <c r="AC2218" s="228">
        <f t="shared" si="906"/>
        <v>0</v>
      </c>
      <c r="AD2218" s="19">
        <v>0</v>
      </c>
      <c r="AE2218" s="28"/>
      <c r="AF2218" s="28"/>
      <c r="AG2218" s="28"/>
      <c r="AH2218" s="28"/>
      <c r="AI2218" s="28"/>
      <c r="AJ2218" s="28">
        <f>3+4+4+1+18</f>
        <v>30</v>
      </c>
      <c r="AK2218" s="28"/>
      <c r="AL2218" s="28"/>
      <c r="AM2218" s="28"/>
      <c r="AN2218" s="28"/>
      <c r="AO2218" s="28"/>
      <c r="AP2218" s="28">
        <v>19</v>
      </c>
      <c r="AQ2218" s="28"/>
      <c r="AR2218" s="28"/>
      <c r="AS2218" s="28"/>
      <c r="AT2218" s="28"/>
      <c r="AU2218" s="28"/>
      <c r="AV2218" s="28">
        <v>23</v>
      </c>
      <c r="AW2218" s="28"/>
      <c r="AX2218" s="28"/>
      <c r="AY2218" s="28"/>
      <c r="AZ2218" s="28"/>
      <c r="BA2218" s="28"/>
      <c r="BB2218" s="28">
        <f>2+25</f>
        <v>27</v>
      </c>
      <c r="BC2218" s="229">
        <f t="shared" si="911"/>
        <v>0</v>
      </c>
      <c r="BD2218" s="48">
        <f t="shared" si="907"/>
        <v>99</v>
      </c>
      <c r="BE2218" s="19">
        <v>218</v>
      </c>
      <c r="BF2218" s="229">
        <f t="shared" si="912"/>
        <v>0</v>
      </c>
      <c r="BG2218" s="210">
        <f t="shared" si="908"/>
        <v>99</v>
      </c>
      <c r="BH2218" s="210">
        <f t="shared" si="909"/>
        <v>218</v>
      </c>
      <c r="BI2218" s="213">
        <f t="shared" si="902"/>
        <v>45.412844036697244</v>
      </c>
      <c r="BJ2218" s="141"/>
      <c r="BK2218" s="201"/>
      <c r="BL2218" s="4"/>
      <c r="BM2218" s="4"/>
    </row>
    <row r="2219" spans="1:65" s="38" customFormat="1" ht="18" customHeight="1">
      <c r="A2219" s="330"/>
      <c r="B2219" s="24" t="s">
        <v>594</v>
      </c>
      <c r="C2219" s="332" t="s">
        <v>595</v>
      </c>
      <c r="D2219" s="333"/>
      <c r="E2219" s="333"/>
      <c r="F2219" s="333"/>
      <c r="G2219" s="333"/>
      <c r="H2219" s="333"/>
      <c r="I2219" s="333"/>
      <c r="J2219" s="333"/>
      <c r="K2219" s="333"/>
      <c r="L2219" s="333"/>
      <c r="M2219" s="333"/>
      <c r="N2219" s="333"/>
      <c r="O2219" s="333"/>
      <c r="P2219" s="333"/>
      <c r="Q2219" s="333"/>
      <c r="R2219" s="333"/>
      <c r="S2219" s="333"/>
      <c r="T2219" s="333"/>
      <c r="U2219" s="333"/>
      <c r="V2219" s="333"/>
      <c r="W2219" s="333"/>
      <c r="X2219" s="333"/>
      <c r="Y2219" s="333"/>
      <c r="Z2219" s="333"/>
      <c r="AA2219" s="333">
        <v>5</v>
      </c>
      <c r="AB2219" s="323"/>
      <c r="AC2219" s="228">
        <f t="shared" si="906"/>
        <v>5</v>
      </c>
      <c r="AD2219" s="326">
        <v>0</v>
      </c>
      <c r="AE2219" s="334"/>
      <c r="AF2219" s="334"/>
      <c r="AG2219" s="334"/>
      <c r="AH2219" s="334"/>
      <c r="AI2219" s="334"/>
      <c r="AJ2219" s="334"/>
      <c r="AK2219" s="334"/>
      <c r="AL2219" s="334"/>
      <c r="AM2219" s="334"/>
      <c r="AN2219" s="334"/>
      <c r="AO2219" s="334"/>
      <c r="AP2219" s="334"/>
      <c r="AQ2219" s="334"/>
      <c r="AR2219" s="334"/>
      <c r="AS2219" s="334"/>
      <c r="AT2219" s="334"/>
      <c r="AU2219" s="334"/>
      <c r="AV2219" s="334"/>
      <c r="AW2219" s="334"/>
      <c r="AX2219" s="334"/>
      <c r="AY2219" s="334"/>
      <c r="AZ2219" s="334"/>
      <c r="BA2219" s="334"/>
      <c r="BB2219" s="334"/>
      <c r="BC2219" s="323"/>
      <c r="BD2219" s="48">
        <f t="shared" si="907"/>
        <v>0</v>
      </c>
      <c r="BE2219" s="326">
        <v>0</v>
      </c>
      <c r="BF2219" s="323"/>
      <c r="BG2219" s="210">
        <f t="shared" ref="BG2219" si="916">AC2219+BD2219</f>
        <v>5</v>
      </c>
      <c r="BH2219" s="210">
        <f t="shared" ref="BH2219" si="917">AD2219+BE2219</f>
        <v>0</v>
      </c>
      <c r="BI2219" s="213" t="e">
        <f t="shared" ref="BI2219" si="918">BG2219/BH2219*100</f>
        <v>#DIV/0!</v>
      </c>
      <c r="BJ2219" s="141"/>
      <c r="BK2219" s="201"/>
      <c r="BL2219" s="4"/>
      <c r="BM2219" s="4"/>
    </row>
    <row r="2220" spans="1:65" s="38" customFormat="1" ht="18" customHeight="1">
      <c r="A2220" s="114">
        <v>56</v>
      </c>
      <c r="B2220" s="24" t="s">
        <v>3008</v>
      </c>
      <c r="C2220" s="25" t="s">
        <v>3009</v>
      </c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229">
        <f t="shared" si="910"/>
        <v>0</v>
      </c>
      <c r="AC2220" s="228">
        <f t="shared" si="906"/>
        <v>0</v>
      </c>
      <c r="AD2220" s="19">
        <v>0</v>
      </c>
      <c r="AE2220" s="28"/>
      <c r="AF2220" s="28"/>
      <c r="AG2220" s="28"/>
      <c r="AH2220" s="28"/>
      <c r="AI2220" s="28"/>
      <c r="AJ2220" s="28">
        <v>1</v>
      </c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229">
        <f t="shared" si="911"/>
        <v>0</v>
      </c>
      <c r="BD2220" s="48">
        <f t="shared" si="907"/>
        <v>1</v>
      </c>
      <c r="BE2220" s="19">
        <v>0</v>
      </c>
      <c r="BF2220" s="229">
        <f t="shared" si="912"/>
        <v>0</v>
      </c>
      <c r="BG2220" s="210">
        <f t="shared" si="908"/>
        <v>1</v>
      </c>
      <c r="BH2220" s="210">
        <f t="shared" si="909"/>
        <v>0</v>
      </c>
      <c r="BI2220" s="213" t="e">
        <f t="shared" si="902"/>
        <v>#DIV/0!</v>
      </c>
      <c r="BJ2220" s="141"/>
      <c r="BK2220" s="201"/>
      <c r="BL2220" s="4"/>
      <c r="BM2220" s="4"/>
    </row>
    <row r="2221" spans="1:65" s="38" customFormat="1" ht="18" customHeight="1">
      <c r="A2221" s="114">
        <v>57</v>
      </c>
      <c r="B2221" s="24" t="s">
        <v>1721</v>
      </c>
      <c r="C2221" s="190" t="s">
        <v>2418</v>
      </c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229">
        <f t="shared" si="910"/>
        <v>0</v>
      </c>
      <c r="AC2221" s="228">
        <f t="shared" si="906"/>
        <v>0</v>
      </c>
      <c r="AD2221" s="21">
        <v>0</v>
      </c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29">
        <f t="shared" si="911"/>
        <v>0</v>
      </c>
      <c r="BD2221" s="48">
        <f t="shared" si="907"/>
        <v>0</v>
      </c>
      <c r="BE2221" s="19">
        <v>4</v>
      </c>
      <c r="BF2221" s="229">
        <f t="shared" si="912"/>
        <v>0</v>
      </c>
      <c r="BG2221" s="210">
        <f t="shared" si="908"/>
        <v>0</v>
      </c>
      <c r="BH2221" s="210">
        <f t="shared" si="909"/>
        <v>4</v>
      </c>
      <c r="BI2221" s="213">
        <f t="shared" si="902"/>
        <v>0</v>
      </c>
      <c r="BJ2221" s="165"/>
      <c r="BK2221" s="201"/>
      <c r="BL2221" s="4"/>
      <c r="BM2221" s="4"/>
    </row>
    <row r="2222" spans="1:65" s="38" customFormat="1" ht="18" customHeight="1">
      <c r="A2222" s="114">
        <v>58</v>
      </c>
      <c r="B2222" s="24" t="s">
        <v>596</v>
      </c>
      <c r="C2222" s="25" t="s">
        <v>597</v>
      </c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229">
        <f t="shared" si="910"/>
        <v>0</v>
      </c>
      <c r="AC2222" s="228">
        <f t="shared" si="906"/>
        <v>0</v>
      </c>
      <c r="AD2222" s="19">
        <v>0</v>
      </c>
      <c r="AE2222" s="28"/>
      <c r="AF2222" s="28"/>
      <c r="AG2222" s="28"/>
      <c r="AH2222" s="28"/>
      <c r="AI2222" s="28"/>
      <c r="AJ2222" s="28">
        <f>19+20+1+11+31</f>
        <v>82</v>
      </c>
      <c r="AK2222" s="28"/>
      <c r="AL2222" s="28"/>
      <c r="AM2222" s="28"/>
      <c r="AN2222" s="28"/>
      <c r="AO2222" s="28"/>
      <c r="AP2222" s="28">
        <f>25+30</f>
        <v>55</v>
      </c>
      <c r="AQ2222" s="28"/>
      <c r="AR2222" s="28"/>
      <c r="AS2222" s="28"/>
      <c r="AT2222" s="28"/>
      <c r="AU2222" s="28"/>
      <c r="AV2222" s="28">
        <f>17+1+42</f>
        <v>60</v>
      </c>
      <c r="AW2222" s="28"/>
      <c r="AX2222" s="28"/>
      <c r="AY2222" s="28"/>
      <c r="AZ2222" s="28"/>
      <c r="BA2222" s="28"/>
      <c r="BB2222" s="28">
        <f>15+33</f>
        <v>48</v>
      </c>
      <c r="BC2222" s="229">
        <f t="shared" si="911"/>
        <v>0</v>
      </c>
      <c r="BD2222" s="48">
        <f t="shared" si="907"/>
        <v>245</v>
      </c>
      <c r="BE2222" s="19">
        <v>332</v>
      </c>
      <c r="BF2222" s="229">
        <f t="shared" si="912"/>
        <v>0</v>
      </c>
      <c r="BG2222" s="210">
        <f t="shared" si="908"/>
        <v>245</v>
      </c>
      <c r="BH2222" s="210">
        <f t="shared" si="909"/>
        <v>332</v>
      </c>
      <c r="BI2222" s="213">
        <f t="shared" si="902"/>
        <v>73.795180722891558</v>
      </c>
      <c r="BJ2222" s="165"/>
      <c r="BK2222" s="201"/>
      <c r="BL2222" s="4"/>
      <c r="BM2222" s="4"/>
    </row>
    <row r="2223" spans="1:65" s="38" customFormat="1" ht="18" customHeight="1">
      <c r="A2223" s="330"/>
      <c r="B2223" s="331" t="s">
        <v>13</v>
      </c>
      <c r="C2223" s="332" t="s">
        <v>3196</v>
      </c>
      <c r="D2223" s="333"/>
      <c r="E2223" s="333"/>
      <c r="F2223" s="333"/>
      <c r="G2223" s="333"/>
      <c r="H2223" s="333"/>
      <c r="I2223" s="333"/>
      <c r="J2223" s="333"/>
      <c r="K2223" s="333"/>
      <c r="L2223" s="333"/>
      <c r="M2223" s="333"/>
      <c r="N2223" s="333"/>
      <c r="O2223" s="333"/>
      <c r="P2223" s="333"/>
      <c r="Q2223" s="333"/>
      <c r="R2223" s="333"/>
      <c r="S2223" s="333"/>
      <c r="T2223" s="333"/>
      <c r="U2223" s="333"/>
      <c r="V2223" s="333"/>
      <c r="W2223" s="333"/>
      <c r="X2223" s="333"/>
      <c r="Y2223" s="333"/>
      <c r="Z2223" s="333"/>
      <c r="AA2223" s="333"/>
      <c r="AB2223" s="323"/>
      <c r="AC2223" s="228">
        <f t="shared" si="906"/>
        <v>0</v>
      </c>
      <c r="AD2223" s="326">
        <v>0</v>
      </c>
      <c r="AE2223" s="334"/>
      <c r="AF2223" s="334"/>
      <c r="AG2223" s="334"/>
      <c r="AH2223" s="334"/>
      <c r="AI2223" s="334"/>
      <c r="AJ2223" s="334"/>
      <c r="AK2223" s="334"/>
      <c r="AL2223" s="334"/>
      <c r="AM2223" s="334"/>
      <c r="AN2223" s="334"/>
      <c r="AO2223" s="334"/>
      <c r="AP2223" s="334"/>
      <c r="AQ2223" s="334"/>
      <c r="AR2223" s="334"/>
      <c r="AS2223" s="334"/>
      <c r="AT2223" s="334"/>
      <c r="AU2223" s="334"/>
      <c r="AV2223" s="334"/>
      <c r="AW2223" s="334"/>
      <c r="AX2223" s="334"/>
      <c r="AY2223" s="334"/>
      <c r="AZ2223" s="334"/>
      <c r="BA2223" s="334"/>
      <c r="BB2223" s="334">
        <v>2</v>
      </c>
      <c r="BC2223" s="323"/>
      <c r="BD2223" s="48">
        <f t="shared" si="907"/>
        <v>2</v>
      </c>
      <c r="BE2223" s="326">
        <v>0</v>
      </c>
      <c r="BF2223" s="323"/>
      <c r="BG2223" s="210">
        <f t="shared" ref="BG2223" si="919">AC2223+BD2223</f>
        <v>2</v>
      </c>
      <c r="BH2223" s="210">
        <f t="shared" ref="BH2223" si="920">AD2223+BE2223</f>
        <v>0</v>
      </c>
      <c r="BI2223" s="213" t="e">
        <f t="shared" ref="BI2223" si="921">BG2223/BH2223*100</f>
        <v>#DIV/0!</v>
      </c>
      <c r="BJ2223" s="165"/>
      <c r="BK2223" s="201"/>
      <c r="BL2223" s="4"/>
      <c r="BM2223" s="4"/>
    </row>
    <row r="2224" spans="1:65" s="38" customFormat="1" ht="18" customHeight="1">
      <c r="A2224" s="114">
        <v>59</v>
      </c>
      <c r="B2224" s="24" t="s">
        <v>510</v>
      </c>
      <c r="C2224" s="25" t="s">
        <v>511</v>
      </c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229">
        <f t="shared" si="910"/>
        <v>0</v>
      </c>
      <c r="AC2224" s="228">
        <f t="shared" si="906"/>
        <v>0</v>
      </c>
      <c r="AD2224" s="21">
        <v>0</v>
      </c>
      <c r="AE2224" s="28"/>
      <c r="AF2224" s="28"/>
      <c r="AG2224" s="28"/>
      <c r="AH2224" s="28"/>
      <c r="AI2224" s="28"/>
      <c r="AJ2224" s="28">
        <f>8+1+1</f>
        <v>10</v>
      </c>
      <c r="AK2224" s="28"/>
      <c r="AL2224" s="28"/>
      <c r="AM2224" s="28"/>
      <c r="AN2224" s="28"/>
      <c r="AO2224" s="28"/>
      <c r="AP2224" s="28">
        <f>5+1+1</f>
        <v>7</v>
      </c>
      <c r="AQ2224" s="28"/>
      <c r="AR2224" s="28"/>
      <c r="AS2224" s="28"/>
      <c r="AT2224" s="28"/>
      <c r="AU2224" s="28"/>
      <c r="AV2224" s="28">
        <f>7+3+1</f>
        <v>11</v>
      </c>
      <c r="AW2224" s="28"/>
      <c r="AX2224" s="28"/>
      <c r="AY2224" s="28"/>
      <c r="AZ2224" s="28"/>
      <c r="BA2224" s="28"/>
      <c r="BB2224" s="28">
        <f>5+5</f>
        <v>10</v>
      </c>
      <c r="BC2224" s="229">
        <f t="shared" si="911"/>
        <v>0</v>
      </c>
      <c r="BD2224" s="48">
        <f t="shared" si="907"/>
        <v>38</v>
      </c>
      <c r="BE2224" s="19">
        <v>20</v>
      </c>
      <c r="BF2224" s="229">
        <f t="shared" si="912"/>
        <v>0</v>
      </c>
      <c r="BG2224" s="210">
        <f t="shared" si="908"/>
        <v>38</v>
      </c>
      <c r="BH2224" s="210">
        <f t="shared" si="909"/>
        <v>20</v>
      </c>
      <c r="BI2224" s="213">
        <f t="shared" si="902"/>
        <v>190</v>
      </c>
      <c r="BJ2224" s="165"/>
      <c r="BK2224" s="201"/>
      <c r="BL2224" s="4"/>
      <c r="BM2224" s="4"/>
    </row>
    <row r="2225" spans="1:65" s="38" customFormat="1" ht="18" customHeight="1">
      <c r="A2225" s="114">
        <v>60</v>
      </c>
      <c r="B2225" s="24" t="s">
        <v>1004</v>
      </c>
      <c r="C2225" s="25" t="s">
        <v>1005</v>
      </c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229">
        <f t="shared" si="910"/>
        <v>0</v>
      </c>
      <c r="AC2225" s="228">
        <f t="shared" si="906"/>
        <v>0</v>
      </c>
      <c r="AD2225" s="19">
        <v>0</v>
      </c>
      <c r="AE2225" s="28"/>
      <c r="AF2225" s="28"/>
      <c r="AG2225" s="28"/>
      <c r="AH2225" s="28"/>
      <c r="AI2225" s="28"/>
      <c r="AJ2225" s="28">
        <v>1</v>
      </c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  <c r="AZ2225" s="28"/>
      <c r="BA2225" s="28"/>
      <c r="BB2225" s="28"/>
      <c r="BC2225" s="229">
        <f t="shared" si="911"/>
        <v>0</v>
      </c>
      <c r="BD2225" s="48">
        <f t="shared" si="907"/>
        <v>1</v>
      </c>
      <c r="BE2225" s="19">
        <v>7</v>
      </c>
      <c r="BF2225" s="229">
        <f t="shared" si="912"/>
        <v>0</v>
      </c>
      <c r="BG2225" s="210">
        <f t="shared" si="908"/>
        <v>1</v>
      </c>
      <c r="BH2225" s="210">
        <f t="shared" si="909"/>
        <v>7</v>
      </c>
      <c r="BI2225" s="213">
        <f t="shared" si="902"/>
        <v>14.285714285714285</v>
      </c>
      <c r="BJ2225" s="165"/>
      <c r="BK2225" s="201"/>
      <c r="BL2225" s="4"/>
      <c r="BM2225" s="4"/>
    </row>
    <row r="2226" spans="1:65" s="38" customFormat="1" ht="18" customHeight="1">
      <c r="A2226" s="330"/>
      <c r="B2226" s="331" t="s">
        <v>1109</v>
      </c>
      <c r="C2226" s="332" t="s">
        <v>1741</v>
      </c>
      <c r="D2226" s="333"/>
      <c r="E2226" s="333"/>
      <c r="F2226" s="333"/>
      <c r="G2226" s="333"/>
      <c r="H2226" s="333"/>
      <c r="I2226" s="333"/>
      <c r="J2226" s="333"/>
      <c r="K2226" s="333"/>
      <c r="L2226" s="333"/>
      <c r="M2226" s="333"/>
      <c r="N2226" s="333"/>
      <c r="O2226" s="333"/>
      <c r="P2226" s="333"/>
      <c r="Q2226" s="333"/>
      <c r="R2226" s="333"/>
      <c r="S2226" s="333"/>
      <c r="T2226" s="333"/>
      <c r="U2226" s="333"/>
      <c r="V2226" s="333"/>
      <c r="W2226" s="333"/>
      <c r="X2226" s="333"/>
      <c r="Y2226" s="333"/>
      <c r="Z2226" s="333"/>
      <c r="AA2226" s="333"/>
      <c r="AB2226" s="323"/>
      <c r="AC2226" s="228">
        <f t="shared" si="906"/>
        <v>0</v>
      </c>
      <c r="AD2226" s="326">
        <v>0</v>
      </c>
      <c r="AE2226" s="334"/>
      <c r="AF2226" s="334"/>
      <c r="AG2226" s="334"/>
      <c r="AH2226" s="334"/>
      <c r="AI2226" s="334"/>
      <c r="AJ2226" s="334"/>
      <c r="AK2226" s="334"/>
      <c r="AL2226" s="334"/>
      <c r="AM2226" s="334"/>
      <c r="AN2226" s="334"/>
      <c r="AO2226" s="334"/>
      <c r="AP2226" s="334"/>
      <c r="AQ2226" s="334"/>
      <c r="AR2226" s="334"/>
      <c r="AS2226" s="334"/>
      <c r="AT2226" s="334"/>
      <c r="AU2226" s="334"/>
      <c r="AV2226" s="334"/>
      <c r="AW2226" s="334"/>
      <c r="AX2226" s="334"/>
      <c r="AY2226" s="334"/>
      <c r="AZ2226" s="334"/>
      <c r="BA2226" s="334"/>
      <c r="BB2226" s="334">
        <v>1</v>
      </c>
      <c r="BC2226" s="323"/>
      <c r="BD2226" s="48">
        <f t="shared" si="907"/>
        <v>1</v>
      </c>
      <c r="BE2226" s="326">
        <v>0</v>
      </c>
      <c r="BF2226" s="323"/>
      <c r="BG2226" s="210">
        <f t="shared" ref="BG2226" si="922">AC2226+BD2226</f>
        <v>1</v>
      </c>
      <c r="BH2226" s="210">
        <f t="shared" ref="BH2226" si="923">AD2226+BE2226</f>
        <v>0</v>
      </c>
      <c r="BI2226" s="213" t="e">
        <f t="shared" ref="BI2226" si="924">BG2226/BH2226*100</f>
        <v>#DIV/0!</v>
      </c>
      <c r="BJ2226" s="165"/>
      <c r="BK2226" s="201"/>
      <c r="BL2226" s="4"/>
      <c r="BM2226" s="4"/>
    </row>
    <row r="2227" spans="1:65" s="38" customFormat="1" ht="18" customHeight="1">
      <c r="A2227" s="114">
        <v>61</v>
      </c>
      <c r="B2227" s="24" t="s">
        <v>2067</v>
      </c>
      <c r="C2227" s="25" t="s">
        <v>2069</v>
      </c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229"/>
      <c r="AC2227" s="228">
        <f t="shared" si="906"/>
        <v>0</v>
      </c>
      <c r="AD2227" s="19">
        <v>0</v>
      </c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>
        <v>1</v>
      </c>
      <c r="AQ2227" s="28"/>
      <c r="AR2227" s="28"/>
      <c r="AS2227" s="28"/>
      <c r="AT2227" s="28"/>
      <c r="AU2227" s="28"/>
      <c r="AV2227" s="28">
        <v>2</v>
      </c>
      <c r="AW2227" s="28"/>
      <c r="AX2227" s="28"/>
      <c r="AY2227" s="28"/>
      <c r="AZ2227" s="28"/>
      <c r="BA2227" s="28"/>
      <c r="BB2227" s="28">
        <f>1+1</f>
        <v>2</v>
      </c>
      <c r="BC2227" s="229"/>
      <c r="BD2227" s="48">
        <f t="shared" si="907"/>
        <v>5</v>
      </c>
      <c r="BE2227" s="19">
        <v>0</v>
      </c>
      <c r="BF2227" s="229"/>
      <c r="BG2227" s="210">
        <f t="shared" si="908"/>
        <v>5</v>
      </c>
      <c r="BH2227" s="210">
        <f t="shared" si="909"/>
        <v>0</v>
      </c>
      <c r="BI2227" s="213" t="e">
        <f t="shared" si="902"/>
        <v>#DIV/0!</v>
      </c>
      <c r="BJ2227" s="165"/>
      <c r="BK2227" s="201"/>
      <c r="BL2227" s="4"/>
      <c r="BM2227" s="4"/>
    </row>
    <row r="2228" spans="1:65" s="38" customFormat="1" ht="18" customHeight="1">
      <c r="A2228" s="114">
        <v>62</v>
      </c>
      <c r="B2228" s="24" t="s">
        <v>2068</v>
      </c>
      <c r="C2228" s="25" t="s">
        <v>2070</v>
      </c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229"/>
      <c r="AC2228" s="228">
        <f t="shared" si="906"/>
        <v>0</v>
      </c>
      <c r="AD2228" s="19">
        <v>0</v>
      </c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>
        <v>1</v>
      </c>
      <c r="AQ2228" s="28"/>
      <c r="AR2228" s="28"/>
      <c r="AS2228" s="28"/>
      <c r="AT2228" s="28"/>
      <c r="AU2228" s="28"/>
      <c r="AV2228" s="28">
        <v>2</v>
      </c>
      <c r="AW2228" s="28"/>
      <c r="AX2228" s="28"/>
      <c r="AY2228" s="28"/>
      <c r="AZ2228" s="28"/>
      <c r="BA2228" s="28"/>
      <c r="BB2228" s="28">
        <v>1</v>
      </c>
      <c r="BC2228" s="229"/>
      <c r="BD2228" s="48">
        <f t="shared" si="907"/>
        <v>4</v>
      </c>
      <c r="BE2228" s="19">
        <v>0</v>
      </c>
      <c r="BF2228" s="229"/>
      <c r="BG2228" s="210">
        <f t="shared" si="908"/>
        <v>4</v>
      </c>
      <c r="BH2228" s="210">
        <f t="shared" si="909"/>
        <v>0</v>
      </c>
      <c r="BI2228" s="213" t="e">
        <f t="shared" si="902"/>
        <v>#DIV/0!</v>
      </c>
      <c r="BJ2228" s="165"/>
      <c r="BK2228" s="201"/>
      <c r="BL2228" s="4"/>
      <c r="BM2228" s="4"/>
    </row>
    <row r="2229" spans="1:65" s="38" customFormat="1" ht="18" customHeight="1">
      <c r="A2229" s="114">
        <v>63</v>
      </c>
      <c r="B2229" s="24" t="s">
        <v>2199</v>
      </c>
      <c r="C2229" s="29" t="s">
        <v>2200</v>
      </c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229">
        <f t="shared" ref="AB2229:AB2244" si="925">D2229+F2229+H2229+J2229+L2229+N2229+P2229+R2229+T2229+V2229+X2229+Z2229</f>
        <v>0</v>
      </c>
      <c r="AC2229" s="228">
        <f t="shared" si="906"/>
        <v>0</v>
      </c>
      <c r="AD2229" s="21">
        <v>0</v>
      </c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29">
        <f t="shared" ref="BC2229:BC2244" si="926">AE2229+AG2229+AI2229+AK2229+AM2229+AO2229+AQ2229+AS2229+AU2229+AW2229+AY2229+BA2229</f>
        <v>0</v>
      </c>
      <c r="BD2229" s="48">
        <f t="shared" si="907"/>
        <v>0</v>
      </c>
      <c r="BE2229" s="19">
        <v>2</v>
      </c>
      <c r="BF2229" s="229">
        <f t="shared" ref="BF2229:BF2244" si="927">AB2229+BC2229</f>
        <v>0</v>
      </c>
      <c r="BG2229" s="210">
        <f t="shared" si="908"/>
        <v>0</v>
      </c>
      <c r="BH2229" s="210">
        <f t="shared" si="909"/>
        <v>2</v>
      </c>
      <c r="BI2229" s="213">
        <f t="shared" si="902"/>
        <v>0</v>
      </c>
      <c r="BJ2229" s="165"/>
      <c r="BK2229" s="201"/>
      <c r="BL2229" s="4"/>
      <c r="BM2229" s="4"/>
    </row>
    <row r="2230" spans="1:65" s="38" customFormat="1" ht="18" customHeight="1">
      <c r="A2230" s="114">
        <v>64</v>
      </c>
      <c r="B2230" s="24" t="s">
        <v>1006</v>
      </c>
      <c r="C2230" s="29" t="s">
        <v>1063</v>
      </c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229">
        <f t="shared" si="925"/>
        <v>0</v>
      </c>
      <c r="AC2230" s="228">
        <f t="shared" si="906"/>
        <v>0</v>
      </c>
      <c r="AD2230" s="21">
        <v>0</v>
      </c>
      <c r="AE2230" s="28"/>
      <c r="AF2230" s="28"/>
      <c r="AG2230" s="28"/>
      <c r="AH2230" s="28"/>
      <c r="AI2230" s="28"/>
      <c r="AJ2230" s="28">
        <v>1</v>
      </c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229">
        <f t="shared" si="926"/>
        <v>0</v>
      </c>
      <c r="BD2230" s="48">
        <f t="shared" si="907"/>
        <v>1</v>
      </c>
      <c r="BE2230" s="19">
        <v>0</v>
      </c>
      <c r="BF2230" s="229">
        <f t="shared" si="927"/>
        <v>0</v>
      </c>
      <c r="BG2230" s="210">
        <f t="shared" si="908"/>
        <v>1</v>
      </c>
      <c r="BH2230" s="210">
        <f t="shared" si="909"/>
        <v>0</v>
      </c>
      <c r="BI2230" s="213" t="e">
        <f t="shared" si="902"/>
        <v>#DIV/0!</v>
      </c>
      <c r="BJ2230" s="165"/>
      <c r="BK2230" s="201"/>
      <c r="BL2230" s="4"/>
      <c r="BM2230" s="4"/>
    </row>
    <row r="2231" spans="1:65" s="38" customFormat="1" ht="18" customHeight="1">
      <c r="A2231" s="114">
        <v>65</v>
      </c>
      <c r="B2231" s="24" t="s">
        <v>2203</v>
      </c>
      <c r="C2231" s="25" t="s">
        <v>2204</v>
      </c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229">
        <f t="shared" si="925"/>
        <v>0</v>
      </c>
      <c r="AC2231" s="228">
        <f t="shared" si="906"/>
        <v>0</v>
      </c>
      <c r="AD2231" s="19">
        <v>0</v>
      </c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29">
        <f t="shared" si="926"/>
        <v>0</v>
      </c>
      <c r="BD2231" s="48">
        <f t="shared" si="907"/>
        <v>0</v>
      </c>
      <c r="BE2231" s="19">
        <v>3</v>
      </c>
      <c r="BF2231" s="229">
        <f t="shared" si="927"/>
        <v>0</v>
      </c>
      <c r="BG2231" s="210">
        <f t="shared" si="908"/>
        <v>0</v>
      </c>
      <c r="BH2231" s="210">
        <f t="shared" si="909"/>
        <v>3</v>
      </c>
      <c r="BI2231" s="213">
        <f t="shared" ref="BI2231:BI2263" si="928">BG2231/BH2231*100</f>
        <v>0</v>
      </c>
      <c r="BJ2231" s="165"/>
      <c r="BK2231" s="201"/>
      <c r="BL2231" s="4"/>
      <c r="BM2231" s="4"/>
    </row>
    <row r="2232" spans="1:65" s="38" customFormat="1" ht="21.95" customHeight="1">
      <c r="A2232" s="114">
        <v>66</v>
      </c>
      <c r="B2232" s="24" t="s">
        <v>626</v>
      </c>
      <c r="C2232" s="25" t="s">
        <v>627</v>
      </c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229">
        <f t="shared" si="925"/>
        <v>0</v>
      </c>
      <c r="AC2232" s="228">
        <f t="shared" si="906"/>
        <v>0</v>
      </c>
      <c r="AD2232" s="19">
        <v>0</v>
      </c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229">
        <f t="shared" si="926"/>
        <v>0</v>
      </c>
      <c r="BD2232" s="48">
        <f t="shared" si="907"/>
        <v>0</v>
      </c>
      <c r="BE2232" s="19">
        <v>1</v>
      </c>
      <c r="BF2232" s="229">
        <f t="shared" si="927"/>
        <v>0</v>
      </c>
      <c r="BG2232" s="210">
        <f t="shared" si="908"/>
        <v>0</v>
      </c>
      <c r="BH2232" s="210">
        <f t="shared" si="909"/>
        <v>1</v>
      </c>
      <c r="BI2232" s="213">
        <f t="shared" si="928"/>
        <v>0</v>
      </c>
      <c r="BJ2232" s="165"/>
      <c r="BK2232" s="201"/>
      <c r="BL2232" s="4"/>
      <c r="BM2232" s="4"/>
    </row>
    <row r="2233" spans="1:65" s="38" customFormat="1" ht="18" customHeight="1">
      <c r="A2233" s="114">
        <v>67</v>
      </c>
      <c r="B2233" s="24" t="s">
        <v>3010</v>
      </c>
      <c r="C2233" s="25" t="s">
        <v>3011</v>
      </c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229">
        <f t="shared" si="925"/>
        <v>0</v>
      </c>
      <c r="AC2233" s="228">
        <f t="shared" si="906"/>
        <v>0</v>
      </c>
      <c r="AD2233" s="19">
        <v>0</v>
      </c>
      <c r="AE2233" s="28"/>
      <c r="AF2233" s="28"/>
      <c r="AG2233" s="28"/>
      <c r="AH2233" s="28"/>
      <c r="AI2233" s="28"/>
      <c r="AJ2233" s="28">
        <v>9</v>
      </c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29">
        <f t="shared" si="926"/>
        <v>0</v>
      </c>
      <c r="BD2233" s="48">
        <f t="shared" si="907"/>
        <v>9</v>
      </c>
      <c r="BE2233" s="19">
        <v>0</v>
      </c>
      <c r="BF2233" s="229">
        <f t="shared" si="927"/>
        <v>0</v>
      </c>
      <c r="BG2233" s="210">
        <f t="shared" si="908"/>
        <v>9</v>
      </c>
      <c r="BH2233" s="210">
        <f t="shared" si="909"/>
        <v>0</v>
      </c>
      <c r="BI2233" s="213" t="e">
        <f t="shared" si="928"/>
        <v>#DIV/0!</v>
      </c>
      <c r="BJ2233" s="141"/>
      <c r="BK2233" s="201"/>
      <c r="BL2233" s="4"/>
      <c r="BM2233" s="4"/>
    </row>
    <row r="2234" spans="1:65" s="38" customFormat="1" ht="21.95" customHeight="1">
      <c r="A2234" s="114">
        <v>68</v>
      </c>
      <c r="B2234" s="24" t="s">
        <v>262</v>
      </c>
      <c r="C2234" s="27" t="s">
        <v>2456</v>
      </c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229">
        <f t="shared" si="925"/>
        <v>0</v>
      </c>
      <c r="AC2234" s="228">
        <f t="shared" si="906"/>
        <v>0</v>
      </c>
      <c r="AD2234" s="21">
        <v>0</v>
      </c>
      <c r="AE2234" s="28"/>
      <c r="AF2234" s="28"/>
      <c r="AG2234" s="28"/>
      <c r="AH2234" s="28"/>
      <c r="AI2234" s="28"/>
      <c r="AJ2234" s="28">
        <v>1</v>
      </c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>
        <v>1</v>
      </c>
      <c r="AW2234" s="28"/>
      <c r="AX2234" s="28"/>
      <c r="AY2234" s="28"/>
      <c r="AZ2234" s="28"/>
      <c r="BA2234" s="28"/>
      <c r="BB2234" s="28">
        <v>1</v>
      </c>
      <c r="BC2234" s="229">
        <f t="shared" si="926"/>
        <v>0</v>
      </c>
      <c r="BD2234" s="48">
        <f t="shared" si="907"/>
        <v>3</v>
      </c>
      <c r="BE2234" s="19">
        <v>9</v>
      </c>
      <c r="BF2234" s="229">
        <f t="shared" si="927"/>
        <v>0</v>
      </c>
      <c r="BG2234" s="210">
        <f t="shared" si="908"/>
        <v>3</v>
      </c>
      <c r="BH2234" s="210">
        <f t="shared" si="909"/>
        <v>9</v>
      </c>
      <c r="BI2234" s="213">
        <f t="shared" si="928"/>
        <v>33.333333333333329</v>
      </c>
      <c r="BJ2234" s="165"/>
      <c r="BK2234" s="201"/>
      <c r="BL2234" s="4"/>
      <c r="BM2234" s="4"/>
    </row>
    <row r="2235" spans="1:65" s="38" customFormat="1" ht="21.95" customHeight="1">
      <c r="A2235" s="330"/>
      <c r="B2235" s="331" t="s">
        <v>812</v>
      </c>
      <c r="C2235" s="332" t="s">
        <v>813</v>
      </c>
      <c r="D2235" s="333"/>
      <c r="E2235" s="333"/>
      <c r="F2235" s="333"/>
      <c r="G2235" s="333"/>
      <c r="H2235" s="333"/>
      <c r="I2235" s="333"/>
      <c r="J2235" s="333"/>
      <c r="K2235" s="333"/>
      <c r="L2235" s="333"/>
      <c r="M2235" s="333"/>
      <c r="N2235" s="333"/>
      <c r="O2235" s="333"/>
      <c r="P2235" s="333"/>
      <c r="Q2235" s="333"/>
      <c r="R2235" s="333"/>
      <c r="S2235" s="333"/>
      <c r="T2235" s="333"/>
      <c r="U2235" s="333"/>
      <c r="V2235" s="333"/>
      <c r="W2235" s="333"/>
      <c r="X2235" s="333"/>
      <c r="Y2235" s="333"/>
      <c r="Z2235" s="333"/>
      <c r="AA2235" s="333"/>
      <c r="AB2235" s="323"/>
      <c r="AC2235" s="228">
        <f t="shared" si="906"/>
        <v>0</v>
      </c>
      <c r="AD2235" s="329">
        <v>0</v>
      </c>
      <c r="AE2235" s="334"/>
      <c r="AF2235" s="334"/>
      <c r="AG2235" s="334"/>
      <c r="AH2235" s="334"/>
      <c r="AI2235" s="334"/>
      <c r="AJ2235" s="334"/>
      <c r="AK2235" s="334"/>
      <c r="AL2235" s="334"/>
      <c r="AM2235" s="334"/>
      <c r="AN2235" s="334"/>
      <c r="AO2235" s="334"/>
      <c r="AP2235" s="334"/>
      <c r="AQ2235" s="334"/>
      <c r="AR2235" s="334"/>
      <c r="AS2235" s="334"/>
      <c r="AT2235" s="334"/>
      <c r="AU2235" s="334"/>
      <c r="AV2235" s="334"/>
      <c r="AW2235" s="334"/>
      <c r="AX2235" s="334"/>
      <c r="AY2235" s="334"/>
      <c r="AZ2235" s="334"/>
      <c r="BA2235" s="334"/>
      <c r="BB2235" s="334">
        <v>1</v>
      </c>
      <c r="BC2235" s="323"/>
      <c r="BD2235" s="48">
        <f t="shared" si="907"/>
        <v>1</v>
      </c>
      <c r="BE2235" s="326">
        <v>0</v>
      </c>
      <c r="BF2235" s="323"/>
      <c r="BG2235" s="210">
        <f t="shared" ref="BG2235" si="929">AC2235+BD2235</f>
        <v>1</v>
      </c>
      <c r="BH2235" s="210">
        <f t="shared" ref="BH2235" si="930">AD2235+BE2235</f>
        <v>0</v>
      </c>
      <c r="BI2235" s="213" t="e">
        <f t="shared" ref="BI2235" si="931">BG2235/BH2235*100</f>
        <v>#DIV/0!</v>
      </c>
      <c r="BJ2235" s="165"/>
      <c r="BK2235" s="201"/>
      <c r="BL2235" s="4"/>
      <c r="BM2235" s="4"/>
    </row>
    <row r="2236" spans="1:65" s="38" customFormat="1" ht="17.25" customHeight="1">
      <c r="A2236" s="114">
        <v>69</v>
      </c>
      <c r="B2236" s="24" t="s">
        <v>628</v>
      </c>
      <c r="C2236" s="25" t="s">
        <v>629</v>
      </c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>
        <v>13</v>
      </c>
      <c r="V2236" s="121"/>
      <c r="W2236" s="121"/>
      <c r="X2236" s="121"/>
      <c r="Y2236" s="121"/>
      <c r="Z2236" s="121"/>
      <c r="AA2236" s="121">
        <f>10+1+110</f>
        <v>121</v>
      </c>
      <c r="AB2236" s="229">
        <f t="shared" si="925"/>
        <v>0</v>
      </c>
      <c r="AC2236" s="228">
        <f t="shared" si="906"/>
        <v>134</v>
      </c>
      <c r="AD2236" s="19">
        <v>32</v>
      </c>
      <c r="AE2236" s="28"/>
      <c r="AF2236" s="28"/>
      <c r="AG2236" s="28"/>
      <c r="AH2236" s="28"/>
      <c r="AI2236" s="28"/>
      <c r="AJ2236" s="28">
        <f>478+493+422+401+2+98+22</f>
        <v>1916</v>
      </c>
      <c r="AK2236" s="28"/>
      <c r="AL2236" s="28"/>
      <c r="AM2236" s="28"/>
      <c r="AN2236" s="28"/>
      <c r="AO2236" s="28"/>
      <c r="AP2236" s="28">
        <f>1+579+1763+3+61+17</f>
        <v>2424</v>
      </c>
      <c r="AQ2236" s="28"/>
      <c r="AR2236" s="28"/>
      <c r="AS2236" s="28"/>
      <c r="AT2236" s="28"/>
      <c r="AU2236" s="28"/>
      <c r="AV2236" s="28">
        <f>1+477+1467+53+4+102+342</f>
        <v>2446</v>
      </c>
      <c r="AW2236" s="28"/>
      <c r="AX2236" s="28"/>
      <c r="AY2236" s="28"/>
      <c r="AZ2236" s="28"/>
      <c r="BA2236" s="28"/>
      <c r="BB2236" s="28">
        <f>638+1953+5+120</f>
        <v>2716</v>
      </c>
      <c r="BC2236" s="229">
        <f t="shared" si="926"/>
        <v>0</v>
      </c>
      <c r="BD2236" s="48">
        <f t="shared" si="907"/>
        <v>9502</v>
      </c>
      <c r="BE2236" s="19">
        <v>5523</v>
      </c>
      <c r="BF2236" s="229">
        <f t="shared" si="927"/>
        <v>0</v>
      </c>
      <c r="BG2236" s="210">
        <f t="shared" si="908"/>
        <v>9636</v>
      </c>
      <c r="BH2236" s="210">
        <f t="shared" si="909"/>
        <v>5555</v>
      </c>
      <c r="BI2236" s="213">
        <f t="shared" si="928"/>
        <v>173.46534653465346</v>
      </c>
      <c r="BJ2236" s="165"/>
      <c r="BK2236" s="201"/>
      <c r="BL2236" s="4"/>
      <c r="BM2236" s="4"/>
    </row>
    <row r="2237" spans="1:65" s="38" customFormat="1" ht="18" customHeight="1">
      <c r="A2237" s="114">
        <v>70</v>
      </c>
      <c r="B2237" s="24" t="s">
        <v>2205</v>
      </c>
      <c r="C2237" s="25" t="s">
        <v>2206</v>
      </c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229">
        <f t="shared" si="925"/>
        <v>0</v>
      </c>
      <c r="AC2237" s="228">
        <f t="shared" si="906"/>
        <v>0</v>
      </c>
      <c r="AD2237" s="19">
        <v>0</v>
      </c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29">
        <f t="shared" si="926"/>
        <v>0</v>
      </c>
      <c r="BD2237" s="48">
        <f t="shared" si="907"/>
        <v>0</v>
      </c>
      <c r="BE2237" s="19">
        <v>3</v>
      </c>
      <c r="BF2237" s="229">
        <f t="shared" si="927"/>
        <v>0</v>
      </c>
      <c r="BG2237" s="210">
        <f t="shared" si="908"/>
        <v>0</v>
      </c>
      <c r="BH2237" s="210">
        <f t="shared" si="909"/>
        <v>3</v>
      </c>
      <c r="BI2237" s="213">
        <f t="shared" si="928"/>
        <v>0</v>
      </c>
      <c r="BJ2237" s="165"/>
      <c r="BK2237" s="201"/>
      <c r="BL2237" s="4"/>
      <c r="BM2237" s="4"/>
    </row>
    <row r="2238" spans="1:65" s="38" customFormat="1" ht="18" customHeight="1">
      <c r="A2238" s="114">
        <v>71</v>
      </c>
      <c r="B2238" s="24" t="s">
        <v>980</v>
      </c>
      <c r="C2238" s="25" t="s">
        <v>1748</v>
      </c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229">
        <f t="shared" si="925"/>
        <v>0</v>
      </c>
      <c r="AC2238" s="228">
        <f t="shared" si="906"/>
        <v>0</v>
      </c>
      <c r="AD2238" s="19">
        <v>1</v>
      </c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  <c r="AZ2238" s="28"/>
      <c r="BA2238" s="28"/>
      <c r="BB2238" s="28"/>
      <c r="BC2238" s="229">
        <f t="shared" si="926"/>
        <v>0</v>
      </c>
      <c r="BD2238" s="48">
        <f t="shared" si="907"/>
        <v>0</v>
      </c>
      <c r="BE2238" s="19">
        <v>0</v>
      </c>
      <c r="BF2238" s="229">
        <f t="shared" si="927"/>
        <v>0</v>
      </c>
      <c r="BG2238" s="210">
        <f t="shared" si="908"/>
        <v>0</v>
      </c>
      <c r="BH2238" s="210">
        <f t="shared" si="909"/>
        <v>1</v>
      </c>
      <c r="BI2238" s="213">
        <f t="shared" si="928"/>
        <v>0</v>
      </c>
      <c r="BJ2238" s="165"/>
      <c r="BK2238" s="201"/>
      <c r="BL2238" s="4"/>
      <c r="BM2238" s="4"/>
    </row>
    <row r="2239" spans="1:65" s="38" customFormat="1" ht="18" customHeight="1">
      <c r="A2239" s="114">
        <v>72</v>
      </c>
      <c r="B2239" s="24" t="s">
        <v>1981</v>
      </c>
      <c r="C2239" s="25" t="s">
        <v>1982</v>
      </c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229">
        <f t="shared" si="925"/>
        <v>0</v>
      </c>
      <c r="AC2239" s="228">
        <f t="shared" si="906"/>
        <v>0</v>
      </c>
      <c r="AD2239" s="19">
        <v>0</v>
      </c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29">
        <f t="shared" si="926"/>
        <v>0</v>
      </c>
      <c r="BD2239" s="48">
        <f t="shared" si="907"/>
        <v>0</v>
      </c>
      <c r="BE2239" s="19">
        <v>1</v>
      </c>
      <c r="BF2239" s="229">
        <f t="shared" si="927"/>
        <v>0</v>
      </c>
      <c r="BG2239" s="210">
        <f t="shared" si="908"/>
        <v>0</v>
      </c>
      <c r="BH2239" s="210">
        <f t="shared" si="909"/>
        <v>1</v>
      </c>
      <c r="BI2239" s="213">
        <f t="shared" si="928"/>
        <v>0</v>
      </c>
      <c r="BJ2239" s="165"/>
      <c r="BK2239" s="201"/>
      <c r="BL2239" s="4"/>
      <c r="BM2239" s="4"/>
    </row>
    <row r="2240" spans="1:65" s="38" customFormat="1" ht="21.95" customHeight="1">
      <c r="A2240" s="114">
        <v>73</v>
      </c>
      <c r="B2240" s="24" t="s">
        <v>2211</v>
      </c>
      <c r="C2240" s="25" t="s">
        <v>2450</v>
      </c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229">
        <f t="shared" si="925"/>
        <v>0</v>
      </c>
      <c r="AC2240" s="228">
        <f t="shared" si="906"/>
        <v>0</v>
      </c>
      <c r="AD2240" s="21">
        <v>0</v>
      </c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229">
        <f t="shared" si="926"/>
        <v>0</v>
      </c>
      <c r="BD2240" s="48">
        <f t="shared" si="907"/>
        <v>0</v>
      </c>
      <c r="BE2240" s="19">
        <v>2</v>
      </c>
      <c r="BF2240" s="229">
        <f t="shared" si="927"/>
        <v>0</v>
      </c>
      <c r="BG2240" s="210">
        <f t="shared" si="908"/>
        <v>0</v>
      </c>
      <c r="BH2240" s="210">
        <f t="shared" si="909"/>
        <v>2</v>
      </c>
      <c r="BI2240" s="213">
        <f t="shared" si="928"/>
        <v>0</v>
      </c>
      <c r="BJ2240" s="165"/>
      <c r="BK2240" s="201"/>
      <c r="BL2240" s="4"/>
      <c r="BM2240" s="4"/>
    </row>
    <row r="2241" spans="1:65" s="38" customFormat="1" ht="18" customHeight="1">
      <c r="A2241" s="114">
        <v>74</v>
      </c>
      <c r="B2241" s="24" t="s">
        <v>2212</v>
      </c>
      <c r="C2241" s="25" t="s">
        <v>2213</v>
      </c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229">
        <f t="shared" si="925"/>
        <v>0</v>
      </c>
      <c r="AC2241" s="228">
        <f t="shared" si="906"/>
        <v>0</v>
      </c>
      <c r="AD2241" s="21">
        <v>0</v>
      </c>
      <c r="AE2241" s="28"/>
      <c r="AF2241" s="28"/>
      <c r="AG2241" s="28"/>
      <c r="AH2241" s="28"/>
      <c r="AI2241" s="28"/>
      <c r="AJ2241" s="28">
        <v>1</v>
      </c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29">
        <f t="shared" si="926"/>
        <v>0</v>
      </c>
      <c r="BD2241" s="48">
        <f t="shared" si="907"/>
        <v>1</v>
      </c>
      <c r="BE2241" s="19">
        <v>2</v>
      </c>
      <c r="BF2241" s="229">
        <f t="shared" si="927"/>
        <v>0</v>
      </c>
      <c r="BG2241" s="210">
        <f t="shared" si="908"/>
        <v>1</v>
      </c>
      <c r="BH2241" s="210">
        <f t="shared" si="909"/>
        <v>2</v>
      </c>
      <c r="BI2241" s="213">
        <f t="shared" si="928"/>
        <v>50</v>
      </c>
      <c r="BJ2241" s="165"/>
      <c r="BK2241" s="201"/>
      <c r="BL2241" s="4"/>
      <c r="BM2241" s="4"/>
    </row>
    <row r="2242" spans="1:65" s="38" customFormat="1" ht="18" customHeight="1">
      <c r="A2242" s="114">
        <v>75</v>
      </c>
      <c r="B2242" s="24" t="s">
        <v>795</v>
      </c>
      <c r="C2242" s="25" t="s">
        <v>982</v>
      </c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229">
        <f t="shared" si="925"/>
        <v>0</v>
      </c>
      <c r="AC2242" s="228">
        <f t="shared" si="906"/>
        <v>0</v>
      </c>
      <c r="AD2242" s="19">
        <v>1</v>
      </c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229">
        <f t="shared" si="926"/>
        <v>0</v>
      </c>
      <c r="BD2242" s="48">
        <f t="shared" si="907"/>
        <v>0</v>
      </c>
      <c r="BE2242" s="19">
        <v>1332</v>
      </c>
      <c r="BF2242" s="229">
        <f t="shared" si="927"/>
        <v>0</v>
      </c>
      <c r="BG2242" s="210">
        <f t="shared" si="908"/>
        <v>0</v>
      </c>
      <c r="BH2242" s="210">
        <f t="shared" si="909"/>
        <v>1333</v>
      </c>
      <c r="BI2242" s="213">
        <f t="shared" si="928"/>
        <v>0</v>
      </c>
      <c r="BJ2242" s="165"/>
      <c r="BK2242" s="201"/>
      <c r="BL2242" s="4"/>
      <c r="BM2242" s="4"/>
    </row>
    <row r="2243" spans="1:65" s="38" customFormat="1" ht="18" customHeight="1">
      <c r="A2243" s="114">
        <v>76</v>
      </c>
      <c r="B2243" s="24" t="s">
        <v>983</v>
      </c>
      <c r="C2243" s="25" t="s">
        <v>984</v>
      </c>
      <c r="D2243" s="121"/>
      <c r="E2243" s="121"/>
      <c r="F2243" s="121"/>
      <c r="G2243" s="121"/>
      <c r="H2243" s="121"/>
      <c r="I2243" s="121">
        <v>32</v>
      </c>
      <c r="J2243" s="121"/>
      <c r="K2243" s="121"/>
      <c r="L2243" s="121"/>
      <c r="M2243" s="121"/>
      <c r="N2243" s="121"/>
      <c r="O2243" s="121">
        <v>53</v>
      </c>
      <c r="P2243" s="121"/>
      <c r="Q2243" s="121"/>
      <c r="R2243" s="121"/>
      <c r="S2243" s="121"/>
      <c r="T2243" s="121"/>
      <c r="U2243" s="121">
        <v>32</v>
      </c>
      <c r="V2243" s="121"/>
      <c r="W2243" s="121"/>
      <c r="X2243" s="121"/>
      <c r="Y2243" s="121"/>
      <c r="Z2243" s="121"/>
      <c r="AA2243" s="121">
        <v>71</v>
      </c>
      <c r="AB2243" s="229">
        <f t="shared" si="925"/>
        <v>0</v>
      </c>
      <c r="AC2243" s="228">
        <f t="shared" si="906"/>
        <v>188</v>
      </c>
      <c r="AD2243" s="21">
        <v>178</v>
      </c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>
        <v>1</v>
      </c>
      <c r="AW2243" s="28"/>
      <c r="AX2243" s="28"/>
      <c r="AY2243" s="28"/>
      <c r="AZ2243" s="28"/>
      <c r="BA2243" s="28"/>
      <c r="BB2243" s="28"/>
      <c r="BC2243" s="229">
        <f t="shared" si="926"/>
        <v>0</v>
      </c>
      <c r="BD2243" s="48">
        <f t="shared" si="907"/>
        <v>1</v>
      </c>
      <c r="BE2243" s="19">
        <v>6</v>
      </c>
      <c r="BF2243" s="229">
        <f t="shared" si="927"/>
        <v>0</v>
      </c>
      <c r="BG2243" s="210">
        <f t="shared" si="908"/>
        <v>189</v>
      </c>
      <c r="BH2243" s="210">
        <f t="shared" si="909"/>
        <v>184</v>
      </c>
      <c r="BI2243" s="213">
        <f t="shared" si="928"/>
        <v>102.71739130434783</v>
      </c>
      <c r="BJ2243" s="165"/>
      <c r="BK2243" s="201"/>
      <c r="BL2243" s="4"/>
      <c r="BM2243" s="4"/>
    </row>
    <row r="2244" spans="1:65" s="38" customFormat="1" ht="18" customHeight="1">
      <c r="A2244" s="114">
        <v>77</v>
      </c>
      <c r="B2244" s="24" t="s">
        <v>512</v>
      </c>
      <c r="C2244" s="25" t="s">
        <v>513</v>
      </c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229">
        <f t="shared" si="925"/>
        <v>0</v>
      </c>
      <c r="AC2244" s="228">
        <f t="shared" si="906"/>
        <v>0</v>
      </c>
      <c r="AD2244" s="21">
        <v>0</v>
      </c>
      <c r="AE2244" s="28"/>
      <c r="AF2244" s="28"/>
      <c r="AG2244" s="28"/>
      <c r="AH2244" s="28"/>
      <c r="AI2244" s="28"/>
      <c r="AJ2244" s="28">
        <v>2</v>
      </c>
      <c r="AK2244" s="28"/>
      <c r="AL2244" s="28"/>
      <c r="AM2244" s="28"/>
      <c r="AN2244" s="28"/>
      <c r="AO2244" s="28"/>
      <c r="AP2244" s="28">
        <v>2</v>
      </c>
      <c r="AQ2244" s="28"/>
      <c r="AR2244" s="28"/>
      <c r="AS2244" s="28"/>
      <c r="AT2244" s="28"/>
      <c r="AU2244" s="28"/>
      <c r="AV2244" s="28">
        <v>4</v>
      </c>
      <c r="AW2244" s="28"/>
      <c r="AX2244" s="28"/>
      <c r="AY2244" s="28"/>
      <c r="AZ2244" s="28"/>
      <c r="BA2244" s="28"/>
      <c r="BB2244" s="28">
        <v>4</v>
      </c>
      <c r="BC2244" s="229">
        <f t="shared" si="926"/>
        <v>0</v>
      </c>
      <c r="BD2244" s="48">
        <f t="shared" si="907"/>
        <v>12</v>
      </c>
      <c r="BE2244" s="19">
        <f>18+3</f>
        <v>21</v>
      </c>
      <c r="BF2244" s="229">
        <f t="shared" si="927"/>
        <v>0</v>
      </c>
      <c r="BG2244" s="210">
        <f t="shared" si="908"/>
        <v>12</v>
      </c>
      <c r="BH2244" s="210">
        <f t="shared" si="909"/>
        <v>21</v>
      </c>
      <c r="BI2244" s="213">
        <f t="shared" si="928"/>
        <v>57.142857142857139</v>
      </c>
      <c r="BJ2244" s="165"/>
      <c r="BK2244" s="201"/>
      <c r="BL2244" s="4"/>
      <c r="BM2244" s="4"/>
    </row>
    <row r="2245" spans="1:65" s="38" customFormat="1" ht="18" customHeight="1">
      <c r="A2245" s="114">
        <v>78</v>
      </c>
      <c r="B2245" s="24" t="s">
        <v>720</v>
      </c>
      <c r="C2245" s="25" t="s">
        <v>721</v>
      </c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229"/>
      <c r="AC2245" s="228">
        <f t="shared" si="906"/>
        <v>0</v>
      </c>
      <c r="AD2245" s="21">
        <v>0</v>
      </c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>
        <v>1</v>
      </c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29"/>
      <c r="BD2245" s="48">
        <f t="shared" si="907"/>
        <v>1</v>
      </c>
      <c r="BE2245" s="19">
        <v>0</v>
      </c>
      <c r="BF2245" s="229"/>
      <c r="BG2245" s="210">
        <f t="shared" si="908"/>
        <v>1</v>
      </c>
      <c r="BH2245" s="210">
        <f t="shared" si="909"/>
        <v>0</v>
      </c>
      <c r="BI2245" s="213" t="e">
        <f t="shared" si="928"/>
        <v>#DIV/0!</v>
      </c>
      <c r="BJ2245" s="165"/>
      <c r="BK2245" s="201"/>
      <c r="BL2245" s="4"/>
      <c r="BM2245" s="4"/>
    </row>
    <row r="2246" spans="1:65" s="38" customFormat="1" ht="18" customHeight="1">
      <c r="A2246" s="114">
        <v>79</v>
      </c>
      <c r="B2246" s="24" t="s">
        <v>829</v>
      </c>
      <c r="C2246" s="25" t="s">
        <v>830</v>
      </c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>
        <v>2</v>
      </c>
      <c r="AB2246" s="229">
        <f t="shared" ref="AB2246:AB2277" si="932">D2246+F2246+H2246+J2246+L2246+N2246+P2246+R2246+T2246+V2246+X2246+Z2246</f>
        <v>0</v>
      </c>
      <c r="AC2246" s="228">
        <f t="shared" si="906"/>
        <v>2</v>
      </c>
      <c r="AD2246" s="19">
        <v>0</v>
      </c>
      <c r="AE2246" s="28"/>
      <c r="AF2246" s="28"/>
      <c r="AG2246" s="28"/>
      <c r="AH2246" s="28"/>
      <c r="AI2246" s="28"/>
      <c r="AJ2246" s="28">
        <v>85</v>
      </c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>
        <v>66</v>
      </c>
      <c r="AW2246" s="28"/>
      <c r="AX2246" s="28"/>
      <c r="AY2246" s="28"/>
      <c r="AZ2246" s="28"/>
      <c r="BA2246" s="28"/>
      <c r="BB2246" s="28">
        <v>69</v>
      </c>
      <c r="BC2246" s="229">
        <f t="shared" ref="BC2246:BC2277" si="933">AE2246+AG2246+AI2246+AK2246+AM2246+AO2246+AQ2246+AS2246+AU2246+AW2246+AY2246+BA2246</f>
        <v>0</v>
      </c>
      <c r="BD2246" s="48">
        <f t="shared" si="907"/>
        <v>220</v>
      </c>
      <c r="BE2246" s="19">
        <v>44</v>
      </c>
      <c r="BF2246" s="229">
        <f t="shared" ref="BF2246:BF2277" si="934">AB2246+BC2246</f>
        <v>0</v>
      </c>
      <c r="BG2246" s="210">
        <f t="shared" si="908"/>
        <v>222</v>
      </c>
      <c r="BH2246" s="210">
        <f t="shared" si="909"/>
        <v>44</v>
      </c>
      <c r="BI2246" s="213">
        <f t="shared" si="928"/>
        <v>504.54545454545456</v>
      </c>
      <c r="BJ2246" s="165"/>
      <c r="BK2246" s="201"/>
      <c r="BL2246" s="4"/>
      <c r="BM2246" s="4"/>
    </row>
    <row r="2247" spans="1:65" s="38" customFormat="1" ht="18" customHeight="1">
      <c r="A2247" s="114">
        <v>80</v>
      </c>
      <c r="B2247" s="24" t="s">
        <v>630</v>
      </c>
      <c r="C2247" s="25" t="s">
        <v>631</v>
      </c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>
        <v>4</v>
      </c>
      <c r="V2247" s="121"/>
      <c r="W2247" s="121"/>
      <c r="X2247" s="121"/>
      <c r="Y2247" s="121"/>
      <c r="Z2247" s="121"/>
      <c r="AA2247" s="121">
        <v>1</v>
      </c>
      <c r="AB2247" s="229">
        <f t="shared" si="932"/>
        <v>0</v>
      </c>
      <c r="AC2247" s="228">
        <f t="shared" ref="AC2247:AC2278" si="935">E2247+G2247+I2247+K2247+M2247+O2247+Q2247+S2247+U2247+W2247+Y2247+AA2247</f>
        <v>5</v>
      </c>
      <c r="AD2247" s="19">
        <v>5</v>
      </c>
      <c r="AE2247" s="28"/>
      <c r="AF2247" s="28"/>
      <c r="AG2247" s="28"/>
      <c r="AH2247" s="28"/>
      <c r="AI2247" s="28"/>
      <c r="AJ2247" s="28">
        <f>1+3+302+20</f>
        <v>326</v>
      </c>
      <c r="AK2247" s="28"/>
      <c r="AL2247" s="28"/>
      <c r="AM2247" s="28"/>
      <c r="AN2247" s="28"/>
      <c r="AO2247" s="28"/>
      <c r="AP2247" s="28">
        <v>25</v>
      </c>
      <c r="AQ2247" s="28"/>
      <c r="AR2247" s="28"/>
      <c r="AS2247" s="28"/>
      <c r="AT2247" s="28"/>
      <c r="AU2247" s="28"/>
      <c r="AV2247" s="28">
        <f>276+31+4</f>
        <v>311</v>
      </c>
      <c r="AW2247" s="28"/>
      <c r="AX2247" s="28"/>
      <c r="AY2247" s="28"/>
      <c r="AZ2247" s="28"/>
      <c r="BA2247" s="28"/>
      <c r="BB2247" s="28">
        <f>2+255+11</f>
        <v>268</v>
      </c>
      <c r="BC2247" s="229">
        <f t="shared" si="933"/>
        <v>0</v>
      </c>
      <c r="BD2247" s="48">
        <f t="shared" ref="BD2247:BD2278" si="936">AF2247+AH2247+AJ2247+AL2247+AN2247+AP2247+AR2247+AT2247+AV2247+AX2247+AZ2247+BB2247</f>
        <v>930</v>
      </c>
      <c r="BE2247" s="19">
        <v>1970</v>
      </c>
      <c r="BF2247" s="229">
        <f t="shared" si="934"/>
        <v>0</v>
      </c>
      <c r="BG2247" s="210">
        <f t="shared" ref="BG2247:BG2278" si="937">AC2247+BD2247</f>
        <v>935</v>
      </c>
      <c r="BH2247" s="210">
        <f t="shared" ref="BH2247:BH2278" si="938">AD2247+BE2247</f>
        <v>1975</v>
      </c>
      <c r="BI2247" s="213">
        <f t="shared" si="928"/>
        <v>47.341772151898738</v>
      </c>
      <c r="BJ2247" s="165"/>
      <c r="BK2247" s="201"/>
      <c r="BL2247" s="4"/>
      <c r="BM2247" s="4"/>
    </row>
    <row r="2248" spans="1:65" s="38" customFormat="1" ht="18" customHeight="1">
      <c r="A2248" s="114">
        <v>81</v>
      </c>
      <c r="B2248" s="24" t="s">
        <v>770</v>
      </c>
      <c r="C2248" s="25" t="s">
        <v>771</v>
      </c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229">
        <f t="shared" si="932"/>
        <v>0</v>
      </c>
      <c r="AC2248" s="228">
        <f t="shared" si="935"/>
        <v>0</v>
      </c>
      <c r="AD2248" s="19">
        <v>0</v>
      </c>
      <c r="AE2248" s="28"/>
      <c r="AF2248" s="28"/>
      <c r="AG2248" s="28"/>
      <c r="AH2248" s="28"/>
      <c r="AI2248" s="28"/>
      <c r="AJ2248" s="28">
        <f>2+7+4</f>
        <v>13</v>
      </c>
      <c r="AK2248" s="28"/>
      <c r="AL2248" s="28"/>
      <c r="AM2248" s="28"/>
      <c r="AN2248" s="28"/>
      <c r="AO2248" s="28"/>
      <c r="AP2248" s="28">
        <v>9</v>
      </c>
      <c r="AQ2248" s="28"/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>
        <v>1</v>
      </c>
      <c r="BC2248" s="229">
        <f t="shared" si="933"/>
        <v>0</v>
      </c>
      <c r="BD2248" s="48">
        <f t="shared" si="936"/>
        <v>23</v>
      </c>
      <c r="BE2248" s="19">
        <v>52</v>
      </c>
      <c r="BF2248" s="229">
        <f t="shared" si="934"/>
        <v>0</v>
      </c>
      <c r="BG2248" s="210">
        <f t="shared" si="937"/>
        <v>23</v>
      </c>
      <c r="BH2248" s="210">
        <f t="shared" si="938"/>
        <v>52</v>
      </c>
      <c r="BI2248" s="213">
        <f t="shared" si="928"/>
        <v>44.230769230769226</v>
      </c>
      <c r="BJ2248" s="165"/>
      <c r="BK2248" s="201"/>
      <c r="BL2248" s="4"/>
      <c r="BM2248" s="4"/>
    </row>
    <row r="2249" spans="1:65" s="38" customFormat="1" ht="18" customHeight="1">
      <c r="A2249" s="114">
        <v>82</v>
      </c>
      <c r="B2249" s="24" t="s">
        <v>1009</v>
      </c>
      <c r="C2249" s="183" t="s">
        <v>2423</v>
      </c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>
        <v>2</v>
      </c>
      <c r="AB2249" s="229">
        <f t="shared" si="932"/>
        <v>0</v>
      </c>
      <c r="AC2249" s="228">
        <f t="shared" si="935"/>
        <v>2</v>
      </c>
      <c r="AD2249" s="19">
        <v>0</v>
      </c>
      <c r="AE2249" s="28"/>
      <c r="AF2249" s="28"/>
      <c r="AG2249" s="28"/>
      <c r="AH2249" s="28"/>
      <c r="AI2249" s="28"/>
      <c r="AJ2249" s="28">
        <v>74</v>
      </c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>
        <v>52</v>
      </c>
      <c r="AW2249" s="28"/>
      <c r="AX2249" s="28"/>
      <c r="AY2249" s="28"/>
      <c r="AZ2249" s="28"/>
      <c r="BA2249" s="28"/>
      <c r="BB2249" s="28">
        <v>39</v>
      </c>
      <c r="BC2249" s="229">
        <f t="shared" si="933"/>
        <v>0</v>
      </c>
      <c r="BD2249" s="48">
        <f t="shared" si="936"/>
        <v>165</v>
      </c>
      <c r="BE2249" s="19">
        <v>118</v>
      </c>
      <c r="BF2249" s="229">
        <f t="shared" si="934"/>
        <v>0</v>
      </c>
      <c r="BG2249" s="210">
        <f t="shared" si="937"/>
        <v>167</v>
      </c>
      <c r="BH2249" s="210">
        <f t="shared" si="938"/>
        <v>118</v>
      </c>
      <c r="BI2249" s="213">
        <f t="shared" si="928"/>
        <v>141.52542372881356</v>
      </c>
      <c r="BJ2249" s="165"/>
      <c r="BK2249" s="201"/>
      <c r="BL2249" s="4"/>
      <c r="BM2249" s="4"/>
    </row>
    <row r="2250" spans="1:65" s="38" customFormat="1" ht="18" customHeight="1">
      <c r="A2250" s="114">
        <v>83</v>
      </c>
      <c r="B2250" s="24" t="s">
        <v>634</v>
      </c>
      <c r="C2250" s="25" t="s">
        <v>696</v>
      </c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>
        <v>7</v>
      </c>
      <c r="V2250" s="121"/>
      <c r="W2250" s="121"/>
      <c r="X2250" s="121"/>
      <c r="Y2250" s="121"/>
      <c r="Z2250" s="121"/>
      <c r="AA2250" s="121">
        <f>7+1+104</f>
        <v>112</v>
      </c>
      <c r="AB2250" s="229">
        <f t="shared" si="932"/>
        <v>0</v>
      </c>
      <c r="AC2250" s="228">
        <f t="shared" si="935"/>
        <v>119</v>
      </c>
      <c r="AD2250" s="19">
        <v>16</v>
      </c>
      <c r="AE2250" s="28"/>
      <c r="AF2250" s="28"/>
      <c r="AG2250" s="28"/>
      <c r="AH2250" s="28"/>
      <c r="AI2250" s="28"/>
      <c r="AJ2250" s="28">
        <f>4+18+4+575</f>
        <v>601</v>
      </c>
      <c r="AK2250" s="28"/>
      <c r="AL2250" s="28"/>
      <c r="AM2250" s="28"/>
      <c r="AN2250" s="28"/>
      <c r="AO2250" s="28"/>
      <c r="AP2250" s="28">
        <f>3+543</f>
        <v>546</v>
      </c>
      <c r="AQ2250" s="28"/>
      <c r="AR2250" s="28"/>
      <c r="AS2250" s="28"/>
      <c r="AT2250" s="28"/>
      <c r="AU2250" s="28"/>
      <c r="AV2250" s="28">
        <f>148+5+596+334</f>
        <v>1083</v>
      </c>
      <c r="AW2250" s="28"/>
      <c r="AX2250" s="28"/>
      <c r="AY2250" s="28"/>
      <c r="AZ2250" s="28"/>
      <c r="BA2250" s="28"/>
      <c r="BB2250" s="28">
        <f>206+668</f>
        <v>874</v>
      </c>
      <c r="BC2250" s="229">
        <f t="shared" si="933"/>
        <v>0</v>
      </c>
      <c r="BD2250" s="48">
        <f t="shared" si="936"/>
        <v>3104</v>
      </c>
      <c r="BE2250" s="19">
        <v>4751</v>
      </c>
      <c r="BF2250" s="229">
        <f t="shared" si="934"/>
        <v>0</v>
      </c>
      <c r="BG2250" s="210">
        <f t="shared" si="937"/>
        <v>3223</v>
      </c>
      <c r="BH2250" s="210">
        <f t="shared" si="938"/>
        <v>4767</v>
      </c>
      <c r="BI2250" s="213">
        <f t="shared" si="928"/>
        <v>67.610656597440737</v>
      </c>
      <c r="BJ2250" s="165"/>
      <c r="BK2250" s="201"/>
      <c r="BL2250" s="4"/>
      <c r="BM2250" s="4"/>
    </row>
    <row r="2251" spans="1:65" s="38" customFormat="1" ht="18" customHeight="1">
      <c r="A2251" s="114">
        <v>84</v>
      </c>
      <c r="B2251" s="24" t="s">
        <v>1056</v>
      </c>
      <c r="C2251" s="25" t="s">
        <v>1057</v>
      </c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229">
        <f t="shared" si="932"/>
        <v>0</v>
      </c>
      <c r="AC2251" s="228">
        <f t="shared" si="935"/>
        <v>0</v>
      </c>
      <c r="AD2251" s="19">
        <v>0</v>
      </c>
      <c r="AE2251" s="28"/>
      <c r="AF2251" s="28"/>
      <c r="AG2251" s="28"/>
      <c r="AH2251" s="28"/>
      <c r="AI2251" s="28"/>
      <c r="AJ2251" s="28">
        <v>1</v>
      </c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>
        <v>1</v>
      </c>
      <c r="AW2251" s="28"/>
      <c r="AX2251" s="28"/>
      <c r="AY2251" s="28"/>
      <c r="AZ2251" s="28"/>
      <c r="BA2251" s="28"/>
      <c r="BB2251" s="28"/>
      <c r="BC2251" s="229">
        <f t="shared" si="933"/>
        <v>0</v>
      </c>
      <c r="BD2251" s="48">
        <f t="shared" si="936"/>
        <v>2</v>
      </c>
      <c r="BE2251" s="19">
        <v>0</v>
      </c>
      <c r="BF2251" s="229">
        <f t="shared" si="934"/>
        <v>0</v>
      </c>
      <c r="BG2251" s="210">
        <f t="shared" si="937"/>
        <v>2</v>
      </c>
      <c r="BH2251" s="210">
        <f t="shared" si="938"/>
        <v>0</v>
      </c>
      <c r="BI2251" s="213" t="e">
        <f t="shared" si="928"/>
        <v>#DIV/0!</v>
      </c>
      <c r="BJ2251" s="165"/>
      <c r="BK2251" s="201"/>
      <c r="BL2251" s="4"/>
      <c r="BM2251" s="4"/>
    </row>
    <row r="2252" spans="1:65" s="38" customFormat="1" ht="18" customHeight="1">
      <c r="A2252" s="114">
        <v>85</v>
      </c>
      <c r="B2252" s="24" t="s">
        <v>772</v>
      </c>
      <c r="C2252" s="25" t="s">
        <v>2449</v>
      </c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229">
        <f t="shared" si="932"/>
        <v>0</v>
      </c>
      <c r="AC2252" s="228">
        <f t="shared" si="935"/>
        <v>0</v>
      </c>
      <c r="AD2252" s="19">
        <v>0</v>
      </c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>
        <v>1</v>
      </c>
      <c r="AQ2252" s="28"/>
      <c r="AR2252" s="28"/>
      <c r="AS2252" s="28"/>
      <c r="AT2252" s="28"/>
      <c r="AU2252" s="28"/>
      <c r="AV2252" s="28">
        <v>3</v>
      </c>
      <c r="AW2252" s="28"/>
      <c r="AX2252" s="28"/>
      <c r="AY2252" s="28"/>
      <c r="AZ2252" s="28"/>
      <c r="BA2252" s="28"/>
      <c r="BB2252" s="28">
        <v>2</v>
      </c>
      <c r="BC2252" s="229">
        <f t="shared" si="933"/>
        <v>0</v>
      </c>
      <c r="BD2252" s="48">
        <f t="shared" si="936"/>
        <v>6</v>
      </c>
      <c r="BE2252" s="19">
        <v>14</v>
      </c>
      <c r="BF2252" s="229">
        <f t="shared" si="934"/>
        <v>0</v>
      </c>
      <c r="BG2252" s="210">
        <f t="shared" si="937"/>
        <v>6</v>
      </c>
      <c r="BH2252" s="210">
        <f t="shared" si="938"/>
        <v>14</v>
      </c>
      <c r="BI2252" s="213">
        <f t="shared" si="928"/>
        <v>42.857142857142854</v>
      </c>
      <c r="BJ2252" s="165"/>
      <c r="BK2252" s="201"/>
      <c r="BL2252" s="4"/>
      <c r="BM2252" s="4"/>
    </row>
    <row r="2253" spans="1:65" s="38" customFormat="1" ht="18" customHeight="1">
      <c r="A2253" s="114">
        <v>86</v>
      </c>
      <c r="B2253" s="24" t="s">
        <v>636</v>
      </c>
      <c r="C2253" s="25" t="s">
        <v>637</v>
      </c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229">
        <f t="shared" si="932"/>
        <v>0</v>
      </c>
      <c r="AC2253" s="228">
        <f t="shared" si="935"/>
        <v>0</v>
      </c>
      <c r="AD2253" s="19">
        <v>0</v>
      </c>
      <c r="AE2253" s="28"/>
      <c r="AF2253" s="28"/>
      <c r="AG2253" s="28"/>
      <c r="AH2253" s="28"/>
      <c r="AI2253" s="28"/>
      <c r="AJ2253" s="28">
        <f>3+1+23</f>
        <v>27</v>
      </c>
      <c r="AK2253" s="28"/>
      <c r="AL2253" s="28"/>
      <c r="AM2253" s="28"/>
      <c r="AN2253" s="28"/>
      <c r="AO2253" s="28"/>
      <c r="AP2253" s="28">
        <v>25</v>
      </c>
      <c r="AQ2253" s="28"/>
      <c r="AR2253" s="28"/>
      <c r="AS2253" s="28"/>
      <c r="AT2253" s="28"/>
      <c r="AU2253" s="28"/>
      <c r="AV2253" s="28">
        <v>28</v>
      </c>
      <c r="AW2253" s="28"/>
      <c r="AX2253" s="28"/>
      <c r="AY2253" s="28"/>
      <c r="AZ2253" s="28"/>
      <c r="BA2253" s="28"/>
      <c r="BB2253" s="28">
        <v>24</v>
      </c>
      <c r="BC2253" s="229">
        <f t="shared" si="933"/>
        <v>0</v>
      </c>
      <c r="BD2253" s="48">
        <f t="shared" si="936"/>
        <v>104</v>
      </c>
      <c r="BE2253" s="19">
        <v>156</v>
      </c>
      <c r="BF2253" s="229">
        <f t="shared" si="934"/>
        <v>0</v>
      </c>
      <c r="BG2253" s="210">
        <f t="shared" si="937"/>
        <v>104</v>
      </c>
      <c r="BH2253" s="210">
        <f t="shared" si="938"/>
        <v>156</v>
      </c>
      <c r="BI2253" s="213">
        <f t="shared" si="928"/>
        <v>66.666666666666657</v>
      </c>
      <c r="BJ2253" s="141"/>
      <c r="BK2253" s="201"/>
      <c r="BL2253" s="4"/>
      <c r="BM2253" s="4"/>
    </row>
    <row r="2254" spans="1:65" s="38" customFormat="1" ht="18" customHeight="1">
      <c r="A2254" s="114">
        <v>87</v>
      </c>
      <c r="B2254" s="24" t="s">
        <v>638</v>
      </c>
      <c r="C2254" s="25" t="s">
        <v>639</v>
      </c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229">
        <f t="shared" si="932"/>
        <v>0</v>
      </c>
      <c r="AC2254" s="228">
        <f t="shared" si="935"/>
        <v>0</v>
      </c>
      <c r="AD2254" s="19">
        <v>0</v>
      </c>
      <c r="AE2254" s="28"/>
      <c r="AF2254" s="28"/>
      <c r="AG2254" s="28"/>
      <c r="AH2254" s="28"/>
      <c r="AI2254" s="28"/>
      <c r="AJ2254" s="28">
        <v>23</v>
      </c>
      <c r="AK2254" s="28"/>
      <c r="AL2254" s="28"/>
      <c r="AM2254" s="28"/>
      <c r="AN2254" s="28"/>
      <c r="AO2254" s="28"/>
      <c r="AP2254" s="28">
        <v>25</v>
      </c>
      <c r="AQ2254" s="28"/>
      <c r="AR2254" s="28"/>
      <c r="AS2254" s="28"/>
      <c r="AT2254" s="28"/>
      <c r="AU2254" s="28"/>
      <c r="AV2254" s="28">
        <v>28</v>
      </c>
      <c r="AW2254" s="28"/>
      <c r="AX2254" s="28"/>
      <c r="AY2254" s="28"/>
      <c r="AZ2254" s="28"/>
      <c r="BA2254" s="28"/>
      <c r="BB2254" s="28">
        <v>24</v>
      </c>
      <c r="BC2254" s="229">
        <f t="shared" si="933"/>
        <v>0</v>
      </c>
      <c r="BD2254" s="48">
        <f t="shared" si="936"/>
        <v>100</v>
      </c>
      <c r="BE2254" s="19">
        <v>142</v>
      </c>
      <c r="BF2254" s="229">
        <f t="shared" si="934"/>
        <v>0</v>
      </c>
      <c r="BG2254" s="210">
        <f t="shared" si="937"/>
        <v>100</v>
      </c>
      <c r="BH2254" s="210">
        <f t="shared" si="938"/>
        <v>142</v>
      </c>
      <c r="BI2254" s="213">
        <f t="shared" si="928"/>
        <v>70.422535211267601</v>
      </c>
      <c r="BJ2254" s="141"/>
      <c r="BK2254" s="201"/>
      <c r="BL2254" s="4"/>
      <c r="BM2254" s="4"/>
    </row>
    <row r="2255" spans="1:65" s="38" customFormat="1" ht="18" customHeight="1">
      <c r="A2255" s="114">
        <v>88</v>
      </c>
      <c r="B2255" s="24" t="s">
        <v>643</v>
      </c>
      <c r="C2255" s="25" t="s">
        <v>722</v>
      </c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229">
        <f t="shared" si="932"/>
        <v>0</v>
      </c>
      <c r="AC2255" s="228">
        <f t="shared" si="935"/>
        <v>0</v>
      </c>
      <c r="AD2255" s="19">
        <v>0</v>
      </c>
      <c r="AE2255" s="28"/>
      <c r="AF2255" s="28"/>
      <c r="AG2255" s="28"/>
      <c r="AH2255" s="28"/>
      <c r="AI2255" s="28"/>
      <c r="AJ2255" s="28">
        <f>23+48+33+23+440</f>
        <v>567</v>
      </c>
      <c r="AK2255" s="28"/>
      <c r="AL2255" s="28"/>
      <c r="AM2255" s="28"/>
      <c r="AN2255" s="28"/>
      <c r="AO2255" s="28"/>
      <c r="AP2255" s="28">
        <f>1+430</f>
        <v>431</v>
      </c>
      <c r="AQ2255" s="28"/>
      <c r="AR2255" s="28"/>
      <c r="AS2255" s="28"/>
      <c r="AT2255" s="28"/>
      <c r="AU2255" s="28"/>
      <c r="AV2255" s="28">
        <v>444</v>
      </c>
      <c r="AW2255" s="28"/>
      <c r="AX2255" s="28"/>
      <c r="AY2255" s="28"/>
      <c r="AZ2255" s="28"/>
      <c r="BA2255" s="28"/>
      <c r="BB2255" s="28">
        <v>503</v>
      </c>
      <c r="BC2255" s="229">
        <f t="shared" si="933"/>
        <v>0</v>
      </c>
      <c r="BD2255" s="48">
        <f t="shared" si="936"/>
        <v>1945</v>
      </c>
      <c r="BE2255" s="19">
        <v>3498</v>
      </c>
      <c r="BF2255" s="229">
        <f t="shared" si="934"/>
        <v>0</v>
      </c>
      <c r="BG2255" s="210">
        <f t="shared" si="937"/>
        <v>1945</v>
      </c>
      <c r="BH2255" s="210">
        <f t="shared" si="938"/>
        <v>3498</v>
      </c>
      <c r="BI2255" s="213">
        <f t="shared" si="928"/>
        <v>55.603201829616921</v>
      </c>
      <c r="BJ2255" s="141"/>
      <c r="BK2255" s="201"/>
      <c r="BL2255" s="4"/>
      <c r="BM2255" s="4"/>
    </row>
    <row r="2256" spans="1:65" s="38" customFormat="1" ht="18" customHeight="1">
      <c r="A2256" s="114">
        <v>89</v>
      </c>
      <c r="B2256" s="24" t="s">
        <v>1010</v>
      </c>
      <c r="C2256" s="25" t="s">
        <v>1375</v>
      </c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229">
        <f t="shared" si="932"/>
        <v>0</v>
      </c>
      <c r="AC2256" s="228">
        <f t="shared" si="935"/>
        <v>0</v>
      </c>
      <c r="AD2256" s="19">
        <v>0</v>
      </c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  <c r="AZ2256" s="28"/>
      <c r="BA2256" s="28"/>
      <c r="BB2256" s="28"/>
      <c r="BC2256" s="229">
        <f t="shared" si="933"/>
        <v>0</v>
      </c>
      <c r="BD2256" s="48">
        <f t="shared" si="936"/>
        <v>0</v>
      </c>
      <c r="BE2256" s="19">
        <v>5</v>
      </c>
      <c r="BF2256" s="229">
        <f t="shared" si="934"/>
        <v>0</v>
      </c>
      <c r="BG2256" s="210">
        <f t="shared" si="937"/>
        <v>0</v>
      </c>
      <c r="BH2256" s="210">
        <f t="shared" si="938"/>
        <v>5</v>
      </c>
      <c r="BI2256" s="213">
        <f t="shared" si="928"/>
        <v>0</v>
      </c>
      <c r="BJ2256" s="141"/>
      <c r="BK2256" s="201"/>
      <c r="BL2256" s="4"/>
      <c r="BM2256" s="4"/>
    </row>
    <row r="2257" spans="1:65" s="38" customFormat="1" ht="18" customHeight="1">
      <c r="A2257" s="114">
        <v>90</v>
      </c>
      <c r="B2257" s="24" t="s">
        <v>773</v>
      </c>
      <c r="C2257" s="25" t="s">
        <v>1159</v>
      </c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229">
        <f t="shared" si="932"/>
        <v>0</v>
      </c>
      <c r="AC2257" s="228">
        <f t="shared" si="935"/>
        <v>0</v>
      </c>
      <c r="AD2257" s="19">
        <v>0</v>
      </c>
      <c r="AE2257" s="28"/>
      <c r="AF2257" s="28"/>
      <c r="AG2257" s="28"/>
      <c r="AH2257" s="28"/>
      <c r="AI2257" s="28"/>
      <c r="AJ2257" s="28">
        <v>31</v>
      </c>
      <c r="AK2257" s="28"/>
      <c r="AL2257" s="28"/>
      <c r="AM2257" s="28"/>
      <c r="AN2257" s="28"/>
      <c r="AO2257" s="28"/>
      <c r="AP2257" s="28">
        <v>41</v>
      </c>
      <c r="AQ2257" s="28"/>
      <c r="AR2257" s="28"/>
      <c r="AS2257" s="28"/>
      <c r="AT2257" s="28"/>
      <c r="AU2257" s="28"/>
      <c r="AV2257" s="28">
        <v>93</v>
      </c>
      <c r="AW2257" s="28"/>
      <c r="AX2257" s="28"/>
      <c r="AY2257" s="28"/>
      <c r="AZ2257" s="28"/>
      <c r="BA2257" s="28"/>
      <c r="BB2257" s="28">
        <f>1+70</f>
        <v>71</v>
      </c>
      <c r="BC2257" s="229">
        <f t="shared" si="933"/>
        <v>0</v>
      </c>
      <c r="BD2257" s="48">
        <f t="shared" si="936"/>
        <v>236</v>
      </c>
      <c r="BE2257" s="19">
        <v>433</v>
      </c>
      <c r="BF2257" s="229">
        <f t="shared" si="934"/>
        <v>0</v>
      </c>
      <c r="BG2257" s="210">
        <f t="shared" si="937"/>
        <v>236</v>
      </c>
      <c r="BH2257" s="210">
        <f t="shared" si="938"/>
        <v>433</v>
      </c>
      <c r="BI2257" s="213">
        <f t="shared" si="928"/>
        <v>54.503464203233257</v>
      </c>
      <c r="BJ2257" s="141"/>
      <c r="BK2257" s="201"/>
      <c r="BL2257" s="4"/>
      <c r="BM2257" s="4"/>
    </row>
    <row r="2258" spans="1:65" s="38" customFormat="1" ht="18" customHeight="1">
      <c r="A2258" s="114">
        <v>91</v>
      </c>
      <c r="B2258" s="24" t="s">
        <v>644</v>
      </c>
      <c r="C2258" s="25" t="s">
        <v>645</v>
      </c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229">
        <f t="shared" si="932"/>
        <v>0</v>
      </c>
      <c r="AC2258" s="228">
        <f t="shared" si="935"/>
        <v>0</v>
      </c>
      <c r="AD2258" s="19">
        <v>0</v>
      </c>
      <c r="AE2258" s="28"/>
      <c r="AF2258" s="28"/>
      <c r="AG2258" s="28"/>
      <c r="AH2258" s="28"/>
      <c r="AI2258" s="28"/>
      <c r="AJ2258" s="28">
        <f>3+3+112</f>
        <v>118</v>
      </c>
      <c r="AK2258" s="28"/>
      <c r="AL2258" s="28"/>
      <c r="AM2258" s="28"/>
      <c r="AN2258" s="28"/>
      <c r="AO2258" s="28"/>
      <c r="AP2258" s="28">
        <f>4+123</f>
        <v>127</v>
      </c>
      <c r="AQ2258" s="28"/>
      <c r="AR2258" s="28"/>
      <c r="AS2258" s="28"/>
      <c r="AT2258" s="28"/>
      <c r="AU2258" s="28"/>
      <c r="AV2258" s="28">
        <f>15+217</f>
        <v>232</v>
      </c>
      <c r="AW2258" s="28"/>
      <c r="AX2258" s="28"/>
      <c r="AY2258" s="28"/>
      <c r="AZ2258" s="28"/>
      <c r="BA2258" s="28"/>
      <c r="BB2258" s="28">
        <f>7+170</f>
        <v>177</v>
      </c>
      <c r="BC2258" s="229">
        <f t="shared" si="933"/>
        <v>0</v>
      </c>
      <c r="BD2258" s="48">
        <f t="shared" si="936"/>
        <v>654</v>
      </c>
      <c r="BE2258" s="19">
        <v>935</v>
      </c>
      <c r="BF2258" s="229">
        <f t="shared" si="934"/>
        <v>0</v>
      </c>
      <c r="BG2258" s="210">
        <f t="shared" si="937"/>
        <v>654</v>
      </c>
      <c r="BH2258" s="210">
        <f t="shared" si="938"/>
        <v>935</v>
      </c>
      <c r="BI2258" s="213">
        <f t="shared" si="928"/>
        <v>69.946524064171129</v>
      </c>
      <c r="BJ2258" s="141"/>
      <c r="BK2258" s="201"/>
      <c r="BL2258" s="4"/>
      <c r="BM2258" s="4"/>
    </row>
    <row r="2259" spans="1:65" s="38" customFormat="1" ht="18" customHeight="1">
      <c r="A2259" s="114">
        <v>92</v>
      </c>
      <c r="B2259" s="24" t="s">
        <v>646</v>
      </c>
      <c r="C2259" s="25" t="s">
        <v>647</v>
      </c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>
        <v>2</v>
      </c>
      <c r="V2259" s="121"/>
      <c r="W2259" s="121"/>
      <c r="X2259" s="121"/>
      <c r="Y2259" s="121"/>
      <c r="Z2259" s="121"/>
      <c r="AA2259" s="121"/>
      <c r="AB2259" s="229">
        <f t="shared" si="932"/>
        <v>0</v>
      </c>
      <c r="AC2259" s="228">
        <f t="shared" si="935"/>
        <v>2</v>
      </c>
      <c r="AD2259" s="19">
        <v>0</v>
      </c>
      <c r="AE2259" s="28"/>
      <c r="AF2259" s="28"/>
      <c r="AG2259" s="28"/>
      <c r="AH2259" s="28"/>
      <c r="AI2259" s="28"/>
      <c r="AJ2259" s="28">
        <v>12</v>
      </c>
      <c r="AK2259" s="28"/>
      <c r="AL2259" s="28"/>
      <c r="AM2259" s="28"/>
      <c r="AN2259" s="28"/>
      <c r="AO2259" s="28"/>
      <c r="AP2259" s="28">
        <v>10</v>
      </c>
      <c r="AQ2259" s="28"/>
      <c r="AR2259" s="28"/>
      <c r="AS2259" s="28"/>
      <c r="AT2259" s="28"/>
      <c r="AU2259" s="28"/>
      <c r="AV2259" s="28">
        <v>7</v>
      </c>
      <c r="AW2259" s="28"/>
      <c r="AX2259" s="28"/>
      <c r="AY2259" s="28"/>
      <c r="AZ2259" s="28"/>
      <c r="BA2259" s="28"/>
      <c r="BB2259" s="28">
        <v>9</v>
      </c>
      <c r="BC2259" s="229">
        <f t="shared" si="933"/>
        <v>0</v>
      </c>
      <c r="BD2259" s="48">
        <f t="shared" si="936"/>
        <v>38</v>
      </c>
      <c r="BE2259" s="19">
        <v>96</v>
      </c>
      <c r="BF2259" s="229">
        <f t="shared" si="934"/>
        <v>0</v>
      </c>
      <c r="BG2259" s="210">
        <f t="shared" si="937"/>
        <v>40</v>
      </c>
      <c r="BH2259" s="210">
        <f t="shared" si="938"/>
        <v>96</v>
      </c>
      <c r="BI2259" s="213">
        <f t="shared" si="928"/>
        <v>41.666666666666671</v>
      </c>
      <c r="BJ2259" s="141"/>
      <c r="BK2259" s="201"/>
      <c r="BL2259" s="4"/>
      <c r="BM2259" s="4"/>
    </row>
    <row r="2260" spans="1:65" s="38" customFormat="1" ht="18" customHeight="1">
      <c r="A2260" s="114">
        <v>93</v>
      </c>
      <c r="B2260" s="24" t="s">
        <v>1011</v>
      </c>
      <c r="C2260" s="25" t="s">
        <v>1596</v>
      </c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229">
        <f t="shared" si="932"/>
        <v>0</v>
      </c>
      <c r="AC2260" s="228">
        <f t="shared" si="935"/>
        <v>0</v>
      </c>
      <c r="AD2260" s="19">
        <v>0</v>
      </c>
      <c r="AE2260" s="28"/>
      <c r="AF2260" s="28"/>
      <c r="AG2260" s="28"/>
      <c r="AH2260" s="28"/>
      <c r="AI2260" s="28"/>
      <c r="AJ2260" s="28">
        <v>2</v>
      </c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  <c r="AZ2260" s="28"/>
      <c r="BA2260" s="28"/>
      <c r="BB2260" s="28">
        <v>2</v>
      </c>
      <c r="BC2260" s="229">
        <f t="shared" si="933"/>
        <v>0</v>
      </c>
      <c r="BD2260" s="48">
        <f t="shared" si="936"/>
        <v>4</v>
      </c>
      <c r="BE2260" s="19">
        <v>0</v>
      </c>
      <c r="BF2260" s="229">
        <f t="shared" si="934"/>
        <v>0</v>
      </c>
      <c r="BG2260" s="210">
        <f t="shared" si="937"/>
        <v>4</v>
      </c>
      <c r="BH2260" s="210">
        <f t="shared" si="938"/>
        <v>0</v>
      </c>
      <c r="BI2260" s="213" t="e">
        <f t="shared" si="928"/>
        <v>#DIV/0!</v>
      </c>
      <c r="BJ2260" s="141"/>
      <c r="BK2260" s="201"/>
      <c r="BL2260" s="4"/>
      <c r="BM2260" s="4"/>
    </row>
    <row r="2261" spans="1:65" s="38" customFormat="1" ht="18" customHeight="1">
      <c r="A2261" s="114">
        <v>94</v>
      </c>
      <c r="B2261" s="24" t="s">
        <v>698</v>
      </c>
      <c r="C2261" s="25" t="s">
        <v>699</v>
      </c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229">
        <f t="shared" si="932"/>
        <v>0</v>
      </c>
      <c r="AC2261" s="228">
        <f t="shared" si="935"/>
        <v>0</v>
      </c>
      <c r="AD2261" s="19">
        <v>0</v>
      </c>
      <c r="AE2261" s="28"/>
      <c r="AF2261" s="28"/>
      <c r="AG2261" s="28"/>
      <c r="AH2261" s="28"/>
      <c r="AI2261" s="28"/>
      <c r="AJ2261" s="28">
        <f>1+8+16+2</f>
        <v>27</v>
      </c>
      <c r="AK2261" s="28"/>
      <c r="AL2261" s="28"/>
      <c r="AM2261" s="28"/>
      <c r="AN2261" s="28"/>
      <c r="AO2261" s="28"/>
      <c r="AP2261" s="28">
        <f>1+9+15</f>
        <v>25</v>
      </c>
      <c r="AQ2261" s="28"/>
      <c r="AR2261" s="28"/>
      <c r="AS2261" s="28"/>
      <c r="AT2261" s="28"/>
      <c r="AU2261" s="28"/>
      <c r="AV2261" s="28">
        <f>7+12</f>
        <v>19</v>
      </c>
      <c r="AW2261" s="28"/>
      <c r="AX2261" s="28"/>
      <c r="AY2261" s="28"/>
      <c r="AZ2261" s="28"/>
      <c r="BA2261" s="28"/>
      <c r="BB2261" s="28">
        <v>3</v>
      </c>
      <c r="BC2261" s="229">
        <f t="shared" si="933"/>
        <v>0</v>
      </c>
      <c r="BD2261" s="48">
        <f t="shared" si="936"/>
        <v>74</v>
      </c>
      <c r="BE2261" s="19">
        <v>174</v>
      </c>
      <c r="BF2261" s="229">
        <f t="shared" si="934"/>
        <v>0</v>
      </c>
      <c r="BG2261" s="210">
        <f t="shared" si="937"/>
        <v>74</v>
      </c>
      <c r="BH2261" s="210">
        <f t="shared" si="938"/>
        <v>174</v>
      </c>
      <c r="BI2261" s="213">
        <f t="shared" si="928"/>
        <v>42.528735632183903</v>
      </c>
      <c r="BJ2261" s="141"/>
      <c r="BK2261" s="201"/>
      <c r="BL2261" s="4"/>
      <c r="BM2261" s="4"/>
    </row>
    <row r="2262" spans="1:65" s="38" customFormat="1" ht="18" customHeight="1">
      <c r="A2262" s="114">
        <v>95</v>
      </c>
      <c r="B2262" s="24" t="s">
        <v>833</v>
      </c>
      <c r="C2262" s="25" t="s">
        <v>834</v>
      </c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229">
        <f t="shared" si="932"/>
        <v>0</v>
      </c>
      <c r="AC2262" s="228">
        <f t="shared" si="935"/>
        <v>0</v>
      </c>
      <c r="AD2262" s="19">
        <v>0</v>
      </c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28"/>
      <c r="BA2262" s="28"/>
      <c r="BB2262" s="28"/>
      <c r="BC2262" s="229">
        <f t="shared" si="933"/>
        <v>0</v>
      </c>
      <c r="BD2262" s="48">
        <f t="shared" si="936"/>
        <v>0</v>
      </c>
      <c r="BE2262" s="19">
        <v>1</v>
      </c>
      <c r="BF2262" s="229">
        <f t="shared" si="934"/>
        <v>0</v>
      </c>
      <c r="BG2262" s="210">
        <f t="shared" si="937"/>
        <v>0</v>
      </c>
      <c r="BH2262" s="210">
        <f t="shared" si="938"/>
        <v>1</v>
      </c>
      <c r="BI2262" s="213">
        <f t="shared" si="928"/>
        <v>0</v>
      </c>
      <c r="BJ2262" s="141"/>
      <c r="BK2262" s="201"/>
      <c r="BL2262" s="4"/>
      <c r="BM2262" s="4"/>
    </row>
    <row r="2263" spans="1:65" s="38" customFormat="1" ht="18" customHeight="1">
      <c r="A2263" s="114">
        <v>96</v>
      </c>
      <c r="B2263" s="24" t="s">
        <v>648</v>
      </c>
      <c r="C2263" s="25" t="s">
        <v>649</v>
      </c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229">
        <f t="shared" si="932"/>
        <v>0</v>
      </c>
      <c r="AC2263" s="228">
        <f t="shared" si="935"/>
        <v>0</v>
      </c>
      <c r="AD2263" s="19">
        <v>0</v>
      </c>
      <c r="AE2263" s="28"/>
      <c r="AF2263" s="28"/>
      <c r="AG2263" s="28"/>
      <c r="AH2263" s="28"/>
      <c r="AI2263" s="28"/>
      <c r="AJ2263" s="28">
        <v>42</v>
      </c>
      <c r="AK2263" s="28"/>
      <c r="AL2263" s="28"/>
      <c r="AM2263" s="28"/>
      <c r="AN2263" s="28"/>
      <c r="AO2263" s="28"/>
      <c r="AP2263" s="28">
        <v>28</v>
      </c>
      <c r="AQ2263" s="28"/>
      <c r="AR2263" s="28"/>
      <c r="AS2263" s="28"/>
      <c r="AT2263" s="28"/>
      <c r="AU2263" s="28"/>
      <c r="AV2263" s="28">
        <v>47</v>
      </c>
      <c r="AW2263" s="28"/>
      <c r="AX2263" s="28"/>
      <c r="AY2263" s="28"/>
      <c r="AZ2263" s="28"/>
      <c r="BA2263" s="28"/>
      <c r="BB2263" s="28">
        <v>26</v>
      </c>
      <c r="BC2263" s="229">
        <f t="shared" si="933"/>
        <v>0</v>
      </c>
      <c r="BD2263" s="48">
        <f t="shared" si="936"/>
        <v>143</v>
      </c>
      <c r="BE2263" s="19">
        <v>269</v>
      </c>
      <c r="BF2263" s="229">
        <f t="shared" si="934"/>
        <v>0</v>
      </c>
      <c r="BG2263" s="210">
        <f t="shared" si="937"/>
        <v>143</v>
      </c>
      <c r="BH2263" s="210">
        <f t="shared" si="938"/>
        <v>269</v>
      </c>
      <c r="BI2263" s="213">
        <f t="shared" si="928"/>
        <v>53.159851301115246</v>
      </c>
      <c r="BJ2263" s="141"/>
      <c r="BK2263" s="201"/>
      <c r="BL2263" s="4"/>
      <c r="BM2263" s="4"/>
    </row>
    <row r="2264" spans="1:65" s="38" customFormat="1" ht="18" customHeight="1">
      <c r="A2264" s="114">
        <v>97</v>
      </c>
      <c r="B2264" s="24" t="s">
        <v>835</v>
      </c>
      <c r="C2264" s="25" t="s">
        <v>1962</v>
      </c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229">
        <f t="shared" si="932"/>
        <v>0</v>
      </c>
      <c r="AC2264" s="228">
        <f t="shared" si="935"/>
        <v>0</v>
      </c>
      <c r="AD2264" s="19">
        <v>0</v>
      </c>
      <c r="AE2264" s="28"/>
      <c r="AF2264" s="28"/>
      <c r="AG2264" s="28"/>
      <c r="AH2264" s="28"/>
      <c r="AI2264" s="28"/>
      <c r="AJ2264" s="28">
        <f>7+26+10+11+18</f>
        <v>72</v>
      </c>
      <c r="AK2264" s="28"/>
      <c r="AL2264" s="28"/>
      <c r="AM2264" s="28"/>
      <c r="AN2264" s="28"/>
      <c r="AO2264" s="28"/>
      <c r="AP2264" s="28">
        <f>23+19</f>
        <v>42</v>
      </c>
      <c r="AQ2264" s="28"/>
      <c r="AR2264" s="28"/>
      <c r="AS2264" s="28"/>
      <c r="AT2264" s="28"/>
      <c r="AU2264" s="28"/>
      <c r="AV2264" s="28">
        <f>6+28</f>
        <v>34</v>
      </c>
      <c r="AW2264" s="28"/>
      <c r="AX2264" s="28"/>
      <c r="AY2264" s="28"/>
      <c r="AZ2264" s="28"/>
      <c r="BA2264" s="28"/>
      <c r="BB2264" s="28">
        <f>15+28</f>
        <v>43</v>
      </c>
      <c r="BC2264" s="229">
        <f t="shared" si="933"/>
        <v>0</v>
      </c>
      <c r="BD2264" s="48">
        <f t="shared" si="936"/>
        <v>191</v>
      </c>
      <c r="BE2264" s="19">
        <v>242</v>
      </c>
      <c r="BF2264" s="229">
        <f t="shared" si="934"/>
        <v>0</v>
      </c>
      <c r="BG2264" s="210">
        <f t="shared" si="937"/>
        <v>191</v>
      </c>
      <c r="BH2264" s="210">
        <f t="shared" si="938"/>
        <v>242</v>
      </c>
      <c r="BI2264" s="213">
        <f t="shared" ref="BI2264:BI2295" si="939">BG2264/BH2264*100</f>
        <v>78.925619834710744</v>
      </c>
      <c r="BJ2264" s="141"/>
      <c r="BK2264" s="201"/>
      <c r="BL2264" s="4"/>
      <c r="BM2264" s="4"/>
    </row>
    <row r="2265" spans="1:65" s="38" customFormat="1" ht="18" customHeight="1">
      <c r="A2265" s="114">
        <v>98</v>
      </c>
      <c r="B2265" s="24" t="s">
        <v>1395</v>
      </c>
      <c r="C2265" s="25" t="s">
        <v>1404</v>
      </c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229">
        <f t="shared" si="932"/>
        <v>0</v>
      </c>
      <c r="AC2265" s="228">
        <f t="shared" si="935"/>
        <v>0</v>
      </c>
      <c r="AD2265" s="19">
        <v>0</v>
      </c>
      <c r="AE2265" s="28"/>
      <c r="AF2265" s="28"/>
      <c r="AG2265" s="28"/>
      <c r="AH2265" s="28"/>
      <c r="AI2265" s="28"/>
      <c r="AJ2265" s="28">
        <f>25+41+60+1+12</f>
        <v>139</v>
      </c>
      <c r="AK2265" s="28"/>
      <c r="AL2265" s="28"/>
      <c r="AM2265" s="28"/>
      <c r="AN2265" s="28"/>
      <c r="AO2265" s="28"/>
      <c r="AP2265" s="28">
        <f>13+17</f>
        <v>30</v>
      </c>
      <c r="AQ2265" s="28"/>
      <c r="AR2265" s="28"/>
      <c r="AS2265" s="28"/>
      <c r="AT2265" s="28"/>
      <c r="AU2265" s="28"/>
      <c r="AV2265" s="28">
        <f>1+7</f>
        <v>8</v>
      </c>
      <c r="AW2265" s="28"/>
      <c r="AX2265" s="28"/>
      <c r="AY2265" s="28"/>
      <c r="AZ2265" s="28"/>
      <c r="BA2265" s="28"/>
      <c r="BB2265" s="28">
        <f>5+17</f>
        <v>22</v>
      </c>
      <c r="BC2265" s="229">
        <f t="shared" si="933"/>
        <v>0</v>
      </c>
      <c r="BD2265" s="48">
        <f t="shared" si="936"/>
        <v>199</v>
      </c>
      <c r="BE2265" s="19">
        <v>386</v>
      </c>
      <c r="BF2265" s="229">
        <f t="shared" si="934"/>
        <v>0</v>
      </c>
      <c r="BG2265" s="210">
        <f t="shared" si="937"/>
        <v>199</v>
      </c>
      <c r="BH2265" s="210">
        <f t="shared" si="938"/>
        <v>386</v>
      </c>
      <c r="BI2265" s="213">
        <f t="shared" si="939"/>
        <v>51.554404145077726</v>
      </c>
      <c r="BJ2265" s="141"/>
      <c r="BK2265" s="201"/>
      <c r="BL2265" s="4"/>
      <c r="BM2265" s="4"/>
    </row>
    <row r="2266" spans="1:65" s="38" customFormat="1" ht="18" customHeight="1">
      <c r="A2266" s="114">
        <v>99</v>
      </c>
      <c r="B2266" s="24" t="s">
        <v>1048</v>
      </c>
      <c r="C2266" s="25" t="s">
        <v>1512</v>
      </c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229">
        <f t="shared" si="932"/>
        <v>0</v>
      </c>
      <c r="AC2266" s="228">
        <f t="shared" si="935"/>
        <v>0</v>
      </c>
      <c r="AD2266" s="19">
        <v>0</v>
      </c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  <c r="AZ2266" s="28"/>
      <c r="BA2266" s="28"/>
      <c r="BB2266" s="28"/>
      <c r="BC2266" s="229">
        <f t="shared" si="933"/>
        <v>0</v>
      </c>
      <c r="BD2266" s="48">
        <f t="shared" si="936"/>
        <v>0</v>
      </c>
      <c r="BE2266" s="19">
        <v>12</v>
      </c>
      <c r="BF2266" s="229">
        <f t="shared" si="934"/>
        <v>0</v>
      </c>
      <c r="BG2266" s="210">
        <f t="shared" si="937"/>
        <v>0</v>
      </c>
      <c r="BH2266" s="210">
        <f t="shared" si="938"/>
        <v>12</v>
      </c>
      <c r="BI2266" s="213">
        <f t="shared" si="939"/>
        <v>0</v>
      </c>
      <c r="BJ2266" s="141"/>
      <c r="BK2266" s="201"/>
      <c r="BL2266" s="4"/>
      <c r="BM2266" s="4"/>
    </row>
    <row r="2267" spans="1:65" s="38" customFormat="1" ht="18" customHeight="1">
      <c r="A2267" s="114">
        <v>100</v>
      </c>
      <c r="B2267" s="24" t="s">
        <v>892</v>
      </c>
      <c r="C2267" s="25" t="s">
        <v>893</v>
      </c>
      <c r="D2267" s="121"/>
      <c r="E2267" s="121"/>
      <c r="F2267" s="121"/>
      <c r="G2267" s="121"/>
      <c r="H2267" s="121"/>
      <c r="I2267" s="121">
        <v>123</v>
      </c>
      <c r="J2267" s="121"/>
      <c r="K2267" s="121"/>
      <c r="L2267" s="121"/>
      <c r="M2267" s="121"/>
      <c r="N2267" s="121"/>
      <c r="O2267" s="121">
        <v>144</v>
      </c>
      <c r="P2267" s="121"/>
      <c r="Q2267" s="121"/>
      <c r="R2267" s="121"/>
      <c r="S2267" s="121"/>
      <c r="T2267" s="121"/>
      <c r="U2267" s="121">
        <v>111</v>
      </c>
      <c r="V2267" s="121"/>
      <c r="W2267" s="121"/>
      <c r="X2267" s="121"/>
      <c r="Y2267" s="121"/>
      <c r="Z2267" s="121"/>
      <c r="AA2267" s="121">
        <v>88</v>
      </c>
      <c r="AB2267" s="229">
        <f t="shared" si="932"/>
        <v>0</v>
      </c>
      <c r="AC2267" s="228">
        <f t="shared" si="935"/>
        <v>466</v>
      </c>
      <c r="AD2267" s="19">
        <v>468</v>
      </c>
      <c r="AE2267" s="28"/>
      <c r="AF2267" s="28"/>
      <c r="AG2267" s="28"/>
      <c r="AH2267" s="28"/>
      <c r="AI2267" s="28"/>
      <c r="AJ2267" s="28">
        <f>1+1</f>
        <v>2</v>
      </c>
      <c r="AK2267" s="28"/>
      <c r="AL2267" s="28"/>
      <c r="AM2267" s="28"/>
      <c r="AN2267" s="28"/>
      <c r="AO2267" s="28"/>
      <c r="AP2267" s="28">
        <f>4+1</f>
        <v>5</v>
      </c>
      <c r="AQ2267" s="28"/>
      <c r="AR2267" s="28"/>
      <c r="AS2267" s="28"/>
      <c r="AT2267" s="28"/>
      <c r="AU2267" s="28"/>
      <c r="AV2267" s="28">
        <v>1</v>
      </c>
      <c r="AW2267" s="28"/>
      <c r="AX2267" s="28"/>
      <c r="AY2267" s="28"/>
      <c r="AZ2267" s="28"/>
      <c r="BA2267" s="28"/>
      <c r="BB2267" s="28">
        <v>1</v>
      </c>
      <c r="BC2267" s="229">
        <f t="shared" si="933"/>
        <v>0</v>
      </c>
      <c r="BD2267" s="48">
        <f t="shared" si="936"/>
        <v>9</v>
      </c>
      <c r="BE2267" s="19">
        <v>17</v>
      </c>
      <c r="BF2267" s="229">
        <f t="shared" si="934"/>
        <v>0</v>
      </c>
      <c r="BG2267" s="210">
        <f t="shared" si="937"/>
        <v>475</v>
      </c>
      <c r="BH2267" s="210">
        <f t="shared" si="938"/>
        <v>485</v>
      </c>
      <c r="BI2267" s="213">
        <f t="shared" si="939"/>
        <v>97.9381443298969</v>
      </c>
      <c r="BJ2267" s="141"/>
      <c r="BK2267" s="201"/>
      <c r="BL2267" s="4"/>
      <c r="BM2267" s="4"/>
    </row>
    <row r="2268" spans="1:65" s="38" customFormat="1" ht="18" customHeight="1">
      <c r="A2268" s="114">
        <v>101</v>
      </c>
      <c r="B2268" s="24" t="s">
        <v>651</v>
      </c>
      <c r="C2268" s="25" t="s">
        <v>1453</v>
      </c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>
        <v>5</v>
      </c>
      <c r="V2268" s="121"/>
      <c r="W2268" s="121"/>
      <c r="X2268" s="121"/>
      <c r="Y2268" s="121"/>
      <c r="Z2268" s="121"/>
      <c r="AA2268" s="121">
        <f>5+79</f>
        <v>84</v>
      </c>
      <c r="AB2268" s="229">
        <f t="shared" si="932"/>
        <v>0</v>
      </c>
      <c r="AC2268" s="228">
        <f t="shared" si="935"/>
        <v>89</v>
      </c>
      <c r="AD2268" s="19">
        <v>14</v>
      </c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>
        <v>925</v>
      </c>
      <c r="AQ2268" s="28"/>
      <c r="AR2268" s="28"/>
      <c r="AS2268" s="28"/>
      <c r="AT2268" s="28"/>
      <c r="AU2268" s="28"/>
      <c r="AV2268" s="28">
        <f>775+256</f>
        <v>1031</v>
      </c>
      <c r="AW2268" s="28"/>
      <c r="AX2268" s="28"/>
      <c r="AY2268" s="28"/>
      <c r="AZ2268" s="28"/>
      <c r="BA2268" s="28"/>
      <c r="BB2268" s="28">
        <v>945</v>
      </c>
      <c r="BC2268" s="229">
        <f t="shared" si="933"/>
        <v>0</v>
      </c>
      <c r="BD2268" s="48">
        <f t="shared" si="936"/>
        <v>2901</v>
      </c>
      <c r="BE2268" s="19">
        <v>3997</v>
      </c>
      <c r="BF2268" s="229">
        <f t="shared" si="934"/>
        <v>0</v>
      </c>
      <c r="BG2268" s="210">
        <f t="shared" si="937"/>
        <v>2990</v>
      </c>
      <c r="BH2268" s="210">
        <f t="shared" si="938"/>
        <v>4011</v>
      </c>
      <c r="BI2268" s="213">
        <f t="shared" si="939"/>
        <v>74.545001246571928</v>
      </c>
      <c r="BJ2268" s="141"/>
      <c r="BK2268" s="201"/>
      <c r="BL2268" s="4"/>
      <c r="BM2268" s="4"/>
    </row>
    <row r="2269" spans="1:65" s="38" customFormat="1" ht="18" customHeight="1">
      <c r="A2269" s="114">
        <v>102</v>
      </c>
      <c r="B2269" s="24" t="s">
        <v>814</v>
      </c>
      <c r="C2269" s="25" t="s">
        <v>815</v>
      </c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>
        <v>7</v>
      </c>
      <c r="V2269" s="121"/>
      <c r="W2269" s="121"/>
      <c r="X2269" s="121"/>
      <c r="Y2269" s="121"/>
      <c r="Z2269" s="121"/>
      <c r="AA2269" s="121">
        <f>5+36</f>
        <v>41</v>
      </c>
      <c r="AB2269" s="229">
        <f t="shared" si="932"/>
        <v>0</v>
      </c>
      <c r="AC2269" s="228">
        <f t="shared" si="935"/>
        <v>48</v>
      </c>
      <c r="AD2269" s="19">
        <v>14</v>
      </c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>
        <v>275</v>
      </c>
      <c r="AQ2269" s="28"/>
      <c r="AR2269" s="28"/>
      <c r="AS2269" s="28"/>
      <c r="AT2269" s="28"/>
      <c r="AU2269" s="28"/>
      <c r="AV2269" s="28">
        <f>241+151</f>
        <v>392</v>
      </c>
      <c r="AW2269" s="28"/>
      <c r="AX2269" s="28"/>
      <c r="AY2269" s="28"/>
      <c r="AZ2269" s="28"/>
      <c r="BA2269" s="28"/>
      <c r="BB2269" s="28">
        <v>281</v>
      </c>
      <c r="BC2269" s="229">
        <f t="shared" si="933"/>
        <v>0</v>
      </c>
      <c r="BD2269" s="48">
        <f t="shared" si="936"/>
        <v>948</v>
      </c>
      <c r="BE2269" s="19">
        <v>1395</v>
      </c>
      <c r="BF2269" s="229">
        <f t="shared" si="934"/>
        <v>0</v>
      </c>
      <c r="BG2269" s="210">
        <f t="shared" si="937"/>
        <v>996</v>
      </c>
      <c r="BH2269" s="210">
        <f t="shared" si="938"/>
        <v>1409</v>
      </c>
      <c r="BI2269" s="213">
        <f t="shared" si="939"/>
        <v>70.688431511710434</v>
      </c>
      <c r="BJ2269" s="141"/>
      <c r="BK2269" s="201"/>
      <c r="BL2269" s="4"/>
      <c r="BM2269" s="4"/>
    </row>
    <row r="2270" spans="1:65" s="38" customFormat="1" ht="18" customHeight="1">
      <c r="A2270" s="114">
        <v>103</v>
      </c>
      <c r="B2270" s="24" t="s">
        <v>925</v>
      </c>
      <c r="C2270" s="25" t="s">
        <v>1875</v>
      </c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229">
        <f t="shared" si="932"/>
        <v>0</v>
      </c>
      <c r="AC2270" s="228">
        <f t="shared" si="935"/>
        <v>0</v>
      </c>
      <c r="AD2270" s="19">
        <v>0</v>
      </c>
      <c r="AE2270" s="28"/>
      <c r="AF2270" s="28"/>
      <c r="AG2270" s="28"/>
      <c r="AH2270" s="28"/>
      <c r="AI2270" s="28"/>
      <c r="AJ2270" s="28">
        <v>1</v>
      </c>
      <c r="AK2270" s="28"/>
      <c r="AL2270" s="28"/>
      <c r="AM2270" s="28"/>
      <c r="AN2270" s="28"/>
      <c r="AO2270" s="28"/>
      <c r="AP2270" s="28">
        <v>3</v>
      </c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29">
        <f t="shared" si="933"/>
        <v>0</v>
      </c>
      <c r="BD2270" s="48">
        <f t="shared" si="936"/>
        <v>4</v>
      </c>
      <c r="BE2270" s="19">
        <v>6</v>
      </c>
      <c r="BF2270" s="229">
        <f t="shared" si="934"/>
        <v>0</v>
      </c>
      <c r="BG2270" s="210">
        <f t="shared" si="937"/>
        <v>4</v>
      </c>
      <c r="BH2270" s="210">
        <f t="shared" si="938"/>
        <v>6</v>
      </c>
      <c r="BI2270" s="213">
        <f t="shared" si="939"/>
        <v>66.666666666666657</v>
      </c>
      <c r="BJ2270" s="141"/>
      <c r="BK2270" s="201"/>
      <c r="BL2270" s="4"/>
      <c r="BM2270" s="4"/>
    </row>
    <row r="2271" spans="1:65" s="38" customFormat="1" ht="18" customHeight="1">
      <c r="A2271" s="114">
        <v>104</v>
      </c>
      <c r="B2271" s="24" t="s">
        <v>1014</v>
      </c>
      <c r="C2271" s="25" t="s">
        <v>1376</v>
      </c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229">
        <f t="shared" si="932"/>
        <v>0</v>
      </c>
      <c r="AC2271" s="228">
        <f t="shared" si="935"/>
        <v>0</v>
      </c>
      <c r="AD2271" s="19">
        <v>0</v>
      </c>
      <c r="AE2271" s="28"/>
      <c r="AF2271" s="28"/>
      <c r="AG2271" s="28"/>
      <c r="AH2271" s="28"/>
      <c r="AI2271" s="28"/>
      <c r="AJ2271" s="28">
        <v>12</v>
      </c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>
        <v>12</v>
      </c>
      <c r="BC2271" s="229">
        <f t="shared" si="933"/>
        <v>0</v>
      </c>
      <c r="BD2271" s="48">
        <f t="shared" si="936"/>
        <v>24</v>
      </c>
      <c r="BE2271" s="19">
        <v>32</v>
      </c>
      <c r="BF2271" s="229">
        <f t="shared" si="934"/>
        <v>0</v>
      </c>
      <c r="BG2271" s="210">
        <f t="shared" si="937"/>
        <v>24</v>
      </c>
      <c r="BH2271" s="210">
        <f t="shared" si="938"/>
        <v>32</v>
      </c>
      <c r="BI2271" s="213">
        <f t="shared" si="939"/>
        <v>75</v>
      </c>
      <c r="BJ2271" s="141"/>
      <c r="BK2271" s="201"/>
      <c r="BL2271" s="4"/>
      <c r="BM2271" s="4"/>
    </row>
    <row r="2272" spans="1:65" s="38" customFormat="1" ht="18" customHeight="1">
      <c r="A2272" s="114">
        <v>105</v>
      </c>
      <c r="B2272" s="24" t="s">
        <v>926</v>
      </c>
      <c r="C2272" s="25" t="s">
        <v>1749</v>
      </c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229">
        <f t="shared" si="932"/>
        <v>0</v>
      </c>
      <c r="AC2272" s="228">
        <f t="shared" si="935"/>
        <v>0</v>
      </c>
      <c r="AD2272" s="19">
        <v>0</v>
      </c>
      <c r="AE2272" s="28"/>
      <c r="AF2272" s="28"/>
      <c r="AG2272" s="28"/>
      <c r="AH2272" s="28"/>
      <c r="AI2272" s="28"/>
      <c r="AJ2272" s="28">
        <v>7</v>
      </c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>
        <v>11</v>
      </c>
      <c r="BC2272" s="229">
        <f t="shared" si="933"/>
        <v>0</v>
      </c>
      <c r="BD2272" s="48">
        <f t="shared" si="936"/>
        <v>18</v>
      </c>
      <c r="BE2272" s="19">
        <v>28</v>
      </c>
      <c r="BF2272" s="229">
        <f t="shared" si="934"/>
        <v>0</v>
      </c>
      <c r="BG2272" s="210">
        <f t="shared" si="937"/>
        <v>18</v>
      </c>
      <c r="BH2272" s="210">
        <f t="shared" si="938"/>
        <v>28</v>
      </c>
      <c r="BI2272" s="213">
        <f t="shared" si="939"/>
        <v>64.285714285714292</v>
      </c>
      <c r="BJ2272" s="141"/>
      <c r="BK2272" s="201"/>
      <c r="BL2272" s="4"/>
      <c r="BM2272" s="4"/>
    </row>
    <row r="2273" spans="1:65" s="38" customFormat="1" ht="18" customHeight="1">
      <c r="A2273" s="114">
        <v>106</v>
      </c>
      <c r="B2273" s="24" t="s">
        <v>927</v>
      </c>
      <c r="C2273" s="25" t="s">
        <v>1392</v>
      </c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>
        <v>1</v>
      </c>
      <c r="V2273" s="121"/>
      <c r="W2273" s="121"/>
      <c r="X2273" s="121"/>
      <c r="Y2273" s="121"/>
      <c r="Z2273" s="121"/>
      <c r="AA2273" s="121"/>
      <c r="AB2273" s="229">
        <f t="shared" si="932"/>
        <v>0</v>
      </c>
      <c r="AC2273" s="228">
        <f t="shared" si="935"/>
        <v>1</v>
      </c>
      <c r="AD2273" s="19">
        <v>0</v>
      </c>
      <c r="AE2273" s="28"/>
      <c r="AF2273" s="28"/>
      <c r="AG2273" s="28"/>
      <c r="AH2273" s="28"/>
      <c r="AI2273" s="28"/>
      <c r="AJ2273" s="28">
        <v>41</v>
      </c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>
        <v>16</v>
      </c>
      <c r="BC2273" s="229">
        <f t="shared" si="933"/>
        <v>0</v>
      </c>
      <c r="BD2273" s="48">
        <f t="shared" si="936"/>
        <v>57</v>
      </c>
      <c r="BE2273" s="19">
        <v>62</v>
      </c>
      <c r="BF2273" s="229">
        <f t="shared" si="934"/>
        <v>0</v>
      </c>
      <c r="BG2273" s="210">
        <f t="shared" si="937"/>
        <v>58</v>
      </c>
      <c r="BH2273" s="210">
        <f t="shared" si="938"/>
        <v>62</v>
      </c>
      <c r="BI2273" s="213">
        <f t="shared" si="939"/>
        <v>93.548387096774192</v>
      </c>
      <c r="BJ2273" s="141"/>
      <c r="BK2273" s="201"/>
      <c r="BL2273" s="4"/>
      <c r="BM2273" s="4"/>
    </row>
    <row r="2274" spans="1:65" s="38" customFormat="1" ht="18" customHeight="1">
      <c r="A2274" s="114">
        <v>107</v>
      </c>
      <c r="B2274" s="24" t="s">
        <v>1015</v>
      </c>
      <c r="C2274" s="25" t="s">
        <v>1467</v>
      </c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229">
        <f t="shared" si="932"/>
        <v>0</v>
      </c>
      <c r="AC2274" s="228">
        <f t="shared" si="935"/>
        <v>0</v>
      </c>
      <c r="AD2274" s="19">
        <v>0</v>
      </c>
      <c r="AE2274" s="28"/>
      <c r="AF2274" s="28"/>
      <c r="AG2274" s="28"/>
      <c r="AH2274" s="28"/>
      <c r="AI2274" s="28"/>
      <c r="AJ2274" s="28">
        <v>3</v>
      </c>
      <c r="AK2274" s="28"/>
      <c r="AL2274" s="28"/>
      <c r="AM2274" s="28"/>
      <c r="AN2274" s="28"/>
      <c r="AO2274" s="28"/>
      <c r="AP2274" s="28">
        <v>1</v>
      </c>
      <c r="AQ2274" s="28"/>
      <c r="AR2274" s="28"/>
      <c r="AS2274" s="28"/>
      <c r="AT2274" s="28"/>
      <c r="AU2274" s="28"/>
      <c r="AV2274" s="28">
        <v>1</v>
      </c>
      <c r="AW2274" s="28"/>
      <c r="AX2274" s="28"/>
      <c r="AY2274" s="28"/>
      <c r="AZ2274" s="28"/>
      <c r="BA2274" s="28"/>
      <c r="BB2274" s="28">
        <v>2</v>
      </c>
      <c r="BC2274" s="229">
        <f t="shared" si="933"/>
        <v>0</v>
      </c>
      <c r="BD2274" s="48">
        <f t="shared" si="936"/>
        <v>7</v>
      </c>
      <c r="BE2274" s="19">
        <v>4</v>
      </c>
      <c r="BF2274" s="229">
        <f t="shared" si="934"/>
        <v>0</v>
      </c>
      <c r="BG2274" s="210">
        <f t="shared" si="937"/>
        <v>7</v>
      </c>
      <c r="BH2274" s="210">
        <f t="shared" si="938"/>
        <v>4</v>
      </c>
      <c r="BI2274" s="213">
        <f t="shared" si="939"/>
        <v>175</v>
      </c>
      <c r="BJ2274" s="141"/>
      <c r="BK2274" s="201"/>
      <c r="BL2274" s="4"/>
      <c r="BM2274" s="4"/>
    </row>
    <row r="2275" spans="1:65" s="38" customFormat="1" ht="18" customHeight="1">
      <c r="A2275" s="114">
        <v>108</v>
      </c>
      <c r="B2275" s="24" t="s">
        <v>987</v>
      </c>
      <c r="C2275" s="25" t="s">
        <v>1394</v>
      </c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>
        <v>1</v>
      </c>
      <c r="V2275" s="121"/>
      <c r="W2275" s="121"/>
      <c r="X2275" s="121"/>
      <c r="Y2275" s="121"/>
      <c r="Z2275" s="121"/>
      <c r="AA2275" s="121"/>
      <c r="AB2275" s="229">
        <f t="shared" si="932"/>
        <v>0</v>
      </c>
      <c r="AC2275" s="228">
        <f t="shared" si="935"/>
        <v>1</v>
      </c>
      <c r="AD2275" s="19">
        <v>0</v>
      </c>
      <c r="AE2275" s="28"/>
      <c r="AF2275" s="28"/>
      <c r="AG2275" s="28"/>
      <c r="AH2275" s="28"/>
      <c r="AI2275" s="28"/>
      <c r="AJ2275" s="28">
        <v>40</v>
      </c>
      <c r="AK2275" s="28"/>
      <c r="AL2275" s="28"/>
      <c r="AM2275" s="28"/>
      <c r="AN2275" s="28"/>
      <c r="AO2275" s="28"/>
      <c r="AP2275" s="28">
        <v>35</v>
      </c>
      <c r="AQ2275" s="28"/>
      <c r="AR2275" s="28"/>
      <c r="AS2275" s="28"/>
      <c r="AT2275" s="28"/>
      <c r="AU2275" s="28"/>
      <c r="AV2275" s="28">
        <v>22</v>
      </c>
      <c r="AW2275" s="28"/>
      <c r="AX2275" s="28"/>
      <c r="AY2275" s="28"/>
      <c r="AZ2275" s="28"/>
      <c r="BA2275" s="28"/>
      <c r="BB2275" s="28">
        <v>33</v>
      </c>
      <c r="BC2275" s="229">
        <f t="shared" si="933"/>
        <v>0</v>
      </c>
      <c r="BD2275" s="48">
        <f t="shared" si="936"/>
        <v>130</v>
      </c>
      <c r="BE2275" s="19">
        <v>58</v>
      </c>
      <c r="BF2275" s="229">
        <f t="shared" si="934"/>
        <v>0</v>
      </c>
      <c r="BG2275" s="210">
        <f t="shared" si="937"/>
        <v>131</v>
      </c>
      <c r="BH2275" s="210">
        <f t="shared" si="938"/>
        <v>58</v>
      </c>
      <c r="BI2275" s="213">
        <f t="shared" si="939"/>
        <v>225.86206896551727</v>
      </c>
      <c r="BJ2275" s="141"/>
      <c r="BK2275" s="201"/>
      <c r="BL2275" s="4"/>
      <c r="BM2275" s="4"/>
    </row>
    <row r="2276" spans="1:65" s="38" customFormat="1" ht="18" customHeight="1">
      <c r="A2276" s="114">
        <v>109</v>
      </c>
      <c r="B2276" s="24" t="s">
        <v>1016</v>
      </c>
      <c r="C2276" s="25" t="s">
        <v>1377</v>
      </c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229">
        <f t="shared" si="932"/>
        <v>0</v>
      </c>
      <c r="AC2276" s="228">
        <f t="shared" si="935"/>
        <v>0</v>
      </c>
      <c r="AD2276" s="19">
        <v>0</v>
      </c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>
        <v>1</v>
      </c>
      <c r="BC2276" s="229">
        <f t="shared" si="933"/>
        <v>0</v>
      </c>
      <c r="BD2276" s="48">
        <f t="shared" si="936"/>
        <v>1</v>
      </c>
      <c r="BE2276" s="19">
        <v>5</v>
      </c>
      <c r="BF2276" s="229">
        <f t="shared" si="934"/>
        <v>0</v>
      </c>
      <c r="BG2276" s="210">
        <f t="shared" si="937"/>
        <v>1</v>
      </c>
      <c r="BH2276" s="210">
        <f t="shared" si="938"/>
        <v>5</v>
      </c>
      <c r="BI2276" s="213">
        <f t="shared" si="939"/>
        <v>20</v>
      </c>
      <c r="BJ2276" s="141"/>
      <c r="BK2276" s="201"/>
      <c r="BL2276" s="4"/>
      <c r="BM2276" s="4"/>
    </row>
    <row r="2277" spans="1:65" s="38" customFormat="1" ht="18" customHeight="1">
      <c r="A2277" s="114">
        <v>110</v>
      </c>
      <c r="B2277" s="24" t="s">
        <v>1017</v>
      </c>
      <c r="C2277" s="25" t="s">
        <v>1451</v>
      </c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229">
        <f t="shared" si="932"/>
        <v>0</v>
      </c>
      <c r="AC2277" s="228">
        <f t="shared" si="935"/>
        <v>0</v>
      </c>
      <c r="AD2277" s="19">
        <v>0</v>
      </c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>
        <v>1</v>
      </c>
      <c r="AW2277" s="28"/>
      <c r="AX2277" s="28"/>
      <c r="AY2277" s="28"/>
      <c r="AZ2277" s="28"/>
      <c r="BA2277" s="28"/>
      <c r="BB2277" s="28"/>
      <c r="BC2277" s="229">
        <f t="shared" si="933"/>
        <v>0</v>
      </c>
      <c r="BD2277" s="48">
        <f t="shared" si="936"/>
        <v>1</v>
      </c>
      <c r="BE2277" s="19">
        <v>1</v>
      </c>
      <c r="BF2277" s="229">
        <f t="shared" si="934"/>
        <v>0</v>
      </c>
      <c r="BG2277" s="210">
        <f t="shared" si="937"/>
        <v>1</v>
      </c>
      <c r="BH2277" s="210">
        <f t="shared" si="938"/>
        <v>1</v>
      </c>
      <c r="BI2277" s="213">
        <f t="shared" si="939"/>
        <v>100</v>
      </c>
      <c r="BJ2277" s="141"/>
      <c r="BK2277" s="201"/>
      <c r="BL2277" s="4"/>
      <c r="BM2277" s="4"/>
    </row>
    <row r="2278" spans="1:65" s="38" customFormat="1" ht="18" customHeight="1">
      <c r="A2278" s="114">
        <v>111</v>
      </c>
      <c r="B2278" s="24" t="s">
        <v>2631</v>
      </c>
      <c r="C2278" s="25" t="s">
        <v>2632</v>
      </c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229">
        <f t="shared" ref="AB2278:AB2309" si="940">D2278+F2278+H2278+J2278+L2278+N2278+P2278+R2278+T2278+V2278+X2278+Z2278</f>
        <v>0</v>
      </c>
      <c r="AC2278" s="228">
        <f t="shared" si="935"/>
        <v>0</v>
      </c>
      <c r="AD2278" s="19">
        <v>0</v>
      </c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229">
        <f t="shared" ref="BC2278:BC2309" si="941">AE2278+AG2278+AI2278+AK2278+AM2278+AO2278+AQ2278+AS2278+AU2278+AW2278+AY2278+BA2278</f>
        <v>0</v>
      </c>
      <c r="BD2278" s="48">
        <f t="shared" si="936"/>
        <v>0</v>
      </c>
      <c r="BE2278" s="19">
        <v>4</v>
      </c>
      <c r="BF2278" s="229">
        <f t="shared" ref="BF2278:BF2309" si="942">AB2278+BC2278</f>
        <v>0</v>
      </c>
      <c r="BG2278" s="210">
        <f t="shared" si="937"/>
        <v>0</v>
      </c>
      <c r="BH2278" s="210">
        <f t="shared" si="938"/>
        <v>4</v>
      </c>
      <c r="BI2278" s="213">
        <f t="shared" si="939"/>
        <v>0</v>
      </c>
      <c r="BJ2278" s="141"/>
      <c r="BK2278" s="201"/>
      <c r="BL2278" s="4"/>
      <c r="BM2278" s="4"/>
    </row>
    <row r="2279" spans="1:65" s="38" customFormat="1" ht="18" customHeight="1">
      <c r="A2279" s="114">
        <v>112</v>
      </c>
      <c r="B2279" s="24" t="s">
        <v>1706</v>
      </c>
      <c r="C2279" s="25" t="s">
        <v>2440</v>
      </c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229">
        <f t="shared" si="940"/>
        <v>0</v>
      </c>
      <c r="AC2279" s="228">
        <f t="shared" ref="AC2279:AC2310" si="943">E2279+G2279+I2279+K2279+M2279+O2279+Q2279+S2279+U2279+W2279+Y2279+AA2279</f>
        <v>0</v>
      </c>
      <c r="AD2279" s="19">
        <v>0</v>
      </c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  <c r="AZ2279" s="28"/>
      <c r="BA2279" s="28"/>
      <c r="BB2279" s="28"/>
      <c r="BC2279" s="229">
        <f t="shared" si="941"/>
        <v>0</v>
      </c>
      <c r="BD2279" s="48">
        <f t="shared" ref="BD2279:BD2310" si="944">AF2279+AH2279+AJ2279+AL2279+AN2279+AP2279+AR2279+AT2279+AV2279+AX2279+AZ2279+BB2279</f>
        <v>0</v>
      </c>
      <c r="BE2279" s="19">
        <v>1</v>
      </c>
      <c r="BF2279" s="229">
        <f t="shared" si="942"/>
        <v>0</v>
      </c>
      <c r="BG2279" s="210">
        <f t="shared" ref="BG2279:BG2310" si="945">AC2279+BD2279</f>
        <v>0</v>
      </c>
      <c r="BH2279" s="210">
        <f t="shared" ref="BH2279:BH2310" si="946">AD2279+BE2279</f>
        <v>1</v>
      </c>
      <c r="BI2279" s="213">
        <f t="shared" si="939"/>
        <v>0</v>
      </c>
      <c r="BJ2279" s="141"/>
      <c r="BK2279" s="201"/>
      <c r="BL2279" s="4"/>
      <c r="BM2279" s="4"/>
    </row>
    <row r="2280" spans="1:65" s="38" customFormat="1" ht="18" customHeight="1">
      <c r="A2280" s="114">
        <v>113</v>
      </c>
      <c r="B2280" s="24" t="s">
        <v>1136</v>
      </c>
      <c r="C2280" s="25" t="s">
        <v>2169</v>
      </c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229">
        <f t="shared" si="940"/>
        <v>0</v>
      </c>
      <c r="AC2280" s="228">
        <f t="shared" si="943"/>
        <v>0</v>
      </c>
      <c r="AD2280" s="19">
        <v>0</v>
      </c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  <c r="AY2280" s="28"/>
      <c r="AZ2280" s="28"/>
      <c r="BA2280" s="28"/>
      <c r="BB2280" s="28"/>
      <c r="BC2280" s="229">
        <f t="shared" si="941"/>
        <v>0</v>
      </c>
      <c r="BD2280" s="48">
        <f t="shared" si="944"/>
        <v>0</v>
      </c>
      <c r="BE2280" s="19">
        <v>4</v>
      </c>
      <c r="BF2280" s="229">
        <f t="shared" si="942"/>
        <v>0</v>
      </c>
      <c r="BG2280" s="210">
        <f t="shared" si="945"/>
        <v>0</v>
      </c>
      <c r="BH2280" s="210">
        <f t="shared" si="946"/>
        <v>4</v>
      </c>
      <c r="BI2280" s="213">
        <f t="shared" si="939"/>
        <v>0</v>
      </c>
      <c r="BJ2280" s="141"/>
      <c r="BK2280" s="201"/>
      <c r="BL2280" s="4"/>
      <c r="BM2280" s="4"/>
    </row>
    <row r="2281" spans="1:65" s="38" customFormat="1" ht="18" customHeight="1">
      <c r="A2281" s="114">
        <v>114</v>
      </c>
      <c r="B2281" s="24" t="s">
        <v>1018</v>
      </c>
      <c r="C2281" s="25" t="s">
        <v>2439</v>
      </c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229">
        <f t="shared" si="940"/>
        <v>0</v>
      </c>
      <c r="AC2281" s="228">
        <f t="shared" si="943"/>
        <v>0</v>
      </c>
      <c r="AD2281" s="19">
        <v>0</v>
      </c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29">
        <f t="shared" si="941"/>
        <v>0</v>
      </c>
      <c r="BD2281" s="48">
        <f t="shared" si="944"/>
        <v>0</v>
      </c>
      <c r="BE2281" s="19">
        <v>5</v>
      </c>
      <c r="BF2281" s="229">
        <f t="shared" si="942"/>
        <v>0</v>
      </c>
      <c r="BG2281" s="210">
        <f t="shared" si="945"/>
        <v>0</v>
      </c>
      <c r="BH2281" s="210">
        <f t="shared" si="946"/>
        <v>5</v>
      </c>
      <c r="BI2281" s="213">
        <f t="shared" si="939"/>
        <v>0</v>
      </c>
      <c r="BJ2281" s="141"/>
      <c r="BK2281" s="201"/>
      <c r="BL2281" s="4"/>
      <c r="BM2281" s="4"/>
    </row>
    <row r="2282" spans="1:65" s="38" customFormat="1" ht="18" customHeight="1">
      <c r="A2282" s="114">
        <v>115</v>
      </c>
      <c r="B2282" s="24" t="s">
        <v>1019</v>
      </c>
      <c r="C2282" s="25" t="s">
        <v>1411</v>
      </c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229">
        <f t="shared" si="940"/>
        <v>0</v>
      </c>
      <c r="AC2282" s="228">
        <f t="shared" si="943"/>
        <v>0</v>
      </c>
      <c r="AD2282" s="19">
        <v>0</v>
      </c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229">
        <f t="shared" si="941"/>
        <v>0</v>
      </c>
      <c r="BD2282" s="48">
        <f t="shared" si="944"/>
        <v>0</v>
      </c>
      <c r="BE2282" s="19">
        <v>7</v>
      </c>
      <c r="BF2282" s="229">
        <f t="shared" si="942"/>
        <v>0</v>
      </c>
      <c r="BG2282" s="210">
        <f t="shared" si="945"/>
        <v>0</v>
      </c>
      <c r="BH2282" s="210">
        <f t="shared" si="946"/>
        <v>7</v>
      </c>
      <c r="BI2282" s="213">
        <f t="shared" si="939"/>
        <v>0</v>
      </c>
      <c r="BJ2282" s="141"/>
      <c r="BK2282" s="201"/>
      <c r="BL2282" s="4"/>
      <c r="BM2282" s="4"/>
    </row>
    <row r="2283" spans="1:65" s="38" customFormat="1" ht="18" customHeight="1">
      <c r="A2283" s="114">
        <v>116</v>
      </c>
      <c r="B2283" s="24" t="s">
        <v>988</v>
      </c>
      <c r="C2283" s="25" t="s">
        <v>989</v>
      </c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229">
        <f t="shared" si="940"/>
        <v>0</v>
      </c>
      <c r="AC2283" s="228">
        <f t="shared" si="943"/>
        <v>0</v>
      </c>
      <c r="AD2283" s="19">
        <v>0</v>
      </c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29">
        <f t="shared" si="941"/>
        <v>0</v>
      </c>
      <c r="BD2283" s="48">
        <f t="shared" si="944"/>
        <v>0</v>
      </c>
      <c r="BE2283" s="19">
        <v>1</v>
      </c>
      <c r="BF2283" s="229">
        <f t="shared" si="942"/>
        <v>0</v>
      </c>
      <c r="BG2283" s="210">
        <f t="shared" si="945"/>
        <v>0</v>
      </c>
      <c r="BH2283" s="210">
        <f t="shared" si="946"/>
        <v>1</v>
      </c>
      <c r="BI2283" s="213">
        <f t="shared" si="939"/>
        <v>0</v>
      </c>
      <c r="BJ2283" s="141"/>
      <c r="BK2283" s="201"/>
      <c r="BL2283" s="4"/>
      <c r="BM2283" s="4"/>
    </row>
    <row r="2284" spans="1:65" s="38" customFormat="1" ht="18" customHeight="1">
      <c r="A2284" s="114">
        <v>117</v>
      </c>
      <c r="B2284" s="24" t="s">
        <v>1511</v>
      </c>
      <c r="C2284" s="25" t="s">
        <v>2438</v>
      </c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229">
        <f t="shared" si="940"/>
        <v>0</v>
      </c>
      <c r="AC2284" s="228">
        <f t="shared" si="943"/>
        <v>0</v>
      </c>
      <c r="AD2284" s="19">
        <v>0</v>
      </c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  <c r="AY2284" s="28"/>
      <c r="AZ2284" s="28"/>
      <c r="BA2284" s="28"/>
      <c r="BB2284" s="28"/>
      <c r="BC2284" s="229">
        <f t="shared" si="941"/>
        <v>0</v>
      </c>
      <c r="BD2284" s="48">
        <f t="shared" si="944"/>
        <v>0</v>
      </c>
      <c r="BE2284" s="19">
        <v>1</v>
      </c>
      <c r="BF2284" s="229">
        <f t="shared" si="942"/>
        <v>0</v>
      </c>
      <c r="BG2284" s="210">
        <f t="shared" si="945"/>
        <v>0</v>
      </c>
      <c r="BH2284" s="210">
        <f t="shared" si="946"/>
        <v>1</v>
      </c>
      <c r="BI2284" s="213">
        <f t="shared" si="939"/>
        <v>0</v>
      </c>
      <c r="BJ2284" s="141"/>
      <c r="BK2284" s="201"/>
      <c r="BL2284" s="4"/>
      <c r="BM2284" s="4"/>
    </row>
    <row r="2285" spans="1:65" s="38" customFormat="1" ht="18" customHeight="1">
      <c r="A2285" s="114">
        <v>118</v>
      </c>
      <c r="B2285" s="24" t="s">
        <v>2170</v>
      </c>
      <c r="C2285" s="25" t="s">
        <v>2171</v>
      </c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229">
        <f t="shared" si="940"/>
        <v>0</v>
      </c>
      <c r="AC2285" s="228">
        <f t="shared" si="943"/>
        <v>0</v>
      </c>
      <c r="AD2285" s="19">
        <v>0</v>
      </c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29">
        <f t="shared" si="941"/>
        <v>0</v>
      </c>
      <c r="BD2285" s="48">
        <f t="shared" si="944"/>
        <v>0</v>
      </c>
      <c r="BE2285" s="19">
        <v>3</v>
      </c>
      <c r="BF2285" s="229">
        <f t="shared" si="942"/>
        <v>0</v>
      </c>
      <c r="BG2285" s="210">
        <f t="shared" si="945"/>
        <v>0</v>
      </c>
      <c r="BH2285" s="210">
        <f t="shared" si="946"/>
        <v>3</v>
      </c>
      <c r="BI2285" s="213">
        <f t="shared" si="939"/>
        <v>0</v>
      </c>
      <c r="BJ2285" s="141"/>
      <c r="BK2285" s="201"/>
      <c r="BL2285" s="4"/>
      <c r="BM2285" s="4"/>
    </row>
    <row r="2286" spans="1:65" s="38" customFormat="1" ht="18" customHeight="1">
      <c r="A2286" s="114">
        <v>119</v>
      </c>
      <c r="B2286" s="24" t="s">
        <v>1020</v>
      </c>
      <c r="C2286" s="25" t="s">
        <v>1707</v>
      </c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229">
        <f t="shared" si="940"/>
        <v>0</v>
      </c>
      <c r="AC2286" s="228">
        <f t="shared" si="943"/>
        <v>0</v>
      </c>
      <c r="AD2286" s="19">
        <v>0</v>
      </c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29">
        <f t="shared" si="941"/>
        <v>0</v>
      </c>
      <c r="BD2286" s="48">
        <f t="shared" si="944"/>
        <v>0</v>
      </c>
      <c r="BE2286" s="19">
        <v>22</v>
      </c>
      <c r="BF2286" s="229">
        <f t="shared" si="942"/>
        <v>0</v>
      </c>
      <c r="BG2286" s="210">
        <f t="shared" si="945"/>
        <v>0</v>
      </c>
      <c r="BH2286" s="210">
        <f t="shared" si="946"/>
        <v>22</v>
      </c>
      <c r="BI2286" s="213">
        <f t="shared" si="939"/>
        <v>0</v>
      </c>
      <c r="BJ2286" s="141"/>
      <c r="BK2286" s="201"/>
      <c r="BL2286" s="4"/>
      <c r="BM2286" s="4"/>
    </row>
    <row r="2287" spans="1:65" s="38" customFormat="1" ht="18" customHeight="1">
      <c r="A2287" s="114">
        <v>120</v>
      </c>
      <c r="B2287" s="24" t="s">
        <v>816</v>
      </c>
      <c r="C2287" s="25" t="s">
        <v>1633</v>
      </c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229">
        <f t="shared" si="940"/>
        <v>0</v>
      </c>
      <c r="AC2287" s="228">
        <f t="shared" si="943"/>
        <v>0</v>
      </c>
      <c r="AD2287" s="19">
        <v>0</v>
      </c>
      <c r="AE2287" s="28"/>
      <c r="AF2287" s="28"/>
      <c r="AG2287" s="28"/>
      <c r="AH2287" s="28"/>
      <c r="AI2287" s="28"/>
      <c r="AJ2287" s="28">
        <v>4</v>
      </c>
      <c r="AK2287" s="28"/>
      <c r="AL2287" s="28"/>
      <c r="AM2287" s="28"/>
      <c r="AN2287" s="28"/>
      <c r="AO2287" s="28"/>
      <c r="AP2287" s="28">
        <v>7</v>
      </c>
      <c r="AQ2287" s="28"/>
      <c r="AR2287" s="28"/>
      <c r="AS2287" s="28"/>
      <c r="AT2287" s="28"/>
      <c r="AU2287" s="28"/>
      <c r="AV2287" s="28">
        <v>2</v>
      </c>
      <c r="AW2287" s="28"/>
      <c r="AX2287" s="28"/>
      <c r="AY2287" s="28"/>
      <c r="AZ2287" s="28"/>
      <c r="BA2287" s="28"/>
      <c r="BB2287" s="28">
        <v>5</v>
      </c>
      <c r="BC2287" s="229">
        <f t="shared" si="941"/>
        <v>0</v>
      </c>
      <c r="BD2287" s="48">
        <f t="shared" si="944"/>
        <v>18</v>
      </c>
      <c r="BE2287" s="19">
        <v>14</v>
      </c>
      <c r="BF2287" s="229">
        <f t="shared" si="942"/>
        <v>0</v>
      </c>
      <c r="BG2287" s="210">
        <f t="shared" si="945"/>
        <v>18</v>
      </c>
      <c r="BH2287" s="210">
        <f t="shared" si="946"/>
        <v>14</v>
      </c>
      <c r="BI2287" s="213">
        <f t="shared" si="939"/>
        <v>128.57142857142858</v>
      </c>
      <c r="BJ2287" s="141"/>
      <c r="BK2287" s="201"/>
      <c r="BL2287" s="4"/>
      <c r="BM2287" s="4"/>
    </row>
    <row r="2288" spans="1:65" s="38" customFormat="1" ht="18" customHeight="1">
      <c r="A2288" s="114">
        <v>121</v>
      </c>
      <c r="B2288" s="24" t="s">
        <v>990</v>
      </c>
      <c r="C2288" s="25" t="s">
        <v>2358</v>
      </c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229">
        <f t="shared" si="940"/>
        <v>0</v>
      </c>
      <c r="AC2288" s="228">
        <f t="shared" si="943"/>
        <v>0</v>
      </c>
      <c r="AD2288" s="19">
        <v>0</v>
      </c>
      <c r="AE2288" s="28"/>
      <c r="AF2288" s="28"/>
      <c r="AG2288" s="28"/>
      <c r="AH2288" s="28"/>
      <c r="AI2288" s="28"/>
      <c r="AJ2288" s="28">
        <v>1</v>
      </c>
      <c r="AK2288" s="28"/>
      <c r="AL2288" s="28"/>
      <c r="AM2288" s="28"/>
      <c r="AN2288" s="28"/>
      <c r="AO2288" s="28"/>
      <c r="AP2288" s="28">
        <v>5</v>
      </c>
      <c r="AQ2288" s="28"/>
      <c r="AR2288" s="28"/>
      <c r="AS2288" s="28"/>
      <c r="AT2288" s="28"/>
      <c r="AU2288" s="28"/>
      <c r="AV2288" s="28">
        <v>3</v>
      </c>
      <c r="AW2288" s="28"/>
      <c r="AX2288" s="28"/>
      <c r="AY2288" s="28"/>
      <c r="AZ2288" s="28"/>
      <c r="BA2288" s="28"/>
      <c r="BB2288" s="28">
        <v>2</v>
      </c>
      <c r="BC2288" s="229">
        <f t="shared" si="941"/>
        <v>0</v>
      </c>
      <c r="BD2288" s="48">
        <f t="shared" si="944"/>
        <v>11</v>
      </c>
      <c r="BE2288" s="19">
        <v>8</v>
      </c>
      <c r="BF2288" s="229">
        <f t="shared" si="942"/>
        <v>0</v>
      </c>
      <c r="BG2288" s="210">
        <f t="shared" si="945"/>
        <v>11</v>
      </c>
      <c r="BH2288" s="210">
        <f t="shared" si="946"/>
        <v>8</v>
      </c>
      <c r="BI2288" s="213">
        <f t="shared" si="939"/>
        <v>137.5</v>
      </c>
      <c r="BJ2288" s="141"/>
      <c r="BK2288" s="201"/>
      <c r="BL2288" s="4"/>
      <c r="BM2288" s="4"/>
    </row>
    <row r="2289" spans="1:65" s="38" customFormat="1" ht="18" customHeight="1">
      <c r="A2289" s="114">
        <v>122</v>
      </c>
      <c r="B2289" s="24" t="s">
        <v>2357</v>
      </c>
      <c r="C2289" s="25" t="s">
        <v>2359</v>
      </c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229">
        <f t="shared" si="940"/>
        <v>0</v>
      </c>
      <c r="AC2289" s="228">
        <f t="shared" si="943"/>
        <v>0</v>
      </c>
      <c r="AD2289" s="19">
        <v>0</v>
      </c>
      <c r="AE2289" s="28"/>
      <c r="AF2289" s="28"/>
      <c r="AG2289" s="28"/>
      <c r="AH2289" s="28"/>
      <c r="AI2289" s="28"/>
      <c r="AJ2289" s="28">
        <v>1</v>
      </c>
      <c r="AK2289" s="28"/>
      <c r="AL2289" s="28"/>
      <c r="AM2289" s="28"/>
      <c r="AN2289" s="28"/>
      <c r="AO2289" s="28"/>
      <c r="AP2289" s="28">
        <v>2</v>
      </c>
      <c r="AQ2289" s="28"/>
      <c r="AR2289" s="28"/>
      <c r="AS2289" s="28"/>
      <c r="AT2289" s="28"/>
      <c r="AU2289" s="28"/>
      <c r="AV2289" s="28">
        <v>1</v>
      </c>
      <c r="AW2289" s="28"/>
      <c r="AX2289" s="28"/>
      <c r="AY2289" s="28"/>
      <c r="AZ2289" s="28"/>
      <c r="BA2289" s="28"/>
      <c r="BB2289" s="28"/>
      <c r="BC2289" s="229">
        <f t="shared" si="941"/>
        <v>0</v>
      </c>
      <c r="BD2289" s="48">
        <f t="shared" si="944"/>
        <v>4</v>
      </c>
      <c r="BE2289" s="19">
        <v>2</v>
      </c>
      <c r="BF2289" s="229">
        <f t="shared" si="942"/>
        <v>0</v>
      </c>
      <c r="BG2289" s="210">
        <f t="shared" si="945"/>
        <v>4</v>
      </c>
      <c r="BH2289" s="210">
        <f t="shared" si="946"/>
        <v>2</v>
      </c>
      <c r="BI2289" s="213">
        <f t="shared" si="939"/>
        <v>200</v>
      </c>
      <c r="BJ2289" s="141"/>
      <c r="BK2289" s="201"/>
      <c r="BL2289" s="4"/>
      <c r="BM2289" s="4"/>
    </row>
    <row r="2290" spans="1:65" s="38" customFormat="1" ht="18" customHeight="1">
      <c r="A2290" s="114">
        <v>123</v>
      </c>
      <c r="B2290" s="24" t="s">
        <v>1021</v>
      </c>
      <c r="C2290" s="25" t="s">
        <v>2436</v>
      </c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229">
        <f t="shared" si="940"/>
        <v>0</v>
      </c>
      <c r="AC2290" s="228">
        <f t="shared" si="943"/>
        <v>0</v>
      </c>
      <c r="AD2290" s="19">
        <v>0</v>
      </c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>
        <v>2</v>
      </c>
      <c r="AQ2290" s="28"/>
      <c r="AR2290" s="28"/>
      <c r="AS2290" s="28"/>
      <c r="AT2290" s="28"/>
      <c r="AU2290" s="28"/>
      <c r="AV2290" s="28">
        <v>5</v>
      </c>
      <c r="AW2290" s="28"/>
      <c r="AX2290" s="28"/>
      <c r="AY2290" s="28"/>
      <c r="AZ2290" s="28"/>
      <c r="BA2290" s="28"/>
      <c r="BB2290" s="28">
        <v>5</v>
      </c>
      <c r="BC2290" s="229">
        <f t="shared" si="941"/>
        <v>0</v>
      </c>
      <c r="BD2290" s="48">
        <f t="shared" si="944"/>
        <v>12</v>
      </c>
      <c r="BE2290" s="19">
        <v>28</v>
      </c>
      <c r="BF2290" s="229">
        <f t="shared" si="942"/>
        <v>0</v>
      </c>
      <c r="BG2290" s="210">
        <f t="shared" si="945"/>
        <v>12</v>
      </c>
      <c r="BH2290" s="210">
        <f t="shared" si="946"/>
        <v>28</v>
      </c>
      <c r="BI2290" s="213">
        <f t="shared" si="939"/>
        <v>42.857142857142854</v>
      </c>
      <c r="BJ2290" s="141"/>
      <c r="BK2290" s="201"/>
      <c r="BL2290" s="4"/>
      <c r="BM2290" s="4"/>
    </row>
    <row r="2291" spans="1:65" s="38" customFormat="1" ht="18" customHeight="1">
      <c r="A2291" s="114">
        <v>124</v>
      </c>
      <c r="B2291" s="24" t="s">
        <v>1022</v>
      </c>
      <c r="C2291" s="25" t="s">
        <v>2172</v>
      </c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229">
        <f t="shared" si="940"/>
        <v>0</v>
      </c>
      <c r="AC2291" s="228">
        <f t="shared" si="943"/>
        <v>0</v>
      </c>
      <c r="AD2291" s="19">
        <v>0</v>
      </c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>
        <v>6</v>
      </c>
      <c r="AQ2291" s="28"/>
      <c r="AR2291" s="28"/>
      <c r="AS2291" s="28"/>
      <c r="AT2291" s="28"/>
      <c r="AU2291" s="28"/>
      <c r="AV2291" s="28">
        <v>5</v>
      </c>
      <c r="AW2291" s="28"/>
      <c r="AX2291" s="28"/>
      <c r="AY2291" s="28"/>
      <c r="AZ2291" s="28"/>
      <c r="BA2291" s="28"/>
      <c r="BB2291" s="28">
        <v>5</v>
      </c>
      <c r="BC2291" s="229">
        <f t="shared" si="941"/>
        <v>0</v>
      </c>
      <c r="BD2291" s="48">
        <f t="shared" si="944"/>
        <v>16</v>
      </c>
      <c r="BE2291" s="19">
        <v>40</v>
      </c>
      <c r="BF2291" s="229">
        <f t="shared" si="942"/>
        <v>0</v>
      </c>
      <c r="BG2291" s="210">
        <f t="shared" si="945"/>
        <v>16</v>
      </c>
      <c r="BH2291" s="210">
        <f t="shared" si="946"/>
        <v>40</v>
      </c>
      <c r="BI2291" s="213">
        <f t="shared" si="939"/>
        <v>40</v>
      </c>
      <c r="BJ2291" s="141"/>
      <c r="BK2291" s="201"/>
      <c r="BL2291" s="4"/>
      <c r="BM2291" s="4"/>
    </row>
    <row r="2292" spans="1:65" s="38" customFormat="1" ht="18" customHeight="1">
      <c r="A2292" s="114">
        <v>125</v>
      </c>
      <c r="B2292" s="24" t="s">
        <v>991</v>
      </c>
      <c r="C2292" s="25" t="s">
        <v>1091</v>
      </c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229">
        <f t="shared" si="940"/>
        <v>0</v>
      </c>
      <c r="AC2292" s="228">
        <f t="shared" si="943"/>
        <v>0</v>
      </c>
      <c r="AD2292" s="19">
        <v>0</v>
      </c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>
        <v>2</v>
      </c>
      <c r="AQ2292" s="28"/>
      <c r="AR2292" s="28"/>
      <c r="AS2292" s="28"/>
      <c r="AT2292" s="28"/>
      <c r="AU2292" s="28"/>
      <c r="AV2292" s="28">
        <f>3+1</f>
        <v>4</v>
      </c>
      <c r="AW2292" s="28"/>
      <c r="AX2292" s="28"/>
      <c r="AY2292" s="28"/>
      <c r="AZ2292" s="28"/>
      <c r="BA2292" s="28"/>
      <c r="BB2292" s="28">
        <v>3</v>
      </c>
      <c r="BC2292" s="229">
        <f t="shared" si="941"/>
        <v>0</v>
      </c>
      <c r="BD2292" s="48">
        <f t="shared" si="944"/>
        <v>9</v>
      </c>
      <c r="BE2292" s="19">
        <v>24</v>
      </c>
      <c r="BF2292" s="229">
        <f t="shared" si="942"/>
        <v>0</v>
      </c>
      <c r="BG2292" s="210">
        <f t="shared" si="945"/>
        <v>9</v>
      </c>
      <c r="BH2292" s="210">
        <f t="shared" si="946"/>
        <v>24</v>
      </c>
      <c r="BI2292" s="213">
        <f t="shared" si="939"/>
        <v>37.5</v>
      </c>
      <c r="BJ2292" s="141"/>
      <c r="BK2292" s="201"/>
      <c r="BL2292" s="4"/>
      <c r="BM2292" s="4"/>
    </row>
    <row r="2293" spans="1:65" s="38" customFormat="1" ht="18" customHeight="1">
      <c r="A2293" s="114">
        <v>126</v>
      </c>
      <c r="B2293" s="24" t="s">
        <v>1378</v>
      </c>
      <c r="C2293" s="25" t="s">
        <v>2733</v>
      </c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229">
        <f t="shared" si="940"/>
        <v>0</v>
      </c>
      <c r="AC2293" s="228">
        <f t="shared" si="943"/>
        <v>0</v>
      </c>
      <c r="AD2293" s="19">
        <v>0</v>
      </c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29">
        <f t="shared" si="941"/>
        <v>0</v>
      </c>
      <c r="BD2293" s="48">
        <f t="shared" si="944"/>
        <v>0</v>
      </c>
      <c r="BE2293" s="19">
        <v>1</v>
      </c>
      <c r="BF2293" s="229">
        <f t="shared" si="942"/>
        <v>0</v>
      </c>
      <c r="BG2293" s="210">
        <f t="shared" si="945"/>
        <v>0</v>
      </c>
      <c r="BH2293" s="210">
        <f t="shared" si="946"/>
        <v>1</v>
      </c>
      <c r="BI2293" s="213">
        <f t="shared" si="939"/>
        <v>0</v>
      </c>
      <c r="BJ2293" s="141"/>
      <c r="BK2293" s="201"/>
      <c r="BL2293" s="4"/>
      <c r="BM2293" s="4"/>
    </row>
    <row r="2294" spans="1:65" s="38" customFormat="1" ht="18" customHeight="1">
      <c r="A2294" s="114">
        <v>127</v>
      </c>
      <c r="B2294" s="24" t="s">
        <v>703</v>
      </c>
      <c r="C2294" s="25" t="s">
        <v>774</v>
      </c>
      <c r="D2294" s="121"/>
      <c r="E2294" s="121"/>
      <c r="F2294" s="121"/>
      <c r="G2294" s="121"/>
      <c r="H2294" s="121"/>
      <c r="I2294" s="121">
        <v>10</v>
      </c>
      <c r="J2294" s="121"/>
      <c r="K2294" s="121"/>
      <c r="L2294" s="121"/>
      <c r="M2294" s="121"/>
      <c r="N2294" s="121"/>
      <c r="O2294" s="121">
        <v>10</v>
      </c>
      <c r="P2294" s="121"/>
      <c r="Q2294" s="121"/>
      <c r="R2294" s="121"/>
      <c r="S2294" s="121"/>
      <c r="T2294" s="121"/>
      <c r="U2294" s="121">
        <v>13</v>
      </c>
      <c r="V2294" s="121"/>
      <c r="W2294" s="121"/>
      <c r="X2294" s="121"/>
      <c r="Y2294" s="121"/>
      <c r="Z2294" s="121"/>
      <c r="AA2294" s="121">
        <v>16</v>
      </c>
      <c r="AB2294" s="229">
        <f t="shared" si="940"/>
        <v>0</v>
      </c>
      <c r="AC2294" s="228">
        <f t="shared" si="943"/>
        <v>49</v>
      </c>
      <c r="AD2294" s="19">
        <v>22</v>
      </c>
      <c r="AE2294" s="28"/>
      <c r="AF2294" s="28"/>
      <c r="AG2294" s="28"/>
      <c r="AH2294" s="28"/>
      <c r="AI2294" s="28"/>
      <c r="AJ2294" s="28">
        <v>183</v>
      </c>
      <c r="AK2294" s="28"/>
      <c r="AL2294" s="28"/>
      <c r="AM2294" s="28"/>
      <c r="AN2294" s="28"/>
      <c r="AO2294" s="28"/>
      <c r="AP2294" s="28">
        <v>193</v>
      </c>
      <c r="AQ2294" s="28"/>
      <c r="AR2294" s="28"/>
      <c r="AS2294" s="28"/>
      <c r="AT2294" s="28"/>
      <c r="AU2294" s="28"/>
      <c r="AV2294" s="28">
        <v>194</v>
      </c>
      <c r="AW2294" s="28"/>
      <c r="AX2294" s="28"/>
      <c r="AY2294" s="28"/>
      <c r="AZ2294" s="28"/>
      <c r="BA2294" s="28"/>
      <c r="BB2294" s="28">
        <f>207+1</f>
        <v>208</v>
      </c>
      <c r="BC2294" s="229">
        <f t="shared" si="941"/>
        <v>0</v>
      </c>
      <c r="BD2294" s="48">
        <f t="shared" si="944"/>
        <v>778</v>
      </c>
      <c r="BE2294" s="19">
        <v>720</v>
      </c>
      <c r="BF2294" s="229">
        <f t="shared" si="942"/>
        <v>0</v>
      </c>
      <c r="BG2294" s="210">
        <f t="shared" si="945"/>
        <v>827</v>
      </c>
      <c r="BH2294" s="210">
        <f t="shared" si="946"/>
        <v>742</v>
      </c>
      <c r="BI2294" s="213">
        <f t="shared" si="939"/>
        <v>111.45552560646901</v>
      </c>
      <c r="BJ2294" s="141"/>
      <c r="BK2294" s="201"/>
      <c r="BL2294" s="4"/>
      <c r="BM2294" s="4"/>
    </row>
    <row r="2295" spans="1:65" s="38" customFormat="1" ht="18" customHeight="1">
      <c r="A2295" s="114">
        <v>128</v>
      </c>
      <c r="B2295" s="24" t="s">
        <v>896</v>
      </c>
      <c r="C2295" s="25" t="s">
        <v>992</v>
      </c>
      <c r="D2295" s="121"/>
      <c r="E2295" s="121"/>
      <c r="F2295" s="121"/>
      <c r="G2295" s="121"/>
      <c r="H2295" s="121"/>
      <c r="I2295" s="121">
        <v>1</v>
      </c>
      <c r="J2295" s="121"/>
      <c r="K2295" s="121"/>
      <c r="L2295" s="121"/>
      <c r="M2295" s="121"/>
      <c r="N2295" s="121"/>
      <c r="O2295" s="121">
        <v>2</v>
      </c>
      <c r="P2295" s="121"/>
      <c r="Q2295" s="121"/>
      <c r="R2295" s="121"/>
      <c r="S2295" s="121"/>
      <c r="T2295" s="121"/>
      <c r="U2295" s="121">
        <v>1</v>
      </c>
      <c r="V2295" s="121"/>
      <c r="W2295" s="121"/>
      <c r="X2295" s="121"/>
      <c r="Y2295" s="121"/>
      <c r="Z2295" s="121"/>
      <c r="AA2295" s="121">
        <v>5</v>
      </c>
      <c r="AB2295" s="229">
        <f t="shared" si="940"/>
        <v>0</v>
      </c>
      <c r="AC2295" s="228">
        <f t="shared" si="943"/>
        <v>9</v>
      </c>
      <c r="AD2295" s="19">
        <v>0</v>
      </c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29">
        <f t="shared" si="941"/>
        <v>0</v>
      </c>
      <c r="BD2295" s="48">
        <f t="shared" si="944"/>
        <v>0</v>
      </c>
      <c r="BE2295" s="19">
        <v>4</v>
      </c>
      <c r="BF2295" s="229">
        <f t="shared" si="942"/>
        <v>0</v>
      </c>
      <c r="BG2295" s="210">
        <f t="shared" si="945"/>
        <v>9</v>
      </c>
      <c r="BH2295" s="210">
        <f t="shared" si="946"/>
        <v>4</v>
      </c>
      <c r="BI2295" s="213">
        <f t="shared" si="939"/>
        <v>225</v>
      </c>
      <c r="BJ2295" s="141"/>
      <c r="BK2295" s="201"/>
      <c r="BL2295" s="4"/>
      <c r="BM2295" s="4"/>
    </row>
    <row r="2296" spans="1:65" s="38" customFormat="1" ht="18" customHeight="1">
      <c r="A2296" s="114">
        <v>129</v>
      </c>
      <c r="B2296" s="24" t="s">
        <v>897</v>
      </c>
      <c r="C2296" s="25" t="s">
        <v>1379</v>
      </c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229">
        <f t="shared" si="940"/>
        <v>0</v>
      </c>
      <c r="AC2296" s="228">
        <f t="shared" si="943"/>
        <v>0</v>
      </c>
      <c r="AD2296" s="19">
        <v>0</v>
      </c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29">
        <f t="shared" si="941"/>
        <v>0</v>
      </c>
      <c r="BD2296" s="48">
        <f t="shared" si="944"/>
        <v>0</v>
      </c>
      <c r="BE2296" s="19">
        <v>1</v>
      </c>
      <c r="BF2296" s="229">
        <f t="shared" si="942"/>
        <v>0</v>
      </c>
      <c r="BG2296" s="210">
        <f t="shared" si="945"/>
        <v>0</v>
      </c>
      <c r="BH2296" s="210">
        <f t="shared" si="946"/>
        <v>1</v>
      </c>
      <c r="BI2296" s="213">
        <f t="shared" ref="BI2296:BI2328" si="947">BG2296/BH2296*100</f>
        <v>0</v>
      </c>
      <c r="BJ2296" s="141"/>
      <c r="BK2296" s="201"/>
      <c r="BL2296" s="4"/>
      <c r="BM2296" s="4"/>
    </row>
    <row r="2297" spans="1:65" s="38" customFormat="1" ht="18" customHeight="1">
      <c r="A2297" s="114">
        <v>130</v>
      </c>
      <c r="B2297" s="24" t="s">
        <v>817</v>
      </c>
      <c r="C2297" s="25" t="s">
        <v>1092</v>
      </c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229">
        <f t="shared" si="940"/>
        <v>0</v>
      </c>
      <c r="AC2297" s="228">
        <f t="shared" si="943"/>
        <v>0</v>
      </c>
      <c r="AD2297" s="19">
        <v>0</v>
      </c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29">
        <f t="shared" si="941"/>
        <v>0</v>
      </c>
      <c r="BD2297" s="48">
        <f t="shared" si="944"/>
        <v>0</v>
      </c>
      <c r="BE2297" s="19">
        <v>6</v>
      </c>
      <c r="BF2297" s="229">
        <f t="shared" si="942"/>
        <v>0</v>
      </c>
      <c r="BG2297" s="210">
        <f t="shared" si="945"/>
        <v>0</v>
      </c>
      <c r="BH2297" s="210">
        <f t="shared" si="946"/>
        <v>6</v>
      </c>
      <c r="BI2297" s="213">
        <f t="shared" si="947"/>
        <v>0</v>
      </c>
      <c r="BJ2297" s="141"/>
      <c r="BK2297" s="201"/>
      <c r="BL2297" s="4"/>
      <c r="BM2297" s="4"/>
    </row>
    <row r="2298" spans="1:65" s="38" customFormat="1" ht="18" customHeight="1">
      <c r="A2298" s="114">
        <v>131</v>
      </c>
      <c r="B2298" s="24" t="s">
        <v>818</v>
      </c>
      <c r="C2298" s="25" t="s">
        <v>1380</v>
      </c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229">
        <f t="shared" si="940"/>
        <v>0</v>
      </c>
      <c r="AC2298" s="228">
        <f t="shared" si="943"/>
        <v>0</v>
      </c>
      <c r="AD2298" s="19">
        <v>0</v>
      </c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  <c r="AY2298" s="28"/>
      <c r="AZ2298" s="28"/>
      <c r="BA2298" s="28"/>
      <c r="BB2298" s="28"/>
      <c r="BC2298" s="229">
        <f t="shared" si="941"/>
        <v>0</v>
      </c>
      <c r="BD2298" s="48">
        <f t="shared" si="944"/>
        <v>0</v>
      </c>
      <c r="BE2298" s="19">
        <v>1</v>
      </c>
      <c r="BF2298" s="229">
        <f t="shared" si="942"/>
        <v>0</v>
      </c>
      <c r="BG2298" s="210">
        <f t="shared" si="945"/>
        <v>0</v>
      </c>
      <c r="BH2298" s="210">
        <f t="shared" si="946"/>
        <v>1</v>
      </c>
      <c r="BI2298" s="213">
        <f t="shared" si="947"/>
        <v>0</v>
      </c>
      <c r="BJ2298" s="141"/>
      <c r="BK2298" s="201"/>
      <c r="BL2298" s="4"/>
      <c r="BM2298" s="4"/>
    </row>
    <row r="2299" spans="1:65" s="38" customFormat="1" ht="18" customHeight="1">
      <c r="A2299" s="114">
        <v>132</v>
      </c>
      <c r="B2299" s="24" t="s">
        <v>819</v>
      </c>
      <c r="C2299" s="25" t="s">
        <v>993</v>
      </c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>
        <v>6</v>
      </c>
      <c r="AB2299" s="229">
        <f t="shared" si="940"/>
        <v>0</v>
      </c>
      <c r="AC2299" s="228">
        <f t="shared" si="943"/>
        <v>6</v>
      </c>
      <c r="AD2299" s="19">
        <v>8</v>
      </c>
      <c r="AE2299" s="28"/>
      <c r="AF2299" s="28"/>
      <c r="AG2299" s="28"/>
      <c r="AH2299" s="28"/>
      <c r="AI2299" s="28"/>
      <c r="AJ2299" s="28">
        <v>40</v>
      </c>
      <c r="AK2299" s="28"/>
      <c r="AL2299" s="28"/>
      <c r="AM2299" s="28"/>
      <c r="AN2299" s="28"/>
      <c r="AO2299" s="28"/>
      <c r="AP2299" s="28">
        <v>33</v>
      </c>
      <c r="AQ2299" s="28"/>
      <c r="AR2299" s="28"/>
      <c r="AS2299" s="28"/>
      <c r="AT2299" s="28"/>
      <c r="AU2299" s="28"/>
      <c r="AV2299" s="28">
        <f>1+41+65</f>
        <v>107</v>
      </c>
      <c r="AW2299" s="28"/>
      <c r="AX2299" s="28"/>
      <c r="AY2299" s="28"/>
      <c r="AZ2299" s="28"/>
      <c r="BA2299" s="28"/>
      <c r="BB2299" s="28">
        <v>31</v>
      </c>
      <c r="BC2299" s="229">
        <f t="shared" si="941"/>
        <v>0</v>
      </c>
      <c r="BD2299" s="48">
        <f t="shared" si="944"/>
        <v>211</v>
      </c>
      <c r="BE2299" s="19">
        <v>218</v>
      </c>
      <c r="BF2299" s="229">
        <f t="shared" si="942"/>
        <v>0</v>
      </c>
      <c r="BG2299" s="210">
        <f t="shared" si="945"/>
        <v>217</v>
      </c>
      <c r="BH2299" s="210">
        <f t="shared" si="946"/>
        <v>226</v>
      </c>
      <c r="BI2299" s="213">
        <f t="shared" si="947"/>
        <v>96.017699115044252</v>
      </c>
      <c r="BJ2299" s="141"/>
      <c r="BK2299" s="201"/>
      <c r="BL2299" s="4"/>
      <c r="BM2299" s="4"/>
    </row>
    <row r="2300" spans="1:65" s="38" customFormat="1" ht="18" customHeight="1">
      <c r="A2300" s="114">
        <v>133</v>
      </c>
      <c r="B2300" s="24" t="s">
        <v>898</v>
      </c>
      <c r="C2300" s="183" t="s">
        <v>2424</v>
      </c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229">
        <f t="shared" si="940"/>
        <v>0</v>
      </c>
      <c r="AC2300" s="228">
        <f t="shared" si="943"/>
        <v>0</v>
      </c>
      <c r="AD2300" s="19">
        <v>0</v>
      </c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  <c r="AZ2300" s="28"/>
      <c r="BA2300" s="28"/>
      <c r="BB2300" s="28"/>
      <c r="BC2300" s="229">
        <f t="shared" si="941"/>
        <v>0</v>
      </c>
      <c r="BD2300" s="48">
        <f t="shared" si="944"/>
        <v>0</v>
      </c>
      <c r="BE2300" s="19">
        <v>1</v>
      </c>
      <c r="BF2300" s="229">
        <f t="shared" si="942"/>
        <v>0</v>
      </c>
      <c r="BG2300" s="210">
        <f t="shared" si="945"/>
        <v>0</v>
      </c>
      <c r="BH2300" s="210">
        <f t="shared" si="946"/>
        <v>1</v>
      </c>
      <c r="BI2300" s="213">
        <f t="shared" si="947"/>
        <v>0</v>
      </c>
      <c r="BJ2300" s="141"/>
      <c r="BK2300" s="201"/>
      <c r="BL2300" s="4"/>
      <c r="BM2300" s="4"/>
    </row>
    <row r="2301" spans="1:65" s="38" customFormat="1" ht="18" customHeight="1">
      <c r="A2301" s="114">
        <v>134</v>
      </c>
      <c r="B2301" s="24" t="s">
        <v>1503</v>
      </c>
      <c r="C2301" s="25" t="s">
        <v>1504</v>
      </c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229">
        <f t="shared" si="940"/>
        <v>0</v>
      </c>
      <c r="AC2301" s="228">
        <f t="shared" si="943"/>
        <v>0</v>
      </c>
      <c r="AD2301" s="19">
        <v>0</v>
      </c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29">
        <f t="shared" si="941"/>
        <v>0</v>
      </c>
      <c r="BD2301" s="48">
        <f t="shared" si="944"/>
        <v>0</v>
      </c>
      <c r="BE2301" s="19">
        <v>1</v>
      </c>
      <c r="BF2301" s="229">
        <f t="shared" si="942"/>
        <v>0</v>
      </c>
      <c r="BG2301" s="210">
        <f t="shared" si="945"/>
        <v>0</v>
      </c>
      <c r="BH2301" s="210">
        <f t="shared" si="946"/>
        <v>1</v>
      </c>
      <c r="BI2301" s="213">
        <f t="shared" si="947"/>
        <v>0</v>
      </c>
      <c r="BJ2301" s="141"/>
      <c r="BK2301" s="201"/>
      <c r="BL2301" s="4"/>
      <c r="BM2301" s="4"/>
    </row>
    <row r="2302" spans="1:65" s="38" customFormat="1" ht="18" customHeight="1">
      <c r="A2302" s="114">
        <v>135</v>
      </c>
      <c r="B2302" s="24" t="s">
        <v>723</v>
      </c>
      <c r="C2302" s="25" t="s">
        <v>2435</v>
      </c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229">
        <f t="shared" si="940"/>
        <v>0</v>
      </c>
      <c r="AC2302" s="228">
        <f t="shared" si="943"/>
        <v>0</v>
      </c>
      <c r="AD2302" s="19">
        <v>0</v>
      </c>
      <c r="AE2302" s="28"/>
      <c r="AF2302" s="28"/>
      <c r="AG2302" s="28"/>
      <c r="AH2302" s="28"/>
      <c r="AI2302" s="28"/>
      <c r="AJ2302" s="28">
        <v>31</v>
      </c>
      <c r="AK2302" s="28"/>
      <c r="AL2302" s="28"/>
      <c r="AM2302" s="28"/>
      <c r="AN2302" s="28"/>
      <c r="AO2302" s="28"/>
      <c r="AP2302" s="28">
        <v>23</v>
      </c>
      <c r="AQ2302" s="28"/>
      <c r="AR2302" s="28"/>
      <c r="AS2302" s="28"/>
      <c r="AT2302" s="28"/>
      <c r="AU2302" s="28"/>
      <c r="AV2302" s="28">
        <v>29</v>
      </c>
      <c r="AW2302" s="28"/>
      <c r="AX2302" s="28"/>
      <c r="AY2302" s="28"/>
      <c r="AZ2302" s="28"/>
      <c r="BA2302" s="28"/>
      <c r="BB2302" s="28">
        <v>26</v>
      </c>
      <c r="BC2302" s="229">
        <f t="shared" si="941"/>
        <v>0</v>
      </c>
      <c r="BD2302" s="48">
        <f t="shared" si="944"/>
        <v>109</v>
      </c>
      <c r="BE2302" s="19">
        <v>156</v>
      </c>
      <c r="BF2302" s="229">
        <f t="shared" si="942"/>
        <v>0</v>
      </c>
      <c r="BG2302" s="210">
        <f t="shared" si="945"/>
        <v>109</v>
      </c>
      <c r="BH2302" s="210">
        <f t="shared" si="946"/>
        <v>156</v>
      </c>
      <c r="BI2302" s="213">
        <f t="shared" si="947"/>
        <v>69.871794871794862</v>
      </c>
      <c r="BJ2302" s="141"/>
      <c r="BK2302" s="201"/>
      <c r="BL2302" s="4"/>
      <c r="BM2302" s="4"/>
    </row>
    <row r="2303" spans="1:65" s="38" customFormat="1" ht="18" customHeight="1">
      <c r="A2303" s="114">
        <v>136</v>
      </c>
      <c r="B2303" s="24" t="s">
        <v>899</v>
      </c>
      <c r="C2303" s="25" t="s">
        <v>1700</v>
      </c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>
        <v>2</v>
      </c>
      <c r="V2303" s="121"/>
      <c r="W2303" s="121"/>
      <c r="X2303" s="121"/>
      <c r="Y2303" s="121"/>
      <c r="Z2303" s="121"/>
      <c r="AA2303" s="121"/>
      <c r="AB2303" s="229">
        <f t="shared" si="940"/>
        <v>0</v>
      </c>
      <c r="AC2303" s="228">
        <f t="shared" si="943"/>
        <v>2</v>
      </c>
      <c r="AD2303" s="19">
        <v>4</v>
      </c>
      <c r="AE2303" s="28"/>
      <c r="AF2303" s="28"/>
      <c r="AG2303" s="28"/>
      <c r="AH2303" s="28"/>
      <c r="AI2303" s="28"/>
      <c r="AJ2303" s="28">
        <v>176</v>
      </c>
      <c r="AK2303" s="28"/>
      <c r="AL2303" s="28"/>
      <c r="AM2303" s="28"/>
      <c r="AN2303" s="28"/>
      <c r="AO2303" s="28"/>
      <c r="AP2303" s="28">
        <v>133</v>
      </c>
      <c r="AQ2303" s="28"/>
      <c r="AR2303" s="28"/>
      <c r="AS2303" s="28"/>
      <c r="AT2303" s="28"/>
      <c r="AU2303" s="28"/>
      <c r="AV2303" s="28">
        <f>133+3</f>
        <v>136</v>
      </c>
      <c r="AW2303" s="28"/>
      <c r="AX2303" s="28"/>
      <c r="AY2303" s="28"/>
      <c r="AZ2303" s="28"/>
      <c r="BA2303" s="28"/>
      <c r="BB2303" s="28">
        <v>211</v>
      </c>
      <c r="BC2303" s="229">
        <f t="shared" si="941"/>
        <v>0</v>
      </c>
      <c r="BD2303" s="48">
        <f t="shared" si="944"/>
        <v>656</v>
      </c>
      <c r="BE2303" s="19">
        <v>568</v>
      </c>
      <c r="BF2303" s="229">
        <f t="shared" si="942"/>
        <v>0</v>
      </c>
      <c r="BG2303" s="210">
        <f t="shared" si="945"/>
        <v>658</v>
      </c>
      <c r="BH2303" s="210">
        <f t="shared" si="946"/>
        <v>572</v>
      </c>
      <c r="BI2303" s="213">
        <f t="shared" si="947"/>
        <v>115.03496503496504</v>
      </c>
      <c r="BJ2303" s="141"/>
      <c r="BK2303" s="201"/>
      <c r="BL2303" s="4"/>
      <c r="BM2303" s="4"/>
    </row>
    <row r="2304" spans="1:65" s="38" customFormat="1" ht="18" customHeight="1">
      <c r="A2304" s="114">
        <v>137</v>
      </c>
      <c r="B2304" s="24" t="s">
        <v>928</v>
      </c>
      <c r="C2304" s="25" t="s">
        <v>2270</v>
      </c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229">
        <f t="shared" si="940"/>
        <v>0</v>
      </c>
      <c r="AC2304" s="228">
        <f t="shared" si="943"/>
        <v>0</v>
      </c>
      <c r="AD2304" s="19">
        <v>0</v>
      </c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29">
        <f t="shared" si="941"/>
        <v>0</v>
      </c>
      <c r="BD2304" s="48">
        <f t="shared" si="944"/>
        <v>0</v>
      </c>
      <c r="BE2304" s="19">
        <v>376</v>
      </c>
      <c r="BF2304" s="229">
        <f t="shared" si="942"/>
        <v>0</v>
      </c>
      <c r="BG2304" s="210">
        <f t="shared" si="945"/>
        <v>0</v>
      </c>
      <c r="BH2304" s="210">
        <f t="shared" si="946"/>
        <v>376</v>
      </c>
      <c r="BI2304" s="213">
        <f t="shared" si="947"/>
        <v>0</v>
      </c>
      <c r="BJ2304" s="141"/>
      <c r="BK2304" s="201"/>
      <c r="BL2304" s="4"/>
      <c r="BM2304" s="4"/>
    </row>
    <row r="2305" spans="1:65" s="38" customFormat="1" ht="18" customHeight="1">
      <c r="A2305" s="114">
        <v>138</v>
      </c>
      <c r="B2305" s="24" t="s">
        <v>775</v>
      </c>
      <c r="C2305" s="25" t="s">
        <v>1580</v>
      </c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>
        <v>1</v>
      </c>
      <c r="V2305" s="121"/>
      <c r="W2305" s="121"/>
      <c r="X2305" s="121"/>
      <c r="Y2305" s="121"/>
      <c r="Z2305" s="121"/>
      <c r="AA2305" s="121"/>
      <c r="AB2305" s="229">
        <f t="shared" si="940"/>
        <v>0</v>
      </c>
      <c r="AC2305" s="228">
        <f t="shared" si="943"/>
        <v>1</v>
      </c>
      <c r="AD2305" s="19">
        <v>6</v>
      </c>
      <c r="AE2305" s="28"/>
      <c r="AF2305" s="28"/>
      <c r="AG2305" s="28"/>
      <c r="AH2305" s="28"/>
      <c r="AI2305" s="28"/>
      <c r="AJ2305" s="28">
        <v>406</v>
      </c>
      <c r="AK2305" s="28"/>
      <c r="AL2305" s="28"/>
      <c r="AM2305" s="28"/>
      <c r="AN2305" s="28"/>
      <c r="AO2305" s="28"/>
      <c r="AP2305" s="28">
        <v>461</v>
      </c>
      <c r="AQ2305" s="28"/>
      <c r="AR2305" s="28"/>
      <c r="AS2305" s="28"/>
      <c r="AT2305" s="28"/>
      <c r="AU2305" s="28"/>
      <c r="AV2305" s="28">
        <v>372</v>
      </c>
      <c r="AW2305" s="28"/>
      <c r="AX2305" s="28"/>
      <c r="AY2305" s="28"/>
      <c r="AZ2305" s="28"/>
      <c r="BA2305" s="28"/>
      <c r="BB2305" s="28">
        <v>465</v>
      </c>
      <c r="BC2305" s="229">
        <f t="shared" si="941"/>
        <v>0</v>
      </c>
      <c r="BD2305" s="48">
        <f t="shared" si="944"/>
        <v>1704</v>
      </c>
      <c r="BE2305" s="19">
        <v>1988</v>
      </c>
      <c r="BF2305" s="229">
        <f t="shared" si="942"/>
        <v>0</v>
      </c>
      <c r="BG2305" s="210">
        <f t="shared" si="945"/>
        <v>1705</v>
      </c>
      <c r="BH2305" s="210">
        <f t="shared" si="946"/>
        <v>1994</v>
      </c>
      <c r="BI2305" s="213">
        <f t="shared" si="947"/>
        <v>85.506519558676032</v>
      </c>
      <c r="BJ2305" s="141"/>
      <c r="BK2305" s="201"/>
      <c r="BL2305" s="4"/>
      <c r="BM2305" s="4"/>
    </row>
    <row r="2306" spans="1:65" s="38" customFormat="1" ht="18" customHeight="1">
      <c r="A2306" s="114">
        <v>139</v>
      </c>
      <c r="B2306" s="24" t="s">
        <v>994</v>
      </c>
      <c r="C2306" s="25" t="s">
        <v>1163</v>
      </c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>
        <v>1</v>
      </c>
      <c r="V2306" s="121"/>
      <c r="W2306" s="121"/>
      <c r="X2306" s="121"/>
      <c r="Y2306" s="121"/>
      <c r="Z2306" s="121"/>
      <c r="AA2306" s="121"/>
      <c r="AB2306" s="229">
        <f t="shared" si="940"/>
        <v>0</v>
      </c>
      <c r="AC2306" s="228">
        <f t="shared" si="943"/>
        <v>1</v>
      </c>
      <c r="AD2306" s="19">
        <v>0</v>
      </c>
      <c r="AE2306" s="28"/>
      <c r="AF2306" s="28"/>
      <c r="AG2306" s="28"/>
      <c r="AH2306" s="28"/>
      <c r="AI2306" s="28"/>
      <c r="AJ2306" s="28">
        <v>43</v>
      </c>
      <c r="AK2306" s="28"/>
      <c r="AL2306" s="28"/>
      <c r="AM2306" s="28"/>
      <c r="AN2306" s="28"/>
      <c r="AO2306" s="28"/>
      <c r="AP2306" s="28">
        <v>49</v>
      </c>
      <c r="AQ2306" s="28"/>
      <c r="AR2306" s="28"/>
      <c r="AS2306" s="28"/>
      <c r="AT2306" s="28"/>
      <c r="AU2306" s="28"/>
      <c r="AV2306" s="28">
        <v>34</v>
      </c>
      <c r="AW2306" s="28"/>
      <c r="AX2306" s="28"/>
      <c r="AY2306" s="28"/>
      <c r="AZ2306" s="28"/>
      <c r="BA2306" s="28"/>
      <c r="BB2306" s="28">
        <v>62</v>
      </c>
      <c r="BC2306" s="229">
        <f t="shared" si="941"/>
        <v>0</v>
      </c>
      <c r="BD2306" s="48">
        <f t="shared" si="944"/>
        <v>188</v>
      </c>
      <c r="BE2306" s="19">
        <v>221</v>
      </c>
      <c r="BF2306" s="229">
        <f t="shared" si="942"/>
        <v>0</v>
      </c>
      <c r="BG2306" s="210">
        <f t="shared" si="945"/>
        <v>189</v>
      </c>
      <c r="BH2306" s="210">
        <f t="shared" si="946"/>
        <v>221</v>
      </c>
      <c r="BI2306" s="213">
        <f t="shared" si="947"/>
        <v>85.520361990950221</v>
      </c>
      <c r="BJ2306" s="141"/>
      <c r="BK2306" s="201"/>
      <c r="BL2306" s="4"/>
      <c r="BM2306" s="4"/>
    </row>
    <row r="2307" spans="1:65" s="38" customFormat="1" ht="18" customHeight="1">
      <c r="A2307" s="114">
        <v>140</v>
      </c>
      <c r="B2307" s="24" t="s">
        <v>724</v>
      </c>
      <c r="C2307" s="25" t="s">
        <v>1093</v>
      </c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229">
        <f t="shared" si="940"/>
        <v>0</v>
      </c>
      <c r="AC2307" s="228">
        <f t="shared" si="943"/>
        <v>0</v>
      </c>
      <c r="AD2307" s="19">
        <v>5</v>
      </c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29">
        <f t="shared" si="941"/>
        <v>0</v>
      </c>
      <c r="BD2307" s="48">
        <f t="shared" si="944"/>
        <v>0</v>
      </c>
      <c r="BE2307" s="19">
        <v>812</v>
      </c>
      <c r="BF2307" s="229">
        <f t="shared" si="942"/>
        <v>0</v>
      </c>
      <c r="BG2307" s="210">
        <f t="shared" si="945"/>
        <v>0</v>
      </c>
      <c r="BH2307" s="210">
        <f t="shared" si="946"/>
        <v>817</v>
      </c>
      <c r="BI2307" s="213">
        <f t="shared" si="947"/>
        <v>0</v>
      </c>
      <c r="BJ2307" s="141"/>
      <c r="BK2307" s="201"/>
      <c r="BL2307" s="4"/>
      <c r="BM2307" s="4"/>
    </row>
    <row r="2308" spans="1:65" s="38" customFormat="1" ht="20.100000000000001" customHeight="1">
      <c r="A2308" s="114">
        <v>141</v>
      </c>
      <c r="B2308" s="24" t="s">
        <v>725</v>
      </c>
      <c r="C2308" s="25" t="s">
        <v>1494</v>
      </c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>
        <v>1</v>
      </c>
      <c r="V2308" s="121"/>
      <c r="W2308" s="121"/>
      <c r="X2308" s="121"/>
      <c r="Y2308" s="121"/>
      <c r="Z2308" s="121"/>
      <c r="AA2308" s="121"/>
      <c r="AB2308" s="229">
        <f t="shared" si="940"/>
        <v>0</v>
      </c>
      <c r="AC2308" s="228">
        <f t="shared" si="943"/>
        <v>1</v>
      </c>
      <c r="AD2308" s="19">
        <v>0</v>
      </c>
      <c r="AE2308" s="28"/>
      <c r="AF2308" s="28"/>
      <c r="AG2308" s="28"/>
      <c r="AH2308" s="28"/>
      <c r="AI2308" s="28"/>
      <c r="AJ2308" s="28">
        <v>31</v>
      </c>
      <c r="AK2308" s="28"/>
      <c r="AL2308" s="28"/>
      <c r="AM2308" s="28"/>
      <c r="AN2308" s="28"/>
      <c r="AO2308" s="28"/>
      <c r="AP2308" s="28">
        <v>38</v>
      </c>
      <c r="AQ2308" s="28"/>
      <c r="AR2308" s="28"/>
      <c r="AS2308" s="28"/>
      <c r="AT2308" s="28"/>
      <c r="AU2308" s="28"/>
      <c r="AV2308" s="28">
        <v>31</v>
      </c>
      <c r="AW2308" s="28"/>
      <c r="AX2308" s="28"/>
      <c r="AY2308" s="28"/>
      <c r="AZ2308" s="28"/>
      <c r="BA2308" s="28"/>
      <c r="BB2308" s="28">
        <v>30</v>
      </c>
      <c r="BC2308" s="229">
        <f t="shared" si="941"/>
        <v>0</v>
      </c>
      <c r="BD2308" s="48">
        <f t="shared" si="944"/>
        <v>130</v>
      </c>
      <c r="BE2308" s="19">
        <v>154</v>
      </c>
      <c r="BF2308" s="229">
        <f t="shared" si="942"/>
        <v>0</v>
      </c>
      <c r="BG2308" s="210">
        <f t="shared" si="945"/>
        <v>131</v>
      </c>
      <c r="BH2308" s="210">
        <f t="shared" si="946"/>
        <v>154</v>
      </c>
      <c r="BI2308" s="213">
        <f t="shared" si="947"/>
        <v>85.064935064935071</v>
      </c>
      <c r="BJ2308" s="141"/>
      <c r="BK2308" s="201"/>
      <c r="BL2308" s="4"/>
      <c r="BM2308" s="4"/>
    </row>
    <row r="2309" spans="1:65" s="38" customFormat="1" ht="20.100000000000001" customHeight="1">
      <c r="A2309" s="114">
        <v>142</v>
      </c>
      <c r="B2309" s="24" t="s">
        <v>726</v>
      </c>
      <c r="C2309" s="25" t="s">
        <v>1387</v>
      </c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229">
        <f t="shared" si="940"/>
        <v>0</v>
      </c>
      <c r="AC2309" s="228">
        <f t="shared" si="943"/>
        <v>0</v>
      </c>
      <c r="AD2309" s="19">
        <v>0</v>
      </c>
      <c r="AE2309" s="28"/>
      <c r="AF2309" s="28"/>
      <c r="AG2309" s="28"/>
      <c r="AH2309" s="28"/>
      <c r="AI2309" s="28"/>
      <c r="AJ2309" s="28">
        <v>11</v>
      </c>
      <c r="AK2309" s="28"/>
      <c r="AL2309" s="28"/>
      <c r="AM2309" s="28"/>
      <c r="AN2309" s="28"/>
      <c r="AO2309" s="28"/>
      <c r="AP2309" s="28">
        <v>10</v>
      </c>
      <c r="AQ2309" s="28"/>
      <c r="AR2309" s="28"/>
      <c r="AS2309" s="28"/>
      <c r="AT2309" s="28"/>
      <c r="AU2309" s="28"/>
      <c r="AV2309" s="28">
        <v>9</v>
      </c>
      <c r="AW2309" s="28"/>
      <c r="AX2309" s="28"/>
      <c r="AY2309" s="28"/>
      <c r="AZ2309" s="28"/>
      <c r="BA2309" s="28"/>
      <c r="BB2309" s="28">
        <v>13</v>
      </c>
      <c r="BC2309" s="229">
        <f t="shared" si="941"/>
        <v>0</v>
      </c>
      <c r="BD2309" s="48">
        <f t="shared" si="944"/>
        <v>43</v>
      </c>
      <c r="BE2309" s="19">
        <v>44</v>
      </c>
      <c r="BF2309" s="229">
        <f t="shared" si="942"/>
        <v>0</v>
      </c>
      <c r="BG2309" s="210">
        <f t="shared" si="945"/>
        <v>43</v>
      </c>
      <c r="BH2309" s="210">
        <f t="shared" si="946"/>
        <v>44</v>
      </c>
      <c r="BI2309" s="213">
        <f t="shared" si="947"/>
        <v>97.727272727272734</v>
      </c>
      <c r="BJ2309" s="141"/>
      <c r="BK2309" s="201"/>
      <c r="BL2309" s="4"/>
      <c r="BM2309" s="4"/>
    </row>
    <row r="2310" spans="1:65" s="38" customFormat="1" ht="20.100000000000001" customHeight="1">
      <c r="A2310" s="114">
        <v>143</v>
      </c>
      <c r="B2310" s="24" t="s">
        <v>995</v>
      </c>
      <c r="C2310" s="25" t="s">
        <v>1023</v>
      </c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229">
        <f t="shared" ref="AB2310:AB2343" si="948">D2310+F2310+H2310+J2310+L2310+N2310+P2310+R2310+T2310+V2310+X2310+Z2310</f>
        <v>0</v>
      </c>
      <c r="AC2310" s="228">
        <f t="shared" si="943"/>
        <v>0</v>
      </c>
      <c r="AD2310" s="19">
        <v>0</v>
      </c>
      <c r="AE2310" s="28"/>
      <c r="AF2310" s="28"/>
      <c r="AG2310" s="28"/>
      <c r="AH2310" s="28"/>
      <c r="AI2310" s="28"/>
      <c r="AJ2310" s="28">
        <v>5</v>
      </c>
      <c r="AK2310" s="28"/>
      <c r="AL2310" s="28"/>
      <c r="AM2310" s="28"/>
      <c r="AN2310" s="28"/>
      <c r="AO2310" s="28"/>
      <c r="AP2310" s="28">
        <v>4</v>
      </c>
      <c r="AQ2310" s="28"/>
      <c r="AR2310" s="28"/>
      <c r="AS2310" s="28"/>
      <c r="AT2310" s="28"/>
      <c r="AU2310" s="28"/>
      <c r="AV2310" s="28">
        <v>6</v>
      </c>
      <c r="AW2310" s="28"/>
      <c r="AX2310" s="28"/>
      <c r="AY2310" s="28"/>
      <c r="AZ2310" s="28"/>
      <c r="BA2310" s="28"/>
      <c r="BB2310" s="28">
        <v>6</v>
      </c>
      <c r="BC2310" s="229">
        <f t="shared" ref="BC2310:BC2343" si="949">AE2310+AG2310+AI2310+AK2310+AM2310+AO2310+AQ2310+AS2310+AU2310+AW2310+AY2310+BA2310</f>
        <v>0</v>
      </c>
      <c r="BD2310" s="48">
        <f t="shared" si="944"/>
        <v>21</v>
      </c>
      <c r="BE2310" s="19">
        <v>17</v>
      </c>
      <c r="BF2310" s="229">
        <f t="shared" ref="BF2310:BF2343" si="950">AB2310+BC2310</f>
        <v>0</v>
      </c>
      <c r="BG2310" s="210">
        <f t="shared" si="945"/>
        <v>21</v>
      </c>
      <c r="BH2310" s="210">
        <f t="shared" si="946"/>
        <v>17</v>
      </c>
      <c r="BI2310" s="213">
        <f t="shared" si="947"/>
        <v>123.52941176470588</v>
      </c>
      <c r="BJ2310" s="141"/>
      <c r="BK2310" s="201"/>
      <c r="BL2310" s="4"/>
      <c r="BM2310" s="4"/>
    </row>
    <row r="2311" spans="1:65" s="38" customFormat="1" ht="20.100000000000001" customHeight="1">
      <c r="A2311" s="114">
        <v>144</v>
      </c>
      <c r="B2311" s="24" t="s">
        <v>1024</v>
      </c>
      <c r="C2311" s="25" t="s">
        <v>1025</v>
      </c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229">
        <f t="shared" si="948"/>
        <v>0</v>
      </c>
      <c r="AC2311" s="228">
        <f t="shared" ref="AC2311:AC2344" si="951">E2311+G2311+I2311+K2311+M2311+O2311+Q2311+S2311+U2311+W2311+Y2311+AA2311</f>
        <v>0</v>
      </c>
      <c r="AD2311" s="19">
        <v>0</v>
      </c>
      <c r="AE2311" s="28"/>
      <c r="AF2311" s="28"/>
      <c r="AG2311" s="28"/>
      <c r="AH2311" s="28"/>
      <c r="AI2311" s="28"/>
      <c r="AJ2311" s="28">
        <v>2</v>
      </c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>
        <v>1</v>
      </c>
      <c r="AW2311" s="28"/>
      <c r="AX2311" s="28"/>
      <c r="AY2311" s="28"/>
      <c r="AZ2311" s="28"/>
      <c r="BA2311" s="28"/>
      <c r="BB2311" s="28">
        <v>1</v>
      </c>
      <c r="BC2311" s="229">
        <f t="shared" si="949"/>
        <v>0</v>
      </c>
      <c r="BD2311" s="48">
        <f t="shared" ref="BD2311:BD2344" si="952">AF2311+AH2311+AJ2311+AL2311+AN2311+AP2311+AR2311+AT2311+AV2311+AX2311+AZ2311+BB2311</f>
        <v>4</v>
      </c>
      <c r="BE2311" s="19">
        <v>1</v>
      </c>
      <c r="BF2311" s="229">
        <f t="shared" si="950"/>
        <v>0</v>
      </c>
      <c r="BG2311" s="210">
        <f t="shared" ref="BG2311:BG2344" si="953">AC2311+BD2311</f>
        <v>4</v>
      </c>
      <c r="BH2311" s="210">
        <f t="shared" ref="BH2311:BH2344" si="954">AD2311+BE2311</f>
        <v>1</v>
      </c>
      <c r="BI2311" s="213">
        <f t="shared" si="947"/>
        <v>400</v>
      </c>
      <c r="BJ2311" s="141"/>
      <c r="BK2311" s="201"/>
      <c r="BL2311" s="4"/>
      <c r="BM2311" s="4"/>
    </row>
    <row r="2312" spans="1:65" s="38" customFormat="1" ht="18" customHeight="1">
      <c r="A2312" s="114">
        <v>145</v>
      </c>
      <c r="B2312" s="24" t="s">
        <v>652</v>
      </c>
      <c r="C2312" s="34" t="s">
        <v>727</v>
      </c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>
        <v>1</v>
      </c>
      <c r="V2312" s="121"/>
      <c r="W2312" s="121"/>
      <c r="X2312" s="121"/>
      <c r="Y2312" s="121"/>
      <c r="Z2312" s="121"/>
      <c r="AA2312" s="121">
        <v>7</v>
      </c>
      <c r="AB2312" s="229">
        <f t="shared" si="948"/>
        <v>0</v>
      </c>
      <c r="AC2312" s="228">
        <f t="shared" si="951"/>
        <v>8</v>
      </c>
      <c r="AD2312" s="19">
        <v>0</v>
      </c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>
        <v>6</v>
      </c>
      <c r="AQ2312" s="28"/>
      <c r="AR2312" s="28"/>
      <c r="AS2312" s="28"/>
      <c r="AT2312" s="28"/>
      <c r="AU2312" s="28"/>
      <c r="AV2312" s="28">
        <f>1+20</f>
        <v>21</v>
      </c>
      <c r="AW2312" s="28"/>
      <c r="AX2312" s="28"/>
      <c r="AY2312" s="28"/>
      <c r="AZ2312" s="28"/>
      <c r="BA2312" s="28"/>
      <c r="BB2312" s="28">
        <v>3</v>
      </c>
      <c r="BC2312" s="229">
        <f t="shared" si="949"/>
        <v>0</v>
      </c>
      <c r="BD2312" s="48">
        <f t="shared" si="952"/>
        <v>30</v>
      </c>
      <c r="BE2312" s="19">
        <v>13</v>
      </c>
      <c r="BF2312" s="229">
        <f t="shared" si="950"/>
        <v>0</v>
      </c>
      <c r="BG2312" s="210">
        <f t="shared" si="953"/>
        <v>38</v>
      </c>
      <c r="BH2312" s="210">
        <f t="shared" si="954"/>
        <v>13</v>
      </c>
      <c r="BI2312" s="213">
        <f t="shared" si="947"/>
        <v>292.30769230769226</v>
      </c>
      <c r="BJ2312" s="141"/>
      <c r="BK2312" s="201"/>
      <c r="BL2312" s="4"/>
      <c r="BM2312" s="4"/>
    </row>
    <row r="2313" spans="1:65" s="38" customFormat="1" ht="18" customHeight="1">
      <c r="A2313" s="114">
        <v>146</v>
      </c>
      <c r="B2313" s="24" t="s">
        <v>728</v>
      </c>
      <c r="C2313" s="34" t="s">
        <v>729</v>
      </c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>
        <v>45</v>
      </c>
      <c r="AB2313" s="229">
        <f t="shared" si="948"/>
        <v>0</v>
      </c>
      <c r="AC2313" s="228">
        <f t="shared" si="951"/>
        <v>45</v>
      </c>
      <c r="AD2313" s="19">
        <v>0</v>
      </c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>
        <f>6+79</f>
        <v>85</v>
      </c>
      <c r="AQ2313" s="28"/>
      <c r="AR2313" s="28"/>
      <c r="AS2313" s="28"/>
      <c r="AT2313" s="28"/>
      <c r="AU2313" s="28"/>
      <c r="AV2313" s="28">
        <f>6+102</f>
        <v>108</v>
      </c>
      <c r="AW2313" s="28"/>
      <c r="AX2313" s="28"/>
      <c r="AY2313" s="28"/>
      <c r="AZ2313" s="28"/>
      <c r="BA2313" s="28"/>
      <c r="BB2313" s="28">
        <v>9</v>
      </c>
      <c r="BC2313" s="229">
        <f t="shared" si="949"/>
        <v>0</v>
      </c>
      <c r="BD2313" s="48">
        <f t="shared" si="952"/>
        <v>202</v>
      </c>
      <c r="BE2313" s="19">
        <v>10</v>
      </c>
      <c r="BF2313" s="229">
        <f t="shared" si="950"/>
        <v>0</v>
      </c>
      <c r="BG2313" s="210">
        <f t="shared" si="953"/>
        <v>247</v>
      </c>
      <c r="BH2313" s="210">
        <f t="shared" si="954"/>
        <v>10</v>
      </c>
      <c r="BI2313" s="213">
        <f t="shared" si="947"/>
        <v>2470</v>
      </c>
      <c r="BJ2313" s="141"/>
      <c r="BK2313" s="201"/>
      <c r="BL2313" s="4"/>
      <c r="BM2313" s="4"/>
    </row>
    <row r="2314" spans="1:65" s="38" customFormat="1" ht="18" customHeight="1">
      <c r="A2314" s="114">
        <v>147</v>
      </c>
      <c r="B2314" s="24" t="s">
        <v>730</v>
      </c>
      <c r="C2314" s="25" t="s">
        <v>731</v>
      </c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>
        <v>1</v>
      </c>
      <c r="V2314" s="121"/>
      <c r="W2314" s="121"/>
      <c r="X2314" s="121"/>
      <c r="Y2314" s="121"/>
      <c r="Z2314" s="121"/>
      <c r="AA2314" s="121">
        <v>18</v>
      </c>
      <c r="AB2314" s="229">
        <f t="shared" si="948"/>
        <v>0</v>
      </c>
      <c r="AC2314" s="228">
        <f t="shared" si="951"/>
        <v>19</v>
      </c>
      <c r="AD2314" s="19">
        <v>3</v>
      </c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>
        <f>7+36</f>
        <v>43</v>
      </c>
      <c r="AQ2314" s="28"/>
      <c r="AR2314" s="28"/>
      <c r="AS2314" s="28"/>
      <c r="AT2314" s="28"/>
      <c r="AU2314" s="28"/>
      <c r="AV2314" s="28">
        <f>9+37</f>
        <v>46</v>
      </c>
      <c r="AW2314" s="28"/>
      <c r="AX2314" s="28"/>
      <c r="AY2314" s="28"/>
      <c r="AZ2314" s="28"/>
      <c r="BA2314" s="28"/>
      <c r="BB2314" s="28">
        <v>10</v>
      </c>
      <c r="BC2314" s="229">
        <f t="shared" si="949"/>
        <v>0</v>
      </c>
      <c r="BD2314" s="48">
        <f t="shared" si="952"/>
        <v>99</v>
      </c>
      <c r="BE2314" s="19">
        <v>33</v>
      </c>
      <c r="BF2314" s="229">
        <f t="shared" si="950"/>
        <v>0</v>
      </c>
      <c r="BG2314" s="210">
        <f t="shared" si="953"/>
        <v>118</v>
      </c>
      <c r="BH2314" s="210">
        <f t="shared" si="954"/>
        <v>36</v>
      </c>
      <c r="BI2314" s="213">
        <f t="shared" si="947"/>
        <v>327.77777777777777</v>
      </c>
      <c r="BJ2314" s="141"/>
      <c r="BK2314" s="201"/>
      <c r="BL2314" s="4"/>
      <c r="BM2314" s="4"/>
    </row>
    <row r="2315" spans="1:65" s="38" customFormat="1" ht="18" customHeight="1">
      <c r="A2315" s="114">
        <v>148</v>
      </c>
      <c r="B2315" s="24" t="s">
        <v>732</v>
      </c>
      <c r="C2315" s="34" t="s">
        <v>733</v>
      </c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>
        <v>31</v>
      </c>
      <c r="AB2315" s="229">
        <f t="shared" si="948"/>
        <v>0</v>
      </c>
      <c r="AC2315" s="228">
        <f t="shared" si="951"/>
        <v>31</v>
      </c>
      <c r="AD2315" s="19">
        <v>3</v>
      </c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>
        <f>9+138</f>
        <v>147</v>
      </c>
      <c r="AQ2315" s="28"/>
      <c r="AR2315" s="28"/>
      <c r="AS2315" s="28"/>
      <c r="AT2315" s="28"/>
      <c r="AU2315" s="28"/>
      <c r="AV2315" s="28">
        <f>5+135</f>
        <v>140</v>
      </c>
      <c r="AW2315" s="28"/>
      <c r="AX2315" s="28"/>
      <c r="AY2315" s="28"/>
      <c r="AZ2315" s="28"/>
      <c r="BA2315" s="28"/>
      <c r="BB2315" s="28">
        <v>14</v>
      </c>
      <c r="BC2315" s="229">
        <f t="shared" si="949"/>
        <v>0</v>
      </c>
      <c r="BD2315" s="48">
        <f t="shared" si="952"/>
        <v>301</v>
      </c>
      <c r="BE2315" s="19">
        <v>66</v>
      </c>
      <c r="BF2315" s="229">
        <f t="shared" si="950"/>
        <v>0</v>
      </c>
      <c r="BG2315" s="210">
        <f t="shared" si="953"/>
        <v>332</v>
      </c>
      <c r="BH2315" s="210">
        <f t="shared" si="954"/>
        <v>69</v>
      </c>
      <c r="BI2315" s="213">
        <f t="shared" si="947"/>
        <v>481.15942028985506</v>
      </c>
      <c r="BJ2315" s="141"/>
      <c r="BK2315" s="201"/>
      <c r="BL2315" s="4"/>
      <c r="BM2315" s="4"/>
    </row>
    <row r="2316" spans="1:65" s="38" customFormat="1" ht="18" customHeight="1">
      <c r="A2316" s="114">
        <v>149</v>
      </c>
      <c r="B2316" s="24" t="s">
        <v>996</v>
      </c>
      <c r="C2316" s="25" t="s">
        <v>1026</v>
      </c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>
        <v>1</v>
      </c>
      <c r="AB2316" s="229">
        <f t="shared" si="948"/>
        <v>0</v>
      </c>
      <c r="AC2316" s="228">
        <f t="shared" si="951"/>
        <v>1</v>
      </c>
      <c r="AD2316" s="19">
        <v>0</v>
      </c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>
        <f>7+4</f>
        <v>11</v>
      </c>
      <c r="AQ2316" s="28"/>
      <c r="AR2316" s="28"/>
      <c r="AS2316" s="28"/>
      <c r="AT2316" s="28"/>
      <c r="AU2316" s="28"/>
      <c r="AV2316" s="28">
        <f>4+5</f>
        <v>9</v>
      </c>
      <c r="AW2316" s="28"/>
      <c r="AX2316" s="28"/>
      <c r="AY2316" s="28"/>
      <c r="AZ2316" s="28"/>
      <c r="BA2316" s="28"/>
      <c r="BB2316" s="28">
        <v>6</v>
      </c>
      <c r="BC2316" s="229">
        <f t="shared" si="949"/>
        <v>0</v>
      </c>
      <c r="BD2316" s="48">
        <f t="shared" si="952"/>
        <v>26</v>
      </c>
      <c r="BE2316" s="19">
        <v>24</v>
      </c>
      <c r="BF2316" s="229">
        <f t="shared" si="950"/>
        <v>0</v>
      </c>
      <c r="BG2316" s="210">
        <f t="shared" si="953"/>
        <v>27</v>
      </c>
      <c r="BH2316" s="210">
        <f t="shared" si="954"/>
        <v>24</v>
      </c>
      <c r="BI2316" s="213">
        <f t="shared" si="947"/>
        <v>112.5</v>
      </c>
      <c r="BJ2316" s="141"/>
      <c r="BK2316" s="201"/>
      <c r="BL2316" s="4"/>
      <c r="BM2316" s="4"/>
    </row>
    <row r="2317" spans="1:65" s="38" customFormat="1" ht="18" customHeight="1">
      <c r="A2317" s="114">
        <v>150</v>
      </c>
      <c r="B2317" s="24" t="s">
        <v>734</v>
      </c>
      <c r="C2317" s="34" t="s">
        <v>735</v>
      </c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>
        <v>2</v>
      </c>
      <c r="AB2317" s="229">
        <f t="shared" si="948"/>
        <v>0</v>
      </c>
      <c r="AC2317" s="228">
        <f t="shared" si="951"/>
        <v>2</v>
      </c>
      <c r="AD2317" s="19">
        <v>0</v>
      </c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>
        <f>2+18</f>
        <v>20</v>
      </c>
      <c r="AQ2317" s="28"/>
      <c r="AR2317" s="28"/>
      <c r="AS2317" s="28"/>
      <c r="AT2317" s="28"/>
      <c r="AU2317" s="28"/>
      <c r="AV2317" s="28">
        <f>1+8</f>
        <v>9</v>
      </c>
      <c r="AW2317" s="28"/>
      <c r="AX2317" s="28"/>
      <c r="AY2317" s="28"/>
      <c r="AZ2317" s="28"/>
      <c r="BA2317" s="28"/>
      <c r="BB2317" s="28">
        <v>5</v>
      </c>
      <c r="BC2317" s="229">
        <f t="shared" si="949"/>
        <v>0</v>
      </c>
      <c r="BD2317" s="48">
        <f t="shared" si="952"/>
        <v>34</v>
      </c>
      <c r="BE2317" s="19">
        <v>33</v>
      </c>
      <c r="BF2317" s="229">
        <f t="shared" si="950"/>
        <v>0</v>
      </c>
      <c r="BG2317" s="210">
        <f t="shared" si="953"/>
        <v>36</v>
      </c>
      <c r="BH2317" s="210">
        <f t="shared" si="954"/>
        <v>33</v>
      </c>
      <c r="BI2317" s="213">
        <f t="shared" si="947"/>
        <v>109.09090909090908</v>
      </c>
      <c r="BJ2317" s="141"/>
      <c r="BK2317" s="201"/>
      <c r="BL2317" s="4"/>
      <c r="BM2317" s="4"/>
    </row>
    <row r="2318" spans="1:65" s="38" customFormat="1" ht="18" customHeight="1">
      <c r="A2318" s="114">
        <v>151</v>
      </c>
      <c r="B2318" s="24" t="s">
        <v>736</v>
      </c>
      <c r="C2318" s="25" t="s">
        <v>1381</v>
      </c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229">
        <f t="shared" si="948"/>
        <v>0</v>
      </c>
      <c r="AC2318" s="228">
        <f t="shared" si="951"/>
        <v>0</v>
      </c>
      <c r="AD2318" s="19">
        <v>0</v>
      </c>
      <c r="AE2318" s="28"/>
      <c r="AF2318" s="28"/>
      <c r="AG2318" s="28"/>
      <c r="AH2318" s="28"/>
      <c r="AI2318" s="28"/>
      <c r="AJ2318" s="28">
        <v>1</v>
      </c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>
        <v>1</v>
      </c>
      <c r="AW2318" s="28"/>
      <c r="AX2318" s="28"/>
      <c r="AY2318" s="28"/>
      <c r="AZ2318" s="28"/>
      <c r="BA2318" s="28"/>
      <c r="BB2318" s="28">
        <v>3</v>
      </c>
      <c r="BC2318" s="229">
        <f t="shared" si="949"/>
        <v>0</v>
      </c>
      <c r="BD2318" s="48">
        <f t="shared" si="952"/>
        <v>5</v>
      </c>
      <c r="BE2318" s="19">
        <v>13</v>
      </c>
      <c r="BF2318" s="229">
        <f t="shared" si="950"/>
        <v>0</v>
      </c>
      <c r="BG2318" s="210">
        <f t="shared" si="953"/>
        <v>5</v>
      </c>
      <c r="BH2318" s="210">
        <f t="shared" si="954"/>
        <v>13</v>
      </c>
      <c r="BI2318" s="213">
        <f t="shared" si="947"/>
        <v>38.461538461538467</v>
      </c>
      <c r="BJ2318" s="141"/>
      <c r="BK2318" s="201"/>
      <c r="BL2318" s="4"/>
      <c r="BM2318" s="4"/>
    </row>
    <row r="2319" spans="1:65" s="38" customFormat="1" ht="18" customHeight="1">
      <c r="A2319" s="114">
        <v>152</v>
      </c>
      <c r="B2319" s="24" t="s">
        <v>738</v>
      </c>
      <c r="C2319" s="25" t="s">
        <v>1917</v>
      </c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229">
        <f t="shared" si="948"/>
        <v>0</v>
      </c>
      <c r="AC2319" s="228">
        <f t="shared" si="951"/>
        <v>0</v>
      </c>
      <c r="AD2319" s="19">
        <v>0</v>
      </c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>
        <f>3+1</f>
        <v>4</v>
      </c>
      <c r="AQ2319" s="28"/>
      <c r="AR2319" s="28"/>
      <c r="AS2319" s="28"/>
      <c r="AT2319" s="28"/>
      <c r="AU2319" s="28"/>
      <c r="AV2319" s="28"/>
      <c r="AW2319" s="28"/>
      <c r="AX2319" s="28"/>
      <c r="AY2319" s="28"/>
      <c r="AZ2319" s="28"/>
      <c r="BA2319" s="28"/>
      <c r="BB2319" s="28">
        <v>1</v>
      </c>
      <c r="BC2319" s="229">
        <f t="shared" si="949"/>
        <v>0</v>
      </c>
      <c r="BD2319" s="48">
        <f t="shared" si="952"/>
        <v>5</v>
      </c>
      <c r="BE2319" s="19">
        <v>8</v>
      </c>
      <c r="BF2319" s="229">
        <f t="shared" si="950"/>
        <v>0</v>
      </c>
      <c r="BG2319" s="210">
        <f t="shared" si="953"/>
        <v>5</v>
      </c>
      <c r="BH2319" s="210">
        <f t="shared" si="954"/>
        <v>8</v>
      </c>
      <c r="BI2319" s="213">
        <f t="shared" si="947"/>
        <v>62.5</v>
      </c>
      <c r="BJ2319" s="141"/>
      <c r="BK2319" s="201"/>
      <c r="BL2319" s="4"/>
      <c r="BM2319" s="4"/>
    </row>
    <row r="2320" spans="1:65" s="38" customFormat="1" ht="18" customHeight="1">
      <c r="A2320" s="114">
        <v>153</v>
      </c>
      <c r="B2320" s="24" t="s">
        <v>3002</v>
      </c>
      <c r="C2320" s="25" t="s">
        <v>3003</v>
      </c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229">
        <f t="shared" si="948"/>
        <v>0</v>
      </c>
      <c r="AC2320" s="228">
        <f t="shared" si="951"/>
        <v>0</v>
      </c>
      <c r="AD2320" s="19">
        <v>0</v>
      </c>
      <c r="AE2320" s="28"/>
      <c r="AF2320" s="28"/>
      <c r="AG2320" s="28"/>
      <c r="AH2320" s="28"/>
      <c r="AI2320" s="28"/>
      <c r="AJ2320" s="28">
        <v>1</v>
      </c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28"/>
      <c r="BA2320" s="28"/>
      <c r="BB2320" s="28"/>
      <c r="BC2320" s="229">
        <f t="shared" si="949"/>
        <v>0</v>
      </c>
      <c r="BD2320" s="48">
        <f t="shared" si="952"/>
        <v>1</v>
      </c>
      <c r="BE2320" s="19">
        <v>0</v>
      </c>
      <c r="BF2320" s="229">
        <f t="shared" si="950"/>
        <v>0</v>
      </c>
      <c r="BG2320" s="210">
        <f t="shared" si="953"/>
        <v>1</v>
      </c>
      <c r="BH2320" s="210">
        <f t="shared" si="954"/>
        <v>0</v>
      </c>
      <c r="BI2320" s="213" t="e">
        <f t="shared" si="947"/>
        <v>#DIV/0!</v>
      </c>
      <c r="BJ2320" s="141"/>
      <c r="BK2320" s="201"/>
      <c r="BL2320" s="4"/>
      <c r="BM2320" s="4"/>
    </row>
    <row r="2321" spans="1:65" s="38" customFormat="1" ht="18" customHeight="1">
      <c r="A2321" s="114">
        <v>154</v>
      </c>
      <c r="B2321" s="24" t="s">
        <v>797</v>
      </c>
      <c r="C2321" s="25" t="s">
        <v>798</v>
      </c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229">
        <f t="shared" si="948"/>
        <v>0</v>
      </c>
      <c r="AC2321" s="228">
        <f t="shared" si="951"/>
        <v>0</v>
      </c>
      <c r="AD2321" s="19">
        <v>0</v>
      </c>
      <c r="AE2321" s="28"/>
      <c r="AF2321" s="28"/>
      <c r="AG2321" s="28"/>
      <c r="AH2321" s="28"/>
      <c r="AI2321" s="28"/>
      <c r="AJ2321" s="28">
        <f>1+1+1+578</f>
        <v>581</v>
      </c>
      <c r="AK2321" s="28"/>
      <c r="AL2321" s="28"/>
      <c r="AM2321" s="28"/>
      <c r="AN2321" s="28"/>
      <c r="AO2321" s="28"/>
      <c r="AP2321" s="28">
        <v>3</v>
      </c>
      <c r="AQ2321" s="28"/>
      <c r="AR2321" s="28"/>
      <c r="AS2321" s="28"/>
      <c r="AT2321" s="28"/>
      <c r="AU2321" s="28"/>
      <c r="AV2321" s="28">
        <v>597</v>
      </c>
      <c r="AW2321" s="28"/>
      <c r="AX2321" s="28"/>
      <c r="AY2321" s="28"/>
      <c r="AZ2321" s="28"/>
      <c r="BA2321" s="28"/>
      <c r="BB2321" s="28">
        <v>666</v>
      </c>
      <c r="BC2321" s="229">
        <f t="shared" si="949"/>
        <v>0</v>
      </c>
      <c r="BD2321" s="48">
        <f t="shared" si="952"/>
        <v>1847</v>
      </c>
      <c r="BE2321" s="19">
        <v>3347</v>
      </c>
      <c r="BF2321" s="229">
        <f t="shared" si="950"/>
        <v>0</v>
      </c>
      <c r="BG2321" s="210">
        <f t="shared" si="953"/>
        <v>1847</v>
      </c>
      <c r="BH2321" s="210">
        <f t="shared" si="954"/>
        <v>3347</v>
      </c>
      <c r="BI2321" s="213">
        <f t="shared" si="947"/>
        <v>55.183746638780995</v>
      </c>
      <c r="BJ2321" s="141"/>
      <c r="BK2321" s="201"/>
      <c r="BL2321" s="4"/>
      <c r="BM2321" s="4"/>
    </row>
    <row r="2322" spans="1:65" s="38" customFormat="1" ht="18" customHeight="1">
      <c r="A2322" s="114">
        <v>155</v>
      </c>
      <c r="B2322" s="24" t="s">
        <v>653</v>
      </c>
      <c r="C2322" s="25" t="s">
        <v>654</v>
      </c>
      <c r="D2322" s="121"/>
      <c r="E2322" s="121"/>
      <c r="F2322" s="121"/>
      <c r="G2322" s="121"/>
      <c r="H2322" s="121"/>
      <c r="I2322" s="121">
        <v>2</v>
      </c>
      <c r="J2322" s="121"/>
      <c r="K2322" s="121"/>
      <c r="L2322" s="121"/>
      <c r="M2322" s="121"/>
      <c r="N2322" s="121"/>
      <c r="O2322" s="121">
        <f>10+4</f>
        <v>14</v>
      </c>
      <c r="P2322" s="121"/>
      <c r="Q2322" s="121"/>
      <c r="R2322" s="121"/>
      <c r="S2322" s="121"/>
      <c r="T2322" s="121"/>
      <c r="U2322" s="121">
        <f>3+5</f>
        <v>8</v>
      </c>
      <c r="V2322" s="121"/>
      <c r="W2322" s="121"/>
      <c r="X2322" s="121"/>
      <c r="Y2322" s="121"/>
      <c r="Z2322" s="121"/>
      <c r="AA2322" s="121">
        <v>4</v>
      </c>
      <c r="AB2322" s="229">
        <f t="shared" si="948"/>
        <v>0</v>
      </c>
      <c r="AC2322" s="228">
        <f t="shared" si="951"/>
        <v>28</v>
      </c>
      <c r="AD2322" s="19">
        <v>18</v>
      </c>
      <c r="AE2322" s="28"/>
      <c r="AF2322" s="28"/>
      <c r="AG2322" s="28"/>
      <c r="AH2322" s="28"/>
      <c r="AI2322" s="28"/>
      <c r="AJ2322" s="28">
        <f>317+254</f>
        <v>571</v>
      </c>
      <c r="AK2322" s="28"/>
      <c r="AL2322" s="28"/>
      <c r="AM2322" s="28"/>
      <c r="AN2322" s="28"/>
      <c r="AO2322" s="28"/>
      <c r="AP2322" s="28">
        <f>348+264</f>
        <v>612</v>
      </c>
      <c r="AQ2322" s="28"/>
      <c r="AR2322" s="28"/>
      <c r="AS2322" s="28"/>
      <c r="AT2322" s="28"/>
      <c r="AU2322" s="28"/>
      <c r="AV2322" s="28">
        <v>267</v>
      </c>
      <c r="AW2322" s="28"/>
      <c r="AX2322" s="28"/>
      <c r="AY2322" s="28"/>
      <c r="AZ2322" s="28"/>
      <c r="BA2322" s="28"/>
      <c r="BB2322" s="28">
        <f>326+260</f>
        <v>586</v>
      </c>
      <c r="BC2322" s="229">
        <f t="shared" si="949"/>
        <v>0</v>
      </c>
      <c r="BD2322" s="48">
        <f t="shared" si="952"/>
        <v>2036</v>
      </c>
      <c r="BE2322" s="19">
        <f>1010+1</f>
        <v>1011</v>
      </c>
      <c r="BF2322" s="229">
        <f t="shared" si="950"/>
        <v>0</v>
      </c>
      <c r="BG2322" s="210">
        <f t="shared" si="953"/>
        <v>2064</v>
      </c>
      <c r="BH2322" s="210">
        <f t="shared" si="954"/>
        <v>1029</v>
      </c>
      <c r="BI2322" s="213">
        <f t="shared" si="947"/>
        <v>200.58309037900875</v>
      </c>
      <c r="BJ2322" s="141"/>
      <c r="BK2322" s="201"/>
      <c r="BL2322" s="4"/>
      <c r="BM2322" s="4"/>
    </row>
    <row r="2323" spans="1:65" s="38" customFormat="1" ht="18" customHeight="1">
      <c r="A2323" s="114">
        <v>156</v>
      </c>
      <c r="B2323" s="24" t="s">
        <v>655</v>
      </c>
      <c r="C2323" s="25" t="s">
        <v>997</v>
      </c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229">
        <f t="shared" si="948"/>
        <v>0</v>
      </c>
      <c r="AC2323" s="228">
        <f t="shared" si="951"/>
        <v>0</v>
      </c>
      <c r="AD2323" s="19">
        <v>0</v>
      </c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29">
        <f t="shared" si="949"/>
        <v>0</v>
      </c>
      <c r="BD2323" s="48">
        <f t="shared" si="952"/>
        <v>0</v>
      </c>
      <c r="BE2323" s="19">
        <v>1</v>
      </c>
      <c r="BF2323" s="229">
        <f t="shared" si="950"/>
        <v>0</v>
      </c>
      <c r="BG2323" s="210">
        <f t="shared" si="953"/>
        <v>0</v>
      </c>
      <c r="BH2323" s="210">
        <f t="shared" si="954"/>
        <v>1</v>
      </c>
      <c r="BI2323" s="213">
        <f t="shared" si="947"/>
        <v>0</v>
      </c>
      <c r="BJ2323" s="141"/>
      <c r="BK2323" s="201"/>
      <c r="BL2323" s="4"/>
      <c r="BM2323" s="4"/>
    </row>
    <row r="2324" spans="1:65" s="38" customFormat="1" ht="18" customHeight="1">
      <c r="A2324" s="114">
        <v>157</v>
      </c>
      <c r="B2324" s="24" t="s">
        <v>2236</v>
      </c>
      <c r="C2324" s="25" t="s">
        <v>2089</v>
      </c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229">
        <f t="shared" si="948"/>
        <v>0</v>
      </c>
      <c r="AC2324" s="228">
        <f t="shared" si="951"/>
        <v>0</v>
      </c>
      <c r="AD2324" s="19">
        <v>0</v>
      </c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  <c r="AZ2324" s="28"/>
      <c r="BA2324" s="28"/>
      <c r="BB2324" s="28"/>
      <c r="BC2324" s="229">
        <f t="shared" si="949"/>
        <v>0</v>
      </c>
      <c r="BD2324" s="48">
        <f t="shared" si="952"/>
        <v>0</v>
      </c>
      <c r="BE2324" s="19">
        <v>14</v>
      </c>
      <c r="BF2324" s="229">
        <f t="shared" si="950"/>
        <v>0</v>
      </c>
      <c r="BG2324" s="210">
        <f t="shared" si="953"/>
        <v>0</v>
      </c>
      <c r="BH2324" s="210">
        <f t="shared" si="954"/>
        <v>14</v>
      </c>
      <c r="BI2324" s="213">
        <f t="shared" si="947"/>
        <v>0</v>
      </c>
      <c r="BJ2324" s="141"/>
      <c r="BK2324" s="201"/>
      <c r="BL2324" s="4"/>
      <c r="BM2324" s="4"/>
    </row>
    <row r="2325" spans="1:65" s="38" customFormat="1" ht="18" customHeight="1">
      <c r="A2325" s="114">
        <v>158</v>
      </c>
      <c r="B2325" s="24" t="s">
        <v>1094</v>
      </c>
      <c r="C2325" s="25" t="s">
        <v>654</v>
      </c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229">
        <f t="shared" si="948"/>
        <v>0</v>
      </c>
      <c r="AC2325" s="228">
        <f t="shared" si="951"/>
        <v>0</v>
      </c>
      <c r="AD2325" s="19">
        <v>0</v>
      </c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29">
        <f t="shared" si="949"/>
        <v>0</v>
      </c>
      <c r="BD2325" s="48">
        <f t="shared" si="952"/>
        <v>0</v>
      </c>
      <c r="BE2325" s="19">
        <v>1</v>
      </c>
      <c r="BF2325" s="229">
        <f t="shared" si="950"/>
        <v>0</v>
      </c>
      <c r="BG2325" s="210">
        <f t="shared" si="953"/>
        <v>0</v>
      </c>
      <c r="BH2325" s="210">
        <f t="shared" si="954"/>
        <v>1</v>
      </c>
      <c r="BI2325" s="213">
        <f t="shared" si="947"/>
        <v>0</v>
      </c>
      <c r="BJ2325" s="141"/>
      <c r="BK2325" s="201"/>
      <c r="BL2325" s="4"/>
      <c r="BM2325" s="4"/>
    </row>
    <row r="2326" spans="1:65" s="38" customFormat="1" ht="18" customHeight="1">
      <c r="A2326" s="114">
        <v>159</v>
      </c>
      <c r="B2326" s="24" t="s">
        <v>822</v>
      </c>
      <c r="C2326" s="25" t="s">
        <v>823</v>
      </c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>
        <v>6</v>
      </c>
      <c r="V2326" s="121"/>
      <c r="W2326" s="121"/>
      <c r="X2326" s="121"/>
      <c r="Y2326" s="121"/>
      <c r="Z2326" s="121"/>
      <c r="AA2326" s="121">
        <v>8</v>
      </c>
      <c r="AB2326" s="229">
        <f t="shared" si="948"/>
        <v>0</v>
      </c>
      <c r="AC2326" s="228">
        <f t="shared" si="951"/>
        <v>14</v>
      </c>
      <c r="AD2326" s="19">
        <v>15</v>
      </c>
      <c r="AE2326" s="28"/>
      <c r="AF2326" s="28"/>
      <c r="AG2326" s="28"/>
      <c r="AH2326" s="28"/>
      <c r="AI2326" s="28"/>
      <c r="AJ2326" s="28">
        <f>4+2+1176+1606</f>
        <v>2788</v>
      </c>
      <c r="AK2326" s="28"/>
      <c r="AL2326" s="28"/>
      <c r="AM2326" s="28"/>
      <c r="AN2326" s="28"/>
      <c r="AO2326" s="28"/>
      <c r="AP2326" s="28">
        <f>12+1429+1+1498+1+4</f>
        <v>2945</v>
      </c>
      <c r="AQ2326" s="28"/>
      <c r="AR2326" s="28"/>
      <c r="AS2326" s="28"/>
      <c r="AT2326" s="28"/>
      <c r="AU2326" s="28"/>
      <c r="AV2326" s="28">
        <f>1204+1856+1+8</f>
        <v>3069</v>
      </c>
      <c r="AW2326" s="28"/>
      <c r="AX2326" s="28"/>
      <c r="AY2326" s="28"/>
      <c r="AZ2326" s="28"/>
      <c r="BA2326" s="28"/>
      <c r="BB2326" s="28">
        <f>1609+1486</f>
        <v>3095</v>
      </c>
      <c r="BC2326" s="229">
        <f t="shared" si="949"/>
        <v>0</v>
      </c>
      <c r="BD2326" s="48">
        <f t="shared" si="952"/>
        <v>11897</v>
      </c>
      <c r="BE2326" s="19">
        <v>9997</v>
      </c>
      <c r="BF2326" s="229">
        <f t="shared" si="950"/>
        <v>0</v>
      </c>
      <c r="BG2326" s="210">
        <f t="shared" si="953"/>
        <v>11911</v>
      </c>
      <c r="BH2326" s="210">
        <f t="shared" si="954"/>
        <v>10012</v>
      </c>
      <c r="BI2326" s="213">
        <f t="shared" si="947"/>
        <v>118.9672393128246</v>
      </c>
      <c r="BJ2326" s="141"/>
      <c r="BK2326" s="201"/>
      <c r="BL2326" s="4"/>
      <c r="BM2326" s="4"/>
    </row>
    <row r="2327" spans="1:65" s="38" customFormat="1" ht="18" customHeight="1">
      <c r="A2327" s="330"/>
      <c r="B2327" s="331" t="s">
        <v>1920</v>
      </c>
      <c r="C2327" s="332" t="s">
        <v>1921</v>
      </c>
      <c r="D2327" s="333"/>
      <c r="E2327" s="333"/>
      <c r="F2327" s="333"/>
      <c r="G2327" s="333"/>
      <c r="H2327" s="333"/>
      <c r="I2327" s="333"/>
      <c r="J2327" s="333"/>
      <c r="K2327" s="333"/>
      <c r="L2327" s="333"/>
      <c r="M2327" s="333"/>
      <c r="N2327" s="333"/>
      <c r="O2327" s="333"/>
      <c r="P2327" s="333"/>
      <c r="Q2327" s="333"/>
      <c r="R2327" s="333"/>
      <c r="S2327" s="333"/>
      <c r="T2327" s="333"/>
      <c r="U2327" s="333"/>
      <c r="V2327" s="333"/>
      <c r="W2327" s="333"/>
      <c r="X2327" s="333"/>
      <c r="Y2327" s="333"/>
      <c r="Z2327" s="333"/>
      <c r="AA2327" s="333">
        <v>5</v>
      </c>
      <c r="AB2327" s="323"/>
      <c r="AC2327" s="228">
        <f t="shared" si="951"/>
        <v>5</v>
      </c>
      <c r="AD2327" s="326">
        <v>0</v>
      </c>
      <c r="AE2327" s="334"/>
      <c r="AF2327" s="334"/>
      <c r="AG2327" s="334"/>
      <c r="AH2327" s="334"/>
      <c r="AI2327" s="334"/>
      <c r="AJ2327" s="334"/>
      <c r="AK2327" s="334"/>
      <c r="AL2327" s="334"/>
      <c r="AM2327" s="334"/>
      <c r="AN2327" s="334"/>
      <c r="AO2327" s="334"/>
      <c r="AP2327" s="334"/>
      <c r="AQ2327" s="334"/>
      <c r="AR2327" s="334"/>
      <c r="AS2327" s="334"/>
      <c r="AT2327" s="334"/>
      <c r="AU2327" s="334"/>
      <c r="AV2327" s="334"/>
      <c r="AW2327" s="334"/>
      <c r="AX2327" s="334"/>
      <c r="AY2327" s="334"/>
      <c r="AZ2327" s="334"/>
      <c r="BA2327" s="334"/>
      <c r="BB2327" s="334"/>
      <c r="BC2327" s="323"/>
      <c r="BD2327" s="48">
        <f t="shared" si="952"/>
        <v>0</v>
      </c>
      <c r="BE2327" s="326">
        <v>0</v>
      </c>
      <c r="BF2327" s="323"/>
      <c r="BG2327" s="210">
        <f t="shared" ref="BG2327" si="955">AC2327+BD2327</f>
        <v>5</v>
      </c>
      <c r="BH2327" s="210">
        <f t="shared" ref="BH2327" si="956">AD2327+BE2327</f>
        <v>0</v>
      </c>
      <c r="BI2327" s="213" t="e">
        <f t="shared" ref="BI2327" si="957">BG2327/BH2327*100</f>
        <v>#DIV/0!</v>
      </c>
      <c r="BJ2327" s="141"/>
      <c r="BK2327" s="201"/>
      <c r="BL2327" s="4"/>
      <c r="BM2327" s="4"/>
    </row>
    <row r="2328" spans="1:65" s="38" customFormat="1" ht="18" customHeight="1">
      <c r="A2328" s="114">
        <v>160</v>
      </c>
      <c r="B2328" s="24" t="s">
        <v>1250</v>
      </c>
      <c r="C2328" s="25" t="s">
        <v>1583</v>
      </c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229">
        <f t="shared" si="948"/>
        <v>0</v>
      </c>
      <c r="AC2328" s="228">
        <f t="shared" si="951"/>
        <v>0</v>
      </c>
      <c r="AD2328" s="19">
        <v>0</v>
      </c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  <c r="AZ2328" s="28"/>
      <c r="BA2328" s="28"/>
      <c r="BB2328" s="28"/>
      <c r="BC2328" s="229">
        <f t="shared" si="949"/>
        <v>0</v>
      </c>
      <c r="BD2328" s="48">
        <f t="shared" si="952"/>
        <v>0</v>
      </c>
      <c r="BE2328" s="19">
        <v>1</v>
      </c>
      <c r="BF2328" s="229">
        <f t="shared" si="950"/>
        <v>0</v>
      </c>
      <c r="BG2328" s="210">
        <f t="shared" si="953"/>
        <v>0</v>
      </c>
      <c r="BH2328" s="210">
        <f t="shared" si="954"/>
        <v>1</v>
      </c>
      <c r="BI2328" s="213">
        <f t="shared" si="947"/>
        <v>0</v>
      </c>
      <c r="BJ2328" s="141"/>
      <c r="BK2328" s="201"/>
      <c r="BL2328" s="4"/>
      <c r="BM2328" s="4"/>
    </row>
    <row r="2329" spans="1:65" s="38" customFormat="1" ht="18" customHeight="1">
      <c r="A2329" s="114">
        <v>161</v>
      </c>
      <c r="B2329" s="24" t="s">
        <v>776</v>
      </c>
      <c r="C2329" s="25" t="s">
        <v>777</v>
      </c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>
        <v>2</v>
      </c>
      <c r="V2329" s="121"/>
      <c r="W2329" s="121"/>
      <c r="X2329" s="121"/>
      <c r="Y2329" s="121"/>
      <c r="Z2329" s="121"/>
      <c r="AA2329" s="121">
        <v>2</v>
      </c>
      <c r="AB2329" s="229">
        <f t="shared" si="948"/>
        <v>0</v>
      </c>
      <c r="AC2329" s="228">
        <f t="shared" si="951"/>
        <v>4</v>
      </c>
      <c r="AD2329" s="19">
        <v>0</v>
      </c>
      <c r="AE2329" s="28"/>
      <c r="AF2329" s="28"/>
      <c r="AG2329" s="28"/>
      <c r="AH2329" s="28"/>
      <c r="AI2329" s="28"/>
      <c r="AJ2329" s="28">
        <v>54</v>
      </c>
      <c r="AK2329" s="28"/>
      <c r="AL2329" s="28"/>
      <c r="AM2329" s="28"/>
      <c r="AN2329" s="28"/>
      <c r="AO2329" s="28"/>
      <c r="AP2329" s="28">
        <f>56+3</f>
        <v>59</v>
      </c>
      <c r="AQ2329" s="28"/>
      <c r="AR2329" s="28"/>
      <c r="AS2329" s="28"/>
      <c r="AT2329" s="28"/>
      <c r="AU2329" s="28"/>
      <c r="AV2329" s="28">
        <f>46+4</f>
        <v>50</v>
      </c>
      <c r="AW2329" s="28"/>
      <c r="AX2329" s="28"/>
      <c r="AY2329" s="28"/>
      <c r="AZ2329" s="28"/>
      <c r="BA2329" s="28"/>
      <c r="BB2329" s="28">
        <v>63</v>
      </c>
      <c r="BC2329" s="229">
        <f t="shared" si="949"/>
        <v>0</v>
      </c>
      <c r="BD2329" s="48">
        <f t="shared" si="952"/>
        <v>226</v>
      </c>
      <c r="BE2329" s="19">
        <v>278</v>
      </c>
      <c r="BF2329" s="229">
        <f t="shared" si="950"/>
        <v>0</v>
      </c>
      <c r="BG2329" s="210">
        <f t="shared" si="953"/>
        <v>230</v>
      </c>
      <c r="BH2329" s="210">
        <f t="shared" si="954"/>
        <v>278</v>
      </c>
      <c r="BI2329" s="213">
        <f t="shared" ref="BI2329:BI2361" si="958">BG2329/BH2329*100</f>
        <v>82.733812949640281</v>
      </c>
      <c r="BJ2329" s="141"/>
      <c r="BK2329" s="201"/>
      <c r="BL2329" s="4"/>
      <c r="BM2329" s="4"/>
    </row>
    <row r="2330" spans="1:65" s="38" customFormat="1" ht="18" customHeight="1">
      <c r="A2330" s="114">
        <v>162</v>
      </c>
      <c r="B2330" s="24" t="s">
        <v>740</v>
      </c>
      <c r="C2330" s="25" t="s">
        <v>1712</v>
      </c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229">
        <f t="shared" si="948"/>
        <v>0</v>
      </c>
      <c r="AC2330" s="228">
        <f t="shared" si="951"/>
        <v>0</v>
      </c>
      <c r="AD2330" s="19">
        <v>0</v>
      </c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  <c r="AZ2330" s="28"/>
      <c r="BA2330" s="28"/>
      <c r="BB2330" s="28"/>
      <c r="BC2330" s="229">
        <f t="shared" si="949"/>
        <v>0</v>
      </c>
      <c r="BD2330" s="48">
        <f t="shared" si="952"/>
        <v>0</v>
      </c>
      <c r="BE2330" s="19">
        <v>1</v>
      </c>
      <c r="BF2330" s="229">
        <f t="shared" si="950"/>
        <v>0</v>
      </c>
      <c r="BG2330" s="210">
        <f t="shared" si="953"/>
        <v>0</v>
      </c>
      <c r="BH2330" s="210">
        <f t="shared" si="954"/>
        <v>1</v>
      </c>
      <c r="BI2330" s="213">
        <f t="shared" si="958"/>
        <v>0</v>
      </c>
      <c r="BJ2330" s="141"/>
      <c r="BK2330" s="201"/>
      <c r="BL2330" s="4"/>
      <c r="BM2330" s="4"/>
    </row>
    <row r="2331" spans="1:65" s="38" customFormat="1" ht="18" customHeight="1">
      <c r="A2331" s="330"/>
      <c r="B2331" s="331" t="s">
        <v>2051</v>
      </c>
      <c r="C2331" s="332" t="s">
        <v>2052</v>
      </c>
      <c r="D2331" s="333"/>
      <c r="E2331" s="333"/>
      <c r="F2331" s="333"/>
      <c r="G2331" s="333"/>
      <c r="H2331" s="333"/>
      <c r="I2331" s="333"/>
      <c r="J2331" s="333"/>
      <c r="K2331" s="333"/>
      <c r="L2331" s="333"/>
      <c r="M2331" s="333"/>
      <c r="N2331" s="333"/>
      <c r="O2331" s="333"/>
      <c r="P2331" s="333"/>
      <c r="Q2331" s="333"/>
      <c r="R2331" s="333"/>
      <c r="S2331" s="333"/>
      <c r="T2331" s="333"/>
      <c r="U2331" s="333"/>
      <c r="V2331" s="333"/>
      <c r="W2331" s="333"/>
      <c r="X2331" s="333"/>
      <c r="Y2331" s="333"/>
      <c r="Z2331" s="333"/>
      <c r="AA2331" s="333">
        <v>5</v>
      </c>
      <c r="AB2331" s="323"/>
      <c r="AC2331" s="228">
        <f t="shared" si="951"/>
        <v>5</v>
      </c>
      <c r="AD2331" s="326">
        <v>0</v>
      </c>
      <c r="AE2331" s="334"/>
      <c r="AF2331" s="334"/>
      <c r="AG2331" s="334"/>
      <c r="AH2331" s="334"/>
      <c r="AI2331" s="334"/>
      <c r="AJ2331" s="334"/>
      <c r="AK2331" s="334"/>
      <c r="AL2331" s="334"/>
      <c r="AM2331" s="334"/>
      <c r="AN2331" s="334"/>
      <c r="AO2331" s="334"/>
      <c r="AP2331" s="334"/>
      <c r="AQ2331" s="334"/>
      <c r="AR2331" s="334"/>
      <c r="AS2331" s="334"/>
      <c r="AT2331" s="334"/>
      <c r="AU2331" s="334"/>
      <c r="AV2331" s="334"/>
      <c r="AW2331" s="334"/>
      <c r="AX2331" s="334"/>
      <c r="AY2331" s="334"/>
      <c r="AZ2331" s="334"/>
      <c r="BA2331" s="334"/>
      <c r="BB2331" s="334"/>
      <c r="BC2331" s="323"/>
      <c r="BD2331" s="48">
        <f t="shared" si="952"/>
        <v>0</v>
      </c>
      <c r="BE2331" s="326">
        <v>0</v>
      </c>
      <c r="BF2331" s="323"/>
      <c r="BG2331" s="210">
        <f t="shared" ref="BG2331:BG2332" si="959">AC2331+BD2331</f>
        <v>5</v>
      </c>
      <c r="BH2331" s="210">
        <f t="shared" ref="BH2331:BH2332" si="960">AD2331+BE2331</f>
        <v>0</v>
      </c>
      <c r="BI2331" s="213" t="e">
        <f t="shared" ref="BI2331:BI2332" si="961">BG2331/BH2331*100</f>
        <v>#DIV/0!</v>
      </c>
      <c r="BJ2331" s="141"/>
      <c r="BK2331" s="201"/>
      <c r="BL2331" s="4"/>
      <c r="BM2331" s="4"/>
    </row>
    <row r="2332" spans="1:65" s="38" customFormat="1" ht="18" customHeight="1">
      <c r="A2332" s="114">
        <v>163</v>
      </c>
      <c r="B2332" s="24" t="s">
        <v>800</v>
      </c>
      <c r="C2332" s="25" t="s">
        <v>801</v>
      </c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229">
        <f t="shared" si="948"/>
        <v>0</v>
      </c>
      <c r="AC2332" s="228">
        <f t="shared" si="951"/>
        <v>0</v>
      </c>
      <c r="AD2332" s="19">
        <v>0</v>
      </c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>
        <v>1</v>
      </c>
      <c r="AQ2332" s="28"/>
      <c r="AR2332" s="28"/>
      <c r="AS2332" s="28"/>
      <c r="AT2332" s="28"/>
      <c r="AU2332" s="28"/>
      <c r="AV2332" s="28">
        <v>25</v>
      </c>
      <c r="AW2332" s="28"/>
      <c r="AX2332" s="28"/>
      <c r="AY2332" s="28"/>
      <c r="AZ2332" s="28"/>
      <c r="BA2332" s="28"/>
      <c r="BB2332" s="28"/>
      <c r="BC2332" s="229">
        <f t="shared" si="949"/>
        <v>0</v>
      </c>
      <c r="BD2332" s="48">
        <f t="shared" si="952"/>
        <v>26</v>
      </c>
      <c r="BE2332" s="19">
        <v>168</v>
      </c>
      <c r="BF2332" s="229">
        <f t="shared" si="950"/>
        <v>0</v>
      </c>
      <c r="BG2332" s="210">
        <f t="shared" si="959"/>
        <v>26</v>
      </c>
      <c r="BH2332" s="210">
        <f t="shared" si="960"/>
        <v>168</v>
      </c>
      <c r="BI2332" s="213">
        <f t="shared" si="961"/>
        <v>15.476190476190476</v>
      </c>
      <c r="BJ2332" s="141"/>
      <c r="BK2332" s="201"/>
      <c r="BL2332" s="4"/>
      <c r="BM2332" s="4"/>
    </row>
    <row r="2333" spans="1:65" s="38" customFormat="1" ht="21.95" customHeight="1">
      <c r="A2333" s="114">
        <v>164</v>
      </c>
      <c r="B2333" s="24" t="s">
        <v>657</v>
      </c>
      <c r="C2333" s="27" t="s">
        <v>1401</v>
      </c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>
        <v>1</v>
      </c>
      <c r="V2333" s="121"/>
      <c r="W2333" s="121"/>
      <c r="X2333" s="121"/>
      <c r="Y2333" s="121"/>
      <c r="Z2333" s="121"/>
      <c r="AA2333" s="121"/>
      <c r="AB2333" s="229">
        <f t="shared" si="948"/>
        <v>0</v>
      </c>
      <c r="AC2333" s="228">
        <f t="shared" si="951"/>
        <v>1</v>
      </c>
      <c r="AD2333" s="19">
        <v>8</v>
      </c>
      <c r="AE2333" s="28"/>
      <c r="AF2333" s="28"/>
      <c r="AG2333" s="28"/>
      <c r="AH2333" s="28"/>
      <c r="AI2333" s="28"/>
      <c r="AJ2333" s="28">
        <f>6+12+3+4+23</f>
        <v>48</v>
      </c>
      <c r="AK2333" s="28"/>
      <c r="AL2333" s="28"/>
      <c r="AM2333" s="28"/>
      <c r="AN2333" s="28"/>
      <c r="AO2333" s="28"/>
      <c r="AP2333" s="28">
        <f>8+2+14</f>
        <v>24</v>
      </c>
      <c r="AQ2333" s="28"/>
      <c r="AR2333" s="28"/>
      <c r="AS2333" s="28"/>
      <c r="AT2333" s="28"/>
      <c r="AU2333" s="28"/>
      <c r="AV2333" s="28">
        <f>6+6+1+33</f>
        <v>46</v>
      </c>
      <c r="AW2333" s="28"/>
      <c r="AX2333" s="28"/>
      <c r="AY2333" s="28"/>
      <c r="AZ2333" s="28"/>
      <c r="BA2333" s="28"/>
      <c r="BB2333" s="28">
        <f>10+25</f>
        <v>35</v>
      </c>
      <c r="BC2333" s="229">
        <f t="shared" si="949"/>
        <v>0</v>
      </c>
      <c r="BD2333" s="48">
        <f t="shared" si="952"/>
        <v>153</v>
      </c>
      <c r="BE2333" s="19">
        <v>340</v>
      </c>
      <c r="BF2333" s="229">
        <f t="shared" si="950"/>
        <v>0</v>
      </c>
      <c r="BG2333" s="210">
        <f t="shared" si="953"/>
        <v>154</v>
      </c>
      <c r="BH2333" s="210">
        <f t="shared" si="954"/>
        <v>348</v>
      </c>
      <c r="BI2333" s="213">
        <f t="shared" si="958"/>
        <v>44.252873563218394</v>
      </c>
      <c r="BJ2333" s="141"/>
      <c r="BK2333" s="201"/>
      <c r="BL2333" s="4"/>
      <c r="BM2333" s="4"/>
    </row>
    <row r="2334" spans="1:65" s="38" customFormat="1" ht="21.95" customHeight="1">
      <c r="A2334" s="114">
        <v>165</v>
      </c>
      <c r="B2334" s="24" t="s">
        <v>658</v>
      </c>
      <c r="C2334" s="25" t="s">
        <v>779</v>
      </c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229">
        <f t="shared" si="948"/>
        <v>0</v>
      </c>
      <c r="AC2334" s="228">
        <f t="shared" si="951"/>
        <v>0</v>
      </c>
      <c r="AD2334" s="19">
        <v>0</v>
      </c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  <c r="AZ2334" s="28"/>
      <c r="BA2334" s="28"/>
      <c r="BB2334" s="28"/>
      <c r="BC2334" s="229">
        <f t="shared" si="949"/>
        <v>0</v>
      </c>
      <c r="BD2334" s="48">
        <f t="shared" si="952"/>
        <v>0</v>
      </c>
      <c r="BE2334" s="19">
        <v>1</v>
      </c>
      <c r="BF2334" s="229">
        <f t="shared" si="950"/>
        <v>0</v>
      </c>
      <c r="BG2334" s="210">
        <f t="shared" si="953"/>
        <v>0</v>
      </c>
      <c r="BH2334" s="210">
        <f t="shared" si="954"/>
        <v>1</v>
      </c>
      <c r="BI2334" s="213">
        <f t="shared" si="958"/>
        <v>0</v>
      </c>
      <c r="BJ2334" s="141"/>
      <c r="BK2334" s="201"/>
      <c r="BL2334" s="4"/>
      <c r="BM2334" s="4"/>
    </row>
    <row r="2335" spans="1:65" s="38" customFormat="1" ht="18" customHeight="1">
      <c r="A2335" s="114">
        <v>166</v>
      </c>
      <c r="B2335" s="24" t="s">
        <v>780</v>
      </c>
      <c r="C2335" s="25" t="s">
        <v>781</v>
      </c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229">
        <f t="shared" si="948"/>
        <v>0</v>
      </c>
      <c r="AC2335" s="228">
        <f t="shared" si="951"/>
        <v>0</v>
      </c>
      <c r="AD2335" s="19">
        <v>0</v>
      </c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29">
        <f t="shared" si="949"/>
        <v>0</v>
      </c>
      <c r="BD2335" s="48">
        <f t="shared" si="952"/>
        <v>0</v>
      </c>
      <c r="BE2335" s="19">
        <v>1</v>
      </c>
      <c r="BF2335" s="229">
        <f t="shared" si="950"/>
        <v>0</v>
      </c>
      <c r="BG2335" s="210">
        <f t="shared" si="953"/>
        <v>0</v>
      </c>
      <c r="BH2335" s="210">
        <f t="shared" si="954"/>
        <v>1</v>
      </c>
      <c r="BI2335" s="213">
        <f t="shared" si="958"/>
        <v>0</v>
      </c>
      <c r="BJ2335" s="141"/>
      <c r="BK2335" s="201"/>
      <c r="BL2335" s="4"/>
      <c r="BM2335" s="4"/>
    </row>
    <row r="2336" spans="1:65" s="38" customFormat="1" ht="18" customHeight="1">
      <c r="A2336" s="114">
        <v>167</v>
      </c>
      <c r="B2336" s="24" t="s">
        <v>782</v>
      </c>
      <c r="C2336" s="25" t="s">
        <v>783</v>
      </c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>
        <v>5</v>
      </c>
      <c r="V2336" s="121"/>
      <c r="W2336" s="121"/>
      <c r="X2336" s="121"/>
      <c r="Y2336" s="121"/>
      <c r="Z2336" s="121"/>
      <c r="AA2336" s="121">
        <v>1</v>
      </c>
      <c r="AB2336" s="229">
        <f t="shared" si="948"/>
        <v>0</v>
      </c>
      <c r="AC2336" s="228">
        <f t="shared" si="951"/>
        <v>6</v>
      </c>
      <c r="AD2336" s="19">
        <v>12</v>
      </c>
      <c r="AE2336" s="28"/>
      <c r="AF2336" s="28"/>
      <c r="AG2336" s="28"/>
      <c r="AH2336" s="28"/>
      <c r="AI2336" s="28"/>
      <c r="AJ2336" s="28">
        <v>960</v>
      </c>
      <c r="AK2336" s="28"/>
      <c r="AL2336" s="28"/>
      <c r="AM2336" s="28"/>
      <c r="AN2336" s="28"/>
      <c r="AO2336" s="28"/>
      <c r="AP2336" s="28">
        <v>992</v>
      </c>
      <c r="AQ2336" s="28"/>
      <c r="AR2336" s="28"/>
      <c r="AS2336" s="28"/>
      <c r="AT2336" s="28"/>
      <c r="AU2336" s="28"/>
      <c r="AV2336" s="28">
        <f>858+4</f>
        <v>862</v>
      </c>
      <c r="AW2336" s="28"/>
      <c r="AX2336" s="28"/>
      <c r="AY2336" s="28"/>
      <c r="AZ2336" s="28"/>
      <c r="BA2336" s="28"/>
      <c r="BB2336" s="28">
        <v>1093</v>
      </c>
      <c r="BC2336" s="229">
        <f t="shared" si="949"/>
        <v>0</v>
      </c>
      <c r="BD2336" s="48">
        <f t="shared" si="952"/>
        <v>3907</v>
      </c>
      <c r="BE2336" s="19">
        <v>3985</v>
      </c>
      <c r="BF2336" s="229">
        <f t="shared" si="950"/>
        <v>0</v>
      </c>
      <c r="BG2336" s="210">
        <f t="shared" si="953"/>
        <v>3913</v>
      </c>
      <c r="BH2336" s="210">
        <f t="shared" si="954"/>
        <v>3997</v>
      </c>
      <c r="BI2336" s="213">
        <f t="shared" si="958"/>
        <v>97.898423817863403</v>
      </c>
      <c r="BJ2336" s="141"/>
      <c r="BK2336" s="201"/>
      <c r="BL2336" s="4"/>
      <c r="BM2336" s="4"/>
    </row>
    <row r="2337" spans="1:65" s="38" customFormat="1" ht="18" customHeight="1">
      <c r="A2337" s="114">
        <v>168</v>
      </c>
      <c r="B2337" s="24" t="s">
        <v>804</v>
      </c>
      <c r="C2337" s="25" t="s">
        <v>1386</v>
      </c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229">
        <f t="shared" si="948"/>
        <v>0</v>
      </c>
      <c r="AC2337" s="228">
        <f t="shared" si="951"/>
        <v>0</v>
      </c>
      <c r="AD2337" s="19">
        <v>0</v>
      </c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>
        <v>3</v>
      </c>
      <c r="AW2337" s="28"/>
      <c r="AX2337" s="28"/>
      <c r="AY2337" s="28"/>
      <c r="AZ2337" s="28"/>
      <c r="BA2337" s="28"/>
      <c r="BB2337" s="28"/>
      <c r="BC2337" s="229">
        <f t="shared" si="949"/>
        <v>0</v>
      </c>
      <c r="BD2337" s="48">
        <f t="shared" si="952"/>
        <v>3</v>
      </c>
      <c r="BE2337" s="19">
        <v>342</v>
      </c>
      <c r="BF2337" s="229">
        <f t="shared" si="950"/>
        <v>0</v>
      </c>
      <c r="BG2337" s="210">
        <f t="shared" si="953"/>
        <v>3</v>
      </c>
      <c r="BH2337" s="210">
        <f t="shared" si="954"/>
        <v>342</v>
      </c>
      <c r="BI2337" s="213">
        <f t="shared" si="958"/>
        <v>0.8771929824561403</v>
      </c>
      <c r="BJ2337" s="141"/>
      <c r="BK2337" s="201"/>
      <c r="BL2337" s="4"/>
      <c r="BM2337" s="4"/>
    </row>
    <row r="2338" spans="1:65" s="38" customFormat="1" ht="18" customHeight="1">
      <c r="A2338" s="114">
        <v>169</v>
      </c>
      <c r="B2338" s="24" t="s">
        <v>903</v>
      </c>
      <c r="C2338" s="25" t="s">
        <v>1165</v>
      </c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229">
        <f t="shared" si="948"/>
        <v>0</v>
      </c>
      <c r="AC2338" s="228">
        <f t="shared" si="951"/>
        <v>0</v>
      </c>
      <c r="AD2338" s="19">
        <v>0</v>
      </c>
      <c r="AE2338" s="28"/>
      <c r="AF2338" s="28"/>
      <c r="AG2338" s="28"/>
      <c r="AH2338" s="28"/>
      <c r="AI2338" s="28"/>
      <c r="AJ2338" s="28">
        <v>14</v>
      </c>
      <c r="AK2338" s="28"/>
      <c r="AL2338" s="28"/>
      <c r="AM2338" s="28"/>
      <c r="AN2338" s="28"/>
      <c r="AO2338" s="28"/>
      <c r="AP2338" s="28">
        <v>13</v>
      </c>
      <c r="AQ2338" s="28"/>
      <c r="AR2338" s="28"/>
      <c r="AS2338" s="28"/>
      <c r="AT2338" s="28"/>
      <c r="AU2338" s="28"/>
      <c r="AV2338" s="28">
        <f>169+22</f>
        <v>191</v>
      </c>
      <c r="AW2338" s="28"/>
      <c r="AX2338" s="28"/>
      <c r="AY2338" s="28"/>
      <c r="AZ2338" s="28"/>
      <c r="BA2338" s="28"/>
      <c r="BB2338" s="28">
        <v>30</v>
      </c>
      <c r="BC2338" s="229">
        <f t="shared" si="949"/>
        <v>0</v>
      </c>
      <c r="BD2338" s="48">
        <f t="shared" si="952"/>
        <v>248</v>
      </c>
      <c r="BE2338" s="19">
        <v>6724</v>
      </c>
      <c r="BF2338" s="229">
        <f t="shared" si="950"/>
        <v>0</v>
      </c>
      <c r="BG2338" s="210">
        <f t="shared" si="953"/>
        <v>248</v>
      </c>
      <c r="BH2338" s="210">
        <f t="shared" si="954"/>
        <v>6724</v>
      </c>
      <c r="BI2338" s="213">
        <f t="shared" si="958"/>
        <v>3.6882807852468766</v>
      </c>
      <c r="BJ2338" s="141"/>
      <c r="BK2338" s="201"/>
      <c r="BL2338" s="4"/>
      <c r="BM2338" s="4"/>
    </row>
    <row r="2339" spans="1:65" s="38" customFormat="1" ht="18" customHeight="1">
      <c r="A2339" s="114">
        <v>170</v>
      </c>
      <c r="B2339" s="24" t="s">
        <v>659</v>
      </c>
      <c r="C2339" s="25" t="s">
        <v>660</v>
      </c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>
        <v>1</v>
      </c>
      <c r="AB2339" s="229">
        <f t="shared" si="948"/>
        <v>0</v>
      </c>
      <c r="AC2339" s="228">
        <f t="shared" si="951"/>
        <v>1</v>
      </c>
      <c r="AD2339" s="19">
        <v>0</v>
      </c>
      <c r="AE2339" s="28"/>
      <c r="AF2339" s="28"/>
      <c r="AG2339" s="28"/>
      <c r="AH2339" s="28"/>
      <c r="AI2339" s="28"/>
      <c r="AJ2339" s="28">
        <f>2+1116+605+450+843+3+3356+74</f>
        <v>6449</v>
      </c>
      <c r="AK2339" s="28"/>
      <c r="AL2339" s="28"/>
      <c r="AM2339" s="28"/>
      <c r="AN2339" s="28"/>
      <c r="AO2339" s="28"/>
      <c r="AP2339" s="28">
        <f>1+638+2+2981+19</f>
        <v>3641</v>
      </c>
      <c r="AQ2339" s="28"/>
      <c r="AR2339" s="28"/>
      <c r="AS2339" s="28"/>
      <c r="AT2339" s="28"/>
      <c r="AU2339" s="28"/>
      <c r="AV2339" s="28">
        <f>1+755+4+3326</f>
        <v>4086</v>
      </c>
      <c r="AW2339" s="28"/>
      <c r="AX2339" s="28"/>
      <c r="AY2339" s="28"/>
      <c r="AZ2339" s="28"/>
      <c r="BA2339" s="28"/>
      <c r="BB2339" s="28">
        <f>735+2+3165</f>
        <v>3902</v>
      </c>
      <c r="BC2339" s="229">
        <f t="shared" si="949"/>
        <v>0</v>
      </c>
      <c r="BD2339" s="48">
        <f t="shared" si="952"/>
        <v>18078</v>
      </c>
      <c r="BE2339" s="19">
        <v>35976</v>
      </c>
      <c r="BF2339" s="229">
        <f t="shared" si="950"/>
        <v>0</v>
      </c>
      <c r="BG2339" s="210">
        <f t="shared" si="953"/>
        <v>18079</v>
      </c>
      <c r="BH2339" s="210">
        <f t="shared" si="954"/>
        <v>35976</v>
      </c>
      <c r="BI2339" s="213">
        <f t="shared" si="958"/>
        <v>50.252946408716923</v>
      </c>
      <c r="BJ2339" s="141"/>
      <c r="BK2339" s="201"/>
      <c r="BL2339" s="4"/>
      <c r="BM2339" s="4"/>
    </row>
    <row r="2340" spans="1:65" s="38" customFormat="1" ht="21.95" customHeight="1">
      <c r="A2340" s="114">
        <v>171</v>
      </c>
      <c r="B2340" s="24" t="s">
        <v>661</v>
      </c>
      <c r="C2340" s="27" t="s">
        <v>743</v>
      </c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>
        <v>6</v>
      </c>
      <c r="AB2340" s="229">
        <f t="shared" si="948"/>
        <v>0</v>
      </c>
      <c r="AC2340" s="228">
        <f t="shared" si="951"/>
        <v>6</v>
      </c>
      <c r="AD2340" s="19">
        <v>0</v>
      </c>
      <c r="AE2340" s="28"/>
      <c r="AF2340" s="28"/>
      <c r="AG2340" s="28"/>
      <c r="AH2340" s="28"/>
      <c r="AI2340" s="28"/>
      <c r="AJ2340" s="28">
        <f>2+1367+846+513+1125+9+4+10064+75</f>
        <v>14005</v>
      </c>
      <c r="AK2340" s="28"/>
      <c r="AL2340" s="28"/>
      <c r="AM2340" s="28"/>
      <c r="AN2340" s="28"/>
      <c r="AO2340" s="28"/>
      <c r="AP2340" s="28">
        <f>1+798+6+5+10787+19</f>
        <v>11616</v>
      </c>
      <c r="AQ2340" s="28"/>
      <c r="AR2340" s="28"/>
      <c r="AS2340" s="28"/>
      <c r="AT2340" s="28"/>
      <c r="AU2340" s="28"/>
      <c r="AV2340" s="28">
        <f>1+831+6+436+9+11498</f>
        <v>12781</v>
      </c>
      <c r="AW2340" s="28"/>
      <c r="AX2340" s="28"/>
      <c r="AY2340" s="28"/>
      <c r="AZ2340" s="28"/>
      <c r="BA2340" s="28"/>
      <c r="BB2340" s="28">
        <f>747+12+2+12637</f>
        <v>13398</v>
      </c>
      <c r="BC2340" s="229">
        <f t="shared" si="949"/>
        <v>0</v>
      </c>
      <c r="BD2340" s="48">
        <f t="shared" si="952"/>
        <v>51800</v>
      </c>
      <c r="BE2340" s="19">
        <v>79388</v>
      </c>
      <c r="BF2340" s="229">
        <f t="shared" si="950"/>
        <v>0</v>
      </c>
      <c r="BG2340" s="210">
        <f t="shared" si="953"/>
        <v>51806</v>
      </c>
      <c r="BH2340" s="210">
        <f t="shared" si="954"/>
        <v>79388</v>
      </c>
      <c r="BI2340" s="213">
        <f t="shared" si="958"/>
        <v>65.256713861036928</v>
      </c>
      <c r="BJ2340" s="141"/>
      <c r="BK2340" s="201"/>
      <c r="BL2340" s="4"/>
      <c r="BM2340" s="4"/>
    </row>
    <row r="2341" spans="1:65" s="38" customFormat="1" ht="21.95" customHeight="1">
      <c r="A2341" s="114">
        <v>172</v>
      </c>
      <c r="B2341" s="24" t="s">
        <v>784</v>
      </c>
      <c r="C2341" s="27" t="s">
        <v>1369</v>
      </c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229">
        <f t="shared" si="948"/>
        <v>0</v>
      </c>
      <c r="AC2341" s="228">
        <f t="shared" si="951"/>
        <v>0</v>
      </c>
      <c r="AD2341" s="19">
        <v>0</v>
      </c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  <c r="AZ2341" s="28"/>
      <c r="BA2341" s="28"/>
      <c r="BB2341" s="28"/>
      <c r="BC2341" s="229">
        <f t="shared" si="949"/>
        <v>0</v>
      </c>
      <c r="BD2341" s="48">
        <f t="shared" si="952"/>
        <v>0</v>
      </c>
      <c r="BE2341" s="19">
        <v>5</v>
      </c>
      <c r="BF2341" s="229">
        <f t="shared" si="950"/>
        <v>0</v>
      </c>
      <c r="BG2341" s="210">
        <f t="shared" si="953"/>
        <v>0</v>
      </c>
      <c r="BH2341" s="210">
        <f t="shared" si="954"/>
        <v>5</v>
      </c>
      <c r="BI2341" s="213">
        <f t="shared" si="958"/>
        <v>0</v>
      </c>
      <c r="BJ2341" s="141"/>
      <c r="BK2341" s="201"/>
      <c r="BL2341" s="4"/>
      <c r="BM2341" s="4"/>
    </row>
    <row r="2342" spans="1:65" s="38" customFormat="1" ht="18" customHeight="1">
      <c r="A2342" s="114">
        <v>173</v>
      </c>
      <c r="B2342" s="24" t="s">
        <v>662</v>
      </c>
      <c r="C2342" s="25" t="s">
        <v>1096</v>
      </c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229">
        <f t="shared" si="948"/>
        <v>0</v>
      </c>
      <c r="AC2342" s="228">
        <f t="shared" si="951"/>
        <v>0</v>
      </c>
      <c r="AD2342" s="19">
        <v>0</v>
      </c>
      <c r="AE2342" s="28"/>
      <c r="AF2342" s="28"/>
      <c r="AG2342" s="28"/>
      <c r="AH2342" s="28"/>
      <c r="AI2342" s="28"/>
      <c r="AJ2342" s="28">
        <f>2+701+527+341+511+485+34</f>
        <v>2601</v>
      </c>
      <c r="AK2342" s="28"/>
      <c r="AL2342" s="28"/>
      <c r="AM2342" s="28"/>
      <c r="AN2342" s="28"/>
      <c r="AO2342" s="28"/>
      <c r="AP2342" s="28">
        <f>458+488+16</f>
        <v>962</v>
      </c>
      <c r="AQ2342" s="28"/>
      <c r="AR2342" s="28"/>
      <c r="AS2342" s="28"/>
      <c r="AT2342" s="28"/>
      <c r="AU2342" s="28"/>
      <c r="AV2342" s="28">
        <f>1+527+466</f>
        <v>994</v>
      </c>
      <c r="AW2342" s="28"/>
      <c r="AX2342" s="28"/>
      <c r="AY2342" s="28"/>
      <c r="AZ2342" s="28"/>
      <c r="BA2342" s="28"/>
      <c r="BB2342" s="28">
        <f>583+1+413</f>
        <v>997</v>
      </c>
      <c r="BC2342" s="229">
        <f t="shared" si="949"/>
        <v>0</v>
      </c>
      <c r="BD2342" s="48">
        <f t="shared" si="952"/>
        <v>5554</v>
      </c>
      <c r="BE2342" s="19">
        <v>7998</v>
      </c>
      <c r="BF2342" s="229">
        <f t="shared" si="950"/>
        <v>0</v>
      </c>
      <c r="BG2342" s="210">
        <f t="shared" si="953"/>
        <v>5554</v>
      </c>
      <c r="BH2342" s="210">
        <f t="shared" si="954"/>
        <v>7998</v>
      </c>
      <c r="BI2342" s="213">
        <f t="shared" si="958"/>
        <v>69.44236059014753</v>
      </c>
      <c r="BJ2342" s="141"/>
      <c r="BK2342" s="201"/>
      <c r="BL2342" s="4"/>
      <c r="BM2342" s="4"/>
    </row>
    <row r="2343" spans="1:65" s="38" customFormat="1" ht="18" customHeight="1">
      <c r="A2343" s="114">
        <v>174</v>
      </c>
      <c r="B2343" s="24" t="s">
        <v>663</v>
      </c>
      <c r="C2343" s="25" t="s">
        <v>1097</v>
      </c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229">
        <f t="shared" si="948"/>
        <v>0</v>
      </c>
      <c r="AC2343" s="228">
        <f t="shared" si="951"/>
        <v>0</v>
      </c>
      <c r="AD2343" s="19">
        <v>0</v>
      </c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>
        <v>15</v>
      </c>
      <c r="AW2343" s="28"/>
      <c r="AX2343" s="28"/>
      <c r="AY2343" s="28"/>
      <c r="AZ2343" s="28"/>
      <c r="BA2343" s="28"/>
      <c r="BB2343" s="28"/>
      <c r="BC2343" s="229">
        <f t="shared" si="949"/>
        <v>0</v>
      </c>
      <c r="BD2343" s="48">
        <f t="shared" si="952"/>
        <v>15</v>
      </c>
      <c r="BE2343" s="19">
        <v>42</v>
      </c>
      <c r="BF2343" s="229">
        <f t="shared" si="950"/>
        <v>0</v>
      </c>
      <c r="BG2343" s="210">
        <f t="shared" si="953"/>
        <v>15</v>
      </c>
      <c r="BH2343" s="210">
        <f t="shared" si="954"/>
        <v>42</v>
      </c>
      <c r="BI2343" s="213">
        <f t="shared" si="958"/>
        <v>35.714285714285715</v>
      </c>
      <c r="BJ2343" s="141"/>
      <c r="BK2343" s="201"/>
      <c r="BL2343" s="4"/>
      <c r="BM2343" s="4"/>
    </row>
    <row r="2344" spans="1:65" s="38" customFormat="1" ht="21.95" customHeight="1">
      <c r="A2344" s="114">
        <v>175</v>
      </c>
      <c r="B2344" s="24" t="s">
        <v>664</v>
      </c>
      <c r="C2344" s="27" t="s">
        <v>1167</v>
      </c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229">
        <f t="shared" ref="AB2344:AB2361" si="962">D2344+F2344+H2344+J2344+L2344+N2344+P2344+R2344+T2344+V2344+X2344+Z2344</f>
        <v>0</v>
      </c>
      <c r="AC2344" s="228">
        <f t="shared" si="951"/>
        <v>0</v>
      </c>
      <c r="AD2344" s="19">
        <v>0</v>
      </c>
      <c r="AE2344" s="28"/>
      <c r="AF2344" s="28"/>
      <c r="AG2344" s="28"/>
      <c r="AH2344" s="28"/>
      <c r="AI2344" s="28"/>
      <c r="AJ2344" s="28">
        <v>16</v>
      </c>
      <c r="AK2344" s="28"/>
      <c r="AL2344" s="28"/>
      <c r="AM2344" s="28"/>
      <c r="AN2344" s="28"/>
      <c r="AO2344" s="28"/>
      <c r="AP2344" s="28">
        <v>25</v>
      </c>
      <c r="AQ2344" s="28"/>
      <c r="AR2344" s="28"/>
      <c r="AS2344" s="28"/>
      <c r="AT2344" s="28"/>
      <c r="AU2344" s="28"/>
      <c r="AV2344" s="28">
        <f>22+4</f>
        <v>26</v>
      </c>
      <c r="AW2344" s="28"/>
      <c r="AX2344" s="28"/>
      <c r="AY2344" s="28"/>
      <c r="AZ2344" s="28"/>
      <c r="BA2344" s="28"/>
      <c r="BB2344" s="28">
        <v>64</v>
      </c>
      <c r="BC2344" s="229">
        <f t="shared" ref="BC2344:BC2361" si="963">AE2344+AG2344+AI2344+AK2344+AM2344+AO2344+AQ2344+AS2344+AU2344+AW2344+AY2344+BA2344</f>
        <v>0</v>
      </c>
      <c r="BD2344" s="48">
        <f t="shared" si="952"/>
        <v>131</v>
      </c>
      <c r="BE2344" s="19">
        <v>115</v>
      </c>
      <c r="BF2344" s="229">
        <f t="shared" ref="BF2344:BF2361" si="964">AB2344+BC2344</f>
        <v>0</v>
      </c>
      <c r="BG2344" s="210">
        <f t="shared" si="953"/>
        <v>131</v>
      </c>
      <c r="BH2344" s="210">
        <f t="shared" si="954"/>
        <v>115</v>
      </c>
      <c r="BI2344" s="213">
        <f t="shared" si="958"/>
        <v>113.91304347826087</v>
      </c>
      <c r="BJ2344" s="141"/>
      <c r="BK2344" s="201"/>
      <c r="BL2344" s="4"/>
      <c r="BM2344" s="4"/>
    </row>
    <row r="2345" spans="1:65" s="38" customFormat="1" ht="21.95" customHeight="1">
      <c r="A2345" s="114">
        <v>176</v>
      </c>
      <c r="B2345" s="24" t="s">
        <v>1492</v>
      </c>
      <c r="C2345" s="25" t="s">
        <v>1493</v>
      </c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229">
        <f t="shared" si="962"/>
        <v>0</v>
      </c>
      <c r="AC2345" s="228">
        <f t="shared" ref="AC2345:AC2361" si="965">E2345+G2345+I2345+K2345+M2345+O2345+Q2345+S2345+U2345+W2345+Y2345+AA2345</f>
        <v>0</v>
      </c>
      <c r="AD2345" s="19">
        <v>0</v>
      </c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  <c r="AZ2345" s="28"/>
      <c r="BA2345" s="28"/>
      <c r="BB2345" s="28"/>
      <c r="BC2345" s="229">
        <f t="shared" si="963"/>
        <v>0</v>
      </c>
      <c r="BD2345" s="48">
        <f t="shared" ref="BD2345:BD2361" si="966">AF2345+AH2345+AJ2345+AL2345+AN2345+AP2345+AR2345+AT2345+AV2345+AX2345+AZ2345+BB2345</f>
        <v>0</v>
      </c>
      <c r="BE2345" s="19">
        <v>1</v>
      </c>
      <c r="BF2345" s="229">
        <f t="shared" si="964"/>
        <v>0</v>
      </c>
      <c r="BG2345" s="210">
        <f t="shared" ref="BG2345:BG2361" si="967">AC2345+BD2345</f>
        <v>0</v>
      </c>
      <c r="BH2345" s="210">
        <f t="shared" ref="BH2345:BH2361" si="968">AD2345+BE2345</f>
        <v>1</v>
      </c>
      <c r="BI2345" s="213">
        <f t="shared" si="958"/>
        <v>0</v>
      </c>
      <c r="BJ2345" s="141"/>
      <c r="BK2345" s="201"/>
      <c r="BL2345" s="4"/>
      <c r="BM2345" s="4"/>
    </row>
    <row r="2346" spans="1:65" s="38" customFormat="1" ht="21.95" customHeight="1">
      <c r="A2346" s="114">
        <v>177</v>
      </c>
      <c r="B2346" s="24" t="s">
        <v>786</v>
      </c>
      <c r="C2346" s="27" t="s">
        <v>2250</v>
      </c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229">
        <f t="shared" si="962"/>
        <v>0</v>
      </c>
      <c r="AC2346" s="228">
        <f t="shared" si="965"/>
        <v>0</v>
      </c>
      <c r="AD2346" s="19">
        <v>0</v>
      </c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>
        <f>2+1+1</f>
        <v>4</v>
      </c>
      <c r="AW2346" s="28"/>
      <c r="AX2346" s="28"/>
      <c r="AY2346" s="28"/>
      <c r="AZ2346" s="28"/>
      <c r="BA2346" s="28"/>
      <c r="BB2346" s="28"/>
      <c r="BC2346" s="229">
        <f t="shared" si="963"/>
        <v>0</v>
      </c>
      <c r="BD2346" s="48">
        <f t="shared" si="966"/>
        <v>4</v>
      </c>
      <c r="BE2346" s="19">
        <v>1</v>
      </c>
      <c r="BF2346" s="229">
        <f t="shared" si="964"/>
        <v>0</v>
      </c>
      <c r="BG2346" s="210">
        <f t="shared" si="967"/>
        <v>4</v>
      </c>
      <c r="BH2346" s="210">
        <f t="shared" si="968"/>
        <v>1</v>
      </c>
      <c r="BI2346" s="213">
        <f t="shared" si="958"/>
        <v>400</v>
      </c>
      <c r="BJ2346" s="141"/>
      <c r="BK2346" s="201"/>
      <c r="BL2346" s="4"/>
      <c r="BM2346" s="4"/>
    </row>
    <row r="2347" spans="1:65" s="38" customFormat="1" ht="18" customHeight="1">
      <c r="A2347" s="114">
        <v>178</v>
      </c>
      <c r="B2347" s="24" t="s">
        <v>704</v>
      </c>
      <c r="C2347" s="25" t="s">
        <v>1383</v>
      </c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229">
        <f t="shared" si="962"/>
        <v>0</v>
      </c>
      <c r="AC2347" s="228">
        <f t="shared" si="965"/>
        <v>0</v>
      </c>
      <c r="AD2347" s="19">
        <v>0</v>
      </c>
      <c r="AE2347" s="28"/>
      <c r="AF2347" s="28"/>
      <c r="AG2347" s="28"/>
      <c r="AH2347" s="28"/>
      <c r="AI2347" s="28"/>
      <c r="AJ2347" s="28">
        <f>750+1+8+429+16</f>
        <v>1204</v>
      </c>
      <c r="AK2347" s="28"/>
      <c r="AL2347" s="28"/>
      <c r="AM2347" s="28"/>
      <c r="AN2347" s="28"/>
      <c r="AO2347" s="28"/>
      <c r="AP2347" s="28">
        <f>1+512+1+3</f>
        <v>517</v>
      </c>
      <c r="AQ2347" s="28"/>
      <c r="AR2347" s="28"/>
      <c r="AS2347" s="28"/>
      <c r="AT2347" s="28"/>
      <c r="AU2347" s="28"/>
      <c r="AV2347" s="28">
        <v>651</v>
      </c>
      <c r="AW2347" s="28"/>
      <c r="AX2347" s="28"/>
      <c r="AY2347" s="28"/>
      <c r="AZ2347" s="28"/>
      <c r="BA2347" s="28"/>
      <c r="BB2347" s="28">
        <v>671</v>
      </c>
      <c r="BC2347" s="229">
        <f t="shared" si="963"/>
        <v>0</v>
      </c>
      <c r="BD2347" s="48">
        <f t="shared" si="966"/>
        <v>3043</v>
      </c>
      <c r="BE2347" s="19">
        <v>1955</v>
      </c>
      <c r="BF2347" s="229">
        <f t="shared" si="964"/>
        <v>0</v>
      </c>
      <c r="BG2347" s="210">
        <f t="shared" si="967"/>
        <v>3043</v>
      </c>
      <c r="BH2347" s="210">
        <f t="shared" si="968"/>
        <v>1955</v>
      </c>
      <c r="BI2347" s="213">
        <f t="shared" si="958"/>
        <v>155.65217391304347</v>
      </c>
      <c r="BJ2347" s="141"/>
      <c r="BK2347" s="201"/>
      <c r="BL2347" s="4"/>
      <c r="BM2347" s="4"/>
    </row>
    <row r="2348" spans="1:65" s="38" customFormat="1" ht="18" customHeight="1">
      <c r="A2348" s="114">
        <v>179</v>
      </c>
      <c r="B2348" s="24" t="s">
        <v>787</v>
      </c>
      <c r="C2348" s="25" t="s">
        <v>1171</v>
      </c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229">
        <f t="shared" si="962"/>
        <v>0</v>
      </c>
      <c r="AC2348" s="228">
        <f t="shared" si="965"/>
        <v>0</v>
      </c>
      <c r="AD2348" s="19">
        <v>0</v>
      </c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8"/>
      <c r="BC2348" s="229">
        <f t="shared" si="963"/>
        <v>0</v>
      </c>
      <c r="BD2348" s="48">
        <f t="shared" si="966"/>
        <v>0</v>
      </c>
      <c r="BE2348" s="19">
        <v>1</v>
      </c>
      <c r="BF2348" s="229">
        <f t="shared" si="964"/>
        <v>0</v>
      </c>
      <c r="BG2348" s="210">
        <f t="shared" si="967"/>
        <v>0</v>
      </c>
      <c r="BH2348" s="210">
        <f t="shared" si="968"/>
        <v>1</v>
      </c>
      <c r="BI2348" s="213">
        <f t="shared" si="958"/>
        <v>0</v>
      </c>
      <c r="BJ2348" s="141"/>
      <c r="BK2348" s="201"/>
      <c r="BL2348" s="4"/>
      <c r="BM2348" s="4"/>
    </row>
    <row r="2349" spans="1:65" s="38" customFormat="1" ht="18" customHeight="1">
      <c r="A2349" s="114">
        <v>180</v>
      </c>
      <c r="B2349" s="24" t="s">
        <v>789</v>
      </c>
      <c r="C2349" s="25" t="s">
        <v>2127</v>
      </c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229">
        <f t="shared" si="962"/>
        <v>0</v>
      </c>
      <c r="AC2349" s="228">
        <f t="shared" si="965"/>
        <v>0</v>
      </c>
      <c r="AD2349" s="19">
        <v>0</v>
      </c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29">
        <f t="shared" si="963"/>
        <v>0</v>
      </c>
      <c r="BD2349" s="48">
        <f t="shared" si="966"/>
        <v>0</v>
      </c>
      <c r="BE2349" s="19">
        <v>1</v>
      </c>
      <c r="BF2349" s="229">
        <f t="shared" si="964"/>
        <v>0</v>
      </c>
      <c r="BG2349" s="210">
        <f t="shared" si="967"/>
        <v>0</v>
      </c>
      <c r="BH2349" s="210">
        <f t="shared" si="968"/>
        <v>1</v>
      </c>
      <c r="BI2349" s="213">
        <f t="shared" si="958"/>
        <v>0</v>
      </c>
      <c r="BJ2349" s="141"/>
      <c r="BK2349" s="201"/>
      <c r="BL2349" s="4"/>
      <c r="BM2349" s="4"/>
    </row>
    <row r="2350" spans="1:65" s="38" customFormat="1" ht="18" customHeight="1">
      <c r="A2350" s="114">
        <v>181</v>
      </c>
      <c r="B2350" s="24" t="s">
        <v>1173</v>
      </c>
      <c r="C2350" s="25" t="s">
        <v>1371</v>
      </c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229">
        <f t="shared" si="962"/>
        <v>0</v>
      </c>
      <c r="AC2350" s="228">
        <f t="shared" si="965"/>
        <v>0</v>
      </c>
      <c r="AD2350" s="19">
        <v>0</v>
      </c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29">
        <f t="shared" si="963"/>
        <v>0</v>
      </c>
      <c r="BD2350" s="48">
        <f t="shared" si="966"/>
        <v>0</v>
      </c>
      <c r="BE2350" s="19">
        <v>2</v>
      </c>
      <c r="BF2350" s="229">
        <f t="shared" si="964"/>
        <v>0</v>
      </c>
      <c r="BG2350" s="210">
        <f t="shared" si="967"/>
        <v>0</v>
      </c>
      <c r="BH2350" s="210">
        <f t="shared" si="968"/>
        <v>2</v>
      </c>
      <c r="BI2350" s="213">
        <f t="shared" si="958"/>
        <v>0</v>
      </c>
      <c r="BJ2350" s="141"/>
      <c r="BK2350" s="201"/>
      <c r="BL2350" s="4"/>
      <c r="BM2350" s="4"/>
    </row>
    <row r="2351" spans="1:65" s="38" customFormat="1" ht="18" customHeight="1">
      <c r="A2351" s="114">
        <v>182</v>
      </c>
      <c r="B2351" s="24" t="s">
        <v>1174</v>
      </c>
      <c r="C2351" s="25" t="s">
        <v>1175</v>
      </c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229">
        <f t="shared" si="962"/>
        <v>0</v>
      </c>
      <c r="AC2351" s="228">
        <f t="shared" si="965"/>
        <v>0</v>
      </c>
      <c r="AD2351" s="19">
        <v>0</v>
      </c>
      <c r="AE2351" s="28"/>
      <c r="AF2351" s="28"/>
      <c r="AG2351" s="28"/>
      <c r="AH2351" s="28"/>
      <c r="AI2351" s="28"/>
      <c r="AJ2351" s="28">
        <v>33</v>
      </c>
      <c r="AK2351" s="28"/>
      <c r="AL2351" s="28"/>
      <c r="AM2351" s="28"/>
      <c r="AN2351" s="28"/>
      <c r="AO2351" s="28"/>
      <c r="AP2351" s="28">
        <v>7</v>
      </c>
      <c r="AQ2351" s="28"/>
      <c r="AR2351" s="28"/>
      <c r="AS2351" s="28"/>
      <c r="AT2351" s="28"/>
      <c r="AU2351" s="28"/>
      <c r="AV2351" s="28">
        <v>12</v>
      </c>
      <c r="AW2351" s="28"/>
      <c r="AX2351" s="28"/>
      <c r="AY2351" s="28"/>
      <c r="AZ2351" s="28"/>
      <c r="BA2351" s="28"/>
      <c r="BB2351" s="28">
        <v>34</v>
      </c>
      <c r="BC2351" s="229">
        <f t="shared" si="963"/>
        <v>0</v>
      </c>
      <c r="BD2351" s="48">
        <f t="shared" si="966"/>
        <v>86</v>
      </c>
      <c r="BE2351" s="19">
        <v>20</v>
      </c>
      <c r="BF2351" s="229">
        <f t="shared" si="964"/>
        <v>0</v>
      </c>
      <c r="BG2351" s="210">
        <f t="shared" si="967"/>
        <v>86</v>
      </c>
      <c r="BH2351" s="210">
        <f t="shared" si="968"/>
        <v>20</v>
      </c>
      <c r="BI2351" s="213">
        <f t="shared" si="958"/>
        <v>430</v>
      </c>
      <c r="BJ2351" s="141"/>
      <c r="BK2351" s="201"/>
      <c r="BL2351" s="4"/>
      <c r="BM2351" s="4"/>
    </row>
    <row r="2352" spans="1:65" s="38" customFormat="1" ht="21.95" customHeight="1">
      <c r="A2352" s="114">
        <v>183</v>
      </c>
      <c r="B2352" s="24" t="s">
        <v>790</v>
      </c>
      <c r="C2352" s="27" t="s">
        <v>2431</v>
      </c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>
        <v>1</v>
      </c>
      <c r="AB2352" s="229">
        <f t="shared" si="962"/>
        <v>0</v>
      </c>
      <c r="AC2352" s="228">
        <f t="shared" si="965"/>
        <v>1</v>
      </c>
      <c r="AD2352" s="19">
        <v>0</v>
      </c>
      <c r="AE2352" s="28"/>
      <c r="AF2352" s="28"/>
      <c r="AG2352" s="28"/>
      <c r="AH2352" s="28"/>
      <c r="AI2352" s="28"/>
      <c r="AJ2352" s="28">
        <f>71+595+320+74+155+18</f>
        <v>1233</v>
      </c>
      <c r="AK2352" s="28"/>
      <c r="AL2352" s="28"/>
      <c r="AM2352" s="28"/>
      <c r="AN2352" s="28"/>
      <c r="AO2352" s="28"/>
      <c r="AP2352" s="28">
        <f>56+1+107+16</f>
        <v>180</v>
      </c>
      <c r="AQ2352" s="28"/>
      <c r="AR2352" s="28"/>
      <c r="AS2352" s="28"/>
      <c r="AT2352" s="28"/>
      <c r="AU2352" s="28"/>
      <c r="AV2352" s="28">
        <f>1+24+107+114</f>
        <v>246</v>
      </c>
      <c r="AW2352" s="28"/>
      <c r="AX2352" s="28"/>
      <c r="AY2352" s="28"/>
      <c r="AZ2352" s="28"/>
      <c r="BA2352" s="28"/>
      <c r="BB2352" s="28">
        <f>41+226</f>
        <v>267</v>
      </c>
      <c r="BC2352" s="229">
        <f t="shared" si="963"/>
        <v>0</v>
      </c>
      <c r="BD2352" s="48">
        <f t="shared" si="966"/>
        <v>1926</v>
      </c>
      <c r="BE2352" s="19">
        <v>4985</v>
      </c>
      <c r="BF2352" s="229">
        <f t="shared" si="964"/>
        <v>0</v>
      </c>
      <c r="BG2352" s="210">
        <f t="shared" si="967"/>
        <v>1927</v>
      </c>
      <c r="BH2352" s="210">
        <f t="shared" si="968"/>
        <v>4985</v>
      </c>
      <c r="BI2352" s="213">
        <f t="shared" si="958"/>
        <v>38.655967903711137</v>
      </c>
      <c r="BJ2352" s="141"/>
      <c r="BK2352" s="201"/>
      <c r="BL2352" s="4"/>
      <c r="BM2352" s="4"/>
    </row>
    <row r="2353" spans="1:65" s="38" customFormat="1" ht="21.95" customHeight="1">
      <c r="A2353" s="114">
        <v>184</v>
      </c>
      <c r="B2353" s="24" t="s">
        <v>791</v>
      </c>
      <c r="C2353" s="27" t="s">
        <v>2318</v>
      </c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229">
        <f t="shared" si="962"/>
        <v>0</v>
      </c>
      <c r="AC2353" s="228">
        <f t="shared" si="965"/>
        <v>0</v>
      </c>
      <c r="AD2353" s="19">
        <v>0</v>
      </c>
      <c r="AE2353" s="28"/>
      <c r="AF2353" s="28"/>
      <c r="AG2353" s="28"/>
      <c r="AH2353" s="28"/>
      <c r="AI2353" s="28"/>
      <c r="AJ2353" s="28">
        <v>1</v>
      </c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29">
        <f t="shared" si="963"/>
        <v>0</v>
      </c>
      <c r="BD2353" s="48">
        <f t="shared" si="966"/>
        <v>1</v>
      </c>
      <c r="BE2353" s="19">
        <v>45</v>
      </c>
      <c r="BF2353" s="229">
        <f t="shared" si="964"/>
        <v>0</v>
      </c>
      <c r="BG2353" s="210">
        <f t="shared" si="967"/>
        <v>1</v>
      </c>
      <c r="BH2353" s="210">
        <f t="shared" si="968"/>
        <v>45</v>
      </c>
      <c r="BI2353" s="213">
        <f t="shared" si="958"/>
        <v>2.2222222222222223</v>
      </c>
      <c r="BJ2353" s="141"/>
      <c r="BK2353" s="201"/>
      <c r="BL2353" s="4"/>
      <c r="BM2353" s="4"/>
    </row>
    <row r="2354" spans="1:65" s="38" customFormat="1" ht="21.95" customHeight="1">
      <c r="A2354" s="114">
        <v>185</v>
      </c>
      <c r="B2354" s="24" t="s">
        <v>2721</v>
      </c>
      <c r="C2354" s="27" t="s">
        <v>2722</v>
      </c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229">
        <f t="shared" si="962"/>
        <v>0</v>
      </c>
      <c r="AC2354" s="228">
        <f t="shared" si="965"/>
        <v>0</v>
      </c>
      <c r="AD2354" s="19">
        <v>0</v>
      </c>
      <c r="AE2354" s="28"/>
      <c r="AF2354" s="28"/>
      <c r="AG2354" s="28"/>
      <c r="AH2354" s="28"/>
      <c r="AI2354" s="28"/>
      <c r="AJ2354" s="28">
        <v>1</v>
      </c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29">
        <f t="shared" si="963"/>
        <v>0</v>
      </c>
      <c r="BD2354" s="48">
        <f t="shared" si="966"/>
        <v>1</v>
      </c>
      <c r="BE2354" s="19">
        <v>6</v>
      </c>
      <c r="BF2354" s="229">
        <f t="shared" si="964"/>
        <v>0</v>
      </c>
      <c r="BG2354" s="210">
        <f t="shared" si="967"/>
        <v>1</v>
      </c>
      <c r="BH2354" s="210">
        <f t="shared" si="968"/>
        <v>6</v>
      </c>
      <c r="BI2354" s="213">
        <f t="shared" si="958"/>
        <v>16.666666666666664</v>
      </c>
      <c r="BJ2354" s="141"/>
      <c r="BK2354" s="201"/>
      <c r="BL2354" s="4"/>
      <c r="BM2354" s="4"/>
    </row>
    <row r="2355" spans="1:65" s="38" customFormat="1" ht="21.95" customHeight="1">
      <c r="A2355" s="114">
        <v>186</v>
      </c>
      <c r="B2355" s="24" t="s">
        <v>1553</v>
      </c>
      <c r="C2355" s="27" t="s">
        <v>1555</v>
      </c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229">
        <f t="shared" si="962"/>
        <v>0</v>
      </c>
      <c r="AC2355" s="228">
        <f t="shared" si="965"/>
        <v>0</v>
      </c>
      <c r="AD2355" s="19">
        <v>0</v>
      </c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29">
        <f t="shared" si="963"/>
        <v>0</v>
      </c>
      <c r="BD2355" s="48">
        <f t="shared" si="966"/>
        <v>0</v>
      </c>
      <c r="BE2355" s="19">
        <v>3</v>
      </c>
      <c r="BF2355" s="229">
        <f t="shared" si="964"/>
        <v>0</v>
      </c>
      <c r="BG2355" s="210">
        <f t="shared" si="967"/>
        <v>0</v>
      </c>
      <c r="BH2355" s="210">
        <f t="shared" si="968"/>
        <v>3</v>
      </c>
      <c r="BI2355" s="213">
        <f t="shared" si="958"/>
        <v>0</v>
      </c>
      <c r="BJ2355" s="141"/>
      <c r="BK2355" s="201"/>
      <c r="BL2355" s="4"/>
      <c r="BM2355" s="4"/>
    </row>
    <row r="2356" spans="1:65" s="38" customFormat="1" ht="21.95" customHeight="1">
      <c r="A2356" s="114">
        <v>187</v>
      </c>
      <c r="B2356" s="24" t="s">
        <v>1677</v>
      </c>
      <c r="C2356" s="25" t="s">
        <v>1678</v>
      </c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229">
        <f t="shared" si="962"/>
        <v>0</v>
      </c>
      <c r="AC2356" s="228">
        <f t="shared" si="965"/>
        <v>0</v>
      </c>
      <c r="AD2356" s="19">
        <v>0</v>
      </c>
      <c r="AE2356" s="28"/>
      <c r="AF2356" s="28"/>
      <c r="AG2356" s="28"/>
      <c r="AH2356" s="28"/>
      <c r="AI2356" s="28"/>
      <c r="AJ2356" s="28">
        <v>2</v>
      </c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  <c r="AZ2356" s="28"/>
      <c r="BA2356" s="28"/>
      <c r="BB2356" s="28"/>
      <c r="BC2356" s="229">
        <f t="shared" si="963"/>
        <v>0</v>
      </c>
      <c r="BD2356" s="48">
        <f t="shared" si="966"/>
        <v>2</v>
      </c>
      <c r="BE2356" s="19">
        <v>1</v>
      </c>
      <c r="BF2356" s="229">
        <f t="shared" si="964"/>
        <v>0</v>
      </c>
      <c r="BG2356" s="210">
        <f t="shared" si="967"/>
        <v>2</v>
      </c>
      <c r="BH2356" s="210">
        <f t="shared" si="968"/>
        <v>1</v>
      </c>
      <c r="BI2356" s="213">
        <f t="shared" si="958"/>
        <v>200</v>
      </c>
      <c r="BJ2356" s="141"/>
      <c r="BK2356" s="201"/>
      <c r="BL2356" s="4"/>
      <c r="BM2356" s="4"/>
    </row>
    <row r="2357" spans="1:65" s="38" customFormat="1" ht="21.95" customHeight="1">
      <c r="A2357" s="114">
        <v>188</v>
      </c>
      <c r="B2357" s="24" t="s">
        <v>744</v>
      </c>
      <c r="C2357" s="27" t="s">
        <v>745</v>
      </c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229">
        <f t="shared" si="962"/>
        <v>0</v>
      </c>
      <c r="AC2357" s="228">
        <f t="shared" si="965"/>
        <v>0</v>
      </c>
      <c r="AD2357" s="19">
        <v>0</v>
      </c>
      <c r="AE2357" s="28"/>
      <c r="AF2357" s="28"/>
      <c r="AG2357" s="28"/>
      <c r="AH2357" s="28"/>
      <c r="AI2357" s="28"/>
      <c r="AJ2357" s="28">
        <f>1+7</f>
        <v>8</v>
      </c>
      <c r="AK2357" s="28"/>
      <c r="AL2357" s="28"/>
      <c r="AM2357" s="28"/>
      <c r="AN2357" s="28"/>
      <c r="AO2357" s="28"/>
      <c r="AP2357" s="28">
        <v>24</v>
      </c>
      <c r="AQ2357" s="28"/>
      <c r="AR2357" s="28"/>
      <c r="AS2357" s="28"/>
      <c r="AT2357" s="28"/>
      <c r="AU2357" s="28"/>
      <c r="AV2357" s="28">
        <v>5</v>
      </c>
      <c r="AW2357" s="28"/>
      <c r="AX2357" s="28"/>
      <c r="AY2357" s="28"/>
      <c r="AZ2357" s="28"/>
      <c r="BA2357" s="28"/>
      <c r="BB2357" s="28">
        <v>13</v>
      </c>
      <c r="BC2357" s="229">
        <f t="shared" si="963"/>
        <v>0</v>
      </c>
      <c r="BD2357" s="48">
        <f t="shared" si="966"/>
        <v>50</v>
      </c>
      <c r="BE2357" s="19">
        <v>58</v>
      </c>
      <c r="BF2357" s="229">
        <f t="shared" si="964"/>
        <v>0</v>
      </c>
      <c r="BG2357" s="210">
        <f t="shared" si="967"/>
        <v>50</v>
      </c>
      <c r="BH2357" s="210">
        <f t="shared" si="968"/>
        <v>58</v>
      </c>
      <c r="BI2357" s="213">
        <f t="shared" si="958"/>
        <v>86.206896551724128</v>
      </c>
      <c r="BJ2357" s="141"/>
      <c r="BK2357" s="201"/>
      <c r="BL2357" s="4"/>
      <c r="BM2357" s="4"/>
    </row>
    <row r="2358" spans="1:65" s="38" customFormat="1" ht="21.95" customHeight="1">
      <c r="A2358" s="114">
        <v>189</v>
      </c>
      <c r="B2358" s="24" t="s">
        <v>824</v>
      </c>
      <c r="C2358" s="27" t="s">
        <v>825</v>
      </c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229">
        <f t="shared" si="962"/>
        <v>0</v>
      </c>
      <c r="AC2358" s="228">
        <f t="shared" si="965"/>
        <v>0</v>
      </c>
      <c r="AD2358" s="19">
        <v>0</v>
      </c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8"/>
      <c r="BA2358" s="28"/>
      <c r="BB2358" s="28"/>
      <c r="BC2358" s="229">
        <f t="shared" si="963"/>
        <v>0</v>
      </c>
      <c r="BD2358" s="48">
        <f t="shared" si="966"/>
        <v>0</v>
      </c>
      <c r="BE2358" s="19">
        <v>1</v>
      </c>
      <c r="BF2358" s="229">
        <f t="shared" si="964"/>
        <v>0</v>
      </c>
      <c r="BG2358" s="210">
        <f t="shared" si="967"/>
        <v>0</v>
      </c>
      <c r="BH2358" s="210">
        <f t="shared" si="968"/>
        <v>1</v>
      </c>
      <c r="BI2358" s="213">
        <f t="shared" si="958"/>
        <v>0</v>
      </c>
      <c r="BJ2358" s="141"/>
      <c r="BK2358" s="201"/>
      <c r="BL2358" s="4"/>
      <c r="BM2358" s="4"/>
    </row>
    <row r="2359" spans="1:65" s="38" customFormat="1" ht="18" customHeight="1">
      <c r="A2359" s="114">
        <v>190</v>
      </c>
      <c r="B2359" s="156" t="s">
        <v>1788</v>
      </c>
      <c r="C2359" s="159" t="s">
        <v>1789</v>
      </c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229">
        <f t="shared" si="962"/>
        <v>0</v>
      </c>
      <c r="AC2359" s="228">
        <f t="shared" si="965"/>
        <v>0</v>
      </c>
      <c r="AD2359" s="19">
        <v>1</v>
      </c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29">
        <f t="shared" si="963"/>
        <v>0</v>
      </c>
      <c r="BD2359" s="48">
        <f t="shared" si="966"/>
        <v>0</v>
      </c>
      <c r="BE2359" s="19">
        <v>0</v>
      </c>
      <c r="BF2359" s="229">
        <f t="shared" si="964"/>
        <v>0</v>
      </c>
      <c r="BG2359" s="210">
        <f t="shared" si="967"/>
        <v>0</v>
      </c>
      <c r="BH2359" s="210">
        <f t="shared" si="968"/>
        <v>1</v>
      </c>
      <c r="BI2359" s="213">
        <f t="shared" si="958"/>
        <v>0</v>
      </c>
      <c r="BJ2359" s="269" t="s">
        <v>2856</v>
      </c>
      <c r="BK2359" s="201"/>
      <c r="BL2359" s="4"/>
      <c r="BM2359" s="4"/>
    </row>
    <row r="2360" spans="1:65" s="38" customFormat="1" ht="18" customHeight="1">
      <c r="A2360" s="114">
        <v>191</v>
      </c>
      <c r="B2360" s="24" t="s">
        <v>1885</v>
      </c>
      <c r="C2360" s="25" t="s">
        <v>1886</v>
      </c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>
        <v>8</v>
      </c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229">
        <f t="shared" si="962"/>
        <v>0</v>
      </c>
      <c r="AC2360" s="228">
        <f t="shared" si="965"/>
        <v>8</v>
      </c>
      <c r="AD2360" s="19">
        <v>1</v>
      </c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>
        <v>4</v>
      </c>
      <c r="AW2360" s="28"/>
      <c r="AX2360" s="28"/>
      <c r="AY2360" s="28"/>
      <c r="AZ2360" s="28"/>
      <c r="BA2360" s="28"/>
      <c r="BB2360" s="28"/>
      <c r="BC2360" s="229">
        <f t="shared" si="963"/>
        <v>0</v>
      </c>
      <c r="BD2360" s="48">
        <f t="shared" si="966"/>
        <v>4</v>
      </c>
      <c r="BE2360" s="19">
        <v>0</v>
      </c>
      <c r="BF2360" s="229">
        <f t="shared" si="964"/>
        <v>0</v>
      </c>
      <c r="BG2360" s="210">
        <f t="shared" si="967"/>
        <v>12</v>
      </c>
      <c r="BH2360" s="210">
        <f t="shared" si="968"/>
        <v>1</v>
      </c>
      <c r="BI2360" s="213">
        <f t="shared" si="958"/>
        <v>1200</v>
      </c>
      <c r="BJ2360" s="269" t="s">
        <v>2856</v>
      </c>
      <c r="BK2360" s="201"/>
      <c r="BL2360" s="4"/>
      <c r="BM2360" s="4"/>
    </row>
    <row r="2361" spans="1:65" s="38" customFormat="1" ht="18" customHeight="1">
      <c r="A2361" s="114">
        <v>192</v>
      </c>
      <c r="B2361" s="156" t="s">
        <v>3032</v>
      </c>
      <c r="C2361" s="251" t="s">
        <v>3033</v>
      </c>
      <c r="D2361" s="121"/>
      <c r="E2361" s="121"/>
      <c r="F2361" s="121"/>
      <c r="G2361" s="121"/>
      <c r="H2361" s="121"/>
      <c r="I2361" s="121">
        <v>1</v>
      </c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229">
        <f t="shared" si="962"/>
        <v>0</v>
      </c>
      <c r="AC2361" s="228">
        <f t="shared" si="965"/>
        <v>1</v>
      </c>
      <c r="AD2361" s="19">
        <v>0</v>
      </c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29">
        <f t="shared" si="963"/>
        <v>0</v>
      </c>
      <c r="BD2361" s="48">
        <f t="shared" si="966"/>
        <v>0</v>
      </c>
      <c r="BE2361" s="19">
        <v>0</v>
      </c>
      <c r="BF2361" s="229">
        <f t="shared" si="964"/>
        <v>0</v>
      </c>
      <c r="BG2361" s="210">
        <f t="shared" si="967"/>
        <v>1</v>
      </c>
      <c r="BH2361" s="210">
        <f t="shared" si="968"/>
        <v>0</v>
      </c>
      <c r="BI2361" s="213" t="e">
        <f t="shared" si="958"/>
        <v>#DIV/0!</v>
      </c>
      <c r="BJ2361" s="269" t="s">
        <v>2856</v>
      </c>
      <c r="BK2361" s="201"/>
      <c r="BL2361" s="4"/>
      <c r="BM2361" s="4"/>
    </row>
    <row r="2362" spans="1:65" s="38" customFormat="1" ht="21.95" customHeight="1">
      <c r="A2362" s="373" t="s">
        <v>2853</v>
      </c>
      <c r="B2362" s="373"/>
      <c r="C2362" s="373"/>
      <c r="D2362" s="220">
        <f t="shared" ref="D2362:U2362" si="969">SUM(D2363:D2389)</f>
        <v>0</v>
      </c>
      <c r="E2362" s="220">
        <f t="shared" si="969"/>
        <v>0</v>
      </c>
      <c r="F2362" s="220">
        <f t="shared" si="969"/>
        <v>0</v>
      </c>
      <c r="G2362" s="220">
        <f t="shared" si="969"/>
        <v>0</v>
      </c>
      <c r="H2362" s="220">
        <f t="shared" si="969"/>
        <v>0</v>
      </c>
      <c r="I2362" s="220">
        <f t="shared" si="969"/>
        <v>579</v>
      </c>
      <c r="J2362" s="220">
        <f t="shared" si="969"/>
        <v>0</v>
      </c>
      <c r="K2362" s="220">
        <f t="shared" si="969"/>
        <v>0</v>
      </c>
      <c r="L2362" s="220">
        <f t="shared" si="969"/>
        <v>0</v>
      </c>
      <c r="M2362" s="220">
        <f t="shared" si="969"/>
        <v>0</v>
      </c>
      <c r="N2362" s="220">
        <f t="shared" si="969"/>
        <v>0</v>
      </c>
      <c r="O2362" s="220">
        <f t="shared" si="969"/>
        <v>368</v>
      </c>
      <c r="P2362" s="220">
        <f t="shared" si="969"/>
        <v>0</v>
      </c>
      <c r="Q2362" s="220">
        <f t="shared" si="969"/>
        <v>0</v>
      </c>
      <c r="R2362" s="220">
        <f t="shared" si="969"/>
        <v>0</v>
      </c>
      <c r="S2362" s="220">
        <f t="shared" si="969"/>
        <v>0</v>
      </c>
      <c r="T2362" s="220">
        <f t="shared" si="969"/>
        <v>0</v>
      </c>
      <c r="U2362" s="220">
        <f t="shared" si="969"/>
        <v>348</v>
      </c>
      <c r="V2362" s="220"/>
      <c r="W2362" s="220"/>
      <c r="X2362" s="220"/>
      <c r="Y2362" s="220"/>
      <c r="Z2362" s="220">
        <f>SUM(Z2363:Z2389)</f>
        <v>0</v>
      </c>
      <c r="AA2362" s="220">
        <f>SUM(AA2363:AA2389)</f>
        <v>0</v>
      </c>
      <c r="AB2362" s="220">
        <f t="shared" ref="AB2362:AB2390" si="970">D2362+F2362+H2362+J2362+L2362+N2362+P2362+R2362+T2362+V2362+X2362+Z2362</f>
        <v>0</v>
      </c>
      <c r="AC2362" s="220">
        <f t="shared" ref="AC2362:AC2390" si="971">E2362+G2362+I2362+K2362+M2362+O2362+Q2362+S2362+U2362+W2362+Y2362+AA2362</f>
        <v>1295</v>
      </c>
      <c r="AD2362" s="210">
        <f t="shared" ref="AD2362:BB2362" si="972">SUM(AD2363:AD2389)</f>
        <v>1245</v>
      </c>
      <c r="AE2362" s="210">
        <f t="shared" si="972"/>
        <v>0</v>
      </c>
      <c r="AF2362" s="210">
        <f t="shared" si="972"/>
        <v>0</v>
      </c>
      <c r="AG2362" s="210">
        <f t="shared" si="972"/>
        <v>0</v>
      </c>
      <c r="AH2362" s="210">
        <f t="shared" si="972"/>
        <v>0</v>
      </c>
      <c r="AI2362" s="210">
        <f t="shared" si="972"/>
        <v>0</v>
      </c>
      <c r="AJ2362" s="210">
        <f t="shared" si="972"/>
        <v>4385</v>
      </c>
      <c r="AK2362" s="210">
        <f t="shared" si="972"/>
        <v>0</v>
      </c>
      <c r="AL2362" s="210">
        <f t="shared" si="972"/>
        <v>0</v>
      </c>
      <c r="AM2362" s="210">
        <f t="shared" si="972"/>
        <v>0</v>
      </c>
      <c r="AN2362" s="210">
        <f t="shared" si="972"/>
        <v>0</v>
      </c>
      <c r="AO2362" s="210">
        <f t="shared" si="972"/>
        <v>0</v>
      </c>
      <c r="AP2362" s="210">
        <f t="shared" si="972"/>
        <v>1073</v>
      </c>
      <c r="AQ2362" s="210">
        <f t="shared" si="972"/>
        <v>0</v>
      </c>
      <c r="AR2362" s="210">
        <f t="shared" si="972"/>
        <v>0</v>
      </c>
      <c r="AS2362" s="210">
        <f t="shared" si="972"/>
        <v>0</v>
      </c>
      <c r="AT2362" s="210">
        <f t="shared" si="972"/>
        <v>0</v>
      </c>
      <c r="AU2362" s="210">
        <f t="shared" si="972"/>
        <v>0</v>
      </c>
      <c r="AV2362" s="210">
        <f t="shared" si="972"/>
        <v>0</v>
      </c>
      <c r="AW2362" s="210">
        <f t="shared" si="972"/>
        <v>0</v>
      </c>
      <c r="AX2362" s="210">
        <f t="shared" si="972"/>
        <v>0</v>
      </c>
      <c r="AY2362" s="210">
        <f t="shared" si="972"/>
        <v>0</v>
      </c>
      <c r="AZ2362" s="210">
        <f t="shared" si="972"/>
        <v>0</v>
      </c>
      <c r="BA2362" s="210">
        <f t="shared" si="972"/>
        <v>0</v>
      </c>
      <c r="BB2362" s="210">
        <f t="shared" si="972"/>
        <v>1623</v>
      </c>
      <c r="BC2362" s="220">
        <f t="shared" ref="BC2362:BC2390" si="973">AE2362+AG2362+AI2362+AK2362+AM2362+AO2362+AQ2362+AS2362+AU2362+AW2362+AY2362+BA2362</f>
        <v>0</v>
      </c>
      <c r="BD2362" s="210">
        <f t="shared" ref="BD2362:BD2390" si="974">AF2362+AH2362+AJ2362+AL2362+AN2362+AP2362+AR2362+AT2362+AV2362+AX2362+AZ2362+BB2362</f>
        <v>7081</v>
      </c>
      <c r="BE2362" s="210">
        <f>SUM(BE2363:BE2389)</f>
        <v>8823</v>
      </c>
      <c r="BF2362" s="220">
        <f t="shared" ref="BF2362:BF2390" si="975">AB2362+BC2362</f>
        <v>0</v>
      </c>
      <c r="BG2362" s="210">
        <f t="shared" ref="BG2362:BG2390" si="976">AC2362+BD2362</f>
        <v>8376</v>
      </c>
      <c r="BH2362" s="210">
        <f t="shared" ref="BH2362:BH2390" si="977">AD2362+BE2362</f>
        <v>10068</v>
      </c>
      <c r="BI2362" s="213">
        <f t="shared" ref="BI2362" si="978">BG2362/BH2362*100</f>
        <v>83.194278903456492</v>
      </c>
      <c r="BJ2362" s="140">
        <v>10068</v>
      </c>
      <c r="BK2362" s="203">
        <f>BH2362-BJ2362</f>
        <v>0</v>
      </c>
      <c r="BL2362" s="198">
        <v>97</v>
      </c>
      <c r="BM2362" s="199">
        <f>BG2362-BL2362</f>
        <v>8279</v>
      </c>
    </row>
    <row r="2363" spans="1:65" s="38" customFormat="1" ht="18" customHeight="1">
      <c r="A2363" s="114">
        <v>1</v>
      </c>
      <c r="B2363" s="24" t="s">
        <v>551</v>
      </c>
      <c r="C2363" s="25" t="s">
        <v>2630</v>
      </c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>
        <v>1</v>
      </c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229">
        <f t="shared" ref="AB2363:AC2369" si="979">D2363+F2363+H2363+J2363+L2363+N2363+P2363+R2363+T2363+V2363+X2363+Z2363</f>
        <v>0</v>
      </c>
      <c r="AC2363" s="228">
        <f t="shared" si="979"/>
        <v>1</v>
      </c>
      <c r="AD2363" s="19">
        <v>0</v>
      </c>
      <c r="AE2363" s="28"/>
      <c r="AF2363" s="28"/>
      <c r="AG2363" s="28"/>
      <c r="AH2363" s="28"/>
      <c r="AI2363" s="28"/>
      <c r="AJ2363" s="28">
        <v>11</v>
      </c>
      <c r="AK2363" s="28"/>
      <c r="AL2363" s="28"/>
      <c r="AM2363" s="28"/>
      <c r="AN2363" s="28"/>
      <c r="AO2363" s="28"/>
      <c r="AP2363" s="28">
        <v>9</v>
      </c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29">
        <f t="shared" ref="BC2363:BD2369" si="980">AE2363+AG2363+AI2363+AK2363+AM2363+AO2363+AQ2363+AS2363+AU2363+AW2363+AY2363+BA2363</f>
        <v>0</v>
      </c>
      <c r="BD2363" s="48">
        <f t="shared" si="980"/>
        <v>20</v>
      </c>
      <c r="BE2363" s="19">
        <v>29</v>
      </c>
      <c r="BF2363" s="229">
        <f t="shared" ref="BF2363:BH2369" si="981">AB2363+BC2363</f>
        <v>0</v>
      </c>
      <c r="BG2363" s="210">
        <f t="shared" si="981"/>
        <v>21</v>
      </c>
      <c r="BH2363" s="210">
        <f t="shared" si="981"/>
        <v>29</v>
      </c>
      <c r="BI2363" s="213">
        <f t="shared" ref="BI2363:BI2389" si="982">BG2363/BH2363*100</f>
        <v>72.41379310344827</v>
      </c>
      <c r="BJ2363" s="141"/>
      <c r="BK2363" s="201"/>
      <c r="BL2363" s="4"/>
      <c r="BM2363" s="4"/>
    </row>
    <row r="2364" spans="1:65" s="38" customFormat="1" ht="18" customHeight="1">
      <c r="A2364" s="114">
        <v>2</v>
      </c>
      <c r="B2364" s="24" t="s">
        <v>553</v>
      </c>
      <c r="C2364" s="25" t="s">
        <v>554</v>
      </c>
      <c r="D2364" s="121"/>
      <c r="E2364" s="121"/>
      <c r="F2364" s="121"/>
      <c r="G2364" s="121"/>
      <c r="H2364" s="121"/>
      <c r="I2364" s="121">
        <v>1</v>
      </c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229">
        <f t="shared" si="979"/>
        <v>0</v>
      </c>
      <c r="AC2364" s="228">
        <f t="shared" si="979"/>
        <v>1</v>
      </c>
      <c r="AD2364" s="19">
        <v>0</v>
      </c>
      <c r="AE2364" s="28"/>
      <c r="AF2364" s="28"/>
      <c r="AG2364" s="28"/>
      <c r="AH2364" s="28"/>
      <c r="AI2364" s="28"/>
      <c r="AJ2364" s="28">
        <v>83</v>
      </c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  <c r="AZ2364" s="28"/>
      <c r="BA2364" s="28"/>
      <c r="BB2364" s="28"/>
      <c r="BC2364" s="229">
        <f t="shared" si="980"/>
        <v>0</v>
      </c>
      <c r="BD2364" s="48">
        <f t="shared" si="980"/>
        <v>83</v>
      </c>
      <c r="BE2364" s="19">
        <v>124</v>
      </c>
      <c r="BF2364" s="229">
        <f t="shared" si="981"/>
        <v>0</v>
      </c>
      <c r="BG2364" s="210">
        <f t="shared" si="981"/>
        <v>84</v>
      </c>
      <c r="BH2364" s="210">
        <f t="shared" si="981"/>
        <v>124</v>
      </c>
      <c r="BI2364" s="213">
        <f t="shared" si="982"/>
        <v>67.741935483870961</v>
      </c>
      <c r="BJ2364" s="141"/>
      <c r="BK2364" s="201"/>
      <c r="BL2364" s="4"/>
      <c r="BM2364" s="4"/>
    </row>
    <row r="2365" spans="1:65" s="38" customFormat="1" ht="18" customHeight="1">
      <c r="A2365" s="114">
        <v>3</v>
      </c>
      <c r="B2365" s="24" t="s">
        <v>569</v>
      </c>
      <c r="C2365" s="25" t="s">
        <v>680</v>
      </c>
      <c r="D2365" s="121"/>
      <c r="E2365" s="121"/>
      <c r="F2365" s="121"/>
      <c r="G2365" s="121"/>
      <c r="H2365" s="121"/>
      <c r="I2365" s="121">
        <v>2</v>
      </c>
      <c r="J2365" s="121"/>
      <c r="K2365" s="121"/>
      <c r="L2365" s="121"/>
      <c r="M2365" s="121"/>
      <c r="N2365" s="121"/>
      <c r="O2365" s="121">
        <f>1+1</f>
        <v>2</v>
      </c>
      <c r="P2365" s="121"/>
      <c r="Q2365" s="121"/>
      <c r="R2365" s="121"/>
      <c r="S2365" s="121"/>
      <c r="T2365" s="121"/>
      <c r="U2365" s="121">
        <v>4</v>
      </c>
      <c r="V2365" s="121"/>
      <c r="W2365" s="121"/>
      <c r="X2365" s="121"/>
      <c r="Y2365" s="121"/>
      <c r="Z2365" s="121"/>
      <c r="AA2365" s="121"/>
      <c r="AB2365" s="229">
        <f t="shared" si="979"/>
        <v>0</v>
      </c>
      <c r="AC2365" s="228">
        <f t="shared" si="979"/>
        <v>8</v>
      </c>
      <c r="AD2365" s="19">
        <v>26</v>
      </c>
      <c r="AE2365" s="28"/>
      <c r="AF2365" s="28"/>
      <c r="AG2365" s="28"/>
      <c r="AH2365" s="28"/>
      <c r="AI2365" s="28"/>
      <c r="AJ2365" s="28">
        <v>63</v>
      </c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>
        <v>74</v>
      </c>
      <c r="BC2365" s="229">
        <f t="shared" si="980"/>
        <v>0</v>
      </c>
      <c r="BD2365" s="48">
        <f t="shared" si="980"/>
        <v>137</v>
      </c>
      <c r="BE2365" s="19">
        <v>278</v>
      </c>
      <c r="BF2365" s="229">
        <f t="shared" si="981"/>
        <v>0</v>
      </c>
      <c r="BG2365" s="210">
        <f t="shared" si="981"/>
        <v>145</v>
      </c>
      <c r="BH2365" s="210">
        <f t="shared" si="981"/>
        <v>304</v>
      </c>
      <c r="BI2365" s="213">
        <f t="shared" si="982"/>
        <v>47.69736842105263</v>
      </c>
      <c r="BJ2365" s="141"/>
      <c r="BK2365" s="201"/>
      <c r="BL2365" s="4"/>
      <c r="BM2365" s="4"/>
    </row>
    <row r="2366" spans="1:65" s="38" customFormat="1" ht="18" customHeight="1">
      <c r="A2366" s="114">
        <v>4</v>
      </c>
      <c r="B2366" s="24" t="s">
        <v>582</v>
      </c>
      <c r="C2366" s="25" t="s">
        <v>583</v>
      </c>
      <c r="D2366" s="121"/>
      <c r="E2366" s="121"/>
      <c r="F2366" s="121"/>
      <c r="G2366" s="121"/>
      <c r="H2366" s="121"/>
      <c r="I2366" s="121">
        <f>9+3</f>
        <v>12</v>
      </c>
      <c r="J2366" s="121"/>
      <c r="K2366" s="121"/>
      <c r="L2366" s="121"/>
      <c r="M2366" s="121"/>
      <c r="N2366" s="121"/>
      <c r="O2366" s="121">
        <f>3+1</f>
        <v>4</v>
      </c>
      <c r="P2366" s="121"/>
      <c r="Q2366" s="121"/>
      <c r="R2366" s="121"/>
      <c r="S2366" s="121"/>
      <c r="T2366" s="121"/>
      <c r="U2366" s="121">
        <v>2</v>
      </c>
      <c r="V2366" s="121"/>
      <c r="W2366" s="121"/>
      <c r="X2366" s="121"/>
      <c r="Y2366" s="121"/>
      <c r="Z2366" s="121"/>
      <c r="AA2366" s="121"/>
      <c r="AB2366" s="229">
        <f t="shared" si="979"/>
        <v>0</v>
      </c>
      <c r="AC2366" s="228">
        <f t="shared" si="979"/>
        <v>18</v>
      </c>
      <c r="AD2366" s="19">
        <v>9</v>
      </c>
      <c r="AE2366" s="28"/>
      <c r="AF2366" s="28"/>
      <c r="AG2366" s="28"/>
      <c r="AH2366" s="28"/>
      <c r="AI2366" s="28"/>
      <c r="AJ2366" s="28">
        <v>6</v>
      </c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  <c r="AZ2366" s="28"/>
      <c r="BA2366" s="28"/>
      <c r="BB2366" s="28">
        <v>10</v>
      </c>
      <c r="BC2366" s="229">
        <f t="shared" si="980"/>
        <v>0</v>
      </c>
      <c r="BD2366" s="48">
        <f t="shared" si="980"/>
        <v>16</v>
      </c>
      <c r="BE2366" s="19">
        <v>9</v>
      </c>
      <c r="BF2366" s="229">
        <f t="shared" si="981"/>
        <v>0</v>
      </c>
      <c r="BG2366" s="210">
        <f t="shared" si="981"/>
        <v>34</v>
      </c>
      <c r="BH2366" s="210">
        <f t="shared" si="981"/>
        <v>18</v>
      </c>
      <c r="BI2366" s="213">
        <f t="shared" si="982"/>
        <v>188.88888888888889</v>
      </c>
      <c r="BJ2366" s="141"/>
      <c r="BK2366" s="201"/>
      <c r="BL2366" s="4"/>
      <c r="BM2366" s="4"/>
    </row>
    <row r="2367" spans="1:65" s="38" customFormat="1" ht="18" customHeight="1">
      <c r="A2367" s="114">
        <v>5</v>
      </c>
      <c r="B2367" s="24" t="s">
        <v>584</v>
      </c>
      <c r="C2367" s="25" t="s">
        <v>2603</v>
      </c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229">
        <f t="shared" si="979"/>
        <v>0</v>
      </c>
      <c r="AC2367" s="228">
        <f t="shared" si="979"/>
        <v>0</v>
      </c>
      <c r="AD2367" s="19">
        <v>9</v>
      </c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29">
        <f t="shared" si="980"/>
        <v>0</v>
      </c>
      <c r="BD2367" s="48">
        <f t="shared" si="980"/>
        <v>0</v>
      </c>
      <c r="BE2367" s="19">
        <v>9</v>
      </c>
      <c r="BF2367" s="229">
        <f t="shared" si="981"/>
        <v>0</v>
      </c>
      <c r="BG2367" s="210">
        <f t="shared" si="981"/>
        <v>0</v>
      </c>
      <c r="BH2367" s="210">
        <f t="shared" si="981"/>
        <v>18</v>
      </c>
      <c r="BI2367" s="213">
        <f t="shared" si="982"/>
        <v>0</v>
      </c>
      <c r="BJ2367" s="141"/>
      <c r="BK2367" s="201"/>
      <c r="BL2367" s="4"/>
      <c r="BM2367" s="4"/>
    </row>
    <row r="2368" spans="1:65" s="38" customFormat="1" ht="18" customHeight="1">
      <c r="A2368" s="114">
        <v>6</v>
      </c>
      <c r="B2368" s="24" t="s">
        <v>2726</v>
      </c>
      <c r="C2368" s="25" t="s">
        <v>2727</v>
      </c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>
        <v>1</v>
      </c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229">
        <f t="shared" si="979"/>
        <v>0</v>
      </c>
      <c r="AC2368" s="228">
        <f t="shared" si="979"/>
        <v>1</v>
      </c>
      <c r="AD2368" s="19">
        <v>0</v>
      </c>
      <c r="AE2368" s="28"/>
      <c r="AF2368" s="28"/>
      <c r="AG2368" s="28"/>
      <c r="AH2368" s="28"/>
      <c r="AI2368" s="28"/>
      <c r="AJ2368" s="28">
        <f>1+4</f>
        <v>5</v>
      </c>
      <c r="AK2368" s="28"/>
      <c r="AL2368" s="28"/>
      <c r="AM2368" s="28"/>
      <c r="AN2368" s="28"/>
      <c r="AO2368" s="28"/>
      <c r="AP2368" s="28">
        <v>4</v>
      </c>
      <c r="AQ2368" s="28"/>
      <c r="AR2368" s="28"/>
      <c r="AS2368" s="28"/>
      <c r="AT2368" s="28"/>
      <c r="AU2368" s="28"/>
      <c r="AV2368" s="28"/>
      <c r="AW2368" s="28"/>
      <c r="AX2368" s="28"/>
      <c r="AY2368" s="28"/>
      <c r="AZ2368" s="28"/>
      <c r="BA2368" s="28"/>
      <c r="BB2368" s="28"/>
      <c r="BC2368" s="229">
        <f t="shared" si="980"/>
        <v>0</v>
      </c>
      <c r="BD2368" s="48">
        <f t="shared" si="980"/>
        <v>9</v>
      </c>
      <c r="BE2368" s="19">
        <v>3</v>
      </c>
      <c r="BF2368" s="229">
        <f t="shared" si="981"/>
        <v>0</v>
      </c>
      <c r="BG2368" s="210">
        <f t="shared" si="981"/>
        <v>10</v>
      </c>
      <c r="BH2368" s="210">
        <f t="shared" si="981"/>
        <v>3</v>
      </c>
      <c r="BI2368" s="213">
        <f t="shared" si="982"/>
        <v>333.33333333333337</v>
      </c>
      <c r="BJ2368" s="141"/>
      <c r="BK2368" s="201"/>
      <c r="BL2368" s="4"/>
      <c r="BM2368" s="4"/>
    </row>
    <row r="2369" spans="1:65" s="38" customFormat="1" ht="18" customHeight="1">
      <c r="A2369" s="114">
        <v>7</v>
      </c>
      <c r="B2369" s="24" t="s">
        <v>628</v>
      </c>
      <c r="C2369" s="25" t="s">
        <v>629</v>
      </c>
      <c r="D2369" s="121"/>
      <c r="E2369" s="121"/>
      <c r="F2369" s="121"/>
      <c r="G2369" s="121"/>
      <c r="H2369" s="121"/>
      <c r="I2369" s="121">
        <f>19+126</f>
        <v>145</v>
      </c>
      <c r="J2369" s="121"/>
      <c r="K2369" s="121"/>
      <c r="L2369" s="121"/>
      <c r="M2369" s="121"/>
      <c r="N2369" s="121"/>
      <c r="O2369" s="121">
        <f>7+82</f>
        <v>89</v>
      </c>
      <c r="P2369" s="121"/>
      <c r="Q2369" s="121"/>
      <c r="R2369" s="121"/>
      <c r="S2369" s="121"/>
      <c r="T2369" s="121"/>
      <c r="U2369" s="121">
        <v>84</v>
      </c>
      <c r="V2369" s="121"/>
      <c r="W2369" s="121"/>
      <c r="X2369" s="121"/>
      <c r="Y2369" s="121"/>
      <c r="Z2369" s="121"/>
      <c r="AA2369" s="121"/>
      <c r="AB2369" s="229">
        <f t="shared" si="979"/>
        <v>0</v>
      </c>
      <c r="AC2369" s="228">
        <f t="shared" si="979"/>
        <v>318</v>
      </c>
      <c r="AD2369" s="19">
        <v>288</v>
      </c>
      <c r="AE2369" s="28"/>
      <c r="AF2369" s="28"/>
      <c r="AG2369" s="28"/>
      <c r="AH2369" s="28"/>
      <c r="AI2369" s="28"/>
      <c r="AJ2369" s="28">
        <f>1510+302</f>
        <v>1812</v>
      </c>
      <c r="AK2369" s="28"/>
      <c r="AL2369" s="28"/>
      <c r="AM2369" s="28"/>
      <c r="AN2369" s="28"/>
      <c r="AO2369" s="28"/>
      <c r="AP2369" s="28">
        <v>330</v>
      </c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>
        <v>356</v>
      </c>
      <c r="BC2369" s="229">
        <f t="shared" si="980"/>
        <v>0</v>
      </c>
      <c r="BD2369" s="48">
        <f t="shared" si="980"/>
        <v>2498</v>
      </c>
      <c r="BE2369" s="19">
        <v>3998</v>
      </c>
      <c r="BF2369" s="229">
        <f t="shared" si="981"/>
        <v>0</v>
      </c>
      <c r="BG2369" s="210">
        <f t="shared" si="981"/>
        <v>2816</v>
      </c>
      <c r="BH2369" s="210">
        <f t="shared" si="981"/>
        <v>4286</v>
      </c>
      <c r="BI2369" s="213">
        <f t="shared" si="982"/>
        <v>65.702286514232384</v>
      </c>
      <c r="BJ2369" s="141"/>
      <c r="BK2369" s="201"/>
      <c r="BL2369" s="4"/>
      <c r="BM2369" s="4"/>
    </row>
    <row r="2370" spans="1:65" s="38" customFormat="1" ht="18" customHeight="1">
      <c r="A2370" s="114">
        <v>8</v>
      </c>
      <c r="B2370" s="24" t="s">
        <v>630</v>
      </c>
      <c r="C2370" s="25" t="s">
        <v>631</v>
      </c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>
        <v>1</v>
      </c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229"/>
      <c r="AC2370" s="228">
        <f t="shared" ref="AC2370:AC2389" si="983">E2370+G2370+I2370+K2370+M2370+O2370+Q2370+S2370+U2370+W2370+Y2370+AA2370</f>
        <v>1</v>
      </c>
      <c r="AD2370" s="19">
        <v>0</v>
      </c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/>
      <c r="AZ2370" s="28"/>
      <c r="BA2370" s="28"/>
      <c r="BB2370" s="28"/>
      <c r="BC2370" s="229"/>
      <c r="BD2370" s="48">
        <f t="shared" ref="BD2370:BD2389" si="984">AF2370+AH2370+AJ2370+AL2370+AN2370+AP2370+AR2370+AT2370+AV2370+AX2370+AZ2370+BB2370</f>
        <v>0</v>
      </c>
      <c r="BE2370" s="19">
        <v>0</v>
      </c>
      <c r="BF2370" s="229"/>
      <c r="BG2370" s="210">
        <f t="shared" ref="BG2370:BG2389" si="985">AC2370+BD2370</f>
        <v>1</v>
      </c>
      <c r="BH2370" s="210">
        <f t="shared" ref="BH2370:BH2389" si="986">AD2370+BE2370</f>
        <v>0</v>
      </c>
      <c r="BI2370" s="213" t="e">
        <f t="shared" si="982"/>
        <v>#DIV/0!</v>
      </c>
      <c r="BJ2370" s="141"/>
      <c r="BK2370" s="201"/>
      <c r="BL2370" s="4"/>
      <c r="BM2370" s="4"/>
    </row>
    <row r="2371" spans="1:65" s="38" customFormat="1" ht="18" customHeight="1">
      <c r="A2371" s="114">
        <v>9</v>
      </c>
      <c r="B2371" s="24" t="s">
        <v>634</v>
      </c>
      <c r="C2371" s="25" t="s">
        <v>696</v>
      </c>
      <c r="D2371" s="121"/>
      <c r="E2371" s="121"/>
      <c r="F2371" s="121"/>
      <c r="G2371" s="121"/>
      <c r="H2371" s="121"/>
      <c r="I2371" s="121">
        <f>5+123</f>
        <v>128</v>
      </c>
      <c r="J2371" s="121"/>
      <c r="K2371" s="121"/>
      <c r="L2371" s="121"/>
      <c r="M2371" s="121"/>
      <c r="N2371" s="121"/>
      <c r="O2371" s="121">
        <f>3+81</f>
        <v>84</v>
      </c>
      <c r="P2371" s="121"/>
      <c r="Q2371" s="121"/>
      <c r="R2371" s="121"/>
      <c r="S2371" s="121"/>
      <c r="T2371" s="121"/>
      <c r="U2371" s="121">
        <v>82</v>
      </c>
      <c r="V2371" s="121"/>
      <c r="W2371" s="121"/>
      <c r="X2371" s="121"/>
      <c r="Y2371" s="121"/>
      <c r="Z2371" s="121"/>
      <c r="AA2371" s="121"/>
      <c r="AB2371" s="229">
        <f t="shared" ref="AB2371:AB2389" si="987">D2371+F2371+H2371+J2371+L2371+N2371+P2371+R2371+T2371+V2371+X2371+Z2371</f>
        <v>0</v>
      </c>
      <c r="AC2371" s="228">
        <f t="shared" si="983"/>
        <v>294</v>
      </c>
      <c r="AD2371" s="19">
        <v>278</v>
      </c>
      <c r="AE2371" s="28"/>
      <c r="AF2371" s="28"/>
      <c r="AG2371" s="28"/>
      <c r="AH2371" s="28"/>
      <c r="AI2371" s="28"/>
      <c r="AJ2371" s="28">
        <f>188+295</f>
        <v>483</v>
      </c>
      <c r="AK2371" s="28"/>
      <c r="AL2371" s="28"/>
      <c r="AM2371" s="28"/>
      <c r="AN2371" s="28"/>
      <c r="AO2371" s="28"/>
      <c r="AP2371" s="28">
        <v>325</v>
      </c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>
        <v>344</v>
      </c>
      <c r="BC2371" s="229">
        <f t="shared" ref="BC2371:BC2389" si="988">AE2371+AG2371+AI2371+AK2371+AM2371+AO2371+AQ2371+AS2371+AU2371+AW2371+AY2371+BA2371</f>
        <v>0</v>
      </c>
      <c r="BD2371" s="48">
        <f t="shared" si="984"/>
        <v>1152</v>
      </c>
      <c r="BE2371" s="19">
        <v>1469</v>
      </c>
      <c r="BF2371" s="229">
        <f t="shared" ref="BF2371:BF2389" si="989">AB2371+BC2371</f>
        <v>0</v>
      </c>
      <c r="BG2371" s="210">
        <f t="shared" si="985"/>
        <v>1446</v>
      </c>
      <c r="BH2371" s="210">
        <f t="shared" si="986"/>
        <v>1747</v>
      </c>
      <c r="BI2371" s="213">
        <f t="shared" si="982"/>
        <v>82.770463651974808</v>
      </c>
      <c r="BJ2371" s="141"/>
      <c r="BK2371" s="201"/>
      <c r="BL2371" s="4"/>
      <c r="BM2371" s="4"/>
    </row>
    <row r="2372" spans="1:65" s="38" customFormat="1" ht="18" customHeight="1">
      <c r="A2372" s="114">
        <v>10</v>
      </c>
      <c r="B2372" s="24" t="s">
        <v>651</v>
      </c>
      <c r="C2372" s="25" t="s">
        <v>1453</v>
      </c>
      <c r="D2372" s="121"/>
      <c r="E2372" s="121"/>
      <c r="F2372" s="121"/>
      <c r="G2372" s="121"/>
      <c r="H2372" s="121"/>
      <c r="I2372" s="121">
        <f>5+83</f>
        <v>88</v>
      </c>
      <c r="J2372" s="121"/>
      <c r="K2372" s="121"/>
      <c r="L2372" s="121"/>
      <c r="M2372" s="121"/>
      <c r="N2372" s="121"/>
      <c r="O2372" s="121">
        <f>2+59</f>
        <v>61</v>
      </c>
      <c r="P2372" s="121"/>
      <c r="Q2372" s="121"/>
      <c r="R2372" s="121"/>
      <c r="S2372" s="121"/>
      <c r="T2372" s="121"/>
      <c r="U2372" s="121">
        <v>55</v>
      </c>
      <c r="V2372" s="121"/>
      <c r="W2372" s="121"/>
      <c r="X2372" s="121"/>
      <c r="Y2372" s="121"/>
      <c r="Z2372" s="121"/>
      <c r="AA2372" s="121"/>
      <c r="AB2372" s="229">
        <f t="shared" si="987"/>
        <v>0</v>
      </c>
      <c r="AC2372" s="228">
        <f t="shared" si="983"/>
        <v>204</v>
      </c>
      <c r="AD2372" s="19">
        <v>171</v>
      </c>
      <c r="AE2372" s="28"/>
      <c r="AF2372" s="28"/>
      <c r="AG2372" s="28"/>
      <c r="AH2372" s="28"/>
      <c r="AI2372" s="28"/>
      <c r="AJ2372" s="28">
        <f>908+203</f>
        <v>1111</v>
      </c>
      <c r="AK2372" s="28"/>
      <c r="AL2372" s="28"/>
      <c r="AM2372" s="28"/>
      <c r="AN2372" s="28"/>
      <c r="AO2372" s="28"/>
      <c r="AP2372" s="28">
        <v>240</v>
      </c>
      <c r="AQ2372" s="28"/>
      <c r="AR2372" s="28"/>
      <c r="AS2372" s="28"/>
      <c r="AT2372" s="28"/>
      <c r="AU2372" s="28"/>
      <c r="AV2372" s="28"/>
      <c r="AW2372" s="28"/>
      <c r="AX2372" s="28"/>
      <c r="AY2372" s="28"/>
      <c r="AZ2372" s="28"/>
      <c r="BA2372" s="28"/>
      <c r="BB2372" s="28">
        <v>265</v>
      </c>
      <c r="BC2372" s="229">
        <f t="shared" si="988"/>
        <v>0</v>
      </c>
      <c r="BD2372" s="48">
        <f t="shared" si="984"/>
        <v>1616</v>
      </c>
      <c r="BE2372" s="19">
        <v>859</v>
      </c>
      <c r="BF2372" s="229">
        <f t="shared" si="989"/>
        <v>0</v>
      </c>
      <c r="BG2372" s="210">
        <f t="shared" si="985"/>
        <v>1820</v>
      </c>
      <c r="BH2372" s="210">
        <f t="shared" si="986"/>
        <v>1030</v>
      </c>
      <c r="BI2372" s="213">
        <f t="shared" si="982"/>
        <v>176.69902912621359</v>
      </c>
      <c r="BJ2372" s="141"/>
      <c r="BK2372" s="201"/>
      <c r="BL2372" s="4"/>
      <c r="BM2372" s="4"/>
    </row>
    <row r="2373" spans="1:65" s="38" customFormat="1" ht="18" customHeight="1">
      <c r="A2373" s="114">
        <v>11</v>
      </c>
      <c r="B2373" s="24" t="s">
        <v>814</v>
      </c>
      <c r="C2373" s="25" t="s">
        <v>815</v>
      </c>
      <c r="D2373" s="121"/>
      <c r="E2373" s="121"/>
      <c r="F2373" s="121"/>
      <c r="G2373" s="121"/>
      <c r="H2373" s="121"/>
      <c r="I2373" s="121">
        <f>9+43</f>
        <v>52</v>
      </c>
      <c r="J2373" s="121"/>
      <c r="K2373" s="121"/>
      <c r="L2373" s="121"/>
      <c r="M2373" s="121"/>
      <c r="N2373" s="121"/>
      <c r="O2373" s="121">
        <f>4+28</f>
        <v>32</v>
      </c>
      <c r="P2373" s="121"/>
      <c r="Q2373" s="121"/>
      <c r="R2373" s="121"/>
      <c r="S2373" s="121"/>
      <c r="T2373" s="121"/>
      <c r="U2373" s="121">
        <v>32</v>
      </c>
      <c r="V2373" s="121"/>
      <c r="W2373" s="121"/>
      <c r="X2373" s="121"/>
      <c r="Y2373" s="121"/>
      <c r="Z2373" s="121"/>
      <c r="AA2373" s="121"/>
      <c r="AB2373" s="229">
        <f t="shared" si="987"/>
        <v>0</v>
      </c>
      <c r="AC2373" s="228">
        <f t="shared" si="983"/>
        <v>116</v>
      </c>
      <c r="AD2373" s="19">
        <v>136</v>
      </c>
      <c r="AE2373" s="28"/>
      <c r="AF2373" s="28"/>
      <c r="AG2373" s="28"/>
      <c r="AH2373" s="28"/>
      <c r="AI2373" s="28"/>
      <c r="AJ2373" s="28">
        <f>254+160</f>
        <v>414</v>
      </c>
      <c r="AK2373" s="28"/>
      <c r="AL2373" s="28"/>
      <c r="AM2373" s="28"/>
      <c r="AN2373" s="28"/>
      <c r="AO2373" s="28"/>
      <c r="AP2373" s="28">
        <v>165</v>
      </c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>
        <v>160</v>
      </c>
      <c r="BC2373" s="229">
        <f t="shared" si="988"/>
        <v>0</v>
      </c>
      <c r="BD2373" s="48">
        <f t="shared" si="984"/>
        <v>739</v>
      </c>
      <c r="BE2373" s="19">
        <v>628</v>
      </c>
      <c r="BF2373" s="229">
        <f t="shared" si="989"/>
        <v>0</v>
      </c>
      <c r="BG2373" s="210">
        <f t="shared" si="985"/>
        <v>855</v>
      </c>
      <c r="BH2373" s="210">
        <f t="shared" si="986"/>
        <v>764</v>
      </c>
      <c r="BI2373" s="213">
        <f t="shared" si="982"/>
        <v>111.9109947643979</v>
      </c>
      <c r="BJ2373" s="141"/>
      <c r="BK2373" s="201"/>
      <c r="BL2373" s="4"/>
      <c r="BM2373" s="4"/>
    </row>
    <row r="2374" spans="1:65" s="38" customFormat="1" ht="18" customHeight="1">
      <c r="A2374" s="114">
        <v>12</v>
      </c>
      <c r="B2374" s="24" t="s">
        <v>1021</v>
      </c>
      <c r="C2374" s="25" t="s">
        <v>2436</v>
      </c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229">
        <f t="shared" si="987"/>
        <v>0</v>
      </c>
      <c r="AC2374" s="228">
        <f t="shared" si="983"/>
        <v>0</v>
      </c>
      <c r="AD2374" s="19">
        <v>0</v>
      </c>
      <c r="AE2374" s="28"/>
      <c r="AF2374" s="28"/>
      <c r="AG2374" s="28"/>
      <c r="AH2374" s="28"/>
      <c r="AI2374" s="28"/>
      <c r="AJ2374" s="28">
        <v>3</v>
      </c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  <c r="AZ2374" s="28"/>
      <c r="BA2374" s="28"/>
      <c r="BB2374" s="28"/>
      <c r="BC2374" s="229">
        <f t="shared" si="988"/>
        <v>0</v>
      </c>
      <c r="BD2374" s="48">
        <f t="shared" si="984"/>
        <v>3</v>
      </c>
      <c r="BE2374" s="19">
        <v>2</v>
      </c>
      <c r="BF2374" s="229">
        <f t="shared" si="989"/>
        <v>0</v>
      </c>
      <c r="BG2374" s="210">
        <f t="shared" si="985"/>
        <v>3</v>
      </c>
      <c r="BH2374" s="210">
        <f t="shared" si="986"/>
        <v>2</v>
      </c>
      <c r="BI2374" s="213">
        <f t="shared" si="982"/>
        <v>150</v>
      </c>
      <c r="BJ2374" s="141"/>
      <c r="BK2374" s="201"/>
      <c r="BL2374" s="4"/>
      <c r="BM2374" s="4"/>
    </row>
    <row r="2375" spans="1:65" s="38" customFormat="1" ht="18" customHeight="1">
      <c r="A2375" s="114">
        <v>13</v>
      </c>
      <c r="B2375" s="24" t="s">
        <v>819</v>
      </c>
      <c r="C2375" s="25" t="s">
        <v>993</v>
      </c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>
        <v>4</v>
      </c>
      <c r="P2375" s="121"/>
      <c r="Q2375" s="121"/>
      <c r="R2375" s="121"/>
      <c r="S2375" s="121"/>
      <c r="T2375" s="121"/>
      <c r="U2375" s="121">
        <v>4</v>
      </c>
      <c r="V2375" s="121"/>
      <c r="W2375" s="121"/>
      <c r="X2375" s="121"/>
      <c r="Y2375" s="121"/>
      <c r="Z2375" s="121"/>
      <c r="AA2375" s="121"/>
      <c r="AB2375" s="229">
        <f t="shared" si="987"/>
        <v>0</v>
      </c>
      <c r="AC2375" s="228">
        <f t="shared" si="983"/>
        <v>8</v>
      </c>
      <c r="AD2375" s="19">
        <v>14</v>
      </c>
      <c r="AE2375" s="28"/>
      <c r="AF2375" s="28"/>
      <c r="AG2375" s="28"/>
      <c r="AH2375" s="28"/>
      <c r="AI2375" s="28"/>
      <c r="AJ2375" s="28">
        <f>2+63</f>
        <v>65</v>
      </c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>
        <v>73</v>
      </c>
      <c r="BC2375" s="229">
        <f t="shared" si="988"/>
        <v>0</v>
      </c>
      <c r="BD2375" s="48">
        <f t="shared" si="984"/>
        <v>138</v>
      </c>
      <c r="BE2375" s="19">
        <v>252</v>
      </c>
      <c r="BF2375" s="229">
        <f t="shared" si="989"/>
        <v>0</v>
      </c>
      <c r="BG2375" s="210">
        <f t="shared" si="985"/>
        <v>146</v>
      </c>
      <c r="BH2375" s="210">
        <f t="shared" si="986"/>
        <v>266</v>
      </c>
      <c r="BI2375" s="213">
        <f t="shared" si="982"/>
        <v>54.887218045112782</v>
      </c>
      <c r="BJ2375" s="141"/>
      <c r="BK2375" s="201"/>
      <c r="BL2375" s="4"/>
      <c r="BM2375" s="4"/>
    </row>
    <row r="2376" spans="1:65" s="38" customFormat="1" ht="18" customHeight="1">
      <c r="A2376" s="114">
        <v>14</v>
      </c>
      <c r="B2376" s="24" t="s">
        <v>899</v>
      </c>
      <c r="C2376" s="25" t="s">
        <v>1700</v>
      </c>
      <c r="D2376" s="121"/>
      <c r="E2376" s="121"/>
      <c r="F2376" s="121"/>
      <c r="G2376" s="121"/>
      <c r="H2376" s="121"/>
      <c r="I2376" s="121">
        <v>2</v>
      </c>
      <c r="J2376" s="121"/>
      <c r="K2376" s="121"/>
      <c r="L2376" s="121"/>
      <c r="M2376" s="121"/>
      <c r="N2376" s="121"/>
      <c r="O2376" s="121">
        <v>1</v>
      </c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229">
        <f t="shared" si="987"/>
        <v>0</v>
      </c>
      <c r="AC2376" s="228">
        <f t="shared" si="983"/>
        <v>3</v>
      </c>
      <c r="AD2376" s="19">
        <v>5</v>
      </c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  <c r="AZ2376" s="28"/>
      <c r="BA2376" s="28"/>
      <c r="BB2376" s="28"/>
      <c r="BC2376" s="229">
        <f t="shared" si="988"/>
        <v>0</v>
      </c>
      <c r="BD2376" s="48">
        <f t="shared" si="984"/>
        <v>0</v>
      </c>
      <c r="BE2376" s="19">
        <v>0</v>
      </c>
      <c r="BF2376" s="229">
        <f t="shared" si="989"/>
        <v>0</v>
      </c>
      <c r="BG2376" s="210">
        <f t="shared" si="985"/>
        <v>3</v>
      </c>
      <c r="BH2376" s="210">
        <f t="shared" si="986"/>
        <v>5</v>
      </c>
      <c r="BI2376" s="213">
        <f t="shared" si="982"/>
        <v>60</v>
      </c>
      <c r="BJ2376" s="141"/>
      <c r="BK2376" s="201"/>
      <c r="BL2376" s="4"/>
      <c r="BM2376" s="4"/>
    </row>
    <row r="2377" spans="1:65" s="38" customFormat="1" ht="18" customHeight="1">
      <c r="A2377" s="114">
        <v>15</v>
      </c>
      <c r="B2377" s="24" t="s">
        <v>928</v>
      </c>
      <c r="C2377" s="25" t="s">
        <v>2270</v>
      </c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229">
        <f t="shared" si="987"/>
        <v>0</v>
      </c>
      <c r="AC2377" s="228">
        <f t="shared" si="983"/>
        <v>0</v>
      </c>
      <c r="AD2377" s="19">
        <v>3</v>
      </c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  <c r="AZ2377" s="28"/>
      <c r="BA2377" s="28"/>
      <c r="BB2377" s="28"/>
      <c r="BC2377" s="229">
        <f t="shared" si="988"/>
        <v>0</v>
      </c>
      <c r="BD2377" s="48">
        <f t="shared" si="984"/>
        <v>0</v>
      </c>
      <c r="BE2377" s="19">
        <v>0</v>
      </c>
      <c r="BF2377" s="229">
        <f t="shared" si="989"/>
        <v>0</v>
      </c>
      <c r="BG2377" s="210">
        <f t="shared" si="985"/>
        <v>0</v>
      </c>
      <c r="BH2377" s="210">
        <f t="shared" si="986"/>
        <v>3</v>
      </c>
      <c r="BI2377" s="213">
        <f t="shared" si="982"/>
        <v>0</v>
      </c>
      <c r="BJ2377" s="141"/>
      <c r="BK2377" s="201"/>
      <c r="BL2377" s="4"/>
      <c r="BM2377" s="4"/>
    </row>
    <row r="2378" spans="1:65" s="38" customFormat="1" ht="18" customHeight="1">
      <c r="A2378" s="114">
        <v>16</v>
      </c>
      <c r="B2378" s="24" t="s">
        <v>775</v>
      </c>
      <c r="C2378" s="25" t="s">
        <v>1580</v>
      </c>
      <c r="D2378" s="121"/>
      <c r="E2378" s="121"/>
      <c r="F2378" s="121"/>
      <c r="G2378" s="121"/>
      <c r="H2378" s="121"/>
      <c r="I2378" s="121">
        <v>1</v>
      </c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229">
        <f t="shared" si="987"/>
        <v>0</v>
      </c>
      <c r="AC2378" s="228">
        <f t="shared" si="983"/>
        <v>1</v>
      </c>
      <c r="AD2378" s="19">
        <v>2</v>
      </c>
      <c r="AE2378" s="28"/>
      <c r="AF2378" s="28"/>
      <c r="AG2378" s="28"/>
      <c r="AH2378" s="28"/>
      <c r="AI2378" s="28"/>
      <c r="AJ2378" s="28">
        <v>9</v>
      </c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28"/>
      <c r="BA2378" s="28"/>
      <c r="BB2378" s="28"/>
      <c r="BC2378" s="229">
        <f t="shared" si="988"/>
        <v>0</v>
      </c>
      <c r="BD2378" s="48">
        <f t="shared" si="984"/>
        <v>9</v>
      </c>
      <c r="BE2378" s="19">
        <v>0</v>
      </c>
      <c r="BF2378" s="229">
        <f t="shared" si="989"/>
        <v>0</v>
      </c>
      <c r="BG2378" s="210">
        <f t="shared" si="985"/>
        <v>10</v>
      </c>
      <c r="BH2378" s="210">
        <f t="shared" si="986"/>
        <v>2</v>
      </c>
      <c r="BI2378" s="213">
        <f t="shared" si="982"/>
        <v>500</v>
      </c>
      <c r="BJ2378" s="141"/>
      <c r="BK2378" s="201"/>
      <c r="BL2378" s="4"/>
      <c r="BM2378" s="4"/>
    </row>
    <row r="2379" spans="1:65" s="38" customFormat="1" ht="18" customHeight="1">
      <c r="A2379" s="114">
        <v>17</v>
      </c>
      <c r="B2379" s="24" t="s">
        <v>652</v>
      </c>
      <c r="C2379" s="34" t="s">
        <v>727</v>
      </c>
      <c r="D2379" s="121"/>
      <c r="E2379" s="121"/>
      <c r="F2379" s="121"/>
      <c r="G2379" s="121"/>
      <c r="H2379" s="121"/>
      <c r="I2379" s="121">
        <v>15</v>
      </c>
      <c r="J2379" s="121"/>
      <c r="K2379" s="121"/>
      <c r="L2379" s="121"/>
      <c r="M2379" s="121"/>
      <c r="N2379" s="121"/>
      <c r="O2379" s="121">
        <v>2</v>
      </c>
      <c r="P2379" s="121"/>
      <c r="Q2379" s="121"/>
      <c r="R2379" s="121"/>
      <c r="S2379" s="121"/>
      <c r="T2379" s="121"/>
      <c r="U2379" s="121">
        <v>6</v>
      </c>
      <c r="V2379" s="121"/>
      <c r="W2379" s="121"/>
      <c r="X2379" s="121"/>
      <c r="Y2379" s="121"/>
      <c r="Z2379" s="121"/>
      <c r="AA2379" s="121"/>
      <c r="AB2379" s="229">
        <f t="shared" si="987"/>
        <v>0</v>
      </c>
      <c r="AC2379" s="228">
        <f t="shared" si="983"/>
        <v>23</v>
      </c>
      <c r="AD2379" s="19">
        <v>55</v>
      </c>
      <c r="AE2379" s="28"/>
      <c r="AF2379" s="28"/>
      <c r="AG2379" s="28"/>
      <c r="AH2379" s="28"/>
      <c r="AI2379" s="28"/>
      <c r="AJ2379" s="28">
        <f>6+29</f>
        <v>35</v>
      </c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>
        <v>24</v>
      </c>
      <c r="BC2379" s="229">
        <f t="shared" si="988"/>
        <v>0</v>
      </c>
      <c r="BD2379" s="48">
        <f t="shared" si="984"/>
        <v>59</v>
      </c>
      <c r="BE2379" s="19">
        <v>121</v>
      </c>
      <c r="BF2379" s="229">
        <f t="shared" si="989"/>
        <v>0</v>
      </c>
      <c r="BG2379" s="210">
        <f t="shared" si="985"/>
        <v>82</v>
      </c>
      <c r="BH2379" s="210">
        <f t="shared" si="986"/>
        <v>176</v>
      </c>
      <c r="BI2379" s="213">
        <f t="shared" si="982"/>
        <v>46.590909090909086</v>
      </c>
      <c r="BJ2379" s="141"/>
      <c r="BK2379" s="201"/>
      <c r="BL2379" s="4"/>
      <c r="BM2379" s="4"/>
    </row>
    <row r="2380" spans="1:65" s="38" customFormat="1" ht="18" customHeight="1">
      <c r="A2380" s="114">
        <v>18</v>
      </c>
      <c r="B2380" s="24" t="s">
        <v>728</v>
      </c>
      <c r="C2380" s="34" t="s">
        <v>729</v>
      </c>
      <c r="D2380" s="121"/>
      <c r="E2380" s="121"/>
      <c r="F2380" s="121"/>
      <c r="G2380" s="121"/>
      <c r="H2380" s="121"/>
      <c r="I2380" s="121">
        <v>49</v>
      </c>
      <c r="J2380" s="121"/>
      <c r="K2380" s="121"/>
      <c r="L2380" s="121"/>
      <c r="M2380" s="121"/>
      <c r="N2380" s="121"/>
      <c r="O2380" s="121">
        <v>25</v>
      </c>
      <c r="P2380" s="121"/>
      <c r="Q2380" s="121"/>
      <c r="R2380" s="121"/>
      <c r="S2380" s="121"/>
      <c r="T2380" s="121"/>
      <c r="U2380" s="121">
        <v>18</v>
      </c>
      <c r="V2380" s="121"/>
      <c r="W2380" s="121"/>
      <c r="X2380" s="121"/>
      <c r="Y2380" s="121"/>
      <c r="Z2380" s="121"/>
      <c r="AA2380" s="121"/>
      <c r="AB2380" s="229">
        <f t="shared" si="987"/>
        <v>0</v>
      </c>
      <c r="AC2380" s="228">
        <f t="shared" si="983"/>
        <v>92</v>
      </c>
      <c r="AD2380" s="19">
        <v>59</v>
      </c>
      <c r="AE2380" s="28"/>
      <c r="AF2380" s="28"/>
      <c r="AG2380" s="28"/>
      <c r="AH2380" s="28"/>
      <c r="AI2380" s="28"/>
      <c r="AJ2380" s="28">
        <f>3+91</f>
        <v>94</v>
      </c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28">
        <v>138</v>
      </c>
      <c r="BC2380" s="229">
        <f t="shared" si="988"/>
        <v>0</v>
      </c>
      <c r="BD2380" s="48">
        <f t="shared" si="984"/>
        <v>232</v>
      </c>
      <c r="BE2380" s="19">
        <v>168</v>
      </c>
      <c r="BF2380" s="229">
        <f t="shared" si="989"/>
        <v>0</v>
      </c>
      <c r="BG2380" s="210">
        <f t="shared" si="985"/>
        <v>324</v>
      </c>
      <c r="BH2380" s="210">
        <f t="shared" si="986"/>
        <v>227</v>
      </c>
      <c r="BI2380" s="213">
        <f t="shared" si="982"/>
        <v>142.73127753303964</v>
      </c>
      <c r="BJ2380" s="141"/>
      <c r="BK2380" s="201"/>
      <c r="BL2380" s="4"/>
      <c r="BM2380" s="4"/>
    </row>
    <row r="2381" spans="1:65" s="38" customFormat="1" ht="18" customHeight="1">
      <c r="A2381" s="114">
        <v>19</v>
      </c>
      <c r="B2381" s="24" t="s">
        <v>730</v>
      </c>
      <c r="C2381" s="25" t="s">
        <v>731</v>
      </c>
      <c r="D2381" s="121"/>
      <c r="E2381" s="121"/>
      <c r="F2381" s="121"/>
      <c r="G2381" s="121"/>
      <c r="H2381" s="121"/>
      <c r="I2381" s="121">
        <v>24</v>
      </c>
      <c r="J2381" s="121"/>
      <c r="K2381" s="121"/>
      <c r="L2381" s="121"/>
      <c r="M2381" s="121"/>
      <c r="N2381" s="121"/>
      <c r="O2381" s="121">
        <v>18</v>
      </c>
      <c r="P2381" s="121"/>
      <c r="Q2381" s="121"/>
      <c r="R2381" s="121"/>
      <c r="S2381" s="121"/>
      <c r="T2381" s="121"/>
      <c r="U2381" s="121">
        <v>18</v>
      </c>
      <c r="V2381" s="121"/>
      <c r="W2381" s="121"/>
      <c r="X2381" s="121"/>
      <c r="Y2381" s="121"/>
      <c r="Z2381" s="121"/>
      <c r="AA2381" s="121"/>
      <c r="AB2381" s="229">
        <f t="shared" si="987"/>
        <v>0</v>
      </c>
      <c r="AC2381" s="228">
        <f t="shared" si="983"/>
        <v>60</v>
      </c>
      <c r="AD2381" s="19">
        <v>59</v>
      </c>
      <c r="AE2381" s="28"/>
      <c r="AF2381" s="28"/>
      <c r="AG2381" s="28"/>
      <c r="AH2381" s="28"/>
      <c r="AI2381" s="28"/>
      <c r="AJ2381" s="28">
        <f>6+45</f>
        <v>51</v>
      </c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>
        <v>29</v>
      </c>
      <c r="BC2381" s="229">
        <f t="shared" si="988"/>
        <v>0</v>
      </c>
      <c r="BD2381" s="48">
        <f t="shared" si="984"/>
        <v>80</v>
      </c>
      <c r="BE2381" s="19">
        <v>148</v>
      </c>
      <c r="BF2381" s="229">
        <f t="shared" si="989"/>
        <v>0</v>
      </c>
      <c r="BG2381" s="210">
        <f t="shared" si="985"/>
        <v>140</v>
      </c>
      <c r="BH2381" s="210">
        <f t="shared" si="986"/>
        <v>207</v>
      </c>
      <c r="BI2381" s="213">
        <f t="shared" si="982"/>
        <v>67.632850241545896</v>
      </c>
      <c r="BJ2381" s="141"/>
      <c r="BK2381" s="201"/>
      <c r="BL2381" s="4"/>
      <c r="BM2381" s="4"/>
    </row>
    <row r="2382" spans="1:65" s="38" customFormat="1" ht="18" customHeight="1">
      <c r="A2382" s="114">
        <v>20</v>
      </c>
      <c r="B2382" s="24" t="s">
        <v>732</v>
      </c>
      <c r="C2382" s="34" t="s">
        <v>733</v>
      </c>
      <c r="D2382" s="121"/>
      <c r="E2382" s="121"/>
      <c r="F2382" s="121"/>
      <c r="G2382" s="121"/>
      <c r="H2382" s="121"/>
      <c r="I2382" s="121">
        <v>34</v>
      </c>
      <c r="J2382" s="121"/>
      <c r="K2382" s="121"/>
      <c r="L2382" s="121"/>
      <c r="M2382" s="121"/>
      <c r="N2382" s="121"/>
      <c r="O2382" s="121">
        <v>32</v>
      </c>
      <c r="P2382" s="121"/>
      <c r="Q2382" s="121"/>
      <c r="R2382" s="121"/>
      <c r="S2382" s="121"/>
      <c r="T2382" s="121"/>
      <c r="U2382" s="121">
        <v>36</v>
      </c>
      <c r="V2382" s="121"/>
      <c r="W2382" s="121"/>
      <c r="X2382" s="121"/>
      <c r="Y2382" s="121"/>
      <c r="Z2382" s="121"/>
      <c r="AA2382" s="121"/>
      <c r="AB2382" s="229">
        <f t="shared" si="987"/>
        <v>0</v>
      </c>
      <c r="AC2382" s="228">
        <f t="shared" si="983"/>
        <v>102</v>
      </c>
      <c r="AD2382" s="19">
        <v>98</v>
      </c>
      <c r="AE2382" s="28"/>
      <c r="AF2382" s="28"/>
      <c r="AG2382" s="28"/>
      <c r="AH2382" s="28"/>
      <c r="AI2382" s="28"/>
      <c r="AJ2382" s="28">
        <f>7+96</f>
        <v>103</v>
      </c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  <c r="AY2382" s="28"/>
      <c r="AZ2382" s="28"/>
      <c r="BA2382" s="28"/>
      <c r="BB2382" s="28">
        <v>115</v>
      </c>
      <c r="BC2382" s="229">
        <f t="shared" si="988"/>
        <v>0</v>
      </c>
      <c r="BD2382" s="48">
        <f t="shared" si="984"/>
        <v>218</v>
      </c>
      <c r="BE2382" s="19">
        <v>518</v>
      </c>
      <c r="BF2382" s="229">
        <f t="shared" si="989"/>
        <v>0</v>
      </c>
      <c r="BG2382" s="210">
        <f t="shared" si="985"/>
        <v>320</v>
      </c>
      <c r="BH2382" s="210">
        <f t="shared" si="986"/>
        <v>616</v>
      </c>
      <c r="BI2382" s="213">
        <f t="shared" si="982"/>
        <v>51.94805194805194</v>
      </c>
      <c r="BJ2382" s="141"/>
      <c r="BK2382" s="201"/>
      <c r="BL2382" s="4"/>
      <c r="BM2382" s="4"/>
    </row>
    <row r="2383" spans="1:65" s="38" customFormat="1" ht="18" customHeight="1">
      <c r="A2383" s="114">
        <v>21</v>
      </c>
      <c r="B2383" s="24" t="s">
        <v>996</v>
      </c>
      <c r="C2383" s="25" t="s">
        <v>1026</v>
      </c>
      <c r="D2383" s="121"/>
      <c r="E2383" s="121"/>
      <c r="F2383" s="121"/>
      <c r="G2383" s="121"/>
      <c r="H2383" s="121"/>
      <c r="I2383" s="121">
        <v>1</v>
      </c>
      <c r="J2383" s="121"/>
      <c r="K2383" s="121"/>
      <c r="L2383" s="121"/>
      <c r="M2383" s="121"/>
      <c r="N2383" s="121"/>
      <c r="O2383" s="121">
        <v>2</v>
      </c>
      <c r="P2383" s="121"/>
      <c r="Q2383" s="121"/>
      <c r="R2383" s="121"/>
      <c r="S2383" s="121"/>
      <c r="T2383" s="121"/>
      <c r="U2383" s="121">
        <v>3</v>
      </c>
      <c r="V2383" s="121"/>
      <c r="W2383" s="121"/>
      <c r="X2383" s="121"/>
      <c r="Y2383" s="121"/>
      <c r="Z2383" s="121"/>
      <c r="AA2383" s="121"/>
      <c r="AB2383" s="229">
        <f t="shared" si="987"/>
        <v>0</v>
      </c>
      <c r="AC2383" s="228">
        <f t="shared" si="983"/>
        <v>6</v>
      </c>
      <c r="AD2383" s="19">
        <v>6</v>
      </c>
      <c r="AE2383" s="28"/>
      <c r="AF2383" s="28"/>
      <c r="AG2383" s="28"/>
      <c r="AH2383" s="28"/>
      <c r="AI2383" s="28"/>
      <c r="AJ2383" s="28">
        <f>5+2</f>
        <v>7</v>
      </c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>
        <v>4</v>
      </c>
      <c r="BC2383" s="229">
        <f t="shared" si="988"/>
        <v>0</v>
      </c>
      <c r="BD2383" s="48">
        <f t="shared" si="984"/>
        <v>11</v>
      </c>
      <c r="BE2383" s="19">
        <v>26</v>
      </c>
      <c r="BF2383" s="229">
        <f t="shared" si="989"/>
        <v>0</v>
      </c>
      <c r="BG2383" s="210">
        <f t="shared" si="985"/>
        <v>17</v>
      </c>
      <c r="BH2383" s="210">
        <f t="shared" si="986"/>
        <v>32</v>
      </c>
      <c r="BI2383" s="213">
        <f t="shared" si="982"/>
        <v>53.125</v>
      </c>
      <c r="BJ2383" s="141"/>
      <c r="BK2383" s="201"/>
      <c r="BL2383" s="4"/>
      <c r="BM2383" s="4"/>
    </row>
    <row r="2384" spans="1:65" s="38" customFormat="1" ht="18" customHeight="1">
      <c r="A2384" s="114">
        <v>22</v>
      </c>
      <c r="B2384" s="24" t="s">
        <v>734</v>
      </c>
      <c r="C2384" s="34" t="s">
        <v>735</v>
      </c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>
        <v>2</v>
      </c>
      <c r="P2384" s="121"/>
      <c r="Q2384" s="121"/>
      <c r="R2384" s="121"/>
      <c r="S2384" s="121"/>
      <c r="T2384" s="121"/>
      <c r="U2384" s="121">
        <v>1</v>
      </c>
      <c r="V2384" s="121"/>
      <c r="W2384" s="121"/>
      <c r="X2384" s="121"/>
      <c r="Y2384" s="121"/>
      <c r="Z2384" s="121"/>
      <c r="AA2384" s="121"/>
      <c r="AB2384" s="229">
        <f t="shared" si="987"/>
        <v>0</v>
      </c>
      <c r="AC2384" s="228">
        <f t="shared" si="983"/>
        <v>3</v>
      </c>
      <c r="AD2384" s="19">
        <v>8</v>
      </c>
      <c r="AE2384" s="28"/>
      <c r="AF2384" s="28"/>
      <c r="AG2384" s="28"/>
      <c r="AH2384" s="28"/>
      <c r="AI2384" s="28"/>
      <c r="AJ2384" s="28">
        <f>4+13</f>
        <v>17</v>
      </c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  <c r="AZ2384" s="28"/>
      <c r="BA2384" s="28"/>
      <c r="BB2384" s="28">
        <v>10</v>
      </c>
      <c r="BC2384" s="229">
        <f t="shared" si="988"/>
        <v>0</v>
      </c>
      <c r="BD2384" s="48">
        <f t="shared" si="984"/>
        <v>27</v>
      </c>
      <c r="BE2384" s="19">
        <v>166</v>
      </c>
      <c r="BF2384" s="229">
        <f t="shared" si="989"/>
        <v>0</v>
      </c>
      <c r="BG2384" s="210">
        <f t="shared" si="985"/>
        <v>30</v>
      </c>
      <c r="BH2384" s="210">
        <f t="shared" si="986"/>
        <v>174</v>
      </c>
      <c r="BI2384" s="213">
        <f t="shared" si="982"/>
        <v>17.241379310344829</v>
      </c>
      <c r="BJ2384" s="141"/>
      <c r="BK2384" s="201"/>
      <c r="BL2384" s="4"/>
      <c r="BM2384" s="4"/>
    </row>
    <row r="2385" spans="1:65" s="38" customFormat="1" ht="18" customHeight="1">
      <c r="A2385" s="114">
        <v>23</v>
      </c>
      <c r="B2385" s="24" t="s">
        <v>738</v>
      </c>
      <c r="C2385" s="25" t="s">
        <v>1917</v>
      </c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229">
        <f t="shared" si="987"/>
        <v>0</v>
      </c>
      <c r="AC2385" s="228">
        <f t="shared" si="983"/>
        <v>0</v>
      </c>
      <c r="AD2385" s="19">
        <v>0</v>
      </c>
      <c r="AE2385" s="28"/>
      <c r="AF2385" s="28"/>
      <c r="AG2385" s="28"/>
      <c r="AH2385" s="28"/>
      <c r="AI2385" s="28"/>
      <c r="AJ2385" s="28">
        <v>2</v>
      </c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>
        <v>1</v>
      </c>
      <c r="BC2385" s="229">
        <f t="shared" si="988"/>
        <v>0</v>
      </c>
      <c r="BD2385" s="48">
        <f t="shared" si="984"/>
        <v>3</v>
      </c>
      <c r="BE2385" s="19">
        <v>2</v>
      </c>
      <c r="BF2385" s="229">
        <f t="shared" si="989"/>
        <v>0</v>
      </c>
      <c r="BG2385" s="210">
        <f t="shared" si="985"/>
        <v>3</v>
      </c>
      <c r="BH2385" s="210">
        <f t="shared" si="986"/>
        <v>2</v>
      </c>
      <c r="BI2385" s="213">
        <f t="shared" si="982"/>
        <v>150</v>
      </c>
      <c r="BJ2385" s="141"/>
      <c r="BK2385" s="201"/>
      <c r="BL2385" s="4"/>
      <c r="BM2385" s="4"/>
    </row>
    <row r="2386" spans="1:65" s="38" customFormat="1" ht="18" customHeight="1">
      <c r="A2386" s="114">
        <v>24</v>
      </c>
      <c r="B2386" s="24" t="s">
        <v>822</v>
      </c>
      <c r="C2386" s="25" t="s">
        <v>823</v>
      </c>
      <c r="D2386" s="121"/>
      <c r="E2386" s="121"/>
      <c r="F2386" s="121"/>
      <c r="G2386" s="121"/>
      <c r="H2386" s="121"/>
      <c r="I2386" s="121">
        <f>10+3</f>
        <v>13</v>
      </c>
      <c r="J2386" s="121"/>
      <c r="K2386" s="121"/>
      <c r="L2386" s="121"/>
      <c r="M2386" s="121"/>
      <c r="N2386" s="121"/>
      <c r="O2386" s="121">
        <f>3+1</f>
        <v>4</v>
      </c>
      <c r="P2386" s="121"/>
      <c r="Q2386" s="121"/>
      <c r="R2386" s="121"/>
      <c r="S2386" s="121"/>
      <c r="T2386" s="121"/>
      <c r="U2386" s="121">
        <v>2</v>
      </c>
      <c r="V2386" s="121"/>
      <c r="W2386" s="121"/>
      <c r="X2386" s="121"/>
      <c r="Y2386" s="121"/>
      <c r="Z2386" s="121"/>
      <c r="AA2386" s="121"/>
      <c r="AB2386" s="229">
        <f t="shared" si="987"/>
        <v>0</v>
      </c>
      <c r="AC2386" s="228">
        <f t="shared" si="983"/>
        <v>19</v>
      </c>
      <c r="AD2386" s="19">
        <v>9</v>
      </c>
      <c r="AE2386" s="28"/>
      <c r="AF2386" s="28"/>
      <c r="AG2386" s="28"/>
      <c r="AH2386" s="28"/>
      <c r="AI2386" s="28"/>
      <c r="AJ2386" s="28">
        <v>6</v>
      </c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>
        <v>14</v>
      </c>
      <c r="BC2386" s="229">
        <f t="shared" si="988"/>
        <v>0</v>
      </c>
      <c r="BD2386" s="48">
        <f t="shared" si="984"/>
        <v>20</v>
      </c>
      <c r="BE2386" s="19">
        <v>6</v>
      </c>
      <c r="BF2386" s="229">
        <f t="shared" si="989"/>
        <v>0</v>
      </c>
      <c r="BG2386" s="210">
        <f t="shared" si="985"/>
        <v>39</v>
      </c>
      <c r="BH2386" s="210">
        <f t="shared" si="986"/>
        <v>15</v>
      </c>
      <c r="BI2386" s="213">
        <f t="shared" si="982"/>
        <v>260</v>
      </c>
      <c r="BJ2386" s="141"/>
      <c r="BK2386" s="201"/>
      <c r="BL2386" s="4"/>
      <c r="BM2386" s="4"/>
    </row>
    <row r="2387" spans="1:65" s="38" customFormat="1" ht="18" customHeight="1">
      <c r="A2387" s="114">
        <v>25</v>
      </c>
      <c r="B2387" s="24" t="s">
        <v>776</v>
      </c>
      <c r="C2387" s="25" t="s">
        <v>777</v>
      </c>
      <c r="D2387" s="121"/>
      <c r="E2387" s="121"/>
      <c r="F2387" s="121"/>
      <c r="G2387" s="121"/>
      <c r="H2387" s="121"/>
      <c r="I2387" s="121">
        <f>1+2</f>
        <v>3</v>
      </c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>
        <v>1</v>
      </c>
      <c r="V2387" s="121"/>
      <c r="W2387" s="121"/>
      <c r="X2387" s="121"/>
      <c r="Y2387" s="121"/>
      <c r="Z2387" s="121"/>
      <c r="AA2387" s="121"/>
      <c r="AB2387" s="229">
        <f t="shared" si="987"/>
        <v>0</v>
      </c>
      <c r="AC2387" s="228">
        <f t="shared" si="983"/>
        <v>4</v>
      </c>
      <c r="AD2387" s="19">
        <v>2</v>
      </c>
      <c r="AE2387" s="28"/>
      <c r="AF2387" s="28"/>
      <c r="AG2387" s="28"/>
      <c r="AH2387" s="28"/>
      <c r="AI2387" s="28"/>
      <c r="AJ2387" s="28">
        <v>4</v>
      </c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>
        <v>6</v>
      </c>
      <c r="BC2387" s="229">
        <f t="shared" si="988"/>
        <v>0</v>
      </c>
      <c r="BD2387" s="48">
        <f t="shared" si="984"/>
        <v>10</v>
      </c>
      <c r="BE2387" s="19">
        <v>3</v>
      </c>
      <c r="BF2387" s="229">
        <f t="shared" si="989"/>
        <v>0</v>
      </c>
      <c r="BG2387" s="210">
        <f t="shared" si="985"/>
        <v>14</v>
      </c>
      <c r="BH2387" s="210">
        <f t="shared" si="986"/>
        <v>5</v>
      </c>
      <c r="BI2387" s="213">
        <f t="shared" si="982"/>
        <v>280</v>
      </c>
      <c r="BJ2387" s="141"/>
      <c r="BK2387" s="201"/>
      <c r="BL2387" s="4"/>
      <c r="BM2387" s="4"/>
    </row>
    <row r="2388" spans="1:65" s="38" customFormat="1" ht="18" customHeight="1">
      <c r="A2388" s="114">
        <v>26</v>
      </c>
      <c r="B2388" s="24" t="s">
        <v>782</v>
      </c>
      <c r="C2388" s="25" t="s">
        <v>783</v>
      </c>
      <c r="D2388" s="121"/>
      <c r="E2388" s="121"/>
      <c r="F2388" s="121"/>
      <c r="G2388" s="121"/>
      <c r="H2388" s="121"/>
      <c r="I2388" s="121">
        <v>9</v>
      </c>
      <c r="J2388" s="121"/>
      <c r="K2388" s="121"/>
      <c r="L2388" s="121"/>
      <c r="M2388" s="121"/>
      <c r="N2388" s="121"/>
      <c r="O2388" s="121">
        <v>3</v>
      </c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229">
        <f t="shared" si="987"/>
        <v>0</v>
      </c>
      <c r="AC2388" s="228">
        <f t="shared" si="983"/>
        <v>12</v>
      </c>
      <c r="AD2388" s="19">
        <v>8</v>
      </c>
      <c r="AE2388" s="28"/>
      <c r="AF2388" s="28"/>
      <c r="AG2388" s="28"/>
      <c r="AH2388" s="28"/>
      <c r="AI2388" s="28"/>
      <c r="AJ2388" s="28">
        <v>1</v>
      </c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  <c r="AZ2388" s="28"/>
      <c r="BA2388" s="28"/>
      <c r="BB2388" s="28"/>
      <c r="BC2388" s="229">
        <f t="shared" si="988"/>
        <v>0</v>
      </c>
      <c r="BD2388" s="48">
        <f t="shared" si="984"/>
        <v>1</v>
      </c>
      <c r="BE2388" s="19">
        <v>0</v>
      </c>
      <c r="BF2388" s="229">
        <f t="shared" si="989"/>
        <v>0</v>
      </c>
      <c r="BG2388" s="210">
        <f t="shared" si="985"/>
        <v>13</v>
      </c>
      <c r="BH2388" s="210">
        <f t="shared" si="986"/>
        <v>8</v>
      </c>
      <c r="BI2388" s="213">
        <f t="shared" si="982"/>
        <v>162.5</v>
      </c>
      <c r="BJ2388" s="141"/>
      <c r="BK2388" s="201"/>
      <c r="BL2388" s="4"/>
      <c r="BM2388" s="4"/>
    </row>
    <row r="2389" spans="1:65" s="38" customFormat="1" ht="18" customHeight="1">
      <c r="A2389" s="114">
        <v>27</v>
      </c>
      <c r="B2389" s="156" t="s">
        <v>1788</v>
      </c>
      <c r="C2389" s="159" t="s">
        <v>1789</v>
      </c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229">
        <f t="shared" si="987"/>
        <v>0</v>
      </c>
      <c r="AC2389" s="228">
        <f t="shared" si="983"/>
        <v>0</v>
      </c>
      <c r="AD2389" s="19">
        <v>0</v>
      </c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29">
        <f t="shared" si="988"/>
        <v>0</v>
      </c>
      <c r="BD2389" s="48">
        <f t="shared" si="984"/>
        <v>0</v>
      </c>
      <c r="BE2389" s="19">
        <v>5</v>
      </c>
      <c r="BF2389" s="229">
        <f t="shared" si="989"/>
        <v>0</v>
      </c>
      <c r="BG2389" s="210">
        <f t="shared" si="985"/>
        <v>0</v>
      </c>
      <c r="BH2389" s="210">
        <f t="shared" si="986"/>
        <v>5</v>
      </c>
      <c r="BI2389" s="213">
        <f t="shared" si="982"/>
        <v>0</v>
      </c>
      <c r="BJ2389" s="269" t="s">
        <v>2856</v>
      </c>
      <c r="BK2389" s="201"/>
      <c r="BL2389" s="4"/>
      <c r="BM2389" s="4"/>
    </row>
    <row r="2390" spans="1:65" s="38" customFormat="1" ht="21.95" customHeight="1">
      <c r="A2390" s="375" t="s">
        <v>2772</v>
      </c>
      <c r="B2390" s="375"/>
      <c r="C2390" s="375"/>
      <c r="D2390" s="220">
        <f t="shared" ref="D2390:AA2390" si="990">SUM(D2391:D2521)</f>
        <v>0</v>
      </c>
      <c r="E2390" s="220">
        <f t="shared" si="990"/>
        <v>0</v>
      </c>
      <c r="F2390" s="220">
        <f t="shared" si="990"/>
        <v>0</v>
      </c>
      <c r="G2390" s="220">
        <f t="shared" si="990"/>
        <v>0</v>
      </c>
      <c r="H2390" s="220">
        <f t="shared" si="990"/>
        <v>0</v>
      </c>
      <c r="I2390" s="220">
        <f t="shared" si="990"/>
        <v>3072</v>
      </c>
      <c r="J2390" s="220">
        <f t="shared" si="990"/>
        <v>0</v>
      </c>
      <c r="K2390" s="220">
        <f t="shared" si="990"/>
        <v>0</v>
      </c>
      <c r="L2390" s="220">
        <f t="shared" si="990"/>
        <v>0</v>
      </c>
      <c r="M2390" s="220">
        <f t="shared" si="990"/>
        <v>0</v>
      </c>
      <c r="N2390" s="220">
        <f t="shared" si="990"/>
        <v>0</v>
      </c>
      <c r="O2390" s="220">
        <f t="shared" si="990"/>
        <v>3845</v>
      </c>
      <c r="P2390" s="220">
        <f t="shared" si="990"/>
        <v>0</v>
      </c>
      <c r="Q2390" s="220">
        <f t="shared" si="990"/>
        <v>0</v>
      </c>
      <c r="R2390" s="220">
        <f t="shared" si="990"/>
        <v>0</v>
      </c>
      <c r="S2390" s="220">
        <f t="shared" si="990"/>
        <v>0</v>
      </c>
      <c r="T2390" s="220">
        <f t="shared" si="990"/>
        <v>0</v>
      </c>
      <c r="U2390" s="220">
        <f t="shared" si="990"/>
        <v>6700</v>
      </c>
      <c r="V2390" s="220">
        <f t="shared" si="990"/>
        <v>0</v>
      </c>
      <c r="W2390" s="220">
        <f t="shared" si="990"/>
        <v>0</v>
      </c>
      <c r="X2390" s="220">
        <f t="shared" si="990"/>
        <v>0</v>
      </c>
      <c r="Y2390" s="220">
        <f t="shared" si="990"/>
        <v>0</v>
      </c>
      <c r="Z2390" s="220">
        <f t="shared" si="990"/>
        <v>0</v>
      </c>
      <c r="AA2390" s="220">
        <f t="shared" si="990"/>
        <v>2932</v>
      </c>
      <c r="AB2390" s="220">
        <f t="shared" si="970"/>
        <v>0</v>
      </c>
      <c r="AC2390" s="220">
        <f t="shared" si="971"/>
        <v>16549</v>
      </c>
      <c r="AD2390" s="274">
        <f t="shared" ref="AD2390:BB2390" si="991">SUM(AD2391:AD2521)</f>
        <v>14362</v>
      </c>
      <c r="AE2390" s="210">
        <f t="shared" si="991"/>
        <v>0</v>
      </c>
      <c r="AF2390" s="210">
        <f t="shared" si="991"/>
        <v>0</v>
      </c>
      <c r="AG2390" s="210">
        <f t="shared" si="991"/>
        <v>0</v>
      </c>
      <c r="AH2390" s="210">
        <f t="shared" si="991"/>
        <v>0</v>
      </c>
      <c r="AI2390" s="210">
        <f t="shared" si="991"/>
        <v>0</v>
      </c>
      <c r="AJ2390" s="210">
        <f t="shared" si="991"/>
        <v>12399</v>
      </c>
      <c r="AK2390" s="210">
        <f t="shared" si="991"/>
        <v>0</v>
      </c>
      <c r="AL2390" s="210">
        <f t="shared" si="991"/>
        <v>0</v>
      </c>
      <c r="AM2390" s="210">
        <f t="shared" si="991"/>
        <v>0</v>
      </c>
      <c r="AN2390" s="210">
        <f t="shared" si="991"/>
        <v>0</v>
      </c>
      <c r="AO2390" s="210">
        <f t="shared" si="991"/>
        <v>0</v>
      </c>
      <c r="AP2390" s="210">
        <f t="shared" si="991"/>
        <v>10013</v>
      </c>
      <c r="AQ2390" s="210">
        <f t="shared" si="991"/>
        <v>0</v>
      </c>
      <c r="AR2390" s="210">
        <f t="shared" si="991"/>
        <v>0</v>
      </c>
      <c r="AS2390" s="210">
        <f t="shared" si="991"/>
        <v>0</v>
      </c>
      <c r="AT2390" s="210">
        <f t="shared" si="991"/>
        <v>0</v>
      </c>
      <c r="AU2390" s="210">
        <f t="shared" si="991"/>
        <v>0</v>
      </c>
      <c r="AV2390" s="210">
        <f t="shared" si="991"/>
        <v>10552</v>
      </c>
      <c r="AW2390" s="210">
        <f t="shared" si="991"/>
        <v>0</v>
      </c>
      <c r="AX2390" s="210">
        <f t="shared" si="991"/>
        <v>0</v>
      </c>
      <c r="AY2390" s="210">
        <f t="shared" si="991"/>
        <v>0</v>
      </c>
      <c r="AZ2390" s="210">
        <f t="shared" si="991"/>
        <v>0</v>
      </c>
      <c r="BA2390" s="210">
        <f t="shared" si="991"/>
        <v>0</v>
      </c>
      <c r="BB2390" s="210">
        <f t="shared" si="991"/>
        <v>8497</v>
      </c>
      <c r="BC2390" s="220">
        <f t="shared" si="973"/>
        <v>0</v>
      </c>
      <c r="BD2390" s="210">
        <f t="shared" si="974"/>
        <v>41461</v>
      </c>
      <c r="BE2390" s="210">
        <f>SUM(BE2391:BE2521)</f>
        <v>37058</v>
      </c>
      <c r="BF2390" s="220">
        <f t="shared" si="975"/>
        <v>0</v>
      </c>
      <c r="BG2390" s="210">
        <f t="shared" si="976"/>
        <v>58010</v>
      </c>
      <c r="BH2390" s="210">
        <f t="shared" si="977"/>
        <v>51420</v>
      </c>
      <c r="BI2390" s="213">
        <f t="shared" ref="BI2390" si="992">BG2390/BH2390*100</f>
        <v>112.81602489303772</v>
      </c>
      <c r="BJ2390" s="140">
        <v>51420</v>
      </c>
      <c r="BK2390" s="203">
        <f>BH2390-BJ2390</f>
        <v>0</v>
      </c>
      <c r="BL2390" s="198">
        <v>34809</v>
      </c>
      <c r="BM2390" s="199">
        <f>BG2390-BL2390</f>
        <v>23201</v>
      </c>
    </row>
    <row r="2391" spans="1:65" s="38" customFormat="1" ht="18" customHeight="1">
      <c r="A2391" s="114">
        <v>1</v>
      </c>
      <c r="B2391" s="24" t="s">
        <v>2712</v>
      </c>
      <c r="C2391" s="25" t="s">
        <v>2713</v>
      </c>
      <c r="D2391" s="121"/>
      <c r="E2391" s="121"/>
      <c r="F2391" s="121"/>
      <c r="G2391" s="121"/>
      <c r="H2391" s="121"/>
      <c r="I2391" s="121">
        <f>1+1</f>
        <v>2</v>
      </c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229">
        <f t="shared" ref="AB2391:AB2437" si="993">D2391+F2391+H2391+J2391+L2391+N2391+P2391+R2391+T2391+V2391+X2391+Z2391</f>
        <v>0</v>
      </c>
      <c r="AC2391" s="228">
        <f t="shared" ref="AC2391:AC2437" si="994">E2391+G2391+I2391+K2391+M2391+O2391+Q2391+S2391+U2391+W2391+Y2391+AA2391</f>
        <v>2</v>
      </c>
      <c r="AD2391" s="19">
        <v>0</v>
      </c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29">
        <f t="shared" ref="BC2391:BC2437" si="995">AE2391+AG2391+AI2391+AK2391+AM2391+AO2391+AQ2391+AS2391+AU2391+AW2391+AY2391+BA2391</f>
        <v>0</v>
      </c>
      <c r="BD2391" s="48">
        <f t="shared" ref="BD2391:BD2437" si="996">AF2391+AH2391+AJ2391+AL2391+AN2391+AP2391+AR2391+AT2391+AV2391+AX2391+AZ2391+BB2391</f>
        <v>0</v>
      </c>
      <c r="BE2391" s="19">
        <v>0</v>
      </c>
      <c r="BF2391" s="229">
        <f t="shared" ref="BF2391:BF2437" si="997">AB2391+BC2391</f>
        <v>0</v>
      </c>
      <c r="BG2391" s="210">
        <f t="shared" ref="BG2391:BG2437" si="998">AC2391+BD2391</f>
        <v>2</v>
      </c>
      <c r="BH2391" s="210">
        <f t="shared" ref="BH2391:BH2437" si="999">AD2391+BE2391</f>
        <v>0</v>
      </c>
      <c r="BI2391" s="213" t="e">
        <f t="shared" ref="BI2391:BI2422" si="1000">BG2391/BH2391*100</f>
        <v>#DIV/0!</v>
      </c>
      <c r="BJ2391" s="270" t="s">
        <v>2857</v>
      </c>
      <c r="BK2391" s="201"/>
      <c r="BL2391" s="4"/>
      <c r="BM2391" s="4"/>
    </row>
    <row r="2392" spans="1:65" s="38" customFormat="1" ht="18" customHeight="1">
      <c r="A2392" s="114">
        <v>2</v>
      </c>
      <c r="B2392" s="24" t="s">
        <v>2122</v>
      </c>
      <c r="C2392" s="25" t="s">
        <v>2123</v>
      </c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229">
        <f t="shared" si="993"/>
        <v>0</v>
      </c>
      <c r="AC2392" s="228">
        <f t="shared" si="994"/>
        <v>0</v>
      </c>
      <c r="AD2392" s="19">
        <v>2</v>
      </c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  <c r="AZ2392" s="28"/>
      <c r="BA2392" s="28"/>
      <c r="BB2392" s="28"/>
      <c r="BC2392" s="229">
        <f t="shared" si="995"/>
        <v>0</v>
      </c>
      <c r="BD2392" s="48">
        <f t="shared" si="996"/>
        <v>0</v>
      </c>
      <c r="BE2392" s="19">
        <v>0</v>
      </c>
      <c r="BF2392" s="229">
        <f t="shared" si="997"/>
        <v>0</v>
      </c>
      <c r="BG2392" s="210">
        <f t="shared" si="998"/>
        <v>0</v>
      </c>
      <c r="BH2392" s="210">
        <f t="shared" si="999"/>
        <v>2</v>
      </c>
      <c r="BI2392" s="213">
        <f t="shared" si="1000"/>
        <v>0</v>
      </c>
      <c r="BJ2392" s="270" t="s">
        <v>2857</v>
      </c>
      <c r="BK2392" s="201"/>
      <c r="BL2392" s="4"/>
      <c r="BM2392" s="4"/>
    </row>
    <row r="2393" spans="1:65" s="38" customFormat="1" ht="21.95" customHeight="1">
      <c r="A2393" s="114">
        <v>3</v>
      </c>
      <c r="B2393" s="24" t="s">
        <v>705</v>
      </c>
      <c r="C2393" s="27" t="s">
        <v>706</v>
      </c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>
        <v>1</v>
      </c>
      <c r="V2393" s="121"/>
      <c r="W2393" s="121"/>
      <c r="X2393" s="121"/>
      <c r="Y2393" s="121"/>
      <c r="Z2393" s="121"/>
      <c r="AA2393" s="121"/>
      <c r="AB2393" s="229">
        <f t="shared" si="993"/>
        <v>0</v>
      </c>
      <c r="AC2393" s="228">
        <f t="shared" si="994"/>
        <v>1</v>
      </c>
      <c r="AD2393" s="19">
        <v>2</v>
      </c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29">
        <f t="shared" si="995"/>
        <v>0</v>
      </c>
      <c r="BD2393" s="48">
        <f t="shared" si="996"/>
        <v>0</v>
      </c>
      <c r="BE2393" s="19">
        <v>0</v>
      </c>
      <c r="BF2393" s="229">
        <f t="shared" si="997"/>
        <v>0</v>
      </c>
      <c r="BG2393" s="210">
        <f t="shared" si="998"/>
        <v>1</v>
      </c>
      <c r="BH2393" s="210">
        <f t="shared" si="999"/>
        <v>2</v>
      </c>
      <c r="BI2393" s="213">
        <f t="shared" si="1000"/>
        <v>50</v>
      </c>
      <c r="BJ2393" s="270" t="s">
        <v>2857</v>
      </c>
      <c r="BK2393" s="201"/>
      <c r="BL2393" s="4"/>
      <c r="BM2393" s="4"/>
    </row>
    <row r="2394" spans="1:65" ht="18" customHeight="1">
      <c r="A2394" s="114">
        <v>4</v>
      </c>
      <c r="B2394" s="24" t="s">
        <v>937</v>
      </c>
      <c r="C2394" s="25" t="s">
        <v>938</v>
      </c>
      <c r="D2394" s="121"/>
      <c r="E2394" s="121"/>
      <c r="F2394" s="121"/>
      <c r="G2394" s="121"/>
      <c r="H2394" s="121"/>
      <c r="I2394" s="121">
        <v>41</v>
      </c>
      <c r="J2394" s="121"/>
      <c r="K2394" s="121"/>
      <c r="L2394" s="121"/>
      <c r="M2394" s="121"/>
      <c r="N2394" s="121"/>
      <c r="O2394" s="121">
        <v>31</v>
      </c>
      <c r="P2394" s="121"/>
      <c r="Q2394" s="121"/>
      <c r="R2394" s="121"/>
      <c r="S2394" s="121"/>
      <c r="T2394" s="121"/>
      <c r="U2394" s="121">
        <f>40+36</f>
        <v>76</v>
      </c>
      <c r="V2394" s="121"/>
      <c r="W2394" s="121"/>
      <c r="X2394" s="121"/>
      <c r="Y2394" s="121"/>
      <c r="Z2394" s="121"/>
      <c r="AA2394" s="121"/>
      <c r="AB2394" s="229">
        <f t="shared" si="993"/>
        <v>0</v>
      </c>
      <c r="AC2394" s="228">
        <f t="shared" si="994"/>
        <v>148</v>
      </c>
      <c r="AD2394" s="19">
        <v>382</v>
      </c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  <c r="AZ2394" s="28"/>
      <c r="BA2394" s="28"/>
      <c r="BB2394" s="28"/>
      <c r="BC2394" s="229">
        <f t="shared" si="995"/>
        <v>0</v>
      </c>
      <c r="BD2394" s="48">
        <f t="shared" si="996"/>
        <v>0</v>
      </c>
      <c r="BE2394" s="19">
        <v>0</v>
      </c>
      <c r="BF2394" s="229">
        <f t="shared" si="997"/>
        <v>0</v>
      </c>
      <c r="BG2394" s="210">
        <f t="shared" si="998"/>
        <v>148</v>
      </c>
      <c r="BH2394" s="210">
        <f t="shared" si="999"/>
        <v>382</v>
      </c>
      <c r="BI2394" s="213">
        <f t="shared" si="1000"/>
        <v>38.7434554973822</v>
      </c>
      <c r="BJ2394" s="270" t="s">
        <v>2857</v>
      </c>
      <c r="BK2394" s="201"/>
    </row>
    <row r="2395" spans="1:65" ht="18" customHeight="1">
      <c r="A2395" s="114">
        <v>5</v>
      </c>
      <c r="B2395" s="24" t="s">
        <v>1468</v>
      </c>
      <c r="C2395" s="183" t="s">
        <v>1471</v>
      </c>
      <c r="D2395" s="121"/>
      <c r="E2395" s="121"/>
      <c r="F2395" s="121"/>
      <c r="G2395" s="121"/>
      <c r="H2395" s="121"/>
      <c r="I2395" s="121">
        <v>650</v>
      </c>
      <c r="J2395" s="121"/>
      <c r="K2395" s="121"/>
      <c r="L2395" s="121"/>
      <c r="M2395" s="121"/>
      <c r="N2395" s="121"/>
      <c r="O2395" s="121">
        <v>1284</v>
      </c>
      <c r="P2395" s="121"/>
      <c r="Q2395" s="121"/>
      <c r="R2395" s="121"/>
      <c r="S2395" s="121"/>
      <c r="T2395" s="121"/>
      <c r="U2395" s="121">
        <f>1471+1904</f>
        <v>3375</v>
      </c>
      <c r="V2395" s="121"/>
      <c r="W2395" s="121"/>
      <c r="X2395" s="121"/>
      <c r="Y2395" s="121"/>
      <c r="Z2395" s="121"/>
      <c r="AA2395" s="121"/>
      <c r="AB2395" s="229">
        <f t="shared" si="993"/>
        <v>0</v>
      </c>
      <c r="AC2395" s="228">
        <f t="shared" si="994"/>
        <v>5309</v>
      </c>
      <c r="AD2395" s="19">
        <v>3595</v>
      </c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29">
        <f t="shared" si="995"/>
        <v>0</v>
      </c>
      <c r="BD2395" s="48">
        <f t="shared" si="996"/>
        <v>0</v>
      </c>
      <c r="BE2395" s="19">
        <v>0</v>
      </c>
      <c r="BF2395" s="229">
        <f t="shared" si="997"/>
        <v>0</v>
      </c>
      <c r="BG2395" s="210">
        <f t="shared" si="998"/>
        <v>5309</v>
      </c>
      <c r="BH2395" s="210">
        <f t="shared" si="999"/>
        <v>3595</v>
      </c>
      <c r="BI2395" s="213">
        <f t="shared" si="1000"/>
        <v>147.67732962447843</v>
      </c>
      <c r="BJ2395" s="270" t="s">
        <v>2857</v>
      </c>
      <c r="BK2395" s="201"/>
    </row>
    <row r="2396" spans="1:65" ht="18" customHeight="1">
      <c r="A2396" s="114">
        <v>6</v>
      </c>
      <c r="B2396" s="24" t="s">
        <v>1482</v>
      </c>
      <c r="C2396" s="25" t="s">
        <v>1483</v>
      </c>
      <c r="D2396" s="121"/>
      <c r="E2396" s="121"/>
      <c r="F2396" s="121"/>
      <c r="G2396" s="121"/>
      <c r="H2396" s="121"/>
      <c r="I2396" s="121">
        <f>1773+81</f>
        <v>1854</v>
      </c>
      <c r="J2396" s="121"/>
      <c r="K2396" s="121"/>
      <c r="L2396" s="121"/>
      <c r="M2396" s="121"/>
      <c r="N2396" s="121"/>
      <c r="O2396" s="121">
        <f>1771+74</f>
        <v>1845</v>
      </c>
      <c r="P2396" s="121"/>
      <c r="Q2396" s="121"/>
      <c r="R2396" s="121"/>
      <c r="S2396" s="121"/>
      <c r="T2396" s="121"/>
      <c r="U2396" s="121">
        <f>1699+181+69+46</f>
        <v>1995</v>
      </c>
      <c r="V2396" s="121"/>
      <c r="W2396" s="121"/>
      <c r="X2396" s="121"/>
      <c r="Y2396" s="121"/>
      <c r="Z2396" s="121"/>
      <c r="AA2396" s="121">
        <f>1801+230</f>
        <v>2031</v>
      </c>
      <c r="AB2396" s="229">
        <f t="shared" si="993"/>
        <v>0</v>
      </c>
      <c r="AC2396" s="228">
        <f t="shared" si="994"/>
        <v>7725</v>
      </c>
      <c r="AD2396" s="19">
        <v>7585</v>
      </c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29">
        <f t="shared" si="995"/>
        <v>0</v>
      </c>
      <c r="BD2396" s="48">
        <f t="shared" si="996"/>
        <v>0</v>
      </c>
      <c r="BE2396" s="19">
        <v>0</v>
      </c>
      <c r="BF2396" s="229">
        <f t="shared" si="997"/>
        <v>0</v>
      </c>
      <c r="BG2396" s="210">
        <f t="shared" si="998"/>
        <v>7725</v>
      </c>
      <c r="BH2396" s="210">
        <f t="shared" si="999"/>
        <v>7585</v>
      </c>
      <c r="BI2396" s="213">
        <f t="shared" si="1000"/>
        <v>101.8457481872116</v>
      </c>
      <c r="BJ2396" s="270" t="s">
        <v>2857</v>
      </c>
      <c r="BK2396" s="201"/>
    </row>
    <row r="2397" spans="1:65" ht="18" customHeight="1">
      <c r="A2397" s="114">
        <v>7</v>
      </c>
      <c r="B2397" s="24" t="s">
        <v>2715</v>
      </c>
      <c r="C2397" s="25" t="s">
        <v>2716</v>
      </c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229">
        <f t="shared" si="993"/>
        <v>0</v>
      </c>
      <c r="AC2397" s="228">
        <f t="shared" si="994"/>
        <v>0</v>
      </c>
      <c r="AD2397" s="19">
        <v>0</v>
      </c>
      <c r="AE2397" s="28"/>
      <c r="AF2397" s="28"/>
      <c r="AG2397" s="28"/>
      <c r="AH2397" s="28"/>
      <c r="AI2397" s="28"/>
      <c r="AJ2397" s="28">
        <v>1</v>
      </c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>
        <v>2</v>
      </c>
      <c r="AW2397" s="28"/>
      <c r="AX2397" s="28"/>
      <c r="AY2397" s="28"/>
      <c r="AZ2397" s="28"/>
      <c r="BA2397" s="28"/>
      <c r="BB2397" s="28">
        <v>1</v>
      </c>
      <c r="BC2397" s="229">
        <f t="shared" si="995"/>
        <v>0</v>
      </c>
      <c r="BD2397" s="48">
        <f t="shared" si="996"/>
        <v>4</v>
      </c>
      <c r="BE2397" s="19">
        <v>0</v>
      </c>
      <c r="BF2397" s="229">
        <f t="shared" si="997"/>
        <v>0</v>
      </c>
      <c r="BG2397" s="210">
        <f t="shared" si="998"/>
        <v>4</v>
      </c>
      <c r="BH2397" s="210">
        <f t="shared" si="999"/>
        <v>0</v>
      </c>
      <c r="BI2397" s="213" t="e">
        <f t="shared" si="1000"/>
        <v>#DIV/0!</v>
      </c>
      <c r="BJ2397" s="165"/>
      <c r="BK2397" s="201"/>
    </row>
    <row r="2398" spans="1:65" ht="18" customHeight="1">
      <c r="A2398" s="114">
        <v>8</v>
      </c>
      <c r="B2398" s="24" t="s">
        <v>2694</v>
      </c>
      <c r="C2398" s="25" t="s">
        <v>2695</v>
      </c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229">
        <f t="shared" si="993"/>
        <v>0</v>
      </c>
      <c r="AC2398" s="228">
        <f t="shared" si="994"/>
        <v>0</v>
      </c>
      <c r="AD2398" s="19">
        <v>0</v>
      </c>
      <c r="AE2398" s="28"/>
      <c r="AF2398" s="28"/>
      <c r="AG2398" s="28"/>
      <c r="AH2398" s="28"/>
      <c r="AI2398" s="28"/>
      <c r="AJ2398" s="28">
        <v>2</v>
      </c>
      <c r="AK2398" s="28"/>
      <c r="AL2398" s="28"/>
      <c r="AM2398" s="28"/>
      <c r="AN2398" s="28"/>
      <c r="AO2398" s="28"/>
      <c r="AP2398" s="28">
        <v>4</v>
      </c>
      <c r="AQ2398" s="28"/>
      <c r="AR2398" s="28"/>
      <c r="AS2398" s="28"/>
      <c r="AT2398" s="28"/>
      <c r="AU2398" s="28"/>
      <c r="AV2398" s="28">
        <v>6</v>
      </c>
      <c r="AW2398" s="28"/>
      <c r="AX2398" s="28"/>
      <c r="AY2398" s="28"/>
      <c r="AZ2398" s="28"/>
      <c r="BA2398" s="28"/>
      <c r="BB2398" s="28">
        <v>2</v>
      </c>
      <c r="BC2398" s="229">
        <f t="shared" si="995"/>
        <v>0</v>
      </c>
      <c r="BD2398" s="48">
        <f t="shared" si="996"/>
        <v>14</v>
      </c>
      <c r="BE2398" s="19">
        <v>0</v>
      </c>
      <c r="BF2398" s="229">
        <f t="shared" si="997"/>
        <v>0</v>
      </c>
      <c r="BG2398" s="210">
        <f t="shared" si="998"/>
        <v>14</v>
      </c>
      <c r="BH2398" s="210">
        <f t="shared" si="999"/>
        <v>0</v>
      </c>
      <c r="BI2398" s="213" t="e">
        <f t="shared" si="1000"/>
        <v>#DIV/0!</v>
      </c>
      <c r="BJ2398" s="165"/>
      <c r="BK2398" s="201"/>
    </row>
    <row r="2399" spans="1:65" ht="18" customHeight="1">
      <c r="A2399" s="114">
        <v>9</v>
      </c>
      <c r="B2399" s="24" t="s">
        <v>2289</v>
      </c>
      <c r="C2399" s="25" t="s">
        <v>2290</v>
      </c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229">
        <f t="shared" si="993"/>
        <v>0</v>
      </c>
      <c r="AC2399" s="228">
        <f t="shared" si="994"/>
        <v>0</v>
      </c>
      <c r="AD2399" s="19">
        <v>0</v>
      </c>
      <c r="AE2399" s="28"/>
      <c r="AF2399" s="28"/>
      <c r="AG2399" s="28"/>
      <c r="AH2399" s="28"/>
      <c r="AI2399" s="28"/>
      <c r="AJ2399" s="28">
        <v>4</v>
      </c>
      <c r="AK2399" s="28"/>
      <c r="AL2399" s="28"/>
      <c r="AM2399" s="28"/>
      <c r="AN2399" s="28"/>
      <c r="AO2399" s="28"/>
      <c r="AP2399" s="28">
        <v>3</v>
      </c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>
        <v>1</v>
      </c>
      <c r="BC2399" s="229">
        <f t="shared" si="995"/>
        <v>0</v>
      </c>
      <c r="BD2399" s="48">
        <f t="shared" si="996"/>
        <v>8</v>
      </c>
      <c r="BE2399" s="19">
        <v>0</v>
      </c>
      <c r="BF2399" s="229">
        <f t="shared" si="997"/>
        <v>0</v>
      </c>
      <c r="BG2399" s="210">
        <f t="shared" si="998"/>
        <v>8</v>
      </c>
      <c r="BH2399" s="210">
        <f t="shared" si="999"/>
        <v>0</v>
      </c>
      <c r="BI2399" s="213" t="e">
        <f t="shared" si="1000"/>
        <v>#DIV/0!</v>
      </c>
      <c r="BJ2399" s="165"/>
      <c r="BK2399" s="201"/>
    </row>
    <row r="2400" spans="1:65" ht="18" customHeight="1">
      <c r="A2400" s="114">
        <v>10</v>
      </c>
      <c r="B2400" s="24" t="s">
        <v>2313</v>
      </c>
      <c r="C2400" s="25" t="s">
        <v>2719</v>
      </c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229">
        <f t="shared" si="993"/>
        <v>0</v>
      </c>
      <c r="AC2400" s="228">
        <f t="shared" si="994"/>
        <v>0</v>
      </c>
      <c r="AD2400" s="19">
        <v>0</v>
      </c>
      <c r="AE2400" s="28"/>
      <c r="AF2400" s="28"/>
      <c r="AG2400" s="28"/>
      <c r="AH2400" s="28"/>
      <c r="AI2400" s="28"/>
      <c r="AJ2400" s="28">
        <v>5</v>
      </c>
      <c r="AK2400" s="28"/>
      <c r="AL2400" s="28"/>
      <c r="AM2400" s="28"/>
      <c r="AN2400" s="28"/>
      <c r="AO2400" s="28"/>
      <c r="AP2400" s="28">
        <v>4</v>
      </c>
      <c r="AQ2400" s="28"/>
      <c r="AR2400" s="28"/>
      <c r="AS2400" s="28"/>
      <c r="AT2400" s="28"/>
      <c r="AU2400" s="28"/>
      <c r="AV2400" s="28">
        <v>6</v>
      </c>
      <c r="AW2400" s="28"/>
      <c r="AX2400" s="28"/>
      <c r="AY2400" s="28"/>
      <c r="AZ2400" s="28"/>
      <c r="BA2400" s="28"/>
      <c r="BB2400" s="28">
        <v>3</v>
      </c>
      <c r="BC2400" s="229">
        <f t="shared" si="995"/>
        <v>0</v>
      </c>
      <c r="BD2400" s="48">
        <f t="shared" si="996"/>
        <v>18</v>
      </c>
      <c r="BE2400" s="19">
        <v>0</v>
      </c>
      <c r="BF2400" s="229">
        <f t="shared" si="997"/>
        <v>0</v>
      </c>
      <c r="BG2400" s="210">
        <f t="shared" si="998"/>
        <v>18</v>
      </c>
      <c r="BH2400" s="210">
        <f t="shared" si="999"/>
        <v>0</v>
      </c>
      <c r="BI2400" s="213" t="e">
        <f t="shared" si="1000"/>
        <v>#DIV/0!</v>
      </c>
      <c r="BJ2400" s="165"/>
      <c r="BK2400" s="201"/>
    </row>
    <row r="2401" spans="1:63" ht="18" customHeight="1">
      <c r="A2401" s="114">
        <v>11</v>
      </c>
      <c r="B2401" s="24" t="s">
        <v>551</v>
      </c>
      <c r="C2401" s="25" t="s">
        <v>552</v>
      </c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229">
        <f t="shared" si="993"/>
        <v>0</v>
      </c>
      <c r="AC2401" s="228">
        <f t="shared" si="994"/>
        <v>0</v>
      </c>
      <c r="AD2401" s="19">
        <v>0</v>
      </c>
      <c r="AE2401" s="28"/>
      <c r="AF2401" s="28"/>
      <c r="AG2401" s="28"/>
      <c r="AH2401" s="28"/>
      <c r="AI2401" s="28"/>
      <c r="AJ2401" s="28">
        <v>9</v>
      </c>
      <c r="AK2401" s="28"/>
      <c r="AL2401" s="28"/>
      <c r="AM2401" s="28"/>
      <c r="AN2401" s="28"/>
      <c r="AO2401" s="28"/>
      <c r="AP2401" s="28">
        <v>1</v>
      </c>
      <c r="AQ2401" s="28"/>
      <c r="AR2401" s="28"/>
      <c r="AS2401" s="28"/>
      <c r="AT2401" s="28"/>
      <c r="AU2401" s="28"/>
      <c r="AV2401" s="28"/>
      <c r="AW2401" s="28"/>
      <c r="AX2401" s="28"/>
      <c r="AY2401" s="28"/>
      <c r="AZ2401" s="28"/>
      <c r="BA2401" s="28"/>
      <c r="BB2401" s="28"/>
      <c r="BC2401" s="229">
        <f t="shared" si="995"/>
        <v>0</v>
      </c>
      <c r="BD2401" s="48">
        <f t="shared" si="996"/>
        <v>10</v>
      </c>
      <c r="BE2401" s="19">
        <v>4</v>
      </c>
      <c r="BF2401" s="229">
        <f t="shared" si="997"/>
        <v>0</v>
      </c>
      <c r="BG2401" s="210">
        <f t="shared" si="998"/>
        <v>10</v>
      </c>
      <c r="BH2401" s="210">
        <f t="shared" si="999"/>
        <v>4</v>
      </c>
      <c r="BI2401" s="213">
        <f t="shared" si="1000"/>
        <v>250</v>
      </c>
      <c r="BJ2401" s="141"/>
      <c r="BK2401" s="201"/>
    </row>
    <row r="2402" spans="1:63" ht="18" customHeight="1">
      <c r="A2402" s="114">
        <v>12</v>
      </c>
      <c r="B2402" s="24" t="s">
        <v>553</v>
      </c>
      <c r="C2402" s="25" t="s">
        <v>554</v>
      </c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229">
        <f t="shared" si="993"/>
        <v>0</v>
      </c>
      <c r="AC2402" s="228">
        <f t="shared" si="994"/>
        <v>0</v>
      </c>
      <c r="AD2402" s="19">
        <v>0</v>
      </c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  <c r="AZ2402" s="28"/>
      <c r="BA2402" s="28"/>
      <c r="BB2402" s="28"/>
      <c r="BC2402" s="229">
        <f t="shared" si="995"/>
        <v>0</v>
      </c>
      <c r="BD2402" s="48">
        <f t="shared" si="996"/>
        <v>0</v>
      </c>
      <c r="BE2402" s="19">
        <v>1</v>
      </c>
      <c r="BF2402" s="229">
        <f t="shared" si="997"/>
        <v>0</v>
      </c>
      <c r="BG2402" s="210">
        <f t="shared" si="998"/>
        <v>0</v>
      </c>
      <c r="BH2402" s="210">
        <f t="shared" si="999"/>
        <v>1</v>
      </c>
      <c r="BI2402" s="213">
        <f t="shared" si="1000"/>
        <v>0</v>
      </c>
      <c r="BJ2402" s="141"/>
      <c r="BK2402" s="201"/>
    </row>
    <row r="2403" spans="1:63" ht="18" customHeight="1">
      <c r="A2403" s="114">
        <v>13</v>
      </c>
      <c r="B2403" s="24" t="s">
        <v>555</v>
      </c>
      <c r="C2403" s="25" t="s">
        <v>556</v>
      </c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229">
        <f t="shared" si="993"/>
        <v>0</v>
      </c>
      <c r="AC2403" s="228">
        <f t="shared" si="994"/>
        <v>0</v>
      </c>
      <c r="AD2403" s="19">
        <v>0</v>
      </c>
      <c r="AE2403" s="28"/>
      <c r="AF2403" s="28"/>
      <c r="AG2403" s="28"/>
      <c r="AH2403" s="28"/>
      <c r="AI2403" s="28"/>
      <c r="AJ2403" s="28">
        <v>29</v>
      </c>
      <c r="AK2403" s="28"/>
      <c r="AL2403" s="28"/>
      <c r="AM2403" s="28"/>
      <c r="AN2403" s="28"/>
      <c r="AO2403" s="28"/>
      <c r="AP2403" s="28">
        <v>17</v>
      </c>
      <c r="AQ2403" s="28"/>
      <c r="AR2403" s="28"/>
      <c r="AS2403" s="28"/>
      <c r="AT2403" s="28"/>
      <c r="AU2403" s="28"/>
      <c r="AV2403" s="28">
        <v>16</v>
      </c>
      <c r="AW2403" s="28"/>
      <c r="AX2403" s="28"/>
      <c r="AY2403" s="28"/>
      <c r="AZ2403" s="28"/>
      <c r="BA2403" s="28"/>
      <c r="BB2403" s="28">
        <v>14</v>
      </c>
      <c r="BC2403" s="229">
        <f t="shared" si="995"/>
        <v>0</v>
      </c>
      <c r="BD2403" s="48">
        <f t="shared" si="996"/>
        <v>76</v>
      </c>
      <c r="BE2403" s="19">
        <v>9</v>
      </c>
      <c r="BF2403" s="229">
        <f t="shared" si="997"/>
        <v>0</v>
      </c>
      <c r="BG2403" s="210">
        <f t="shared" si="998"/>
        <v>76</v>
      </c>
      <c r="BH2403" s="210">
        <f t="shared" si="999"/>
        <v>9</v>
      </c>
      <c r="BI2403" s="213">
        <f t="shared" si="1000"/>
        <v>844.44444444444446</v>
      </c>
      <c r="BJ2403" s="141"/>
      <c r="BK2403" s="201"/>
    </row>
    <row r="2404" spans="1:63" ht="18" customHeight="1">
      <c r="A2404" s="114">
        <v>14</v>
      </c>
      <c r="B2404" s="24" t="s">
        <v>561</v>
      </c>
      <c r="C2404" s="25" t="s">
        <v>562</v>
      </c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229">
        <f t="shared" si="993"/>
        <v>0</v>
      </c>
      <c r="AC2404" s="228">
        <f t="shared" si="994"/>
        <v>0</v>
      </c>
      <c r="AD2404" s="19">
        <v>0</v>
      </c>
      <c r="AE2404" s="28"/>
      <c r="AF2404" s="28"/>
      <c r="AG2404" s="28"/>
      <c r="AH2404" s="28"/>
      <c r="AI2404" s="28"/>
      <c r="AJ2404" s="28">
        <v>96</v>
      </c>
      <c r="AK2404" s="28"/>
      <c r="AL2404" s="28"/>
      <c r="AM2404" s="28"/>
      <c r="AN2404" s="28"/>
      <c r="AO2404" s="28"/>
      <c r="AP2404" s="28">
        <v>69</v>
      </c>
      <c r="AQ2404" s="28"/>
      <c r="AR2404" s="28"/>
      <c r="AS2404" s="28"/>
      <c r="AT2404" s="28"/>
      <c r="AU2404" s="28"/>
      <c r="AV2404" s="28">
        <v>68</v>
      </c>
      <c r="AW2404" s="28"/>
      <c r="AX2404" s="28"/>
      <c r="AY2404" s="28"/>
      <c r="AZ2404" s="28"/>
      <c r="BA2404" s="28"/>
      <c r="BB2404" s="28">
        <v>32</v>
      </c>
      <c r="BC2404" s="229">
        <f t="shared" si="995"/>
        <v>0</v>
      </c>
      <c r="BD2404" s="48">
        <f t="shared" si="996"/>
        <v>265</v>
      </c>
      <c r="BE2404" s="19">
        <v>41</v>
      </c>
      <c r="BF2404" s="229">
        <f t="shared" si="997"/>
        <v>0</v>
      </c>
      <c r="BG2404" s="210">
        <f t="shared" si="998"/>
        <v>265</v>
      </c>
      <c r="BH2404" s="210">
        <f t="shared" si="999"/>
        <v>41</v>
      </c>
      <c r="BI2404" s="213">
        <f t="shared" si="1000"/>
        <v>646.34146341463418</v>
      </c>
      <c r="BJ2404" s="141"/>
      <c r="BK2404" s="201"/>
    </row>
    <row r="2405" spans="1:63" ht="18" customHeight="1">
      <c r="A2405" s="114">
        <v>15</v>
      </c>
      <c r="B2405" s="24" t="s">
        <v>672</v>
      </c>
      <c r="C2405" s="25" t="s">
        <v>1028</v>
      </c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229">
        <f t="shared" si="993"/>
        <v>0</v>
      </c>
      <c r="AC2405" s="228">
        <f t="shared" si="994"/>
        <v>0</v>
      </c>
      <c r="AD2405" s="19">
        <v>0</v>
      </c>
      <c r="AE2405" s="28"/>
      <c r="AF2405" s="28"/>
      <c r="AG2405" s="28"/>
      <c r="AH2405" s="28"/>
      <c r="AI2405" s="28"/>
      <c r="AJ2405" s="28">
        <f>456+77+16</f>
        <v>549</v>
      </c>
      <c r="AK2405" s="28"/>
      <c r="AL2405" s="28"/>
      <c r="AM2405" s="28"/>
      <c r="AN2405" s="28"/>
      <c r="AO2405" s="28"/>
      <c r="AP2405" s="28">
        <f>529+63</f>
        <v>592</v>
      </c>
      <c r="AQ2405" s="28"/>
      <c r="AR2405" s="28"/>
      <c r="AS2405" s="28"/>
      <c r="AT2405" s="28"/>
      <c r="AU2405" s="28"/>
      <c r="AV2405" s="28">
        <f>431+60</f>
        <v>491</v>
      </c>
      <c r="AW2405" s="28"/>
      <c r="AX2405" s="28"/>
      <c r="AY2405" s="28"/>
      <c r="AZ2405" s="28"/>
      <c r="BA2405" s="28"/>
      <c r="BB2405" s="28">
        <f>349+31</f>
        <v>380</v>
      </c>
      <c r="BC2405" s="229">
        <f t="shared" si="995"/>
        <v>0</v>
      </c>
      <c r="BD2405" s="48">
        <f t="shared" si="996"/>
        <v>2012</v>
      </c>
      <c r="BE2405" s="19">
        <v>1208</v>
      </c>
      <c r="BF2405" s="229">
        <f t="shared" si="997"/>
        <v>0</v>
      </c>
      <c r="BG2405" s="210">
        <f t="shared" si="998"/>
        <v>2012</v>
      </c>
      <c r="BH2405" s="210">
        <f t="shared" si="999"/>
        <v>1208</v>
      </c>
      <c r="BI2405" s="213">
        <f t="shared" si="1000"/>
        <v>166.55629139072846</v>
      </c>
      <c r="BJ2405" s="141"/>
      <c r="BK2405" s="201"/>
    </row>
    <row r="2406" spans="1:63" ht="18" customHeight="1">
      <c r="A2406" s="114">
        <v>16</v>
      </c>
      <c r="B2406" s="24" t="s">
        <v>1772</v>
      </c>
      <c r="C2406" s="25" t="s">
        <v>2608</v>
      </c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229">
        <f t="shared" si="993"/>
        <v>0</v>
      </c>
      <c r="AC2406" s="228">
        <f t="shared" si="994"/>
        <v>0</v>
      </c>
      <c r="AD2406" s="19">
        <v>0</v>
      </c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29">
        <f t="shared" si="995"/>
        <v>0</v>
      </c>
      <c r="BD2406" s="48">
        <f t="shared" si="996"/>
        <v>0</v>
      </c>
      <c r="BE2406" s="19">
        <v>1</v>
      </c>
      <c r="BF2406" s="229">
        <f t="shared" si="997"/>
        <v>0</v>
      </c>
      <c r="BG2406" s="210">
        <f t="shared" si="998"/>
        <v>0</v>
      </c>
      <c r="BH2406" s="210">
        <f t="shared" si="999"/>
        <v>1</v>
      </c>
      <c r="BI2406" s="213">
        <f t="shared" si="1000"/>
        <v>0</v>
      </c>
      <c r="BJ2406" s="141"/>
      <c r="BK2406" s="201"/>
    </row>
    <row r="2407" spans="1:63" ht="18" customHeight="1">
      <c r="A2407" s="114">
        <v>17</v>
      </c>
      <c r="B2407" s="24" t="s">
        <v>563</v>
      </c>
      <c r="C2407" s="25" t="s">
        <v>564</v>
      </c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229">
        <f t="shared" si="993"/>
        <v>0</v>
      </c>
      <c r="AC2407" s="228">
        <f t="shared" si="994"/>
        <v>0</v>
      </c>
      <c r="AD2407" s="19">
        <v>0</v>
      </c>
      <c r="AE2407" s="28"/>
      <c r="AF2407" s="28"/>
      <c r="AG2407" s="28"/>
      <c r="AH2407" s="28"/>
      <c r="AI2407" s="28"/>
      <c r="AJ2407" s="28">
        <v>3</v>
      </c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29">
        <f t="shared" si="995"/>
        <v>0</v>
      </c>
      <c r="BD2407" s="48">
        <f t="shared" si="996"/>
        <v>3</v>
      </c>
      <c r="BE2407" s="19">
        <v>0</v>
      </c>
      <c r="BF2407" s="229">
        <f t="shared" si="997"/>
        <v>0</v>
      </c>
      <c r="BG2407" s="210">
        <f t="shared" si="998"/>
        <v>3</v>
      </c>
      <c r="BH2407" s="210">
        <f t="shared" si="999"/>
        <v>0</v>
      </c>
      <c r="BI2407" s="213" t="e">
        <f t="shared" si="1000"/>
        <v>#DIV/0!</v>
      </c>
      <c r="BJ2407" s="141"/>
      <c r="BK2407" s="201"/>
    </row>
    <row r="2408" spans="1:63" ht="18" customHeight="1">
      <c r="A2408" s="114">
        <v>18</v>
      </c>
      <c r="B2408" s="24" t="s">
        <v>808</v>
      </c>
      <c r="C2408" s="25" t="s">
        <v>809</v>
      </c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229">
        <f t="shared" si="993"/>
        <v>0</v>
      </c>
      <c r="AC2408" s="228">
        <f t="shared" si="994"/>
        <v>0</v>
      </c>
      <c r="AD2408" s="19">
        <v>0</v>
      </c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29">
        <f t="shared" si="995"/>
        <v>0</v>
      </c>
      <c r="BD2408" s="48">
        <f t="shared" si="996"/>
        <v>0</v>
      </c>
      <c r="BE2408" s="19">
        <v>1</v>
      </c>
      <c r="BF2408" s="229">
        <f t="shared" si="997"/>
        <v>0</v>
      </c>
      <c r="BG2408" s="210">
        <f t="shared" si="998"/>
        <v>0</v>
      </c>
      <c r="BH2408" s="210">
        <f t="shared" si="999"/>
        <v>1</v>
      </c>
      <c r="BI2408" s="213">
        <f t="shared" si="1000"/>
        <v>0</v>
      </c>
      <c r="BJ2408" s="141"/>
      <c r="BK2408" s="201"/>
    </row>
    <row r="2409" spans="1:63" ht="18" customHeight="1">
      <c r="A2409" s="114">
        <v>19</v>
      </c>
      <c r="B2409" s="24" t="s">
        <v>565</v>
      </c>
      <c r="C2409" s="25" t="s">
        <v>566</v>
      </c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229">
        <f t="shared" si="993"/>
        <v>0</v>
      </c>
      <c r="AC2409" s="228">
        <f t="shared" si="994"/>
        <v>0</v>
      </c>
      <c r="AD2409" s="19">
        <v>0</v>
      </c>
      <c r="AE2409" s="28"/>
      <c r="AF2409" s="28"/>
      <c r="AG2409" s="28"/>
      <c r="AH2409" s="28"/>
      <c r="AI2409" s="28"/>
      <c r="AJ2409" s="28">
        <f>81+10</f>
        <v>91</v>
      </c>
      <c r="AK2409" s="28"/>
      <c r="AL2409" s="28"/>
      <c r="AM2409" s="28"/>
      <c r="AN2409" s="28"/>
      <c r="AO2409" s="28"/>
      <c r="AP2409" s="28">
        <f>1+62+15</f>
        <v>78</v>
      </c>
      <c r="AQ2409" s="28"/>
      <c r="AR2409" s="28"/>
      <c r="AS2409" s="28"/>
      <c r="AT2409" s="28"/>
      <c r="AU2409" s="28"/>
      <c r="AV2409" s="28">
        <f>1+46+9</f>
        <v>56</v>
      </c>
      <c r="AW2409" s="28"/>
      <c r="AX2409" s="28"/>
      <c r="AY2409" s="28"/>
      <c r="AZ2409" s="28"/>
      <c r="BA2409" s="28"/>
      <c r="BB2409" s="28">
        <f>69+6</f>
        <v>75</v>
      </c>
      <c r="BC2409" s="229">
        <f t="shared" si="995"/>
        <v>0</v>
      </c>
      <c r="BD2409" s="48">
        <f t="shared" si="996"/>
        <v>300</v>
      </c>
      <c r="BE2409" s="19">
        <v>280</v>
      </c>
      <c r="BF2409" s="229">
        <f t="shared" si="997"/>
        <v>0</v>
      </c>
      <c r="BG2409" s="210">
        <f t="shared" si="998"/>
        <v>300</v>
      </c>
      <c r="BH2409" s="210">
        <f t="shared" si="999"/>
        <v>280</v>
      </c>
      <c r="BI2409" s="213">
        <f t="shared" si="1000"/>
        <v>107.14285714285714</v>
      </c>
      <c r="BJ2409" s="141"/>
      <c r="BK2409" s="201"/>
    </row>
    <row r="2410" spans="1:63" ht="18" customHeight="1">
      <c r="A2410" s="114">
        <v>20</v>
      </c>
      <c r="B2410" s="24" t="s">
        <v>707</v>
      </c>
      <c r="C2410" s="25" t="s">
        <v>708</v>
      </c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229">
        <f t="shared" si="993"/>
        <v>0</v>
      </c>
      <c r="AC2410" s="228">
        <f t="shared" si="994"/>
        <v>0</v>
      </c>
      <c r="AD2410" s="19">
        <v>0</v>
      </c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>
        <v>24</v>
      </c>
      <c r="AW2410" s="28"/>
      <c r="AX2410" s="28"/>
      <c r="AY2410" s="28"/>
      <c r="AZ2410" s="28"/>
      <c r="BA2410" s="28"/>
      <c r="BB2410" s="28"/>
      <c r="BC2410" s="229">
        <f t="shared" si="995"/>
        <v>0</v>
      </c>
      <c r="BD2410" s="48">
        <f t="shared" si="996"/>
        <v>24</v>
      </c>
      <c r="BE2410" s="19">
        <v>1</v>
      </c>
      <c r="BF2410" s="229">
        <f t="shared" si="997"/>
        <v>0</v>
      </c>
      <c r="BG2410" s="210">
        <f t="shared" si="998"/>
        <v>24</v>
      </c>
      <c r="BH2410" s="210">
        <f t="shared" si="999"/>
        <v>1</v>
      </c>
      <c r="BI2410" s="213">
        <f t="shared" si="1000"/>
        <v>2400</v>
      </c>
      <c r="BJ2410" s="141"/>
      <c r="BK2410" s="201"/>
    </row>
    <row r="2411" spans="1:63" ht="18" customHeight="1">
      <c r="A2411" s="114">
        <v>21</v>
      </c>
      <c r="B2411" s="24" t="s">
        <v>569</v>
      </c>
      <c r="C2411" s="25" t="s">
        <v>680</v>
      </c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229">
        <f t="shared" si="993"/>
        <v>0</v>
      </c>
      <c r="AC2411" s="228">
        <f t="shared" si="994"/>
        <v>0</v>
      </c>
      <c r="AD2411" s="19">
        <v>0</v>
      </c>
      <c r="AE2411" s="28"/>
      <c r="AF2411" s="28"/>
      <c r="AG2411" s="28"/>
      <c r="AH2411" s="28"/>
      <c r="AI2411" s="28"/>
      <c r="AJ2411" s="28">
        <v>2</v>
      </c>
      <c r="AK2411" s="28"/>
      <c r="AL2411" s="28"/>
      <c r="AM2411" s="28"/>
      <c r="AN2411" s="28"/>
      <c r="AO2411" s="28"/>
      <c r="AP2411" s="28">
        <v>5</v>
      </c>
      <c r="AQ2411" s="28"/>
      <c r="AR2411" s="28"/>
      <c r="AS2411" s="28"/>
      <c r="AT2411" s="28"/>
      <c r="AU2411" s="28"/>
      <c r="AV2411" s="28">
        <v>4</v>
      </c>
      <c r="AW2411" s="28"/>
      <c r="AX2411" s="28"/>
      <c r="AY2411" s="28"/>
      <c r="AZ2411" s="28"/>
      <c r="BA2411" s="28"/>
      <c r="BB2411" s="28">
        <v>2</v>
      </c>
      <c r="BC2411" s="229">
        <f t="shared" si="995"/>
        <v>0</v>
      </c>
      <c r="BD2411" s="48">
        <f t="shared" si="996"/>
        <v>13</v>
      </c>
      <c r="BE2411" s="19">
        <v>1</v>
      </c>
      <c r="BF2411" s="229">
        <f t="shared" si="997"/>
        <v>0</v>
      </c>
      <c r="BG2411" s="210">
        <f t="shared" si="998"/>
        <v>13</v>
      </c>
      <c r="BH2411" s="210">
        <f t="shared" si="999"/>
        <v>1</v>
      </c>
      <c r="BI2411" s="213">
        <f t="shared" si="1000"/>
        <v>1300</v>
      </c>
      <c r="BJ2411" s="141"/>
      <c r="BK2411" s="201"/>
    </row>
    <row r="2412" spans="1:63" ht="18" customHeight="1">
      <c r="A2412" s="114">
        <v>22</v>
      </c>
      <c r="B2412" s="24" t="s">
        <v>571</v>
      </c>
      <c r="C2412" s="25" t="s">
        <v>572</v>
      </c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229">
        <f t="shared" si="993"/>
        <v>0</v>
      </c>
      <c r="AC2412" s="228">
        <f t="shared" si="994"/>
        <v>0</v>
      </c>
      <c r="AD2412" s="19">
        <v>0</v>
      </c>
      <c r="AE2412" s="28"/>
      <c r="AF2412" s="28"/>
      <c r="AG2412" s="28"/>
      <c r="AH2412" s="28"/>
      <c r="AI2412" s="28"/>
      <c r="AJ2412" s="28">
        <f>553+97+6</f>
        <v>656</v>
      </c>
      <c r="AK2412" s="28"/>
      <c r="AL2412" s="28"/>
      <c r="AM2412" s="28"/>
      <c r="AN2412" s="28"/>
      <c r="AO2412" s="28"/>
      <c r="AP2412" s="28">
        <f>471+69</f>
        <v>540</v>
      </c>
      <c r="AQ2412" s="28"/>
      <c r="AR2412" s="28"/>
      <c r="AS2412" s="28"/>
      <c r="AT2412" s="28"/>
      <c r="AU2412" s="28"/>
      <c r="AV2412" s="28">
        <f>1+442+76</f>
        <v>519</v>
      </c>
      <c r="AW2412" s="28"/>
      <c r="AX2412" s="28"/>
      <c r="AY2412" s="28"/>
      <c r="AZ2412" s="28"/>
      <c r="BA2412" s="28"/>
      <c r="BB2412" s="28">
        <f>525+35</f>
        <v>560</v>
      </c>
      <c r="BC2412" s="229">
        <f t="shared" si="995"/>
        <v>0</v>
      </c>
      <c r="BD2412" s="48">
        <f t="shared" si="996"/>
        <v>2275</v>
      </c>
      <c r="BE2412" s="19">
        <v>2794</v>
      </c>
      <c r="BF2412" s="229">
        <f t="shared" si="997"/>
        <v>0</v>
      </c>
      <c r="BG2412" s="210">
        <f t="shared" si="998"/>
        <v>2275</v>
      </c>
      <c r="BH2412" s="210">
        <f t="shared" si="999"/>
        <v>2794</v>
      </c>
      <c r="BI2412" s="213">
        <f t="shared" si="1000"/>
        <v>81.424481030780242</v>
      </c>
      <c r="BJ2412" s="141"/>
      <c r="BK2412" s="201"/>
    </row>
    <row r="2413" spans="1:63" ht="18" customHeight="1">
      <c r="A2413" s="114">
        <v>23</v>
      </c>
      <c r="B2413" s="24" t="s">
        <v>573</v>
      </c>
      <c r="C2413" s="25" t="s">
        <v>574</v>
      </c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229">
        <f t="shared" si="993"/>
        <v>0</v>
      </c>
      <c r="AC2413" s="228">
        <f t="shared" si="994"/>
        <v>0</v>
      </c>
      <c r="AD2413" s="19">
        <v>0</v>
      </c>
      <c r="AE2413" s="28"/>
      <c r="AF2413" s="28"/>
      <c r="AG2413" s="28"/>
      <c r="AH2413" s="28"/>
      <c r="AI2413" s="28"/>
      <c r="AJ2413" s="28">
        <v>21</v>
      </c>
      <c r="AK2413" s="28"/>
      <c r="AL2413" s="28"/>
      <c r="AM2413" s="28"/>
      <c r="AN2413" s="28"/>
      <c r="AO2413" s="28"/>
      <c r="AP2413" s="28">
        <v>13</v>
      </c>
      <c r="AQ2413" s="28"/>
      <c r="AR2413" s="28"/>
      <c r="AS2413" s="28"/>
      <c r="AT2413" s="28"/>
      <c r="AU2413" s="28"/>
      <c r="AV2413" s="28">
        <v>37</v>
      </c>
      <c r="AW2413" s="28"/>
      <c r="AX2413" s="28"/>
      <c r="AY2413" s="28"/>
      <c r="AZ2413" s="28"/>
      <c r="BA2413" s="28"/>
      <c r="BB2413" s="28">
        <v>3</v>
      </c>
      <c r="BC2413" s="229">
        <f t="shared" si="995"/>
        <v>0</v>
      </c>
      <c r="BD2413" s="48">
        <f t="shared" si="996"/>
        <v>74</v>
      </c>
      <c r="BE2413" s="19">
        <v>1</v>
      </c>
      <c r="BF2413" s="229">
        <f t="shared" si="997"/>
        <v>0</v>
      </c>
      <c r="BG2413" s="210">
        <f t="shared" si="998"/>
        <v>74</v>
      </c>
      <c r="BH2413" s="210">
        <f t="shared" si="999"/>
        <v>1</v>
      </c>
      <c r="BI2413" s="213">
        <f t="shared" si="1000"/>
        <v>7400</v>
      </c>
      <c r="BJ2413" s="141"/>
      <c r="BK2413" s="201"/>
    </row>
    <row r="2414" spans="1:63" ht="18" customHeight="1">
      <c r="A2414" s="114">
        <v>24</v>
      </c>
      <c r="B2414" s="24" t="s">
        <v>575</v>
      </c>
      <c r="C2414" s="25" t="s">
        <v>711</v>
      </c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229">
        <f t="shared" si="993"/>
        <v>0</v>
      </c>
      <c r="AC2414" s="228">
        <f t="shared" si="994"/>
        <v>0</v>
      </c>
      <c r="AD2414" s="19">
        <v>0</v>
      </c>
      <c r="AE2414" s="28"/>
      <c r="AF2414" s="28"/>
      <c r="AG2414" s="28"/>
      <c r="AH2414" s="28"/>
      <c r="AI2414" s="28"/>
      <c r="AJ2414" s="28">
        <v>7</v>
      </c>
      <c r="AK2414" s="28"/>
      <c r="AL2414" s="28"/>
      <c r="AM2414" s="28"/>
      <c r="AN2414" s="28"/>
      <c r="AO2414" s="28"/>
      <c r="AP2414" s="28">
        <v>9</v>
      </c>
      <c r="AQ2414" s="28"/>
      <c r="AR2414" s="28"/>
      <c r="AS2414" s="28"/>
      <c r="AT2414" s="28"/>
      <c r="AU2414" s="28"/>
      <c r="AV2414" s="28">
        <v>8</v>
      </c>
      <c r="AW2414" s="28"/>
      <c r="AX2414" s="28"/>
      <c r="AY2414" s="28"/>
      <c r="AZ2414" s="28"/>
      <c r="BA2414" s="28"/>
      <c r="BB2414" s="28">
        <v>5</v>
      </c>
      <c r="BC2414" s="229">
        <f t="shared" si="995"/>
        <v>0</v>
      </c>
      <c r="BD2414" s="48">
        <f t="shared" si="996"/>
        <v>29</v>
      </c>
      <c r="BE2414" s="19">
        <v>2</v>
      </c>
      <c r="BF2414" s="229">
        <f t="shared" si="997"/>
        <v>0</v>
      </c>
      <c r="BG2414" s="210">
        <f t="shared" si="998"/>
        <v>29</v>
      </c>
      <c r="BH2414" s="210">
        <f t="shared" si="999"/>
        <v>2</v>
      </c>
      <c r="BI2414" s="213">
        <f t="shared" si="1000"/>
        <v>1450</v>
      </c>
      <c r="BJ2414" s="141"/>
      <c r="BK2414" s="201"/>
    </row>
    <row r="2415" spans="1:63" ht="18" customHeight="1">
      <c r="A2415" s="114">
        <v>25</v>
      </c>
      <c r="B2415" s="24" t="s">
        <v>578</v>
      </c>
      <c r="C2415" s="25" t="s">
        <v>1587</v>
      </c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229">
        <f t="shared" si="993"/>
        <v>0</v>
      </c>
      <c r="AC2415" s="228">
        <f t="shared" si="994"/>
        <v>0</v>
      </c>
      <c r="AD2415" s="19">
        <v>0</v>
      </c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29">
        <f t="shared" si="995"/>
        <v>0</v>
      </c>
      <c r="BD2415" s="48">
        <f t="shared" si="996"/>
        <v>0</v>
      </c>
      <c r="BE2415" s="19">
        <v>1</v>
      </c>
      <c r="BF2415" s="229">
        <f t="shared" si="997"/>
        <v>0</v>
      </c>
      <c r="BG2415" s="210">
        <f t="shared" si="998"/>
        <v>0</v>
      </c>
      <c r="BH2415" s="210">
        <f t="shared" si="999"/>
        <v>1</v>
      </c>
      <c r="BI2415" s="213">
        <f t="shared" si="1000"/>
        <v>0</v>
      </c>
      <c r="BJ2415" s="141"/>
      <c r="BK2415" s="201"/>
    </row>
    <row r="2416" spans="1:63" ht="18" customHeight="1">
      <c r="A2416" s="114">
        <v>26</v>
      </c>
      <c r="B2416" s="24" t="s">
        <v>579</v>
      </c>
      <c r="C2416" s="25" t="s">
        <v>580</v>
      </c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229">
        <f t="shared" si="993"/>
        <v>0</v>
      </c>
      <c r="AC2416" s="228">
        <f t="shared" si="994"/>
        <v>0</v>
      </c>
      <c r="AD2416" s="19">
        <v>0</v>
      </c>
      <c r="AE2416" s="28"/>
      <c r="AF2416" s="28"/>
      <c r="AG2416" s="28"/>
      <c r="AH2416" s="28"/>
      <c r="AI2416" s="28"/>
      <c r="AJ2416" s="28">
        <f>2+29</f>
        <v>31</v>
      </c>
      <c r="AK2416" s="28"/>
      <c r="AL2416" s="28"/>
      <c r="AM2416" s="28"/>
      <c r="AN2416" s="28"/>
      <c r="AO2416" s="28"/>
      <c r="AP2416" s="28">
        <f>26+7</f>
        <v>33</v>
      </c>
      <c r="AQ2416" s="28"/>
      <c r="AR2416" s="28"/>
      <c r="AS2416" s="28"/>
      <c r="AT2416" s="28"/>
      <c r="AU2416" s="28"/>
      <c r="AV2416" s="28">
        <v>46</v>
      </c>
      <c r="AW2416" s="28"/>
      <c r="AX2416" s="28"/>
      <c r="AY2416" s="28"/>
      <c r="AZ2416" s="28"/>
      <c r="BA2416" s="28"/>
      <c r="BB2416" s="28">
        <v>3</v>
      </c>
      <c r="BC2416" s="229">
        <f t="shared" si="995"/>
        <v>0</v>
      </c>
      <c r="BD2416" s="48">
        <f t="shared" si="996"/>
        <v>113</v>
      </c>
      <c r="BE2416" s="19">
        <v>1</v>
      </c>
      <c r="BF2416" s="229">
        <f t="shared" si="997"/>
        <v>0</v>
      </c>
      <c r="BG2416" s="210">
        <f t="shared" si="998"/>
        <v>113</v>
      </c>
      <c r="BH2416" s="210">
        <f t="shared" si="999"/>
        <v>1</v>
      </c>
      <c r="BI2416" s="313">
        <f t="shared" si="1000"/>
        <v>11300</v>
      </c>
      <c r="BJ2416" s="141"/>
      <c r="BK2416" s="201"/>
    </row>
    <row r="2417" spans="1:65" ht="18" customHeight="1">
      <c r="A2417" s="114">
        <v>27</v>
      </c>
      <c r="B2417" s="24" t="s">
        <v>1002</v>
      </c>
      <c r="C2417" s="25" t="s">
        <v>1003</v>
      </c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229">
        <f t="shared" si="993"/>
        <v>0</v>
      </c>
      <c r="AC2417" s="228">
        <f t="shared" si="994"/>
        <v>0</v>
      </c>
      <c r="AD2417" s="19">
        <v>0</v>
      </c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29">
        <f t="shared" si="995"/>
        <v>0</v>
      </c>
      <c r="BD2417" s="48">
        <f t="shared" si="996"/>
        <v>0</v>
      </c>
      <c r="BE2417" s="19">
        <v>1</v>
      </c>
      <c r="BF2417" s="229">
        <f t="shared" si="997"/>
        <v>0</v>
      </c>
      <c r="BG2417" s="210">
        <f t="shared" si="998"/>
        <v>0</v>
      </c>
      <c r="BH2417" s="210">
        <f t="shared" si="999"/>
        <v>1</v>
      </c>
      <c r="BI2417" s="213">
        <f t="shared" si="1000"/>
        <v>0</v>
      </c>
      <c r="BJ2417" s="141"/>
      <c r="BK2417" s="201"/>
    </row>
    <row r="2418" spans="1:65" ht="18" customHeight="1">
      <c r="A2418" s="114">
        <v>28</v>
      </c>
      <c r="B2418" s="24" t="s">
        <v>582</v>
      </c>
      <c r="C2418" s="25" t="s">
        <v>583</v>
      </c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229">
        <f t="shared" si="993"/>
        <v>0</v>
      </c>
      <c r="AC2418" s="228">
        <f t="shared" si="994"/>
        <v>0</v>
      </c>
      <c r="AD2418" s="19">
        <v>0</v>
      </c>
      <c r="AE2418" s="28"/>
      <c r="AF2418" s="28"/>
      <c r="AG2418" s="28"/>
      <c r="AH2418" s="28"/>
      <c r="AI2418" s="28"/>
      <c r="AJ2418" s="28">
        <v>1</v>
      </c>
      <c r="AK2418" s="28"/>
      <c r="AL2418" s="28"/>
      <c r="AM2418" s="28"/>
      <c r="AN2418" s="28"/>
      <c r="AO2418" s="28"/>
      <c r="AP2418" s="28">
        <v>1</v>
      </c>
      <c r="AQ2418" s="28"/>
      <c r="AR2418" s="28"/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  <c r="BC2418" s="229">
        <f t="shared" si="995"/>
        <v>0</v>
      </c>
      <c r="BD2418" s="48">
        <f t="shared" si="996"/>
        <v>2</v>
      </c>
      <c r="BE2418" s="19">
        <v>1</v>
      </c>
      <c r="BF2418" s="229">
        <f t="shared" si="997"/>
        <v>0</v>
      </c>
      <c r="BG2418" s="210">
        <f t="shared" si="998"/>
        <v>2</v>
      </c>
      <c r="BH2418" s="210">
        <f t="shared" si="999"/>
        <v>1</v>
      </c>
      <c r="BI2418" s="213">
        <f t="shared" si="1000"/>
        <v>200</v>
      </c>
      <c r="BJ2418" s="141"/>
      <c r="BK2418" s="201"/>
    </row>
    <row r="2419" spans="1:65" ht="18" customHeight="1">
      <c r="A2419" s="114">
        <v>29</v>
      </c>
      <c r="B2419" s="24" t="s">
        <v>584</v>
      </c>
      <c r="C2419" s="25" t="s">
        <v>2603</v>
      </c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229">
        <f t="shared" si="993"/>
        <v>0</v>
      </c>
      <c r="AC2419" s="228">
        <f t="shared" si="994"/>
        <v>0</v>
      </c>
      <c r="AD2419" s="19">
        <v>0</v>
      </c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>
        <v>4</v>
      </c>
      <c r="AW2419" s="28"/>
      <c r="AX2419" s="28"/>
      <c r="AY2419" s="28"/>
      <c r="AZ2419" s="28"/>
      <c r="BA2419" s="28"/>
      <c r="BB2419" s="28"/>
      <c r="BC2419" s="229">
        <f t="shared" si="995"/>
        <v>0</v>
      </c>
      <c r="BD2419" s="48">
        <f t="shared" si="996"/>
        <v>4</v>
      </c>
      <c r="BE2419" s="19">
        <v>2</v>
      </c>
      <c r="BF2419" s="229">
        <f t="shared" si="997"/>
        <v>0</v>
      </c>
      <c r="BG2419" s="210">
        <f t="shared" si="998"/>
        <v>4</v>
      </c>
      <c r="BH2419" s="210">
        <f t="shared" si="999"/>
        <v>2</v>
      </c>
      <c r="BI2419" s="213">
        <f t="shared" si="1000"/>
        <v>200</v>
      </c>
      <c r="BJ2419" s="141"/>
      <c r="BK2419" s="201"/>
    </row>
    <row r="2420" spans="1:65" ht="18" customHeight="1">
      <c r="A2420" s="114">
        <v>30</v>
      </c>
      <c r="B2420" s="24" t="s">
        <v>585</v>
      </c>
      <c r="C2420" s="25" t="s">
        <v>586</v>
      </c>
      <c r="D2420" s="121"/>
      <c r="E2420" s="121"/>
      <c r="F2420" s="121"/>
      <c r="G2420" s="121"/>
      <c r="H2420" s="121"/>
      <c r="I2420" s="121">
        <v>50</v>
      </c>
      <c r="J2420" s="121"/>
      <c r="K2420" s="121"/>
      <c r="L2420" s="121"/>
      <c r="M2420" s="121"/>
      <c r="N2420" s="121"/>
      <c r="O2420" s="121">
        <v>17</v>
      </c>
      <c r="P2420" s="121"/>
      <c r="Q2420" s="121"/>
      <c r="R2420" s="121"/>
      <c r="S2420" s="121"/>
      <c r="T2420" s="121"/>
      <c r="U2420" s="121">
        <v>32</v>
      </c>
      <c r="V2420" s="121"/>
      <c r="W2420" s="121"/>
      <c r="X2420" s="121"/>
      <c r="Y2420" s="121"/>
      <c r="Z2420" s="121"/>
      <c r="AA2420" s="121">
        <v>12</v>
      </c>
      <c r="AB2420" s="229">
        <f t="shared" si="993"/>
        <v>0</v>
      </c>
      <c r="AC2420" s="228">
        <f t="shared" si="994"/>
        <v>111</v>
      </c>
      <c r="AD2420" s="19">
        <v>282</v>
      </c>
      <c r="AE2420" s="28"/>
      <c r="AF2420" s="28"/>
      <c r="AG2420" s="28"/>
      <c r="AH2420" s="28"/>
      <c r="AI2420" s="28"/>
      <c r="AJ2420" s="28">
        <f>12+528+113+9</f>
        <v>662</v>
      </c>
      <c r="AK2420" s="28"/>
      <c r="AL2420" s="28"/>
      <c r="AM2420" s="28"/>
      <c r="AN2420" s="28"/>
      <c r="AO2420" s="28"/>
      <c r="AP2420" s="28">
        <f>11+472+80</f>
        <v>563</v>
      </c>
      <c r="AQ2420" s="28"/>
      <c r="AR2420" s="28"/>
      <c r="AS2420" s="28"/>
      <c r="AT2420" s="28"/>
      <c r="AU2420" s="28"/>
      <c r="AV2420" s="28">
        <f>10+391+71</f>
        <v>472</v>
      </c>
      <c r="AW2420" s="28"/>
      <c r="AX2420" s="28"/>
      <c r="AY2420" s="28"/>
      <c r="AZ2420" s="28"/>
      <c r="BA2420" s="28"/>
      <c r="BB2420" s="28">
        <f>16+329+32</f>
        <v>377</v>
      </c>
      <c r="BC2420" s="229">
        <f t="shared" si="995"/>
        <v>0</v>
      </c>
      <c r="BD2420" s="48">
        <f t="shared" si="996"/>
        <v>2074</v>
      </c>
      <c r="BE2420" s="19" t="s">
        <v>2736</v>
      </c>
      <c r="BF2420" s="229">
        <f t="shared" si="997"/>
        <v>0</v>
      </c>
      <c r="BG2420" s="210">
        <f t="shared" si="998"/>
        <v>2185</v>
      </c>
      <c r="BH2420" s="210">
        <f t="shared" si="999"/>
        <v>2637</v>
      </c>
      <c r="BI2420" s="213">
        <f t="shared" si="1000"/>
        <v>82.859309821767155</v>
      </c>
      <c r="BJ2420" s="141"/>
      <c r="BK2420" s="201"/>
    </row>
    <row r="2421" spans="1:65" ht="18" customHeight="1">
      <c r="A2421" s="114">
        <v>31</v>
      </c>
      <c r="B2421" s="24" t="s">
        <v>593</v>
      </c>
      <c r="C2421" s="25" t="s">
        <v>755</v>
      </c>
      <c r="D2421" s="121"/>
      <c r="E2421" s="121"/>
      <c r="F2421" s="121"/>
      <c r="G2421" s="121"/>
      <c r="H2421" s="121"/>
      <c r="I2421" s="121">
        <f>84+1</f>
        <v>85</v>
      </c>
      <c r="J2421" s="121"/>
      <c r="K2421" s="121"/>
      <c r="L2421" s="121"/>
      <c r="M2421" s="121"/>
      <c r="N2421" s="121"/>
      <c r="O2421" s="121">
        <f>124+80</f>
        <v>204</v>
      </c>
      <c r="P2421" s="121"/>
      <c r="Q2421" s="121"/>
      <c r="R2421" s="121"/>
      <c r="S2421" s="121"/>
      <c r="T2421" s="121"/>
      <c r="U2421" s="121">
        <f>631+106</f>
        <v>737</v>
      </c>
      <c r="V2421" s="121"/>
      <c r="W2421" s="121"/>
      <c r="X2421" s="121"/>
      <c r="Y2421" s="121"/>
      <c r="Z2421" s="121"/>
      <c r="AA2421" s="121">
        <f>456+38</f>
        <v>494</v>
      </c>
      <c r="AB2421" s="229">
        <f t="shared" si="993"/>
        <v>0</v>
      </c>
      <c r="AC2421" s="228">
        <f t="shared" si="994"/>
        <v>1520</v>
      </c>
      <c r="AD2421" s="19">
        <v>427</v>
      </c>
      <c r="AE2421" s="28"/>
      <c r="AF2421" s="28"/>
      <c r="AG2421" s="28"/>
      <c r="AH2421" s="28"/>
      <c r="AI2421" s="28"/>
      <c r="AJ2421" s="28">
        <v>1</v>
      </c>
      <c r="AK2421" s="28"/>
      <c r="AL2421" s="28"/>
      <c r="AM2421" s="28"/>
      <c r="AN2421" s="28"/>
      <c r="AO2421" s="28"/>
      <c r="AP2421" s="28">
        <f>1+1</f>
        <v>2</v>
      </c>
      <c r="AQ2421" s="28"/>
      <c r="AR2421" s="28"/>
      <c r="AS2421" s="28"/>
      <c r="AT2421" s="28"/>
      <c r="AU2421" s="28"/>
      <c r="AV2421" s="28">
        <f>1+1</f>
        <v>2</v>
      </c>
      <c r="AW2421" s="28"/>
      <c r="AX2421" s="28"/>
      <c r="AY2421" s="28"/>
      <c r="AZ2421" s="28"/>
      <c r="BA2421" s="28"/>
      <c r="BB2421" s="28">
        <f>3+1</f>
        <v>4</v>
      </c>
      <c r="BC2421" s="229">
        <f t="shared" si="995"/>
        <v>0</v>
      </c>
      <c r="BD2421" s="48">
        <f t="shared" si="996"/>
        <v>9</v>
      </c>
      <c r="BE2421" s="19">
        <v>4</v>
      </c>
      <c r="BF2421" s="229">
        <f t="shared" si="997"/>
        <v>0</v>
      </c>
      <c r="BG2421" s="210">
        <f t="shared" si="998"/>
        <v>1529</v>
      </c>
      <c r="BH2421" s="210">
        <f t="shared" si="999"/>
        <v>431</v>
      </c>
      <c r="BI2421" s="213">
        <f t="shared" si="1000"/>
        <v>354.75638051044081</v>
      </c>
      <c r="BJ2421" s="141"/>
      <c r="BK2421" s="201"/>
    </row>
    <row r="2422" spans="1:65" ht="18" customHeight="1">
      <c r="A2422" s="114">
        <v>32</v>
      </c>
      <c r="B2422" s="24" t="s">
        <v>826</v>
      </c>
      <c r="C2422" s="25" t="s">
        <v>827</v>
      </c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229">
        <f t="shared" si="993"/>
        <v>0</v>
      </c>
      <c r="AC2422" s="228">
        <f t="shared" si="994"/>
        <v>0</v>
      </c>
      <c r="AD2422" s="19">
        <v>0</v>
      </c>
      <c r="AE2422" s="28"/>
      <c r="AF2422" s="28"/>
      <c r="AG2422" s="28"/>
      <c r="AH2422" s="28"/>
      <c r="AI2422" s="28"/>
      <c r="AJ2422" s="28">
        <v>1</v>
      </c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>
        <v>3</v>
      </c>
      <c r="AW2422" s="28"/>
      <c r="AX2422" s="28"/>
      <c r="AY2422" s="28"/>
      <c r="AZ2422" s="28"/>
      <c r="BA2422" s="28"/>
      <c r="BB2422" s="28"/>
      <c r="BC2422" s="229">
        <f t="shared" si="995"/>
        <v>0</v>
      </c>
      <c r="BD2422" s="48">
        <f t="shared" si="996"/>
        <v>4</v>
      </c>
      <c r="BE2422" s="19">
        <v>1</v>
      </c>
      <c r="BF2422" s="229">
        <f t="shared" si="997"/>
        <v>0</v>
      </c>
      <c r="BG2422" s="210">
        <f t="shared" si="998"/>
        <v>4</v>
      </c>
      <c r="BH2422" s="210">
        <f t="shared" si="999"/>
        <v>1</v>
      </c>
      <c r="BI2422" s="213">
        <f t="shared" si="1000"/>
        <v>400</v>
      </c>
      <c r="BJ2422" s="141"/>
      <c r="BK2422" s="201"/>
    </row>
    <row r="2423" spans="1:65" ht="18" customHeight="1">
      <c r="A2423" s="114">
        <v>33</v>
      </c>
      <c r="B2423" s="24" t="s">
        <v>596</v>
      </c>
      <c r="C2423" s="25" t="s">
        <v>597</v>
      </c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>
        <f>1+2</f>
        <v>3</v>
      </c>
      <c r="V2423" s="121"/>
      <c r="W2423" s="121"/>
      <c r="X2423" s="121"/>
      <c r="Y2423" s="121"/>
      <c r="Z2423" s="121"/>
      <c r="AA2423" s="121">
        <v>1</v>
      </c>
      <c r="AB2423" s="229">
        <f t="shared" si="993"/>
        <v>0</v>
      </c>
      <c r="AC2423" s="228">
        <f t="shared" si="994"/>
        <v>4</v>
      </c>
      <c r="AD2423" s="19">
        <v>3</v>
      </c>
      <c r="AE2423" s="28"/>
      <c r="AF2423" s="28"/>
      <c r="AG2423" s="28"/>
      <c r="AH2423" s="28"/>
      <c r="AI2423" s="28"/>
      <c r="AJ2423" s="28">
        <f>3+61+12+30</f>
        <v>106</v>
      </c>
      <c r="AK2423" s="28"/>
      <c r="AL2423" s="28"/>
      <c r="AM2423" s="28"/>
      <c r="AN2423" s="28"/>
      <c r="AO2423" s="28"/>
      <c r="AP2423" s="28">
        <f>66+1+25+2+26</f>
        <v>120</v>
      </c>
      <c r="AQ2423" s="28"/>
      <c r="AR2423" s="28"/>
      <c r="AS2423" s="28"/>
      <c r="AT2423" s="28"/>
      <c r="AU2423" s="28"/>
      <c r="AV2423" s="28">
        <f>2+65+7+16+2+34</f>
        <v>126</v>
      </c>
      <c r="AW2423" s="28"/>
      <c r="AX2423" s="28"/>
      <c r="AY2423" s="28"/>
      <c r="AZ2423" s="28"/>
      <c r="BA2423" s="28"/>
      <c r="BB2423" s="28">
        <f>63+16+3+46</f>
        <v>128</v>
      </c>
      <c r="BC2423" s="229">
        <f t="shared" si="995"/>
        <v>0</v>
      </c>
      <c r="BD2423" s="48">
        <f t="shared" si="996"/>
        <v>480</v>
      </c>
      <c r="BE2423" s="19">
        <v>265</v>
      </c>
      <c r="BF2423" s="229">
        <f t="shared" si="997"/>
        <v>0</v>
      </c>
      <c r="BG2423" s="210">
        <f t="shared" si="998"/>
        <v>484</v>
      </c>
      <c r="BH2423" s="210">
        <f t="shared" si="999"/>
        <v>268</v>
      </c>
      <c r="BI2423" s="213">
        <f t="shared" ref="BI2423:BI2454" si="1001">BG2423/BH2423*100</f>
        <v>180.59701492537314</v>
      </c>
      <c r="BJ2423" s="141"/>
      <c r="BK2423" s="201"/>
    </row>
    <row r="2424" spans="1:65" ht="18" customHeight="1">
      <c r="A2424" s="114">
        <v>34</v>
      </c>
      <c r="B2424" s="24" t="s">
        <v>756</v>
      </c>
      <c r="C2424" s="25" t="s">
        <v>2507</v>
      </c>
      <c r="D2424" s="121"/>
      <c r="E2424" s="121"/>
      <c r="F2424" s="121"/>
      <c r="G2424" s="121"/>
      <c r="H2424" s="121"/>
      <c r="I2424" s="121">
        <v>280</v>
      </c>
      <c r="J2424" s="121"/>
      <c r="K2424" s="121"/>
      <c r="L2424" s="121"/>
      <c r="M2424" s="121"/>
      <c r="N2424" s="121"/>
      <c r="O2424" s="121">
        <f>280+1</f>
        <v>281</v>
      </c>
      <c r="P2424" s="121"/>
      <c r="Q2424" s="121"/>
      <c r="R2424" s="121"/>
      <c r="S2424" s="121"/>
      <c r="T2424" s="121"/>
      <c r="U2424" s="121">
        <v>302</v>
      </c>
      <c r="V2424" s="121"/>
      <c r="W2424" s="121"/>
      <c r="X2424" s="121"/>
      <c r="Y2424" s="121"/>
      <c r="Z2424" s="121"/>
      <c r="AA2424" s="121">
        <f>311+1</f>
        <v>312</v>
      </c>
      <c r="AB2424" s="229">
        <f t="shared" si="993"/>
        <v>0</v>
      </c>
      <c r="AC2424" s="228">
        <f t="shared" si="994"/>
        <v>1175</v>
      </c>
      <c r="AD2424" s="19">
        <v>1154</v>
      </c>
      <c r="AE2424" s="28"/>
      <c r="AF2424" s="28"/>
      <c r="AG2424" s="28"/>
      <c r="AH2424" s="28"/>
      <c r="AI2424" s="28"/>
      <c r="AJ2424" s="28">
        <v>3</v>
      </c>
      <c r="AK2424" s="28"/>
      <c r="AL2424" s="28"/>
      <c r="AM2424" s="28"/>
      <c r="AN2424" s="28"/>
      <c r="AO2424" s="28"/>
      <c r="AP2424" s="28">
        <f>4+1</f>
        <v>5</v>
      </c>
      <c r="AQ2424" s="28"/>
      <c r="AR2424" s="28"/>
      <c r="AS2424" s="28"/>
      <c r="AT2424" s="28"/>
      <c r="AU2424" s="28"/>
      <c r="AV2424" s="28"/>
      <c r="AW2424" s="28"/>
      <c r="AX2424" s="28"/>
      <c r="AY2424" s="28"/>
      <c r="AZ2424" s="28"/>
      <c r="BA2424" s="28"/>
      <c r="BB2424" s="28">
        <v>3</v>
      </c>
      <c r="BC2424" s="229">
        <f t="shared" si="995"/>
        <v>0</v>
      </c>
      <c r="BD2424" s="48">
        <f t="shared" si="996"/>
        <v>11</v>
      </c>
      <c r="BE2424" s="19">
        <v>14</v>
      </c>
      <c r="BF2424" s="229">
        <f t="shared" si="997"/>
        <v>0</v>
      </c>
      <c r="BG2424" s="210">
        <f t="shared" si="998"/>
        <v>1186</v>
      </c>
      <c r="BH2424" s="210">
        <f t="shared" si="999"/>
        <v>1168</v>
      </c>
      <c r="BI2424" s="213">
        <f t="shared" si="1001"/>
        <v>101.54109589041096</v>
      </c>
      <c r="BJ2424" s="141"/>
      <c r="BK2424" s="201"/>
    </row>
    <row r="2425" spans="1:65" ht="18" customHeight="1">
      <c r="A2425" s="114">
        <v>35</v>
      </c>
      <c r="B2425" s="24" t="s">
        <v>1873</v>
      </c>
      <c r="C2425" s="25" t="s">
        <v>1874</v>
      </c>
      <c r="D2425" s="121"/>
      <c r="E2425" s="121"/>
      <c r="F2425" s="121"/>
      <c r="G2425" s="121"/>
      <c r="H2425" s="121"/>
      <c r="I2425" s="121">
        <v>12</v>
      </c>
      <c r="J2425" s="121"/>
      <c r="K2425" s="121"/>
      <c r="L2425" s="121"/>
      <c r="M2425" s="121"/>
      <c r="N2425" s="121"/>
      <c r="O2425" s="121">
        <v>8</v>
      </c>
      <c r="P2425" s="121"/>
      <c r="Q2425" s="121"/>
      <c r="R2425" s="121"/>
      <c r="S2425" s="121"/>
      <c r="T2425" s="121"/>
      <c r="U2425" s="121">
        <v>5</v>
      </c>
      <c r="V2425" s="121"/>
      <c r="W2425" s="121"/>
      <c r="X2425" s="121"/>
      <c r="Y2425" s="121"/>
      <c r="Z2425" s="121"/>
      <c r="AA2425" s="121">
        <v>3</v>
      </c>
      <c r="AB2425" s="229">
        <f t="shared" si="993"/>
        <v>0</v>
      </c>
      <c r="AC2425" s="228">
        <f t="shared" si="994"/>
        <v>28</v>
      </c>
      <c r="AD2425" s="19">
        <v>42</v>
      </c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>
        <v>1</v>
      </c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29">
        <f t="shared" si="995"/>
        <v>0</v>
      </c>
      <c r="BD2425" s="48">
        <f t="shared" si="996"/>
        <v>1</v>
      </c>
      <c r="BE2425" s="19">
        <v>1</v>
      </c>
      <c r="BF2425" s="229">
        <f t="shared" si="997"/>
        <v>0</v>
      </c>
      <c r="BG2425" s="210">
        <f t="shared" si="998"/>
        <v>29</v>
      </c>
      <c r="BH2425" s="210">
        <f t="shared" si="999"/>
        <v>43</v>
      </c>
      <c r="BI2425" s="213">
        <f t="shared" si="1001"/>
        <v>67.441860465116278</v>
      </c>
      <c r="BJ2425" s="141"/>
      <c r="BK2425" s="201"/>
    </row>
    <row r="2426" spans="1:65" ht="18" customHeight="1">
      <c r="A2426" s="114">
        <v>36</v>
      </c>
      <c r="B2426" s="30" t="s">
        <v>868</v>
      </c>
      <c r="C2426" s="31" t="s">
        <v>869</v>
      </c>
      <c r="D2426" s="121"/>
      <c r="E2426" s="121"/>
      <c r="F2426" s="121"/>
      <c r="G2426" s="121"/>
      <c r="H2426" s="121"/>
      <c r="I2426" s="121">
        <v>5</v>
      </c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>
        <v>2</v>
      </c>
      <c r="V2426" s="121"/>
      <c r="W2426" s="121"/>
      <c r="X2426" s="121"/>
      <c r="Y2426" s="121"/>
      <c r="Z2426" s="121"/>
      <c r="AA2426" s="121">
        <v>2</v>
      </c>
      <c r="AB2426" s="229">
        <f t="shared" si="993"/>
        <v>0</v>
      </c>
      <c r="AC2426" s="228">
        <f t="shared" si="994"/>
        <v>9</v>
      </c>
      <c r="AD2426" s="19">
        <v>5</v>
      </c>
      <c r="AE2426" s="28"/>
      <c r="AF2426" s="28"/>
      <c r="AG2426" s="28"/>
      <c r="AH2426" s="28"/>
      <c r="AI2426" s="28"/>
      <c r="AJ2426" s="28">
        <f>58+12+3+2+83</f>
        <v>158</v>
      </c>
      <c r="AK2426" s="28"/>
      <c r="AL2426" s="28"/>
      <c r="AM2426" s="28"/>
      <c r="AN2426" s="28"/>
      <c r="AO2426" s="28"/>
      <c r="AP2426" s="28">
        <f>56+8+3+69</f>
        <v>136</v>
      </c>
      <c r="AQ2426" s="28"/>
      <c r="AR2426" s="28"/>
      <c r="AS2426" s="28"/>
      <c r="AT2426" s="28"/>
      <c r="AU2426" s="28"/>
      <c r="AV2426" s="28">
        <f>82+12+1+79</f>
        <v>174</v>
      </c>
      <c r="AW2426" s="28"/>
      <c r="AX2426" s="28"/>
      <c r="AY2426" s="28"/>
      <c r="AZ2426" s="28"/>
      <c r="BA2426" s="28"/>
      <c r="BB2426" s="28">
        <f>47+4+1+110</f>
        <v>162</v>
      </c>
      <c r="BC2426" s="229">
        <f t="shared" si="995"/>
        <v>0</v>
      </c>
      <c r="BD2426" s="48">
        <f t="shared" si="996"/>
        <v>630</v>
      </c>
      <c r="BE2426" s="19">
        <v>602</v>
      </c>
      <c r="BF2426" s="229">
        <f t="shared" si="997"/>
        <v>0</v>
      </c>
      <c r="BG2426" s="210">
        <f t="shared" si="998"/>
        <v>639</v>
      </c>
      <c r="BH2426" s="210">
        <f t="shared" si="999"/>
        <v>607</v>
      </c>
      <c r="BI2426" s="213">
        <f t="shared" si="1001"/>
        <v>105.27182866556836</v>
      </c>
      <c r="BJ2426" s="141"/>
      <c r="BK2426" s="201"/>
    </row>
    <row r="2427" spans="1:65" ht="18" customHeight="1">
      <c r="A2427" s="114">
        <v>37</v>
      </c>
      <c r="B2427" s="30" t="s">
        <v>1033</v>
      </c>
      <c r="C2427" s="31" t="s">
        <v>1034</v>
      </c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229">
        <f t="shared" si="993"/>
        <v>0</v>
      </c>
      <c r="AC2427" s="228">
        <f t="shared" si="994"/>
        <v>0</v>
      </c>
      <c r="AD2427" s="19">
        <v>0</v>
      </c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29">
        <f t="shared" si="995"/>
        <v>0</v>
      </c>
      <c r="BD2427" s="48">
        <f t="shared" si="996"/>
        <v>0</v>
      </c>
      <c r="BE2427" s="19">
        <v>5</v>
      </c>
      <c r="BF2427" s="229">
        <f t="shared" si="997"/>
        <v>0</v>
      </c>
      <c r="BG2427" s="210">
        <f t="shared" si="998"/>
        <v>0</v>
      </c>
      <c r="BH2427" s="210">
        <f t="shared" si="999"/>
        <v>5</v>
      </c>
      <c r="BI2427" s="213">
        <f t="shared" si="1001"/>
        <v>0</v>
      </c>
      <c r="BJ2427" s="141"/>
      <c r="BK2427" s="201"/>
    </row>
    <row r="2428" spans="1:65" s="38" customFormat="1" ht="21.95" customHeight="1">
      <c r="A2428" s="114">
        <v>38</v>
      </c>
      <c r="B2428" s="24" t="s">
        <v>1035</v>
      </c>
      <c r="C2428" s="37" t="s">
        <v>1036</v>
      </c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229">
        <f t="shared" si="993"/>
        <v>0</v>
      </c>
      <c r="AC2428" s="228">
        <f t="shared" si="994"/>
        <v>0</v>
      </c>
      <c r="AD2428" s="19">
        <v>0</v>
      </c>
      <c r="AE2428" s="28"/>
      <c r="AF2428" s="28"/>
      <c r="AG2428" s="28"/>
      <c r="AH2428" s="28"/>
      <c r="AI2428" s="28"/>
      <c r="AJ2428" s="28">
        <v>1</v>
      </c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  <c r="AZ2428" s="28"/>
      <c r="BA2428" s="28"/>
      <c r="BB2428" s="28"/>
      <c r="BC2428" s="229">
        <f t="shared" si="995"/>
        <v>0</v>
      </c>
      <c r="BD2428" s="48">
        <f t="shared" si="996"/>
        <v>1</v>
      </c>
      <c r="BE2428" s="19">
        <v>2</v>
      </c>
      <c r="BF2428" s="229">
        <f t="shared" si="997"/>
        <v>0</v>
      </c>
      <c r="BG2428" s="210">
        <f t="shared" si="998"/>
        <v>1</v>
      </c>
      <c r="BH2428" s="210">
        <f t="shared" si="999"/>
        <v>2</v>
      </c>
      <c r="BI2428" s="213">
        <f t="shared" si="1001"/>
        <v>50</v>
      </c>
      <c r="BJ2428" s="141"/>
      <c r="BK2428" s="201"/>
      <c r="BL2428" s="4"/>
      <c r="BM2428" s="4"/>
    </row>
    <row r="2429" spans="1:65" s="38" customFormat="1" ht="18" customHeight="1">
      <c r="A2429" s="114">
        <v>39</v>
      </c>
      <c r="B2429" s="24" t="s">
        <v>1039</v>
      </c>
      <c r="C2429" s="25" t="s">
        <v>2500</v>
      </c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229">
        <f t="shared" si="993"/>
        <v>0</v>
      </c>
      <c r="AC2429" s="228">
        <f t="shared" si="994"/>
        <v>0</v>
      </c>
      <c r="AD2429" s="19">
        <v>0</v>
      </c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>
        <v>1</v>
      </c>
      <c r="BC2429" s="229">
        <f t="shared" si="995"/>
        <v>0</v>
      </c>
      <c r="BD2429" s="48">
        <f t="shared" si="996"/>
        <v>1</v>
      </c>
      <c r="BE2429" s="19">
        <v>5</v>
      </c>
      <c r="BF2429" s="229">
        <f t="shared" si="997"/>
        <v>0</v>
      </c>
      <c r="BG2429" s="210">
        <f t="shared" si="998"/>
        <v>1</v>
      </c>
      <c r="BH2429" s="210">
        <f t="shared" si="999"/>
        <v>5</v>
      </c>
      <c r="BI2429" s="213">
        <f t="shared" si="1001"/>
        <v>20</v>
      </c>
      <c r="BJ2429" s="141"/>
      <c r="BK2429" s="201"/>
      <c r="BL2429" s="4"/>
      <c r="BM2429" s="4"/>
    </row>
    <row r="2430" spans="1:65" s="38" customFormat="1" ht="18" customHeight="1">
      <c r="A2430" s="114">
        <v>40</v>
      </c>
      <c r="B2430" s="24" t="s">
        <v>1041</v>
      </c>
      <c r="C2430" s="25" t="s">
        <v>1042</v>
      </c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229">
        <f t="shared" si="993"/>
        <v>0</v>
      </c>
      <c r="AC2430" s="228">
        <f t="shared" si="994"/>
        <v>0</v>
      </c>
      <c r="AD2430" s="19">
        <v>0</v>
      </c>
      <c r="AE2430" s="28"/>
      <c r="AF2430" s="28"/>
      <c r="AG2430" s="28"/>
      <c r="AH2430" s="28"/>
      <c r="AI2430" s="28"/>
      <c r="AJ2430" s="28">
        <v>109</v>
      </c>
      <c r="AK2430" s="28"/>
      <c r="AL2430" s="28"/>
      <c r="AM2430" s="28"/>
      <c r="AN2430" s="28"/>
      <c r="AO2430" s="28"/>
      <c r="AP2430" s="28">
        <v>93</v>
      </c>
      <c r="AQ2430" s="28"/>
      <c r="AR2430" s="28"/>
      <c r="AS2430" s="28"/>
      <c r="AT2430" s="28"/>
      <c r="AU2430" s="28"/>
      <c r="AV2430" s="28">
        <f>59+3</f>
        <v>62</v>
      </c>
      <c r="AW2430" s="28"/>
      <c r="AX2430" s="28"/>
      <c r="AY2430" s="28"/>
      <c r="AZ2430" s="28"/>
      <c r="BA2430" s="28"/>
      <c r="BB2430" s="28">
        <v>36</v>
      </c>
      <c r="BC2430" s="229">
        <f t="shared" si="995"/>
        <v>0</v>
      </c>
      <c r="BD2430" s="48">
        <f t="shared" si="996"/>
        <v>300</v>
      </c>
      <c r="BE2430" s="19">
        <v>252</v>
      </c>
      <c r="BF2430" s="229">
        <f t="shared" si="997"/>
        <v>0</v>
      </c>
      <c r="BG2430" s="210">
        <f t="shared" si="998"/>
        <v>300</v>
      </c>
      <c r="BH2430" s="210">
        <f t="shared" si="999"/>
        <v>252</v>
      </c>
      <c r="BI2430" s="213">
        <f t="shared" si="1001"/>
        <v>119.04761904761905</v>
      </c>
      <c r="BJ2430" s="141"/>
      <c r="BK2430" s="201"/>
      <c r="BL2430" s="4"/>
      <c r="BM2430" s="4"/>
    </row>
    <row r="2431" spans="1:65" s="38" customFormat="1" ht="18" customHeight="1">
      <c r="A2431" s="114">
        <v>41</v>
      </c>
      <c r="B2431" s="24" t="s">
        <v>2399</v>
      </c>
      <c r="C2431" s="25" t="s">
        <v>2400</v>
      </c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229">
        <f t="shared" si="993"/>
        <v>0</v>
      </c>
      <c r="AC2431" s="228">
        <f t="shared" si="994"/>
        <v>0</v>
      </c>
      <c r="AD2431" s="21">
        <v>0</v>
      </c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29">
        <f t="shared" si="995"/>
        <v>0</v>
      </c>
      <c r="BD2431" s="48">
        <f t="shared" si="996"/>
        <v>0</v>
      </c>
      <c r="BE2431" s="19">
        <v>4</v>
      </c>
      <c r="BF2431" s="229">
        <f t="shared" si="997"/>
        <v>0</v>
      </c>
      <c r="BG2431" s="210">
        <f t="shared" si="998"/>
        <v>0</v>
      </c>
      <c r="BH2431" s="210">
        <f t="shared" si="999"/>
        <v>4</v>
      </c>
      <c r="BI2431" s="213">
        <f t="shared" si="1001"/>
        <v>0</v>
      </c>
      <c r="BJ2431" s="165"/>
      <c r="BK2431" s="201"/>
      <c r="BL2431" s="4"/>
      <c r="BM2431" s="4"/>
    </row>
    <row r="2432" spans="1:65" s="38" customFormat="1" ht="18" customHeight="1">
      <c r="A2432" s="114">
        <v>42</v>
      </c>
      <c r="B2432" s="24" t="s">
        <v>13</v>
      </c>
      <c r="C2432" s="25" t="s">
        <v>2419</v>
      </c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229">
        <f t="shared" si="993"/>
        <v>0</v>
      </c>
      <c r="AC2432" s="228">
        <f t="shared" si="994"/>
        <v>0</v>
      </c>
      <c r="AD2432" s="21">
        <v>0</v>
      </c>
      <c r="AE2432" s="28"/>
      <c r="AF2432" s="28"/>
      <c r="AG2432" s="28"/>
      <c r="AH2432" s="28"/>
      <c r="AI2432" s="28"/>
      <c r="AJ2432" s="28">
        <f>1+1+1</f>
        <v>3</v>
      </c>
      <c r="AK2432" s="28"/>
      <c r="AL2432" s="28"/>
      <c r="AM2432" s="28"/>
      <c r="AN2432" s="28"/>
      <c r="AO2432" s="28"/>
      <c r="AP2432" s="28">
        <f>1+1</f>
        <v>2</v>
      </c>
      <c r="AQ2432" s="28"/>
      <c r="AR2432" s="28"/>
      <c r="AS2432" s="28"/>
      <c r="AT2432" s="28"/>
      <c r="AU2432" s="28"/>
      <c r="AV2432" s="28">
        <v>1</v>
      </c>
      <c r="AW2432" s="28"/>
      <c r="AX2432" s="28"/>
      <c r="AY2432" s="28"/>
      <c r="AZ2432" s="28"/>
      <c r="BA2432" s="28"/>
      <c r="BB2432" s="28"/>
      <c r="BC2432" s="229">
        <f t="shared" si="995"/>
        <v>0</v>
      </c>
      <c r="BD2432" s="48">
        <f t="shared" si="996"/>
        <v>6</v>
      </c>
      <c r="BE2432" s="19">
        <v>8</v>
      </c>
      <c r="BF2432" s="229">
        <f t="shared" si="997"/>
        <v>0</v>
      </c>
      <c r="BG2432" s="210">
        <f t="shared" si="998"/>
        <v>6</v>
      </c>
      <c r="BH2432" s="210">
        <f t="shared" si="999"/>
        <v>8</v>
      </c>
      <c r="BI2432" s="213">
        <f t="shared" si="1001"/>
        <v>75</v>
      </c>
      <c r="BJ2432" s="165"/>
      <c r="BK2432" s="201"/>
      <c r="BL2432" s="4"/>
      <c r="BM2432" s="4"/>
    </row>
    <row r="2433" spans="1:65" s="38" customFormat="1" ht="18" customHeight="1">
      <c r="A2433" s="114">
        <v>43</v>
      </c>
      <c r="B2433" s="24" t="s">
        <v>1948</v>
      </c>
      <c r="C2433" s="25" t="s">
        <v>1949</v>
      </c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229">
        <f t="shared" si="993"/>
        <v>0</v>
      </c>
      <c r="AC2433" s="228">
        <f t="shared" si="994"/>
        <v>0</v>
      </c>
      <c r="AD2433" s="21">
        <v>0</v>
      </c>
      <c r="AE2433" s="28"/>
      <c r="AF2433" s="28"/>
      <c r="AG2433" s="28"/>
      <c r="AH2433" s="28"/>
      <c r="AI2433" s="28"/>
      <c r="AJ2433" s="28">
        <v>1</v>
      </c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29">
        <f t="shared" si="995"/>
        <v>0</v>
      </c>
      <c r="BD2433" s="48">
        <f t="shared" si="996"/>
        <v>1</v>
      </c>
      <c r="BE2433" s="19">
        <v>3</v>
      </c>
      <c r="BF2433" s="229">
        <f t="shared" si="997"/>
        <v>0</v>
      </c>
      <c r="BG2433" s="210">
        <f t="shared" si="998"/>
        <v>1</v>
      </c>
      <c r="BH2433" s="210">
        <f t="shared" si="999"/>
        <v>3</v>
      </c>
      <c r="BI2433" s="213">
        <f t="shared" si="1001"/>
        <v>33.333333333333329</v>
      </c>
      <c r="BJ2433" s="165"/>
      <c r="BK2433" s="201"/>
      <c r="BL2433" s="4"/>
      <c r="BM2433" s="4"/>
    </row>
    <row r="2434" spans="1:65" s="38" customFormat="1" ht="18" customHeight="1">
      <c r="A2434" s="114">
        <v>44</v>
      </c>
      <c r="B2434" s="24" t="s">
        <v>14</v>
      </c>
      <c r="C2434" s="25" t="s">
        <v>2492</v>
      </c>
      <c r="D2434" s="121"/>
      <c r="E2434" s="121"/>
      <c r="F2434" s="121"/>
      <c r="G2434" s="121"/>
      <c r="H2434" s="121"/>
      <c r="I2434" s="121">
        <v>2</v>
      </c>
      <c r="J2434" s="121"/>
      <c r="K2434" s="121"/>
      <c r="L2434" s="121"/>
      <c r="M2434" s="121"/>
      <c r="N2434" s="121"/>
      <c r="O2434" s="121">
        <v>3</v>
      </c>
      <c r="P2434" s="121"/>
      <c r="Q2434" s="121"/>
      <c r="R2434" s="121"/>
      <c r="S2434" s="121"/>
      <c r="T2434" s="121"/>
      <c r="U2434" s="121">
        <v>2</v>
      </c>
      <c r="V2434" s="121"/>
      <c r="W2434" s="121"/>
      <c r="X2434" s="121"/>
      <c r="Y2434" s="121"/>
      <c r="Z2434" s="121"/>
      <c r="AA2434" s="121">
        <v>1</v>
      </c>
      <c r="AB2434" s="229">
        <f t="shared" si="993"/>
        <v>0</v>
      </c>
      <c r="AC2434" s="228">
        <f t="shared" si="994"/>
        <v>8</v>
      </c>
      <c r="AD2434" s="21">
        <v>0</v>
      </c>
      <c r="AE2434" s="28"/>
      <c r="AF2434" s="28"/>
      <c r="AG2434" s="28"/>
      <c r="AH2434" s="28"/>
      <c r="AI2434" s="28"/>
      <c r="AJ2434" s="28">
        <f>1+25</f>
        <v>26</v>
      </c>
      <c r="AK2434" s="28"/>
      <c r="AL2434" s="28"/>
      <c r="AM2434" s="28"/>
      <c r="AN2434" s="28"/>
      <c r="AO2434" s="28"/>
      <c r="AP2434" s="28">
        <f>5+1+1+23</f>
        <v>30</v>
      </c>
      <c r="AQ2434" s="28"/>
      <c r="AR2434" s="28"/>
      <c r="AS2434" s="28"/>
      <c r="AT2434" s="28"/>
      <c r="AU2434" s="28"/>
      <c r="AV2434" s="28">
        <f>3+1+24</f>
        <v>28</v>
      </c>
      <c r="AW2434" s="28"/>
      <c r="AX2434" s="28"/>
      <c r="AY2434" s="28"/>
      <c r="AZ2434" s="28"/>
      <c r="BA2434" s="28"/>
      <c r="BB2434" s="28">
        <v>25</v>
      </c>
      <c r="BC2434" s="229">
        <f t="shared" si="995"/>
        <v>0</v>
      </c>
      <c r="BD2434" s="48">
        <f t="shared" si="996"/>
        <v>109</v>
      </c>
      <c r="BE2434" s="19">
        <v>129</v>
      </c>
      <c r="BF2434" s="229">
        <f t="shared" si="997"/>
        <v>0</v>
      </c>
      <c r="BG2434" s="210">
        <f t="shared" si="998"/>
        <v>117</v>
      </c>
      <c r="BH2434" s="210">
        <f t="shared" si="999"/>
        <v>129</v>
      </c>
      <c r="BI2434" s="213">
        <f t="shared" si="1001"/>
        <v>90.697674418604649</v>
      </c>
      <c r="BJ2434" s="165"/>
      <c r="BK2434" s="201"/>
      <c r="BL2434" s="4"/>
      <c r="BM2434" s="4"/>
    </row>
    <row r="2435" spans="1:65" s="38" customFormat="1" ht="18" customHeight="1">
      <c r="A2435" s="114">
        <v>45</v>
      </c>
      <c r="B2435" s="24" t="s">
        <v>1701</v>
      </c>
      <c r="C2435" s="25" t="s">
        <v>1702</v>
      </c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229">
        <f t="shared" si="993"/>
        <v>0</v>
      </c>
      <c r="AC2435" s="228">
        <f t="shared" si="994"/>
        <v>0</v>
      </c>
      <c r="AD2435" s="19">
        <v>0</v>
      </c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8"/>
      <c r="BA2435" s="28"/>
      <c r="BB2435" s="28"/>
      <c r="BC2435" s="229">
        <f t="shared" si="995"/>
        <v>0</v>
      </c>
      <c r="BD2435" s="48">
        <f t="shared" si="996"/>
        <v>0</v>
      </c>
      <c r="BE2435" s="19">
        <v>2</v>
      </c>
      <c r="BF2435" s="229">
        <f t="shared" si="997"/>
        <v>0</v>
      </c>
      <c r="BG2435" s="210">
        <f t="shared" si="998"/>
        <v>0</v>
      </c>
      <c r="BH2435" s="210">
        <f t="shared" si="999"/>
        <v>2</v>
      </c>
      <c r="BI2435" s="213">
        <f t="shared" si="1001"/>
        <v>0</v>
      </c>
      <c r="BJ2435" s="141"/>
      <c r="BK2435" s="201"/>
      <c r="BL2435" s="4"/>
      <c r="BM2435" s="4"/>
    </row>
    <row r="2436" spans="1:65" s="38" customFormat="1" ht="18" customHeight="1">
      <c r="A2436" s="114">
        <v>46</v>
      </c>
      <c r="B2436" s="24" t="s">
        <v>1043</v>
      </c>
      <c r="C2436" s="25" t="s">
        <v>1044</v>
      </c>
      <c r="D2436" s="121"/>
      <c r="E2436" s="121"/>
      <c r="F2436" s="121"/>
      <c r="G2436" s="121"/>
      <c r="H2436" s="121"/>
      <c r="I2436" s="121">
        <v>55</v>
      </c>
      <c r="J2436" s="121"/>
      <c r="K2436" s="121"/>
      <c r="L2436" s="121"/>
      <c r="M2436" s="121"/>
      <c r="N2436" s="121"/>
      <c r="O2436" s="121">
        <v>44</v>
      </c>
      <c r="P2436" s="121"/>
      <c r="Q2436" s="121"/>
      <c r="R2436" s="121"/>
      <c r="S2436" s="121"/>
      <c r="T2436" s="121"/>
      <c r="U2436" s="121">
        <v>48</v>
      </c>
      <c r="V2436" s="121"/>
      <c r="W2436" s="121"/>
      <c r="X2436" s="121"/>
      <c r="Y2436" s="121"/>
      <c r="Z2436" s="121"/>
      <c r="AA2436" s="121">
        <v>55</v>
      </c>
      <c r="AB2436" s="229">
        <f t="shared" si="993"/>
        <v>0</v>
      </c>
      <c r="AC2436" s="228">
        <f t="shared" si="994"/>
        <v>202</v>
      </c>
      <c r="AD2436" s="19">
        <v>252</v>
      </c>
      <c r="AE2436" s="28"/>
      <c r="AF2436" s="28"/>
      <c r="AG2436" s="28"/>
      <c r="AH2436" s="28"/>
      <c r="AI2436" s="28"/>
      <c r="AJ2436" s="28">
        <v>1</v>
      </c>
      <c r="AK2436" s="28"/>
      <c r="AL2436" s="28"/>
      <c r="AM2436" s="28"/>
      <c r="AN2436" s="28"/>
      <c r="AO2436" s="28"/>
      <c r="AP2436" s="28">
        <v>2</v>
      </c>
      <c r="AQ2436" s="28"/>
      <c r="AR2436" s="28"/>
      <c r="AS2436" s="28"/>
      <c r="AT2436" s="28"/>
      <c r="AU2436" s="28"/>
      <c r="AV2436" s="28">
        <f>1+1</f>
        <v>2</v>
      </c>
      <c r="AW2436" s="28"/>
      <c r="AX2436" s="28"/>
      <c r="AY2436" s="28"/>
      <c r="AZ2436" s="28"/>
      <c r="BA2436" s="28"/>
      <c r="BB2436" s="28">
        <v>2</v>
      </c>
      <c r="BC2436" s="229">
        <f t="shared" si="995"/>
        <v>0</v>
      </c>
      <c r="BD2436" s="48">
        <f t="shared" si="996"/>
        <v>7</v>
      </c>
      <c r="BE2436" s="19">
        <v>5</v>
      </c>
      <c r="BF2436" s="229">
        <f t="shared" si="997"/>
        <v>0</v>
      </c>
      <c r="BG2436" s="210">
        <f t="shared" si="998"/>
        <v>209</v>
      </c>
      <c r="BH2436" s="210">
        <f t="shared" si="999"/>
        <v>257</v>
      </c>
      <c r="BI2436" s="213">
        <f t="shared" si="1001"/>
        <v>81.322957198443575</v>
      </c>
      <c r="BJ2436" s="141"/>
      <c r="BK2436" s="201"/>
      <c r="BL2436" s="4"/>
      <c r="BM2436" s="4"/>
    </row>
    <row r="2437" spans="1:65" s="38" customFormat="1" ht="18" customHeight="1">
      <c r="A2437" s="114">
        <v>47</v>
      </c>
      <c r="B2437" s="30" t="s">
        <v>972</v>
      </c>
      <c r="C2437" s="31" t="s">
        <v>3097</v>
      </c>
      <c r="D2437" s="121"/>
      <c r="E2437" s="121"/>
      <c r="F2437" s="121"/>
      <c r="G2437" s="121"/>
      <c r="H2437" s="121"/>
      <c r="I2437" s="121">
        <v>1</v>
      </c>
      <c r="J2437" s="121"/>
      <c r="K2437" s="121"/>
      <c r="L2437" s="121"/>
      <c r="M2437" s="121"/>
      <c r="N2437" s="121"/>
      <c r="O2437" s="121">
        <v>3</v>
      </c>
      <c r="P2437" s="121"/>
      <c r="Q2437" s="121"/>
      <c r="R2437" s="121"/>
      <c r="S2437" s="121"/>
      <c r="T2437" s="121"/>
      <c r="U2437" s="121">
        <v>2</v>
      </c>
      <c r="V2437" s="121"/>
      <c r="W2437" s="121"/>
      <c r="X2437" s="121"/>
      <c r="Y2437" s="121"/>
      <c r="Z2437" s="121"/>
      <c r="AA2437" s="121">
        <v>1</v>
      </c>
      <c r="AB2437" s="229">
        <f t="shared" si="993"/>
        <v>0</v>
      </c>
      <c r="AC2437" s="228">
        <f t="shared" si="994"/>
        <v>7</v>
      </c>
      <c r="AD2437" s="19">
        <v>0</v>
      </c>
      <c r="AE2437" s="28"/>
      <c r="AF2437" s="28"/>
      <c r="AG2437" s="28"/>
      <c r="AH2437" s="28"/>
      <c r="AI2437" s="28"/>
      <c r="AJ2437" s="28">
        <f>3+1+1+1+19</f>
        <v>25</v>
      </c>
      <c r="AK2437" s="28"/>
      <c r="AL2437" s="28"/>
      <c r="AM2437" s="28"/>
      <c r="AN2437" s="28"/>
      <c r="AO2437" s="28"/>
      <c r="AP2437" s="28">
        <f>2+3+13</f>
        <v>18</v>
      </c>
      <c r="AQ2437" s="28"/>
      <c r="AR2437" s="28"/>
      <c r="AS2437" s="28"/>
      <c r="AT2437" s="28"/>
      <c r="AU2437" s="28"/>
      <c r="AV2437" s="28">
        <f>2+10</f>
        <v>12</v>
      </c>
      <c r="AW2437" s="28"/>
      <c r="AX2437" s="28"/>
      <c r="AY2437" s="28"/>
      <c r="AZ2437" s="28"/>
      <c r="BA2437" s="28"/>
      <c r="BB2437" s="28">
        <f>2+1+1+23</f>
        <v>27</v>
      </c>
      <c r="BC2437" s="229">
        <f t="shared" si="995"/>
        <v>0</v>
      </c>
      <c r="BD2437" s="48">
        <f t="shared" si="996"/>
        <v>82</v>
      </c>
      <c r="BE2437" s="19">
        <v>88</v>
      </c>
      <c r="BF2437" s="229">
        <f t="shared" si="997"/>
        <v>0</v>
      </c>
      <c r="BG2437" s="210">
        <f t="shared" si="998"/>
        <v>89</v>
      </c>
      <c r="BH2437" s="210">
        <f t="shared" si="999"/>
        <v>88</v>
      </c>
      <c r="BI2437" s="213">
        <f t="shared" si="1001"/>
        <v>101.13636363636364</v>
      </c>
      <c r="BJ2437" s="141"/>
      <c r="BK2437" s="201"/>
      <c r="BL2437" s="4"/>
      <c r="BM2437" s="4"/>
    </row>
    <row r="2438" spans="1:65" s="38" customFormat="1" ht="18" customHeight="1">
      <c r="A2438" s="114">
        <v>48</v>
      </c>
      <c r="B2438" s="24" t="s">
        <v>3100</v>
      </c>
      <c r="C2438" s="25" t="s">
        <v>3099</v>
      </c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229"/>
      <c r="AC2438" s="228">
        <f t="shared" ref="AC2438:AC2469" si="1002">E2438+G2438+I2438+K2438+M2438+O2438+Q2438+S2438+U2438+W2438+Y2438+AA2438</f>
        <v>0</v>
      </c>
      <c r="AD2438" s="19">
        <v>0</v>
      </c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>
        <v>1</v>
      </c>
      <c r="AQ2438" s="28"/>
      <c r="AR2438" s="28"/>
      <c r="AS2438" s="28"/>
      <c r="AT2438" s="28"/>
      <c r="AU2438" s="28"/>
      <c r="AV2438" s="28"/>
      <c r="AW2438" s="28"/>
      <c r="AX2438" s="28"/>
      <c r="AY2438" s="28"/>
      <c r="AZ2438" s="28"/>
      <c r="BA2438" s="28"/>
      <c r="BB2438" s="28"/>
      <c r="BC2438" s="229"/>
      <c r="BD2438" s="48">
        <f t="shared" ref="BD2438:BD2469" si="1003">AF2438+AH2438+AJ2438+AL2438+AN2438+AP2438+AR2438+AT2438+AV2438+AX2438+AZ2438+BB2438</f>
        <v>1</v>
      </c>
      <c r="BE2438" s="19">
        <v>0</v>
      </c>
      <c r="BF2438" s="229"/>
      <c r="BG2438" s="210">
        <f t="shared" ref="BG2438:BG2469" si="1004">AC2438+BD2438</f>
        <v>1</v>
      </c>
      <c r="BH2438" s="210">
        <f t="shared" ref="BH2438:BH2469" si="1005">AD2438+BE2438</f>
        <v>0</v>
      </c>
      <c r="BI2438" s="213" t="e">
        <f t="shared" si="1001"/>
        <v>#DIV/0!</v>
      </c>
      <c r="BJ2438" s="141"/>
      <c r="BK2438" s="201"/>
      <c r="BL2438" s="4"/>
      <c r="BM2438" s="4"/>
    </row>
    <row r="2439" spans="1:65" s="38" customFormat="1" ht="18" customHeight="1">
      <c r="A2439" s="114">
        <v>49</v>
      </c>
      <c r="B2439" s="24" t="s">
        <v>510</v>
      </c>
      <c r="C2439" s="25" t="s">
        <v>511</v>
      </c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229">
        <f>D2439+F2439+H2439+J2439+L2439+N2439+P2439+R2439+T2439+V2439+X2439+Z2439</f>
        <v>0</v>
      </c>
      <c r="AC2439" s="228">
        <f t="shared" si="1002"/>
        <v>0</v>
      </c>
      <c r="AD2439" s="21">
        <v>0</v>
      </c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>
        <f>1+1</f>
        <v>2</v>
      </c>
      <c r="AW2439" s="28"/>
      <c r="AX2439" s="28"/>
      <c r="AY2439" s="28"/>
      <c r="AZ2439" s="28"/>
      <c r="BA2439" s="28"/>
      <c r="BB2439" s="28"/>
      <c r="BC2439" s="229">
        <f>AE2439+AG2439+AI2439+AK2439+AM2439+AO2439+AQ2439+AS2439+AU2439+AW2439+AY2439+BA2439</f>
        <v>0</v>
      </c>
      <c r="BD2439" s="48">
        <f t="shared" si="1003"/>
        <v>2</v>
      </c>
      <c r="BE2439" s="19">
        <v>11</v>
      </c>
      <c r="BF2439" s="229">
        <f>AB2439+BC2439</f>
        <v>0</v>
      </c>
      <c r="BG2439" s="210">
        <f t="shared" si="1004"/>
        <v>2</v>
      </c>
      <c r="BH2439" s="210">
        <f t="shared" si="1005"/>
        <v>11</v>
      </c>
      <c r="BI2439" s="213">
        <f t="shared" si="1001"/>
        <v>18.181818181818183</v>
      </c>
      <c r="BJ2439" s="165"/>
      <c r="BK2439" s="201"/>
      <c r="BL2439" s="4"/>
      <c r="BM2439" s="4"/>
    </row>
    <row r="2440" spans="1:65" s="38" customFormat="1" ht="21.95" customHeight="1">
      <c r="A2440" s="114">
        <v>50</v>
      </c>
      <c r="B2440" s="24" t="s">
        <v>626</v>
      </c>
      <c r="C2440" s="27" t="s">
        <v>627</v>
      </c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229">
        <f>D2440+F2440+H2440+J2440+L2440+N2440+P2440+R2440+T2440+V2440+X2440+Z2440</f>
        <v>0</v>
      </c>
      <c r="AC2440" s="228">
        <f t="shared" si="1002"/>
        <v>0</v>
      </c>
      <c r="AD2440" s="19">
        <v>0</v>
      </c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  <c r="AY2440" s="28"/>
      <c r="AZ2440" s="28"/>
      <c r="BA2440" s="28"/>
      <c r="BB2440" s="28"/>
      <c r="BC2440" s="229">
        <f>AE2440+AG2440+AI2440+AK2440+AM2440+AO2440+AQ2440+AS2440+AU2440+AW2440+AY2440+BA2440</f>
        <v>0</v>
      </c>
      <c r="BD2440" s="48">
        <f t="shared" si="1003"/>
        <v>0</v>
      </c>
      <c r="BE2440" s="19">
        <v>1</v>
      </c>
      <c r="BF2440" s="229">
        <f>AB2440+BC2440</f>
        <v>0</v>
      </c>
      <c r="BG2440" s="210">
        <f t="shared" si="1004"/>
        <v>0</v>
      </c>
      <c r="BH2440" s="210">
        <f t="shared" si="1005"/>
        <v>1</v>
      </c>
      <c r="BI2440" s="213">
        <f t="shared" si="1001"/>
        <v>0</v>
      </c>
      <c r="BJ2440" s="165"/>
      <c r="BK2440" s="201"/>
      <c r="BL2440" s="4"/>
      <c r="BM2440" s="4"/>
    </row>
    <row r="2441" spans="1:65" s="38" customFormat="1" ht="21.95" customHeight="1">
      <c r="A2441" s="114">
        <v>51</v>
      </c>
      <c r="B2441" s="24" t="s">
        <v>262</v>
      </c>
      <c r="C2441" s="27" t="s">
        <v>2456</v>
      </c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229"/>
      <c r="AC2441" s="228">
        <f t="shared" si="1002"/>
        <v>0</v>
      </c>
      <c r="AD2441" s="19">
        <v>0</v>
      </c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>
        <v>1</v>
      </c>
      <c r="AW2441" s="28"/>
      <c r="AX2441" s="28"/>
      <c r="AY2441" s="28"/>
      <c r="AZ2441" s="28"/>
      <c r="BA2441" s="28"/>
      <c r="BB2441" s="28"/>
      <c r="BC2441" s="229"/>
      <c r="BD2441" s="48">
        <f t="shared" si="1003"/>
        <v>1</v>
      </c>
      <c r="BE2441" s="19">
        <v>0</v>
      </c>
      <c r="BF2441" s="229"/>
      <c r="BG2441" s="210">
        <f t="shared" si="1004"/>
        <v>1</v>
      </c>
      <c r="BH2441" s="210">
        <f t="shared" si="1005"/>
        <v>0</v>
      </c>
      <c r="BI2441" s="213" t="e">
        <f t="shared" si="1001"/>
        <v>#DIV/0!</v>
      </c>
      <c r="BJ2441" s="165"/>
      <c r="BK2441" s="201"/>
      <c r="BL2441" s="4"/>
      <c r="BM2441" s="4"/>
    </row>
    <row r="2442" spans="1:65" s="38" customFormat="1" ht="18" customHeight="1">
      <c r="A2442" s="114">
        <v>52</v>
      </c>
      <c r="B2442" s="24" t="s">
        <v>2401</v>
      </c>
      <c r="C2442" s="25" t="s">
        <v>2455</v>
      </c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229">
        <f t="shared" ref="AB2442:AB2447" si="1006">D2442+F2442+H2442+J2442+L2442+N2442+P2442+R2442+T2442+V2442+X2442+Z2442</f>
        <v>0</v>
      </c>
      <c r="AC2442" s="228">
        <f t="shared" si="1002"/>
        <v>0</v>
      </c>
      <c r="AD2442" s="21">
        <v>0</v>
      </c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  <c r="AY2442" s="28"/>
      <c r="AZ2442" s="28"/>
      <c r="BA2442" s="28"/>
      <c r="BB2442" s="28"/>
      <c r="BC2442" s="229">
        <f t="shared" ref="BC2442:BC2447" si="1007">AE2442+AG2442+AI2442+AK2442+AM2442+AO2442+AQ2442+AS2442+AU2442+AW2442+AY2442+BA2442</f>
        <v>0</v>
      </c>
      <c r="BD2442" s="48">
        <f t="shared" si="1003"/>
        <v>0</v>
      </c>
      <c r="BE2442" s="19">
        <v>2</v>
      </c>
      <c r="BF2442" s="229">
        <f t="shared" ref="BF2442:BF2447" si="1008">AB2442+BC2442</f>
        <v>0</v>
      </c>
      <c r="BG2442" s="210">
        <f t="shared" si="1004"/>
        <v>0</v>
      </c>
      <c r="BH2442" s="210">
        <f t="shared" si="1005"/>
        <v>2</v>
      </c>
      <c r="BI2442" s="213">
        <f t="shared" si="1001"/>
        <v>0</v>
      </c>
      <c r="BJ2442" s="165"/>
      <c r="BK2442" s="201"/>
      <c r="BL2442" s="4"/>
      <c r="BM2442" s="4"/>
    </row>
    <row r="2443" spans="1:65" s="38" customFormat="1" ht="18" customHeight="1">
      <c r="A2443" s="114">
        <v>53</v>
      </c>
      <c r="B2443" s="24" t="s">
        <v>628</v>
      </c>
      <c r="C2443" s="25" t="s">
        <v>629</v>
      </c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229">
        <f t="shared" si="1006"/>
        <v>0</v>
      </c>
      <c r="AC2443" s="228">
        <f t="shared" si="1002"/>
        <v>0</v>
      </c>
      <c r="AD2443" s="19">
        <v>0</v>
      </c>
      <c r="AE2443" s="28"/>
      <c r="AF2443" s="28"/>
      <c r="AG2443" s="28"/>
      <c r="AH2443" s="28"/>
      <c r="AI2443" s="28"/>
      <c r="AJ2443" s="28">
        <f>5+339+9+8</f>
        <v>361</v>
      </c>
      <c r="AK2443" s="28"/>
      <c r="AL2443" s="28"/>
      <c r="AM2443" s="28"/>
      <c r="AN2443" s="28"/>
      <c r="AO2443" s="28"/>
      <c r="AP2443" s="28">
        <f>8+382+19+5</f>
        <v>414</v>
      </c>
      <c r="AQ2443" s="28"/>
      <c r="AR2443" s="28"/>
      <c r="AS2443" s="28"/>
      <c r="AT2443" s="28"/>
      <c r="AU2443" s="28"/>
      <c r="AV2443" s="28">
        <f>13+391+13</f>
        <v>417</v>
      </c>
      <c r="AW2443" s="28"/>
      <c r="AX2443" s="28"/>
      <c r="AY2443" s="28"/>
      <c r="AZ2443" s="28"/>
      <c r="BA2443" s="28"/>
      <c r="BB2443" s="28">
        <f>10+418+5</f>
        <v>433</v>
      </c>
      <c r="BC2443" s="229">
        <f t="shared" si="1007"/>
        <v>0</v>
      </c>
      <c r="BD2443" s="48">
        <f t="shared" si="1003"/>
        <v>1625</v>
      </c>
      <c r="BE2443" s="19">
        <v>2397</v>
      </c>
      <c r="BF2443" s="229">
        <f t="shared" si="1008"/>
        <v>0</v>
      </c>
      <c r="BG2443" s="210">
        <f t="shared" si="1004"/>
        <v>1625</v>
      </c>
      <c r="BH2443" s="210">
        <f t="shared" si="1005"/>
        <v>2397</v>
      </c>
      <c r="BI2443" s="213">
        <f t="shared" si="1001"/>
        <v>67.793074676679183</v>
      </c>
      <c r="BJ2443" s="141"/>
      <c r="BK2443" s="201"/>
      <c r="BL2443" s="4"/>
      <c r="BM2443" s="4"/>
    </row>
    <row r="2444" spans="1:65" s="38" customFormat="1" ht="18" customHeight="1">
      <c r="A2444" s="114">
        <v>54</v>
      </c>
      <c r="B2444" s="24" t="s">
        <v>795</v>
      </c>
      <c r="C2444" s="25" t="s">
        <v>982</v>
      </c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229">
        <f t="shared" si="1006"/>
        <v>0</v>
      </c>
      <c r="AC2444" s="228">
        <f t="shared" si="1002"/>
        <v>0</v>
      </c>
      <c r="AD2444" s="19">
        <v>1</v>
      </c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  <c r="AZ2444" s="28"/>
      <c r="BA2444" s="28"/>
      <c r="BB2444" s="28"/>
      <c r="BC2444" s="229">
        <f t="shared" si="1007"/>
        <v>0</v>
      </c>
      <c r="BD2444" s="48">
        <f t="shared" si="1003"/>
        <v>0</v>
      </c>
      <c r="BE2444" s="19">
        <v>0</v>
      </c>
      <c r="BF2444" s="229">
        <f t="shared" si="1008"/>
        <v>0</v>
      </c>
      <c r="BG2444" s="210">
        <f t="shared" si="1004"/>
        <v>0</v>
      </c>
      <c r="BH2444" s="210">
        <f t="shared" si="1005"/>
        <v>1</v>
      </c>
      <c r="BI2444" s="213">
        <f t="shared" si="1001"/>
        <v>0</v>
      </c>
      <c r="BJ2444" s="141"/>
      <c r="BK2444" s="201"/>
      <c r="BL2444" s="4"/>
      <c r="BM2444" s="4"/>
    </row>
    <row r="2445" spans="1:65" s="38" customFormat="1" ht="18" customHeight="1">
      <c r="A2445" s="114">
        <v>55</v>
      </c>
      <c r="B2445" s="24" t="s">
        <v>983</v>
      </c>
      <c r="C2445" s="25" t="s">
        <v>984</v>
      </c>
      <c r="D2445" s="121"/>
      <c r="E2445" s="121"/>
      <c r="F2445" s="121"/>
      <c r="G2445" s="121"/>
      <c r="H2445" s="121"/>
      <c r="I2445" s="121">
        <v>1</v>
      </c>
      <c r="J2445" s="121"/>
      <c r="K2445" s="121"/>
      <c r="L2445" s="121"/>
      <c r="M2445" s="121"/>
      <c r="N2445" s="121"/>
      <c r="O2445" s="121">
        <v>1</v>
      </c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229">
        <f t="shared" si="1006"/>
        <v>0</v>
      </c>
      <c r="AC2445" s="228">
        <f t="shared" si="1002"/>
        <v>2</v>
      </c>
      <c r="AD2445" s="19">
        <v>6</v>
      </c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29">
        <f t="shared" si="1007"/>
        <v>0</v>
      </c>
      <c r="BD2445" s="48">
        <f t="shared" si="1003"/>
        <v>0</v>
      </c>
      <c r="BE2445" s="19">
        <v>0</v>
      </c>
      <c r="BF2445" s="229">
        <f t="shared" si="1008"/>
        <v>0</v>
      </c>
      <c r="BG2445" s="210">
        <f t="shared" si="1004"/>
        <v>2</v>
      </c>
      <c r="BH2445" s="210">
        <f t="shared" si="1005"/>
        <v>6</v>
      </c>
      <c r="BI2445" s="213">
        <f t="shared" si="1001"/>
        <v>33.333333333333329</v>
      </c>
      <c r="BJ2445" s="141"/>
      <c r="BK2445" s="201"/>
      <c r="BL2445" s="4"/>
      <c r="BM2445" s="4"/>
    </row>
    <row r="2446" spans="1:65" s="38" customFormat="1" ht="18" customHeight="1">
      <c r="A2446" s="114">
        <v>56</v>
      </c>
      <c r="B2446" s="24" t="s">
        <v>829</v>
      </c>
      <c r="C2446" s="25" t="s">
        <v>830</v>
      </c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229">
        <f t="shared" si="1006"/>
        <v>0</v>
      </c>
      <c r="AC2446" s="228">
        <f t="shared" si="1002"/>
        <v>0</v>
      </c>
      <c r="AD2446" s="19">
        <v>0</v>
      </c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  <c r="AY2446" s="28"/>
      <c r="AZ2446" s="28"/>
      <c r="BA2446" s="28"/>
      <c r="BB2446" s="28"/>
      <c r="BC2446" s="229">
        <f t="shared" si="1007"/>
        <v>0</v>
      </c>
      <c r="BD2446" s="48">
        <f t="shared" si="1003"/>
        <v>0</v>
      </c>
      <c r="BE2446" s="19">
        <v>78</v>
      </c>
      <c r="BF2446" s="229">
        <f t="shared" si="1008"/>
        <v>0</v>
      </c>
      <c r="BG2446" s="210">
        <f t="shared" si="1004"/>
        <v>0</v>
      </c>
      <c r="BH2446" s="210">
        <f t="shared" si="1005"/>
        <v>78</v>
      </c>
      <c r="BI2446" s="213">
        <f t="shared" si="1001"/>
        <v>0</v>
      </c>
      <c r="BJ2446" s="141"/>
      <c r="BK2446" s="201"/>
      <c r="BL2446" s="4"/>
      <c r="BM2446" s="4"/>
    </row>
    <row r="2447" spans="1:65" s="38" customFormat="1" ht="18" customHeight="1">
      <c r="A2447" s="114">
        <v>57</v>
      </c>
      <c r="B2447" s="24" t="s">
        <v>630</v>
      </c>
      <c r="C2447" s="25" t="s">
        <v>631</v>
      </c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229">
        <f t="shared" si="1006"/>
        <v>0</v>
      </c>
      <c r="AC2447" s="228">
        <f t="shared" si="1002"/>
        <v>0</v>
      </c>
      <c r="AD2447" s="19">
        <v>0</v>
      </c>
      <c r="AE2447" s="28"/>
      <c r="AF2447" s="28"/>
      <c r="AG2447" s="28"/>
      <c r="AH2447" s="28"/>
      <c r="AI2447" s="28"/>
      <c r="AJ2447" s="28">
        <v>3</v>
      </c>
      <c r="AK2447" s="28"/>
      <c r="AL2447" s="28"/>
      <c r="AM2447" s="28"/>
      <c r="AN2447" s="28"/>
      <c r="AO2447" s="28"/>
      <c r="AP2447" s="28">
        <v>3</v>
      </c>
      <c r="AQ2447" s="28"/>
      <c r="AR2447" s="28"/>
      <c r="AS2447" s="28"/>
      <c r="AT2447" s="28"/>
      <c r="AU2447" s="28"/>
      <c r="AV2447" s="28">
        <v>1</v>
      </c>
      <c r="AW2447" s="28"/>
      <c r="AX2447" s="28"/>
      <c r="AY2447" s="28"/>
      <c r="AZ2447" s="28"/>
      <c r="BA2447" s="28"/>
      <c r="BB2447" s="28"/>
      <c r="BC2447" s="229">
        <f t="shared" si="1007"/>
        <v>0</v>
      </c>
      <c r="BD2447" s="48">
        <f t="shared" si="1003"/>
        <v>7</v>
      </c>
      <c r="BE2447" s="19">
        <v>0</v>
      </c>
      <c r="BF2447" s="229">
        <f t="shared" si="1008"/>
        <v>0</v>
      </c>
      <c r="BG2447" s="210">
        <f t="shared" si="1004"/>
        <v>7</v>
      </c>
      <c r="BH2447" s="210">
        <f t="shared" si="1005"/>
        <v>0</v>
      </c>
      <c r="BI2447" s="213" t="e">
        <f t="shared" si="1001"/>
        <v>#DIV/0!</v>
      </c>
      <c r="BJ2447" s="141"/>
      <c r="BK2447" s="201"/>
      <c r="BL2447" s="4"/>
      <c r="BM2447" s="4"/>
    </row>
    <row r="2448" spans="1:65" s="38" customFormat="1" ht="18" customHeight="1">
      <c r="A2448" s="114">
        <v>58</v>
      </c>
      <c r="B2448" s="24" t="s">
        <v>632</v>
      </c>
      <c r="C2448" s="25" t="s">
        <v>633</v>
      </c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229"/>
      <c r="AC2448" s="228">
        <f t="shared" si="1002"/>
        <v>0</v>
      </c>
      <c r="AD2448" s="19">
        <v>0</v>
      </c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>
        <v>2</v>
      </c>
      <c r="AW2448" s="28"/>
      <c r="AX2448" s="28"/>
      <c r="AY2448" s="28"/>
      <c r="AZ2448" s="28"/>
      <c r="BA2448" s="28"/>
      <c r="BB2448" s="28"/>
      <c r="BC2448" s="229"/>
      <c r="BD2448" s="48">
        <f t="shared" si="1003"/>
        <v>2</v>
      </c>
      <c r="BE2448" s="19">
        <v>0</v>
      </c>
      <c r="BF2448" s="229"/>
      <c r="BG2448" s="210">
        <f t="shared" si="1004"/>
        <v>2</v>
      </c>
      <c r="BH2448" s="210">
        <f t="shared" si="1005"/>
        <v>0</v>
      </c>
      <c r="BI2448" s="213" t="e">
        <f t="shared" si="1001"/>
        <v>#DIV/0!</v>
      </c>
      <c r="BJ2448" s="141"/>
      <c r="BK2448" s="201"/>
      <c r="BL2448" s="4"/>
      <c r="BM2448" s="4"/>
    </row>
    <row r="2449" spans="1:65" s="38" customFormat="1" ht="18" customHeight="1">
      <c r="A2449" s="114">
        <v>59</v>
      </c>
      <c r="B2449" s="24" t="s">
        <v>634</v>
      </c>
      <c r="C2449" s="25" t="s">
        <v>696</v>
      </c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229">
        <f>D2449+F2449+H2449+J2449+L2449+N2449+P2449+R2449+T2449+V2449+X2449+Z2449</f>
        <v>0</v>
      </c>
      <c r="AC2449" s="228">
        <f t="shared" si="1002"/>
        <v>0</v>
      </c>
      <c r="AD2449" s="19">
        <v>0</v>
      </c>
      <c r="AE2449" s="28"/>
      <c r="AF2449" s="28"/>
      <c r="AG2449" s="28"/>
      <c r="AH2449" s="28"/>
      <c r="AI2449" s="28"/>
      <c r="AJ2449" s="28">
        <f>1+81</f>
        <v>82</v>
      </c>
      <c r="AK2449" s="28"/>
      <c r="AL2449" s="28"/>
      <c r="AM2449" s="28"/>
      <c r="AN2449" s="28"/>
      <c r="AO2449" s="28"/>
      <c r="AP2449" s="28">
        <f>8+63</f>
        <v>71</v>
      </c>
      <c r="AQ2449" s="28"/>
      <c r="AR2449" s="28"/>
      <c r="AS2449" s="28"/>
      <c r="AT2449" s="28"/>
      <c r="AU2449" s="28"/>
      <c r="AV2449" s="28">
        <v>60</v>
      </c>
      <c r="AW2449" s="28"/>
      <c r="AX2449" s="28"/>
      <c r="AY2449" s="28"/>
      <c r="AZ2449" s="28"/>
      <c r="BA2449" s="28"/>
      <c r="BB2449" s="28">
        <f>5+31</f>
        <v>36</v>
      </c>
      <c r="BC2449" s="229">
        <f>AE2449+AG2449+AI2449+AK2449+AM2449+AO2449+AQ2449+AS2449+AU2449+AW2449+AY2449+BA2449</f>
        <v>0</v>
      </c>
      <c r="BD2449" s="48">
        <f t="shared" si="1003"/>
        <v>249</v>
      </c>
      <c r="BE2449" s="19">
        <v>13</v>
      </c>
      <c r="BF2449" s="229">
        <f>AB2449+BC2449</f>
        <v>0</v>
      </c>
      <c r="BG2449" s="210">
        <f t="shared" si="1004"/>
        <v>249</v>
      </c>
      <c r="BH2449" s="210">
        <f t="shared" si="1005"/>
        <v>13</v>
      </c>
      <c r="BI2449" s="213">
        <f t="shared" si="1001"/>
        <v>1915.3846153846152</v>
      </c>
      <c r="BJ2449" s="141"/>
      <c r="BK2449" s="201"/>
      <c r="BL2449" s="4"/>
      <c r="BM2449" s="4"/>
    </row>
    <row r="2450" spans="1:65" s="38" customFormat="1" ht="18" customHeight="1">
      <c r="A2450" s="114">
        <v>60</v>
      </c>
      <c r="B2450" s="24" t="s">
        <v>772</v>
      </c>
      <c r="C2450" s="25" t="s">
        <v>2449</v>
      </c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229"/>
      <c r="AC2450" s="228">
        <f t="shared" si="1002"/>
        <v>0</v>
      </c>
      <c r="AD2450" s="19">
        <v>0</v>
      </c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>
        <v>1</v>
      </c>
      <c r="AW2450" s="28"/>
      <c r="AX2450" s="28"/>
      <c r="AY2450" s="28"/>
      <c r="AZ2450" s="28"/>
      <c r="BA2450" s="28"/>
      <c r="BB2450" s="28"/>
      <c r="BC2450" s="229"/>
      <c r="BD2450" s="48">
        <f t="shared" si="1003"/>
        <v>1</v>
      </c>
      <c r="BE2450" s="19">
        <v>0</v>
      </c>
      <c r="BF2450" s="229"/>
      <c r="BG2450" s="210">
        <f t="shared" si="1004"/>
        <v>1</v>
      </c>
      <c r="BH2450" s="210">
        <f t="shared" si="1005"/>
        <v>0</v>
      </c>
      <c r="BI2450" s="213" t="e">
        <f t="shared" si="1001"/>
        <v>#DIV/0!</v>
      </c>
      <c r="BJ2450" s="141"/>
      <c r="BK2450" s="201"/>
      <c r="BL2450" s="4"/>
      <c r="BM2450" s="4"/>
    </row>
    <row r="2451" spans="1:65" s="38" customFormat="1" ht="18" customHeight="1">
      <c r="A2451" s="114">
        <v>61</v>
      </c>
      <c r="B2451" s="24" t="s">
        <v>636</v>
      </c>
      <c r="C2451" s="25" t="s">
        <v>1058</v>
      </c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229">
        <f t="shared" ref="AB2451:AB2482" si="1009">D2451+F2451+H2451+J2451+L2451+N2451+P2451+R2451+T2451+V2451+X2451+Z2451</f>
        <v>0</v>
      </c>
      <c r="AC2451" s="228">
        <f t="shared" si="1002"/>
        <v>0</v>
      </c>
      <c r="AD2451" s="19">
        <v>0</v>
      </c>
      <c r="AE2451" s="28"/>
      <c r="AF2451" s="28"/>
      <c r="AG2451" s="28"/>
      <c r="AH2451" s="28"/>
      <c r="AI2451" s="28"/>
      <c r="AJ2451" s="28">
        <v>2</v>
      </c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>
        <v>2</v>
      </c>
      <c r="AW2451" s="28"/>
      <c r="AX2451" s="28"/>
      <c r="AY2451" s="28"/>
      <c r="AZ2451" s="28"/>
      <c r="BA2451" s="28"/>
      <c r="BB2451" s="28"/>
      <c r="BC2451" s="229">
        <f t="shared" ref="BC2451:BC2482" si="1010">AE2451+AG2451+AI2451+AK2451+AM2451+AO2451+AQ2451+AS2451+AU2451+AW2451+AY2451+BA2451</f>
        <v>0</v>
      </c>
      <c r="BD2451" s="48">
        <f t="shared" si="1003"/>
        <v>4</v>
      </c>
      <c r="BE2451" s="19">
        <v>1</v>
      </c>
      <c r="BF2451" s="229">
        <f t="shared" ref="BF2451:BF2482" si="1011">AB2451+BC2451</f>
        <v>0</v>
      </c>
      <c r="BG2451" s="210">
        <f t="shared" si="1004"/>
        <v>4</v>
      </c>
      <c r="BH2451" s="210">
        <f t="shared" si="1005"/>
        <v>1</v>
      </c>
      <c r="BI2451" s="213">
        <f t="shared" si="1001"/>
        <v>400</v>
      </c>
      <c r="BJ2451" s="141"/>
      <c r="BK2451" s="201"/>
      <c r="BL2451" s="4"/>
      <c r="BM2451" s="4"/>
    </row>
    <row r="2452" spans="1:65" s="38" customFormat="1" ht="18" customHeight="1">
      <c r="A2452" s="114">
        <v>62</v>
      </c>
      <c r="B2452" s="24" t="s">
        <v>638</v>
      </c>
      <c r="C2452" s="25" t="s">
        <v>639</v>
      </c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229">
        <f t="shared" si="1009"/>
        <v>0</v>
      </c>
      <c r="AC2452" s="228">
        <f t="shared" si="1002"/>
        <v>0</v>
      </c>
      <c r="AD2452" s="19">
        <v>0</v>
      </c>
      <c r="AE2452" s="28"/>
      <c r="AF2452" s="28"/>
      <c r="AG2452" s="28"/>
      <c r="AH2452" s="28"/>
      <c r="AI2452" s="28"/>
      <c r="AJ2452" s="28">
        <v>2</v>
      </c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>
        <v>2</v>
      </c>
      <c r="AW2452" s="28"/>
      <c r="AX2452" s="28"/>
      <c r="AY2452" s="28"/>
      <c r="AZ2452" s="28"/>
      <c r="BA2452" s="28"/>
      <c r="BB2452" s="28"/>
      <c r="BC2452" s="229">
        <f t="shared" si="1010"/>
        <v>0</v>
      </c>
      <c r="BD2452" s="48">
        <f t="shared" si="1003"/>
        <v>4</v>
      </c>
      <c r="BE2452" s="19">
        <v>1</v>
      </c>
      <c r="BF2452" s="229">
        <f t="shared" si="1011"/>
        <v>0</v>
      </c>
      <c r="BG2452" s="210">
        <f t="shared" si="1004"/>
        <v>4</v>
      </c>
      <c r="BH2452" s="210">
        <f t="shared" si="1005"/>
        <v>1</v>
      </c>
      <c r="BI2452" s="213">
        <f t="shared" si="1001"/>
        <v>400</v>
      </c>
      <c r="BJ2452" s="141"/>
      <c r="BK2452" s="201"/>
      <c r="BL2452" s="4"/>
      <c r="BM2452" s="4"/>
    </row>
    <row r="2453" spans="1:65" s="38" customFormat="1" ht="18" customHeight="1">
      <c r="A2453" s="114">
        <v>63</v>
      </c>
      <c r="B2453" s="24" t="s">
        <v>643</v>
      </c>
      <c r="C2453" s="25" t="s">
        <v>722</v>
      </c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229">
        <f t="shared" si="1009"/>
        <v>0</v>
      </c>
      <c r="AC2453" s="228">
        <f t="shared" si="1002"/>
        <v>0</v>
      </c>
      <c r="AD2453" s="19">
        <v>0</v>
      </c>
      <c r="AE2453" s="28"/>
      <c r="AF2453" s="28"/>
      <c r="AG2453" s="28"/>
      <c r="AH2453" s="28"/>
      <c r="AI2453" s="28"/>
      <c r="AJ2453" s="28">
        <f>47+66</f>
        <v>113</v>
      </c>
      <c r="AK2453" s="28"/>
      <c r="AL2453" s="28"/>
      <c r="AM2453" s="28"/>
      <c r="AN2453" s="28"/>
      <c r="AO2453" s="28"/>
      <c r="AP2453" s="28">
        <v>40</v>
      </c>
      <c r="AQ2453" s="28"/>
      <c r="AR2453" s="28"/>
      <c r="AS2453" s="28"/>
      <c r="AT2453" s="28"/>
      <c r="AU2453" s="28"/>
      <c r="AV2453" s="28">
        <v>36</v>
      </c>
      <c r="AW2453" s="28"/>
      <c r="AX2453" s="28"/>
      <c r="AY2453" s="28"/>
      <c r="AZ2453" s="28"/>
      <c r="BA2453" s="28"/>
      <c r="BB2453" s="28">
        <f>32+20</f>
        <v>52</v>
      </c>
      <c r="BC2453" s="229">
        <f t="shared" si="1010"/>
        <v>0</v>
      </c>
      <c r="BD2453" s="48">
        <f t="shared" si="1003"/>
        <v>241</v>
      </c>
      <c r="BE2453" s="19">
        <v>21</v>
      </c>
      <c r="BF2453" s="229">
        <f t="shared" si="1011"/>
        <v>0</v>
      </c>
      <c r="BG2453" s="210">
        <f t="shared" si="1004"/>
        <v>241</v>
      </c>
      <c r="BH2453" s="210">
        <f t="shared" si="1005"/>
        <v>21</v>
      </c>
      <c r="BI2453" s="213">
        <f t="shared" si="1001"/>
        <v>1147.6190476190477</v>
      </c>
      <c r="BJ2453" s="141"/>
      <c r="BK2453" s="201"/>
      <c r="BL2453" s="4"/>
      <c r="BM2453" s="4"/>
    </row>
    <row r="2454" spans="1:65" s="38" customFormat="1" ht="18" customHeight="1">
      <c r="A2454" s="114">
        <v>64</v>
      </c>
      <c r="B2454" s="24" t="s">
        <v>773</v>
      </c>
      <c r="C2454" s="25" t="s">
        <v>1159</v>
      </c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229">
        <f t="shared" si="1009"/>
        <v>0</v>
      </c>
      <c r="AC2454" s="228">
        <f t="shared" si="1002"/>
        <v>0</v>
      </c>
      <c r="AD2454" s="19">
        <v>0</v>
      </c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  <c r="AZ2454" s="28"/>
      <c r="BA2454" s="28"/>
      <c r="BB2454" s="28"/>
      <c r="BC2454" s="229">
        <f t="shared" si="1010"/>
        <v>0</v>
      </c>
      <c r="BD2454" s="48">
        <f t="shared" si="1003"/>
        <v>0</v>
      </c>
      <c r="BE2454" s="19">
        <v>1</v>
      </c>
      <c r="BF2454" s="229">
        <f t="shared" si="1011"/>
        <v>0</v>
      </c>
      <c r="BG2454" s="210">
        <f t="shared" si="1004"/>
        <v>0</v>
      </c>
      <c r="BH2454" s="210">
        <f t="shared" si="1005"/>
        <v>1</v>
      </c>
      <c r="BI2454" s="213">
        <f t="shared" si="1001"/>
        <v>0</v>
      </c>
      <c r="BJ2454" s="141"/>
      <c r="BK2454" s="201"/>
      <c r="BL2454" s="4"/>
      <c r="BM2454" s="4"/>
    </row>
    <row r="2455" spans="1:65" s="38" customFormat="1" ht="18" customHeight="1">
      <c r="A2455" s="114">
        <v>65</v>
      </c>
      <c r="B2455" s="24" t="s">
        <v>644</v>
      </c>
      <c r="C2455" s="25" t="s">
        <v>645</v>
      </c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229">
        <f t="shared" si="1009"/>
        <v>0</v>
      </c>
      <c r="AC2455" s="228">
        <f t="shared" si="1002"/>
        <v>0</v>
      </c>
      <c r="AD2455" s="19">
        <v>0</v>
      </c>
      <c r="AE2455" s="28"/>
      <c r="AF2455" s="28"/>
      <c r="AG2455" s="28"/>
      <c r="AH2455" s="28"/>
      <c r="AI2455" s="28"/>
      <c r="AJ2455" s="28">
        <f>3+4</f>
        <v>7</v>
      </c>
      <c r="AK2455" s="28"/>
      <c r="AL2455" s="28"/>
      <c r="AM2455" s="28"/>
      <c r="AN2455" s="28"/>
      <c r="AO2455" s="28"/>
      <c r="AP2455" s="28">
        <f>9+10</f>
        <v>19</v>
      </c>
      <c r="AQ2455" s="28"/>
      <c r="AR2455" s="28"/>
      <c r="AS2455" s="28"/>
      <c r="AT2455" s="28"/>
      <c r="AU2455" s="28"/>
      <c r="AV2455" s="28">
        <f>1+22</f>
        <v>23</v>
      </c>
      <c r="AW2455" s="28"/>
      <c r="AX2455" s="28"/>
      <c r="AY2455" s="28"/>
      <c r="AZ2455" s="28"/>
      <c r="BA2455" s="28"/>
      <c r="BB2455" s="28">
        <f>8+4</f>
        <v>12</v>
      </c>
      <c r="BC2455" s="229">
        <f t="shared" si="1010"/>
        <v>0</v>
      </c>
      <c r="BD2455" s="48">
        <f t="shared" si="1003"/>
        <v>61</v>
      </c>
      <c r="BE2455" s="19">
        <v>40</v>
      </c>
      <c r="BF2455" s="229">
        <f t="shared" si="1011"/>
        <v>0</v>
      </c>
      <c r="BG2455" s="210">
        <f t="shared" si="1004"/>
        <v>61</v>
      </c>
      <c r="BH2455" s="210">
        <f t="shared" si="1005"/>
        <v>40</v>
      </c>
      <c r="BI2455" s="213">
        <f t="shared" ref="BI2455:BI2486" si="1012">BG2455/BH2455*100</f>
        <v>152.5</v>
      </c>
      <c r="BJ2455" s="141"/>
      <c r="BK2455" s="201"/>
      <c r="BL2455" s="4"/>
      <c r="BM2455" s="4"/>
    </row>
    <row r="2456" spans="1:65" s="38" customFormat="1" ht="18" customHeight="1">
      <c r="A2456" s="114">
        <v>66</v>
      </c>
      <c r="B2456" s="24" t="s">
        <v>646</v>
      </c>
      <c r="C2456" s="25" t="s">
        <v>647</v>
      </c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229">
        <f t="shared" si="1009"/>
        <v>0</v>
      </c>
      <c r="AC2456" s="228">
        <f t="shared" si="1002"/>
        <v>0</v>
      </c>
      <c r="AD2456" s="19">
        <v>0</v>
      </c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29">
        <f t="shared" si="1010"/>
        <v>0</v>
      </c>
      <c r="BD2456" s="48">
        <f t="shared" si="1003"/>
        <v>0</v>
      </c>
      <c r="BE2456" s="19">
        <v>1</v>
      </c>
      <c r="BF2456" s="229">
        <f t="shared" si="1011"/>
        <v>0</v>
      </c>
      <c r="BG2456" s="210">
        <f t="shared" si="1004"/>
        <v>0</v>
      </c>
      <c r="BH2456" s="210">
        <f t="shared" si="1005"/>
        <v>1</v>
      </c>
      <c r="BI2456" s="213">
        <f t="shared" si="1012"/>
        <v>0</v>
      </c>
      <c r="BJ2456" s="141"/>
      <c r="BK2456" s="201"/>
      <c r="BL2456" s="4"/>
      <c r="BM2456" s="4"/>
    </row>
    <row r="2457" spans="1:65" s="38" customFormat="1" ht="18" customHeight="1">
      <c r="A2457" s="114">
        <v>67</v>
      </c>
      <c r="B2457" s="24" t="s">
        <v>698</v>
      </c>
      <c r="C2457" s="25" t="s">
        <v>699</v>
      </c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229">
        <f t="shared" si="1009"/>
        <v>0</v>
      </c>
      <c r="AC2457" s="228">
        <f t="shared" si="1002"/>
        <v>0</v>
      </c>
      <c r="AD2457" s="19">
        <v>0</v>
      </c>
      <c r="AE2457" s="28"/>
      <c r="AF2457" s="28"/>
      <c r="AG2457" s="28"/>
      <c r="AH2457" s="28"/>
      <c r="AI2457" s="28"/>
      <c r="AJ2457" s="28">
        <f>89+1</f>
        <v>90</v>
      </c>
      <c r="AK2457" s="28"/>
      <c r="AL2457" s="28"/>
      <c r="AM2457" s="28"/>
      <c r="AN2457" s="28"/>
      <c r="AO2457" s="28"/>
      <c r="AP2457" s="28">
        <v>110</v>
      </c>
      <c r="AQ2457" s="28"/>
      <c r="AR2457" s="28"/>
      <c r="AS2457" s="28"/>
      <c r="AT2457" s="28"/>
      <c r="AU2457" s="28"/>
      <c r="AV2457" s="28">
        <v>112</v>
      </c>
      <c r="AW2457" s="28"/>
      <c r="AX2457" s="28"/>
      <c r="AY2457" s="28"/>
      <c r="AZ2457" s="28"/>
      <c r="BA2457" s="28"/>
      <c r="BB2457" s="28">
        <v>124</v>
      </c>
      <c r="BC2457" s="229">
        <f t="shared" si="1010"/>
        <v>0</v>
      </c>
      <c r="BD2457" s="48">
        <f t="shared" si="1003"/>
        <v>436</v>
      </c>
      <c r="BE2457" s="19">
        <v>465</v>
      </c>
      <c r="BF2457" s="229">
        <f t="shared" si="1011"/>
        <v>0</v>
      </c>
      <c r="BG2457" s="210">
        <f t="shared" si="1004"/>
        <v>436</v>
      </c>
      <c r="BH2457" s="210">
        <f t="shared" si="1005"/>
        <v>465</v>
      </c>
      <c r="BI2457" s="213">
        <f t="shared" si="1012"/>
        <v>93.763440860215056</v>
      </c>
      <c r="BJ2457" s="141"/>
      <c r="BK2457" s="201"/>
      <c r="BL2457" s="4"/>
      <c r="BM2457" s="4"/>
    </row>
    <row r="2458" spans="1:65" s="38" customFormat="1" ht="18" customHeight="1">
      <c r="A2458" s="114">
        <v>68</v>
      </c>
      <c r="B2458" s="24" t="s">
        <v>1161</v>
      </c>
      <c r="C2458" s="25" t="s">
        <v>1162</v>
      </c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229">
        <f t="shared" si="1009"/>
        <v>0</v>
      </c>
      <c r="AC2458" s="228">
        <f t="shared" si="1002"/>
        <v>0</v>
      </c>
      <c r="AD2458" s="19">
        <v>0</v>
      </c>
      <c r="AE2458" s="28"/>
      <c r="AF2458" s="28"/>
      <c r="AG2458" s="28"/>
      <c r="AH2458" s="28"/>
      <c r="AI2458" s="28"/>
      <c r="AJ2458" s="28">
        <v>9</v>
      </c>
      <c r="AK2458" s="28"/>
      <c r="AL2458" s="28"/>
      <c r="AM2458" s="28"/>
      <c r="AN2458" s="28"/>
      <c r="AO2458" s="28"/>
      <c r="AP2458" s="28">
        <v>20</v>
      </c>
      <c r="AQ2458" s="28"/>
      <c r="AR2458" s="28"/>
      <c r="AS2458" s="28"/>
      <c r="AT2458" s="28"/>
      <c r="AU2458" s="28"/>
      <c r="AV2458" s="28">
        <v>51</v>
      </c>
      <c r="AW2458" s="28"/>
      <c r="AX2458" s="28"/>
      <c r="AY2458" s="28"/>
      <c r="AZ2458" s="28"/>
      <c r="BA2458" s="28"/>
      <c r="BB2458" s="28">
        <v>14</v>
      </c>
      <c r="BC2458" s="229">
        <f t="shared" si="1010"/>
        <v>0</v>
      </c>
      <c r="BD2458" s="48">
        <f t="shared" si="1003"/>
        <v>94</v>
      </c>
      <c r="BE2458" s="19">
        <v>1</v>
      </c>
      <c r="BF2458" s="229">
        <f t="shared" si="1011"/>
        <v>0</v>
      </c>
      <c r="BG2458" s="210">
        <f t="shared" si="1004"/>
        <v>94</v>
      </c>
      <c r="BH2458" s="210">
        <f t="shared" si="1005"/>
        <v>1</v>
      </c>
      <c r="BI2458" s="213">
        <f t="shared" si="1012"/>
        <v>9400</v>
      </c>
      <c r="BJ2458" s="141"/>
      <c r="BK2458" s="201"/>
      <c r="BL2458" s="4"/>
      <c r="BM2458" s="4"/>
    </row>
    <row r="2459" spans="1:65" s="38" customFormat="1" ht="18" customHeight="1">
      <c r="A2459" s="114">
        <v>69</v>
      </c>
      <c r="B2459" s="24" t="s">
        <v>648</v>
      </c>
      <c r="C2459" s="25" t="s">
        <v>649</v>
      </c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229">
        <f t="shared" si="1009"/>
        <v>0</v>
      </c>
      <c r="AC2459" s="228">
        <f t="shared" si="1002"/>
        <v>0</v>
      </c>
      <c r="AD2459" s="19">
        <v>0</v>
      </c>
      <c r="AE2459" s="28"/>
      <c r="AF2459" s="28"/>
      <c r="AG2459" s="28"/>
      <c r="AH2459" s="28"/>
      <c r="AI2459" s="28"/>
      <c r="AJ2459" s="28">
        <v>78</v>
      </c>
      <c r="AK2459" s="28"/>
      <c r="AL2459" s="28"/>
      <c r="AM2459" s="28"/>
      <c r="AN2459" s="28"/>
      <c r="AO2459" s="28"/>
      <c r="AP2459" s="28">
        <v>20</v>
      </c>
      <c r="AQ2459" s="28"/>
      <c r="AR2459" s="28"/>
      <c r="AS2459" s="28"/>
      <c r="AT2459" s="28"/>
      <c r="AU2459" s="28"/>
      <c r="AV2459" s="28">
        <f>1+52</f>
        <v>53</v>
      </c>
      <c r="AW2459" s="28"/>
      <c r="AX2459" s="28"/>
      <c r="AY2459" s="28"/>
      <c r="AZ2459" s="28"/>
      <c r="BA2459" s="28"/>
      <c r="BB2459" s="28">
        <v>26</v>
      </c>
      <c r="BC2459" s="229">
        <f t="shared" si="1010"/>
        <v>0</v>
      </c>
      <c r="BD2459" s="48">
        <f t="shared" si="1003"/>
        <v>177</v>
      </c>
      <c r="BE2459" s="19">
        <v>50</v>
      </c>
      <c r="BF2459" s="229">
        <f t="shared" si="1011"/>
        <v>0</v>
      </c>
      <c r="BG2459" s="210">
        <f t="shared" si="1004"/>
        <v>177</v>
      </c>
      <c r="BH2459" s="210">
        <f t="shared" si="1005"/>
        <v>50</v>
      </c>
      <c r="BI2459" s="213">
        <f t="shared" si="1012"/>
        <v>354</v>
      </c>
      <c r="BJ2459" s="141"/>
      <c r="BK2459" s="201"/>
      <c r="BL2459" s="4"/>
      <c r="BM2459" s="4"/>
    </row>
    <row r="2460" spans="1:65" s="38" customFormat="1" ht="18" customHeight="1">
      <c r="A2460" s="114">
        <v>70</v>
      </c>
      <c r="B2460" s="24" t="s">
        <v>700</v>
      </c>
      <c r="C2460" s="25" t="s">
        <v>845</v>
      </c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229">
        <f t="shared" si="1009"/>
        <v>0</v>
      </c>
      <c r="AC2460" s="228">
        <f t="shared" si="1002"/>
        <v>0</v>
      </c>
      <c r="AD2460" s="19">
        <v>0</v>
      </c>
      <c r="AE2460" s="28"/>
      <c r="AF2460" s="28"/>
      <c r="AG2460" s="28"/>
      <c r="AH2460" s="28"/>
      <c r="AI2460" s="28"/>
      <c r="AJ2460" s="28">
        <f>172+7</f>
        <v>179</v>
      </c>
      <c r="AK2460" s="28"/>
      <c r="AL2460" s="28"/>
      <c r="AM2460" s="28"/>
      <c r="AN2460" s="28"/>
      <c r="AO2460" s="28"/>
      <c r="AP2460" s="28">
        <v>180</v>
      </c>
      <c r="AQ2460" s="28"/>
      <c r="AR2460" s="28"/>
      <c r="AS2460" s="28"/>
      <c r="AT2460" s="28"/>
      <c r="AU2460" s="28"/>
      <c r="AV2460" s="28">
        <v>158</v>
      </c>
      <c r="AW2460" s="28"/>
      <c r="AX2460" s="28"/>
      <c r="AY2460" s="28"/>
      <c r="AZ2460" s="28"/>
      <c r="BA2460" s="28"/>
      <c r="BB2460" s="28">
        <v>222</v>
      </c>
      <c r="BC2460" s="229">
        <f t="shared" si="1010"/>
        <v>0</v>
      </c>
      <c r="BD2460" s="48">
        <f t="shared" si="1003"/>
        <v>739</v>
      </c>
      <c r="BE2460" s="19">
        <v>754</v>
      </c>
      <c r="BF2460" s="229">
        <f t="shared" si="1011"/>
        <v>0</v>
      </c>
      <c r="BG2460" s="210">
        <f t="shared" si="1004"/>
        <v>739</v>
      </c>
      <c r="BH2460" s="210">
        <f t="shared" si="1005"/>
        <v>754</v>
      </c>
      <c r="BI2460" s="213">
        <f t="shared" si="1012"/>
        <v>98.010610079575599</v>
      </c>
      <c r="BJ2460" s="141"/>
      <c r="BK2460" s="201"/>
      <c r="BL2460" s="4"/>
      <c r="BM2460" s="4"/>
    </row>
    <row r="2461" spans="1:65" s="38" customFormat="1" ht="18" customHeight="1">
      <c r="A2461" s="114">
        <v>71</v>
      </c>
      <c r="B2461" s="24" t="s">
        <v>1485</v>
      </c>
      <c r="C2461" s="25" t="s">
        <v>1486</v>
      </c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229">
        <f t="shared" si="1009"/>
        <v>0</v>
      </c>
      <c r="AC2461" s="228">
        <f t="shared" si="1002"/>
        <v>0</v>
      </c>
      <c r="AD2461" s="19">
        <v>0</v>
      </c>
      <c r="AE2461" s="28"/>
      <c r="AF2461" s="28"/>
      <c r="AG2461" s="28"/>
      <c r="AH2461" s="28"/>
      <c r="AI2461" s="28"/>
      <c r="AJ2461" s="28">
        <v>4</v>
      </c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  <c r="AZ2461" s="28"/>
      <c r="BA2461" s="28"/>
      <c r="BB2461" s="28">
        <v>9</v>
      </c>
      <c r="BC2461" s="229">
        <f t="shared" si="1010"/>
        <v>0</v>
      </c>
      <c r="BD2461" s="48">
        <f t="shared" si="1003"/>
        <v>13</v>
      </c>
      <c r="BE2461" s="19">
        <v>1</v>
      </c>
      <c r="BF2461" s="229">
        <f t="shared" si="1011"/>
        <v>0</v>
      </c>
      <c r="BG2461" s="210">
        <f t="shared" si="1004"/>
        <v>13</v>
      </c>
      <c r="BH2461" s="210">
        <f t="shared" si="1005"/>
        <v>1</v>
      </c>
      <c r="BI2461" s="213">
        <f t="shared" si="1012"/>
        <v>1300</v>
      </c>
      <c r="BJ2461" s="141"/>
      <c r="BK2461" s="201"/>
      <c r="BL2461" s="4"/>
      <c r="BM2461" s="4"/>
    </row>
    <row r="2462" spans="1:65" s="38" customFormat="1" ht="18" customHeight="1">
      <c r="A2462" s="114">
        <v>72</v>
      </c>
      <c r="B2462" s="24" t="s">
        <v>835</v>
      </c>
      <c r="C2462" s="25" t="s">
        <v>1962</v>
      </c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229">
        <f t="shared" si="1009"/>
        <v>0</v>
      </c>
      <c r="AC2462" s="228">
        <f t="shared" si="1002"/>
        <v>0</v>
      </c>
      <c r="AD2462" s="19">
        <v>0</v>
      </c>
      <c r="AE2462" s="28"/>
      <c r="AF2462" s="28"/>
      <c r="AG2462" s="28"/>
      <c r="AH2462" s="28"/>
      <c r="AI2462" s="28"/>
      <c r="AJ2462" s="28">
        <v>1</v>
      </c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>
        <v>2</v>
      </c>
      <c r="AW2462" s="28"/>
      <c r="AX2462" s="28"/>
      <c r="AY2462" s="28"/>
      <c r="AZ2462" s="28"/>
      <c r="BA2462" s="28"/>
      <c r="BB2462" s="28">
        <v>1</v>
      </c>
      <c r="BC2462" s="229">
        <f t="shared" si="1010"/>
        <v>0</v>
      </c>
      <c r="BD2462" s="48">
        <f t="shared" si="1003"/>
        <v>4</v>
      </c>
      <c r="BE2462" s="19">
        <v>1</v>
      </c>
      <c r="BF2462" s="229">
        <f t="shared" si="1011"/>
        <v>0</v>
      </c>
      <c r="BG2462" s="210">
        <f t="shared" si="1004"/>
        <v>4</v>
      </c>
      <c r="BH2462" s="210">
        <f t="shared" si="1005"/>
        <v>1</v>
      </c>
      <c r="BI2462" s="213">
        <f t="shared" si="1012"/>
        <v>400</v>
      </c>
      <c r="BJ2462" s="141"/>
      <c r="BK2462" s="201"/>
      <c r="BL2462" s="4"/>
      <c r="BM2462" s="4"/>
    </row>
    <row r="2463" spans="1:65" s="38" customFormat="1" ht="18" customHeight="1">
      <c r="A2463" s="114">
        <v>73</v>
      </c>
      <c r="B2463" s="24" t="s">
        <v>1395</v>
      </c>
      <c r="C2463" s="25" t="s">
        <v>1404</v>
      </c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229">
        <f t="shared" si="1009"/>
        <v>0</v>
      </c>
      <c r="AC2463" s="228">
        <f t="shared" si="1002"/>
        <v>0</v>
      </c>
      <c r="AD2463" s="19">
        <v>0</v>
      </c>
      <c r="AE2463" s="28"/>
      <c r="AF2463" s="28"/>
      <c r="AG2463" s="28"/>
      <c r="AH2463" s="28"/>
      <c r="AI2463" s="28"/>
      <c r="AJ2463" s="28">
        <v>1</v>
      </c>
      <c r="AK2463" s="28"/>
      <c r="AL2463" s="28"/>
      <c r="AM2463" s="28"/>
      <c r="AN2463" s="28"/>
      <c r="AO2463" s="28"/>
      <c r="AP2463" s="28">
        <v>1</v>
      </c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29">
        <f t="shared" si="1010"/>
        <v>0</v>
      </c>
      <c r="BD2463" s="48">
        <f t="shared" si="1003"/>
        <v>2</v>
      </c>
      <c r="BE2463" s="19">
        <v>1</v>
      </c>
      <c r="BF2463" s="229">
        <f t="shared" si="1011"/>
        <v>0</v>
      </c>
      <c r="BG2463" s="210">
        <f t="shared" si="1004"/>
        <v>2</v>
      </c>
      <c r="BH2463" s="210">
        <f t="shared" si="1005"/>
        <v>1</v>
      </c>
      <c r="BI2463" s="213">
        <f t="shared" si="1012"/>
        <v>200</v>
      </c>
      <c r="BJ2463" s="141"/>
      <c r="BK2463" s="201"/>
      <c r="BL2463" s="4"/>
      <c r="BM2463" s="4"/>
    </row>
    <row r="2464" spans="1:65" s="38" customFormat="1" ht="18" customHeight="1">
      <c r="A2464" s="114">
        <v>74</v>
      </c>
      <c r="B2464" s="24" t="s">
        <v>1048</v>
      </c>
      <c r="C2464" s="25" t="s">
        <v>1512</v>
      </c>
      <c r="D2464" s="121"/>
      <c r="E2464" s="121"/>
      <c r="F2464" s="121"/>
      <c r="G2464" s="121"/>
      <c r="H2464" s="121"/>
      <c r="I2464" s="121">
        <v>24</v>
      </c>
      <c r="J2464" s="121"/>
      <c r="K2464" s="121"/>
      <c r="L2464" s="121"/>
      <c r="M2464" s="121"/>
      <c r="N2464" s="121"/>
      <c r="O2464" s="121">
        <v>115</v>
      </c>
      <c r="P2464" s="121"/>
      <c r="Q2464" s="121"/>
      <c r="R2464" s="121"/>
      <c r="S2464" s="121"/>
      <c r="T2464" s="121"/>
      <c r="U2464" s="121">
        <v>103</v>
      </c>
      <c r="V2464" s="121"/>
      <c r="W2464" s="121"/>
      <c r="X2464" s="121"/>
      <c r="Y2464" s="121"/>
      <c r="Z2464" s="121"/>
      <c r="AA2464" s="121">
        <v>18</v>
      </c>
      <c r="AB2464" s="229">
        <f t="shared" si="1009"/>
        <v>0</v>
      </c>
      <c r="AC2464" s="228">
        <f t="shared" si="1002"/>
        <v>260</v>
      </c>
      <c r="AD2464" s="19">
        <v>572</v>
      </c>
      <c r="AE2464" s="28"/>
      <c r="AF2464" s="28"/>
      <c r="AG2464" s="28"/>
      <c r="AH2464" s="28"/>
      <c r="AI2464" s="28"/>
      <c r="AJ2464" s="28">
        <v>1</v>
      </c>
      <c r="AK2464" s="28"/>
      <c r="AL2464" s="28"/>
      <c r="AM2464" s="28"/>
      <c r="AN2464" s="28"/>
      <c r="AO2464" s="28"/>
      <c r="AP2464" s="28">
        <f>12+3</f>
        <v>15</v>
      </c>
      <c r="AQ2464" s="28"/>
      <c r="AR2464" s="28"/>
      <c r="AS2464" s="28"/>
      <c r="AT2464" s="28"/>
      <c r="AU2464" s="28"/>
      <c r="AV2464" s="28">
        <v>4</v>
      </c>
      <c r="AW2464" s="28"/>
      <c r="AX2464" s="28"/>
      <c r="AY2464" s="28"/>
      <c r="AZ2464" s="28"/>
      <c r="BA2464" s="28"/>
      <c r="BB2464" s="28"/>
      <c r="BC2464" s="229">
        <f t="shared" si="1010"/>
        <v>0</v>
      </c>
      <c r="BD2464" s="48">
        <f t="shared" si="1003"/>
        <v>20</v>
      </c>
      <c r="BE2464" s="19">
        <v>5</v>
      </c>
      <c r="BF2464" s="229">
        <f t="shared" si="1011"/>
        <v>0</v>
      </c>
      <c r="BG2464" s="210">
        <f t="shared" si="1004"/>
        <v>280</v>
      </c>
      <c r="BH2464" s="210">
        <f t="shared" si="1005"/>
        <v>577</v>
      </c>
      <c r="BI2464" s="213">
        <f t="shared" si="1012"/>
        <v>48.526863084922013</v>
      </c>
      <c r="BJ2464" s="141"/>
      <c r="BK2464" s="201"/>
      <c r="BL2464" s="4"/>
      <c r="BM2464" s="4"/>
    </row>
    <row r="2465" spans="1:65" s="38" customFormat="1" ht="18" customHeight="1">
      <c r="A2465" s="114">
        <v>75</v>
      </c>
      <c r="B2465" s="24" t="s">
        <v>892</v>
      </c>
      <c r="C2465" s="25" t="s">
        <v>893</v>
      </c>
      <c r="D2465" s="121"/>
      <c r="E2465" s="121"/>
      <c r="F2465" s="121"/>
      <c r="G2465" s="121"/>
      <c r="H2465" s="121"/>
      <c r="I2465" s="121">
        <v>6</v>
      </c>
      <c r="J2465" s="121"/>
      <c r="K2465" s="121"/>
      <c r="L2465" s="121"/>
      <c r="M2465" s="121"/>
      <c r="N2465" s="121"/>
      <c r="O2465" s="121">
        <v>2</v>
      </c>
      <c r="P2465" s="121"/>
      <c r="Q2465" s="121"/>
      <c r="R2465" s="121"/>
      <c r="S2465" s="121"/>
      <c r="T2465" s="121"/>
      <c r="U2465" s="121">
        <v>7</v>
      </c>
      <c r="V2465" s="121"/>
      <c r="W2465" s="121"/>
      <c r="X2465" s="121"/>
      <c r="Y2465" s="121"/>
      <c r="Z2465" s="121"/>
      <c r="AA2465" s="121"/>
      <c r="AB2465" s="229">
        <f t="shared" si="1009"/>
        <v>0</v>
      </c>
      <c r="AC2465" s="228">
        <f t="shared" si="1002"/>
        <v>15</v>
      </c>
      <c r="AD2465" s="19">
        <v>26</v>
      </c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29">
        <f t="shared" si="1010"/>
        <v>0</v>
      </c>
      <c r="BD2465" s="48">
        <f t="shared" si="1003"/>
        <v>0</v>
      </c>
      <c r="BE2465" s="19">
        <v>0</v>
      </c>
      <c r="BF2465" s="229">
        <f t="shared" si="1011"/>
        <v>0</v>
      </c>
      <c r="BG2465" s="210">
        <f t="shared" si="1004"/>
        <v>15</v>
      </c>
      <c r="BH2465" s="210">
        <f t="shared" si="1005"/>
        <v>26</v>
      </c>
      <c r="BI2465" s="213">
        <f t="shared" si="1012"/>
        <v>57.692307692307686</v>
      </c>
      <c r="BJ2465" s="141"/>
      <c r="BK2465" s="201"/>
      <c r="BL2465" s="4"/>
      <c r="BM2465" s="4"/>
    </row>
    <row r="2466" spans="1:65" s="38" customFormat="1" ht="18" customHeight="1">
      <c r="A2466" s="114">
        <v>76</v>
      </c>
      <c r="B2466" s="24" t="s">
        <v>651</v>
      </c>
      <c r="C2466" s="25" t="s">
        <v>1453</v>
      </c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229">
        <f t="shared" si="1009"/>
        <v>0</v>
      </c>
      <c r="AC2466" s="228">
        <f t="shared" si="1002"/>
        <v>0</v>
      </c>
      <c r="AD2466" s="19">
        <v>0</v>
      </c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28"/>
      <c r="BA2466" s="28"/>
      <c r="BB2466" s="28"/>
      <c r="BC2466" s="229">
        <f t="shared" si="1010"/>
        <v>0</v>
      </c>
      <c r="BD2466" s="48">
        <f t="shared" si="1003"/>
        <v>0</v>
      </c>
      <c r="BE2466" s="19">
        <v>1</v>
      </c>
      <c r="BF2466" s="229">
        <f t="shared" si="1011"/>
        <v>0</v>
      </c>
      <c r="BG2466" s="210">
        <f t="shared" si="1004"/>
        <v>0</v>
      </c>
      <c r="BH2466" s="210">
        <f t="shared" si="1005"/>
        <v>1</v>
      </c>
      <c r="BI2466" s="213">
        <f t="shared" si="1012"/>
        <v>0</v>
      </c>
      <c r="BJ2466" s="141"/>
      <c r="BK2466" s="201"/>
      <c r="BL2466" s="4"/>
      <c r="BM2466" s="4"/>
    </row>
    <row r="2467" spans="1:65" s="38" customFormat="1" ht="18" customHeight="1">
      <c r="A2467" s="114">
        <v>77</v>
      </c>
      <c r="B2467" s="24" t="s">
        <v>814</v>
      </c>
      <c r="C2467" s="25" t="s">
        <v>815</v>
      </c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229">
        <f t="shared" si="1009"/>
        <v>0</v>
      </c>
      <c r="AC2467" s="228">
        <f t="shared" si="1002"/>
        <v>0</v>
      </c>
      <c r="AD2467" s="19">
        <v>0</v>
      </c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29">
        <f t="shared" si="1010"/>
        <v>0</v>
      </c>
      <c r="BD2467" s="48">
        <f t="shared" si="1003"/>
        <v>0</v>
      </c>
      <c r="BE2467" s="19">
        <v>1</v>
      </c>
      <c r="BF2467" s="229">
        <f t="shared" si="1011"/>
        <v>0</v>
      </c>
      <c r="BG2467" s="210">
        <f t="shared" si="1004"/>
        <v>0</v>
      </c>
      <c r="BH2467" s="210">
        <f t="shared" si="1005"/>
        <v>1</v>
      </c>
      <c r="BI2467" s="213">
        <f t="shared" si="1012"/>
        <v>0</v>
      </c>
      <c r="BJ2467" s="141"/>
      <c r="BK2467" s="201"/>
      <c r="BL2467" s="4"/>
      <c r="BM2467" s="4"/>
    </row>
    <row r="2468" spans="1:65" s="38" customFormat="1" ht="18" customHeight="1">
      <c r="A2468" s="114">
        <v>78</v>
      </c>
      <c r="B2468" s="24" t="s">
        <v>925</v>
      </c>
      <c r="C2468" s="25" t="s">
        <v>1875</v>
      </c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229">
        <f t="shared" si="1009"/>
        <v>0</v>
      </c>
      <c r="AC2468" s="228">
        <f t="shared" si="1002"/>
        <v>0</v>
      </c>
      <c r="AD2468" s="19">
        <v>0</v>
      </c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29">
        <f t="shared" si="1010"/>
        <v>0</v>
      </c>
      <c r="BD2468" s="48">
        <f t="shared" si="1003"/>
        <v>0</v>
      </c>
      <c r="BE2468" s="19">
        <v>1</v>
      </c>
      <c r="BF2468" s="229">
        <f t="shared" si="1011"/>
        <v>0</v>
      </c>
      <c r="BG2468" s="210">
        <f t="shared" si="1004"/>
        <v>0</v>
      </c>
      <c r="BH2468" s="210">
        <f t="shared" si="1005"/>
        <v>1</v>
      </c>
      <c r="BI2468" s="213">
        <f t="shared" si="1012"/>
        <v>0</v>
      </c>
      <c r="BJ2468" s="141"/>
      <c r="BK2468" s="201"/>
      <c r="BL2468" s="4"/>
      <c r="BM2468" s="4"/>
    </row>
    <row r="2469" spans="1:65" s="38" customFormat="1" ht="18" customHeight="1">
      <c r="A2469" s="114">
        <v>79</v>
      </c>
      <c r="B2469" s="24" t="s">
        <v>1014</v>
      </c>
      <c r="C2469" s="25" t="s">
        <v>1376</v>
      </c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229">
        <f t="shared" si="1009"/>
        <v>0</v>
      </c>
      <c r="AC2469" s="228">
        <f t="shared" si="1002"/>
        <v>0</v>
      </c>
      <c r="AD2469" s="19">
        <v>0</v>
      </c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29">
        <f t="shared" si="1010"/>
        <v>0</v>
      </c>
      <c r="BD2469" s="48">
        <f t="shared" si="1003"/>
        <v>0</v>
      </c>
      <c r="BE2469" s="19">
        <v>1</v>
      </c>
      <c r="BF2469" s="229">
        <f t="shared" si="1011"/>
        <v>0</v>
      </c>
      <c r="BG2469" s="210">
        <f t="shared" si="1004"/>
        <v>0</v>
      </c>
      <c r="BH2469" s="210">
        <f t="shared" si="1005"/>
        <v>1</v>
      </c>
      <c r="BI2469" s="213">
        <f t="shared" si="1012"/>
        <v>0</v>
      </c>
      <c r="BJ2469" s="141"/>
      <c r="BK2469" s="201"/>
      <c r="BL2469" s="4"/>
      <c r="BM2469" s="4"/>
    </row>
    <row r="2470" spans="1:65" s="38" customFormat="1" ht="18" customHeight="1">
      <c r="A2470" s="114">
        <v>80</v>
      </c>
      <c r="B2470" s="24" t="s">
        <v>926</v>
      </c>
      <c r="C2470" s="25" t="s">
        <v>1749</v>
      </c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229">
        <f t="shared" si="1009"/>
        <v>0</v>
      </c>
      <c r="AC2470" s="228">
        <f t="shared" ref="AC2470:AC2501" si="1013">E2470+G2470+I2470+K2470+M2470+O2470+Q2470+S2470+U2470+W2470+Y2470+AA2470</f>
        <v>0</v>
      </c>
      <c r="AD2470" s="19">
        <v>0</v>
      </c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  <c r="AZ2470" s="28"/>
      <c r="BA2470" s="28"/>
      <c r="BB2470" s="28"/>
      <c r="BC2470" s="229">
        <f t="shared" si="1010"/>
        <v>0</v>
      </c>
      <c r="BD2470" s="48">
        <f t="shared" ref="BD2470:BD2501" si="1014">AF2470+AH2470+AJ2470+AL2470+AN2470+AP2470+AR2470+AT2470+AV2470+AX2470+AZ2470+BB2470</f>
        <v>0</v>
      </c>
      <c r="BE2470" s="19">
        <v>1</v>
      </c>
      <c r="BF2470" s="229">
        <f t="shared" si="1011"/>
        <v>0</v>
      </c>
      <c r="BG2470" s="210">
        <f t="shared" ref="BG2470:BG2501" si="1015">AC2470+BD2470</f>
        <v>0</v>
      </c>
      <c r="BH2470" s="210">
        <f t="shared" ref="BH2470:BH2501" si="1016">AD2470+BE2470</f>
        <v>1</v>
      </c>
      <c r="BI2470" s="213">
        <f t="shared" si="1012"/>
        <v>0</v>
      </c>
      <c r="BJ2470" s="141"/>
      <c r="BK2470" s="201"/>
      <c r="BL2470" s="4"/>
      <c r="BM2470" s="4"/>
    </row>
    <row r="2471" spans="1:65" s="38" customFormat="1" ht="18" customHeight="1">
      <c r="A2471" s="114">
        <v>81</v>
      </c>
      <c r="B2471" s="24" t="s">
        <v>927</v>
      </c>
      <c r="C2471" s="25" t="s">
        <v>1392</v>
      </c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229">
        <f t="shared" si="1009"/>
        <v>0</v>
      </c>
      <c r="AC2471" s="228">
        <f t="shared" si="1013"/>
        <v>0</v>
      </c>
      <c r="AD2471" s="19">
        <v>0</v>
      </c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29">
        <f t="shared" si="1010"/>
        <v>0</v>
      </c>
      <c r="BD2471" s="48">
        <f t="shared" si="1014"/>
        <v>0</v>
      </c>
      <c r="BE2471" s="19">
        <v>1</v>
      </c>
      <c r="BF2471" s="229">
        <f t="shared" si="1011"/>
        <v>0</v>
      </c>
      <c r="BG2471" s="210">
        <f t="shared" si="1015"/>
        <v>0</v>
      </c>
      <c r="BH2471" s="210">
        <f t="shared" si="1016"/>
        <v>1</v>
      </c>
      <c r="BI2471" s="213">
        <f t="shared" si="1012"/>
        <v>0</v>
      </c>
      <c r="BJ2471" s="141"/>
      <c r="BK2471" s="201"/>
      <c r="BL2471" s="4"/>
      <c r="BM2471" s="4"/>
    </row>
    <row r="2472" spans="1:65" s="38" customFormat="1" ht="18" customHeight="1">
      <c r="A2472" s="114">
        <v>82</v>
      </c>
      <c r="B2472" s="24" t="s">
        <v>1015</v>
      </c>
      <c r="C2472" s="25" t="s">
        <v>1467</v>
      </c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229">
        <f t="shared" si="1009"/>
        <v>0</v>
      </c>
      <c r="AC2472" s="228">
        <f t="shared" si="1013"/>
        <v>0</v>
      </c>
      <c r="AD2472" s="19">
        <v>0</v>
      </c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29">
        <f t="shared" si="1010"/>
        <v>0</v>
      </c>
      <c r="BD2472" s="48">
        <f t="shared" si="1014"/>
        <v>0</v>
      </c>
      <c r="BE2472" s="19">
        <v>1</v>
      </c>
      <c r="BF2472" s="229">
        <f t="shared" si="1011"/>
        <v>0</v>
      </c>
      <c r="BG2472" s="210">
        <f t="shared" si="1015"/>
        <v>0</v>
      </c>
      <c r="BH2472" s="210">
        <f t="shared" si="1016"/>
        <v>1</v>
      </c>
      <c r="BI2472" s="213">
        <f t="shared" si="1012"/>
        <v>0</v>
      </c>
      <c r="BJ2472" s="141"/>
      <c r="BK2472" s="201"/>
      <c r="BL2472" s="4"/>
      <c r="BM2472" s="4"/>
    </row>
    <row r="2473" spans="1:65" s="38" customFormat="1" ht="18" customHeight="1">
      <c r="A2473" s="114">
        <v>83</v>
      </c>
      <c r="B2473" s="24" t="s">
        <v>987</v>
      </c>
      <c r="C2473" s="25" t="s">
        <v>1394</v>
      </c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229">
        <f t="shared" si="1009"/>
        <v>0</v>
      </c>
      <c r="AC2473" s="228">
        <f t="shared" si="1013"/>
        <v>0</v>
      </c>
      <c r="AD2473" s="19">
        <v>0</v>
      </c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29">
        <f t="shared" si="1010"/>
        <v>0</v>
      </c>
      <c r="BD2473" s="48">
        <f t="shared" si="1014"/>
        <v>0</v>
      </c>
      <c r="BE2473" s="19">
        <v>1</v>
      </c>
      <c r="BF2473" s="229">
        <f t="shared" si="1011"/>
        <v>0</v>
      </c>
      <c r="BG2473" s="210">
        <f t="shared" si="1015"/>
        <v>0</v>
      </c>
      <c r="BH2473" s="210">
        <f t="shared" si="1016"/>
        <v>1</v>
      </c>
      <c r="BI2473" s="213">
        <f t="shared" si="1012"/>
        <v>0</v>
      </c>
      <c r="BJ2473" s="141"/>
      <c r="BK2473" s="201"/>
      <c r="BL2473" s="4"/>
      <c r="BM2473" s="4"/>
    </row>
    <row r="2474" spans="1:65" s="38" customFormat="1" ht="18" customHeight="1">
      <c r="A2474" s="114">
        <v>84</v>
      </c>
      <c r="B2474" s="24" t="s">
        <v>703</v>
      </c>
      <c r="C2474" s="25" t="s">
        <v>774</v>
      </c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229">
        <f t="shared" si="1009"/>
        <v>0</v>
      </c>
      <c r="AC2474" s="228">
        <f t="shared" si="1013"/>
        <v>0</v>
      </c>
      <c r="AD2474" s="19">
        <v>0</v>
      </c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>
        <v>2</v>
      </c>
      <c r="AQ2474" s="28"/>
      <c r="AR2474" s="28"/>
      <c r="AS2474" s="28"/>
      <c r="AT2474" s="28"/>
      <c r="AU2474" s="28"/>
      <c r="AV2474" s="28">
        <v>1</v>
      </c>
      <c r="AW2474" s="28"/>
      <c r="AX2474" s="28"/>
      <c r="AY2474" s="28"/>
      <c r="AZ2474" s="28"/>
      <c r="BA2474" s="28"/>
      <c r="BB2474" s="28"/>
      <c r="BC2474" s="229">
        <f t="shared" si="1010"/>
        <v>0</v>
      </c>
      <c r="BD2474" s="48">
        <f t="shared" si="1014"/>
        <v>3</v>
      </c>
      <c r="BE2474" s="19">
        <v>4</v>
      </c>
      <c r="BF2474" s="229">
        <f t="shared" si="1011"/>
        <v>0</v>
      </c>
      <c r="BG2474" s="210">
        <f t="shared" si="1015"/>
        <v>3</v>
      </c>
      <c r="BH2474" s="210">
        <f t="shared" si="1016"/>
        <v>4</v>
      </c>
      <c r="BI2474" s="213">
        <f t="shared" si="1012"/>
        <v>75</v>
      </c>
      <c r="BJ2474" s="141"/>
      <c r="BK2474" s="201"/>
      <c r="BL2474" s="4"/>
      <c r="BM2474" s="4"/>
    </row>
    <row r="2475" spans="1:65" s="38" customFormat="1" ht="18" customHeight="1">
      <c r="A2475" s="114">
        <v>85</v>
      </c>
      <c r="B2475" s="24" t="s">
        <v>819</v>
      </c>
      <c r="C2475" s="25" t="s">
        <v>993</v>
      </c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229">
        <f t="shared" si="1009"/>
        <v>0</v>
      </c>
      <c r="AC2475" s="228">
        <f t="shared" si="1013"/>
        <v>0</v>
      </c>
      <c r="AD2475" s="19">
        <v>0</v>
      </c>
      <c r="AE2475" s="28"/>
      <c r="AF2475" s="28"/>
      <c r="AG2475" s="28"/>
      <c r="AH2475" s="28"/>
      <c r="AI2475" s="28"/>
      <c r="AJ2475" s="28">
        <v>2</v>
      </c>
      <c r="AK2475" s="28"/>
      <c r="AL2475" s="28"/>
      <c r="AM2475" s="28"/>
      <c r="AN2475" s="28"/>
      <c r="AO2475" s="28"/>
      <c r="AP2475" s="28">
        <v>5</v>
      </c>
      <c r="AQ2475" s="28"/>
      <c r="AR2475" s="28"/>
      <c r="AS2475" s="28"/>
      <c r="AT2475" s="28"/>
      <c r="AU2475" s="28"/>
      <c r="AV2475" s="28">
        <v>3</v>
      </c>
      <c r="AW2475" s="28"/>
      <c r="AX2475" s="28"/>
      <c r="AY2475" s="28"/>
      <c r="AZ2475" s="28"/>
      <c r="BA2475" s="28"/>
      <c r="BB2475" s="28">
        <v>2</v>
      </c>
      <c r="BC2475" s="229">
        <f t="shared" si="1010"/>
        <v>0</v>
      </c>
      <c r="BD2475" s="48">
        <f t="shared" si="1014"/>
        <v>12</v>
      </c>
      <c r="BE2475" s="19">
        <v>1</v>
      </c>
      <c r="BF2475" s="229">
        <f t="shared" si="1011"/>
        <v>0</v>
      </c>
      <c r="BG2475" s="210">
        <f t="shared" si="1015"/>
        <v>12</v>
      </c>
      <c r="BH2475" s="210">
        <f t="shared" si="1016"/>
        <v>1</v>
      </c>
      <c r="BI2475" s="213">
        <f t="shared" si="1012"/>
        <v>1200</v>
      </c>
      <c r="BJ2475" s="141"/>
      <c r="BK2475" s="201"/>
      <c r="BL2475" s="4"/>
      <c r="BM2475" s="4"/>
    </row>
    <row r="2476" spans="1:65" s="38" customFormat="1" ht="18" customHeight="1">
      <c r="A2476" s="114">
        <v>86</v>
      </c>
      <c r="B2476" s="24" t="s">
        <v>1503</v>
      </c>
      <c r="C2476" s="25" t="s">
        <v>1504</v>
      </c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229">
        <f t="shared" si="1009"/>
        <v>0</v>
      </c>
      <c r="AC2476" s="228">
        <f t="shared" si="1013"/>
        <v>0</v>
      </c>
      <c r="AD2476" s="19">
        <v>0</v>
      </c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  <c r="AY2476" s="28"/>
      <c r="AZ2476" s="28"/>
      <c r="BA2476" s="28"/>
      <c r="BB2476" s="28"/>
      <c r="BC2476" s="229">
        <f t="shared" si="1010"/>
        <v>0</v>
      </c>
      <c r="BD2476" s="48">
        <f t="shared" si="1014"/>
        <v>0</v>
      </c>
      <c r="BE2476" s="19">
        <v>1</v>
      </c>
      <c r="BF2476" s="229">
        <f t="shared" si="1011"/>
        <v>0</v>
      </c>
      <c r="BG2476" s="210">
        <f t="shared" si="1015"/>
        <v>0</v>
      </c>
      <c r="BH2476" s="210">
        <f t="shared" si="1016"/>
        <v>1</v>
      </c>
      <c r="BI2476" s="213">
        <f t="shared" si="1012"/>
        <v>0</v>
      </c>
      <c r="BJ2476" s="141"/>
      <c r="BK2476" s="201"/>
      <c r="BL2476" s="4"/>
      <c r="BM2476" s="4"/>
    </row>
    <row r="2477" spans="1:65" s="38" customFormat="1" ht="18" customHeight="1">
      <c r="A2477" s="114">
        <v>87</v>
      </c>
      <c r="B2477" s="24" t="s">
        <v>899</v>
      </c>
      <c r="C2477" s="25" t="s">
        <v>1700</v>
      </c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229">
        <f t="shared" si="1009"/>
        <v>0</v>
      </c>
      <c r="AC2477" s="228">
        <f t="shared" si="1013"/>
        <v>0</v>
      </c>
      <c r="AD2477" s="19">
        <v>0</v>
      </c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29">
        <f t="shared" si="1010"/>
        <v>0</v>
      </c>
      <c r="BD2477" s="48">
        <f t="shared" si="1014"/>
        <v>0</v>
      </c>
      <c r="BE2477" s="19">
        <v>1</v>
      </c>
      <c r="BF2477" s="229">
        <f t="shared" si="1011"/>
        <v>0</v>
      </c>
      <c r="BG2477" s="210">
        <f t="shared" si="1015"/>
        <v>0</v>
      </c>
      <c r="BH2477" s="210">
        <f t="shared" si="1016"/>
        <v>1</v>
      </c>
      <c r="BI2477" s="213">
        <f t="shared" si="1012"/>
        <v>0</v>
      </c>
      <c r="BJ2477" s="141"/>
      <c r="BK2477" s="201"/>
      <c r="BL2477" s="4"/>
      <c r="BM2477" s="4"/>
    </row>
    <row r="2478" spans="1:65" s="38" customFormat="1" ht="18" customHeight="1">
      <c r="A2478" s="114">
        <v>88</v>
      </c>
      <c r="B2478" s="24" t="s">
        <v>775</v>
      </c>
      <c r="C2478" s="25" t="s">
        <v>1580</v>
      </c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229">
        <f t="shared" si="1009"/>
        <v>0</v>
      </c>
      <c r="AC2478" s="228">
        <f t="shared" si="1013"/>
        <v>0</v>
      </c>
      <c r="AD2478" s="19">
        <v>0</v>
      </c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  <c r="AZ2478" s="28"/>
      <c r="BA2478" s="28"/>
      <c r="BB2478" s="28"/>
      <c r="BC2478" s="229">
        <f t="shared" si="1010"/>
        <v>0</v>
      </c>
      <c r="BD2478" s="48">
        <f t="shared" si="1014"/>
        <v>0</v>
      </c>
      <c r="BE2478" s="19">
        <v>1</v>
      </c>
      <c r="BF2478" s="229">
        <f t="shared" si="1011"/>
        <v>0</v>
      </c>
      <c r="BG2478" s="210">
        <f t="shared" si="1015"/>
        <v>0</v>
      </c>
      <c r="BH2478" s="210">
        <f t="shared" si="1016"/>
        <v>1</v>
      </c>
      <c r="BI2478" s="213">
        <f t="shared" si="1012"/>
        <v>0</v>
      </c>
      <c r="BJ2478" s="141"/>
      <c r="BK2478" s="201"/>
      <c r="BL2478" s="4"/>
      <c r="BM2478" s="4"/>
    </row>
    <row r="2479" spans="1:65" s="38" customFormat="1" ht="18" customHeight="1">
      <c r="A2479" s="114">
        <v>89</v>
      </c>
      <c r="B2479" s="24" t="s">
        <v>994</v>
      </c>
      <c r="C2479" s="25" t="s">
        <v>1163</v>
      </c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229">
        <f t="shared" si="1009"/>
        <v>0</v>
      </c>
      <c r="AC2479" s="228">
        <f t="shared" si="1013"/>
        <v>0</v>
      </c>
      <c r="AD2479" s="19">
        <v>0</v>
      </c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29">
        <f t="shared" si="1010"/>
        <v>0</v>
      </c>
      <c r="BD2479" s="48">
        <f t="shared" si="1014"/>
        <v>0</v>
      </c>
      <c r="BE2479" s="19">
        <v>1</v>
      </c>
      <c r="BF2479" s="229">
        <f t="shared" si="1011"/>
        <v>0</v>
      </c>
      <c r="BG2479" s="210">
        <f t="shared" si="1015"/>
        <v>0</v>
      </c>
      <c r="BH2479" s="210">
        <f t="shared" si="1016"/>
        <v>1</v>
      </c>
      <c r="BI2479" s="213">
        <f t="shared" si="1012"/>
        <v>0</v>
      </c>
      <c r="BJ2479" s="141"/>
      <c r="BK2479" s="201"/>
      <c r="BL2479" s="4"/>
      <c r="BM2479" s="4"/>
    </row>
    <row r="2480" spans="1:65" s="38" customFormat="1" ht="18" customHeight="1">
      <c r="A2480" s="114">
        <v>90</v>
      </c>
      <c r="B2480" s="24" t="s">
        <v>724</v>
      </c>
      <c r="C2480" s="25" t="s">
        <v>1093</v>
      </c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229">
        <f t="shared" si="1009"/>
        <v>0</v>
      </c>
      <c r="AC2480" s="228">
        <f t="shared" si="1013"/>
        <v>0</v>
      </c>
      <c r="AD2480" s="19">
        <v>0</v>
      </c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29">
        <f t="shared" si="1010"/>
        <v>0</v>
      </c>
      <c r="BD2480" s="48">
        <f t="shared" si="1014"/>
        <v>0</v>
      </c>
      <c r="BE2480" s="19">
        <v>1</v>
      </c>
      <c r="BF2480" s="229">
        <f t="shared" si="1011"/>
        <v>0</v>
      </c>
      <c r="BG2480" s="210">
        <f t="shared" si="1015"/>
        <v>0</v>
      </c>
      <c r="BH2480" s="210">
        <f t="shared" si="1016"/>
        <v>1</v>
      </c>
      <c r="BI2480" s="213">
        <f t="shared" si="1012"/>
        <v>0</v>
      </c>
      <c r="BJ2480" s="141"/>
      <c r="BK2480" s="201"/>
      <c r="BL2480" s="4"/>
      <c r="BM2480" s="4"/>
    </row>
    <row r="2481" spans="1:65" s="38" customFormat="1" ht="18" customHeight="1">
      <c r="A2481" s="114">
        <v>91</v>
      </c>
      <c r="B2481" s="24" t="s">
        <v>725</v>
      </c>
      <c r="C2481" s="25" t="s">
        <v>1494</v>
      </c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229">
        <f t="shared" si="1009"/>
        <v>0</v>
      </c>
      <c r="AC2481" s="228">
        <f t="shared" si="1013"/>
        <v>0</v>
      </c>
      <c r="AD2481" s="19">
        <v>0</v>
      </c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29">
        <f t="shared" si="1010"/>
        <v>0</v>
      </c>
      <c r="BD2481" s="48">
        <f t="shared" si="1014"/>
        <v>0</v>
      </c>
      <c r="BE2481" s="19">
        <v>1</v>
      </c>
      <c r="BF2481" s="229">
        <f t="shared" si="1011"/>
        <v>0</v>
      </c>
      <c r="BG2481" s="210">
        <f t="shared" si="1015"/>
        <v>0</v>
      </c>
      <c r="BH2481" s="210">
        <f t="shared" si="1016"/>
        <v>1</v>
      </c>
      <c r="BI2481" s="213">
        <f t="shared" si="1012"/>
        <v>0</v>
      </c>
      <c r="BJ2481" s="141"/>
      <c r="BK2481" s="201"/>
      <c r="BL2481" s="4"/>
      <c r="BM2481" s="4"/>
    </row>
    <row r="2482" spans="1:65" s="38" customFormat="1" ht="18" customHeight="1">
      <c r="A2482" s="114">
        <v>92</v>
      </c>
      <c r="B2482" s="24" t="s">
        <v>726</v>
      </c>
      <c r="C2482" s="25" t="s">
        <v>1387</v>
      </c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229">
        <f t="shared" si="1009"/>
        <v>0</v>
      </c>
      <c r="AC2482" s="228">
        <f t="shared" si="1013"/>
        <v>0</v>
      </c>
      <c r="AD2482" s="19">
        <v>0</v>
      </c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  <c r="BA2482" s="28"/>
      <c r="BB2482" s="28"/>
      <c r="BC2482" s="229">
        <f t="shared" si="1010"/>
        <v>0</v>
      </c>
      <c r="BD2482" s="48">
        <f t="shared" si="1014"/>
        <v>0</v>
      </c>
      <c r="BE2482" s="19">
        <v>1</v>
      </c>
      <c r="BF2482" s="229">
        <f t="shared" si="1011"/>
        <v>0</v>
      </c>
      <c r="BG2482" s="210">
        <f t="shared" si="1015"/>
        <v>0</v>
      </c>
      <c r="BH2482" s="210">
        <f t="shared" si="1016"/>
        <v>1</v>
      </c>
      <c r="BI2482" s="213">
        <f t="shared" si="1012"/>
        <v>0</v>
      </c>
      <c r="BJ2482" s="141"/>
      <c r="BK2482" s="201"/>
      <c r="BL2482" s="4"/>
      <c r="BM2482" s="4"/>
    </row>
    <row r="2483" spans="1:65" s="38" customFormat="1" ht="18" customHeight="1">
      <c r="A2483" s="114">
        <v>93</v>
      </c>
      <c r="B2483" s="24" t="s">
        <v>728</v>
      </c>
      <c r="C2483" s="34" t="s">
        <v>729</v>
      </c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229">
        <f t="shared" ref="AB2483:AB2514" si="1017">D2483+F2483+H2483+J2483+L2483+N2483+P2483+R2483+T2483+V2483+X2483+Z2483</f>
        <v>0</v>
      </c>
      <c r="AC2483" s="228">
        <f t="shared" si="1013"/>
        <v>0</v>
      </c>
      <c r="AD2483" s="19">
        <v>0</v>
      </c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29">
        <f t="shared" ref="BC2483:BC2514" si="1018">AE2483+AG2483+AI2483+AK2483+AM2483+AO2483+AQ2483+AS2483+AU2483+AW2483+AY2483+BA2483</f>
        <v>0</v>
      </c>
      <c r="BD2483" s="48">
        <f t="shared" si="1014"/>
        <v>0</v>
      </c>
      <c r="BE2483" s="19">
        <v>1</v>
      </c>
      <c r="BF2483" s="229">
        <f t="shared" ref="BF2483:BF2514" si="1019">AB2483+BC2483</f>
        <v>0</v>
      </c>
      <c r="BG2483" s="210">
        <f t="shared" si="1015"/>
        <v>0</v>
      </c>
      <c r="BH2483" s="210">
        <f t="shared" si="1016"/>
        <v>1</v>
      </c>
      <c r="BI2483" s="213">
        <f t="shared" si="1012"/>
        <v>0</v>
      </c>
      <c r="BJ2483" s="141"/>
      <c r="BK2483" s="201"/>
      <c r="BL2483" s="4"/>
      <c r="BM2483" s="4"/>
    </row>
    <row r="2484" spans="1:65" s="38" customFormat="1" ht="18" customHeight="1">
      <c r="A2484" s="114">
        <v>94</v>
      </c>
      <c r="B2484" s="24" t="s">
        <v>732</v>
      </c>
      <c r="C2484" s="34" t="s">
        <v>733</v>
      </c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229">
        <f t="shared" si="1017"/>
        <v>0</v>
      </c>
      <c r="AC2484" s="228">
        <f t="shared" si="1013"/>
        <v>0</v>
      </c>
      <c r="AD2484" s="19">
        <v>0</v>
      </c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28"/>
      <c r="BC2484" s="229">
        <f t="shared" si="1018"/>
        <v>0</v>
      </c>
      <c r="BD2484" s="48">
        <f t="shared" si="1014"/>
        <v>0</v>
      </c>
      <c r="BE2484" s="19">
        <v>1</v>
      </c>
      <c r="BF2484" s="229">
        <f t="shared" si="1019"/>
        <v>0</v>
      </c>
      <c r="BG2484" s="210">
        <f t="shared" si="1015"/>
        <v>0</v>
      </c>
      <c r="BH2484" s="210">
        <f t="shared" si="1016"/>
        <v>1</v>
      </c>
      <c r="BI2484" s="213">
        <f t="shared" si="1012"/>
        <v>0</v>
      </c>
      <c r="BJ2484" s="141"/>
      <c r="BK2484" s="201"/>
      <c r="BL2484" s="4"/>
      <c r="BM2484" s="4"/>
    </row>
    <row r="2485" spans="1:65" s="38" customFormat="1" ht="18" customHeight="1">
      <c r="A2485" s="114">
        <v>95</v>
      </c>
      <c r="B2485" s="24" t="s">
        <v>734</v>
      </c>
      <c r="C2485" s="25" t="s">
        <v>735</v>
      </c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229">
        <f t="shared" si="1017"/>
        <v>0</v>
      </c>
      <c r="AC2485" s="228">
        <f t="shared" si="1013"/>
        <v>0</v>
      </c>
      <c r="AD2485" s="19">
        <v>0</v>
      </c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29">
        <f t="shared" si="1018"/>
        <v>0</v>
      </c>
      <c r="BD2485" s="48">
        <f t="shared" si="1014"/>
        <v>0</v>
      </c>
      <c r="BE2485" s="19">
        <v>1</v>
      </c>
      <c r="BF2485" s="229">
        <f t="shared" si="1019"/>
        <v>0</v>
      </c>
      <c r="BG2485" s="210">
        <f t="shared" si="1015"/>
        <v>0</v>
      </c>
      <c r="BH2485" s="210">
        <f t="shared" si="1016"/>
        <v>1</v>
      </c>
      <c r="BI2485" s="213">
        <f t="shared" si="1012"/>
        <v>0</v>
      </c>
      <c r="BJ2485" s="141"/>
      <c r="BK2485" s="201"/>
      <c r="BL2485" s="4"/>
      <c r="BM2485" s="4"/>
    </row>
    <row r="2486" spans="1:65" s="38" customFormat="1" ht="18" customHeight="1">
      <c r="A2486" s="114">
        <v>96</v>
      </c>
      <c r="B2486" s="24" t="s">
        <v>797</v>
      </c>
      <c r="C2486" s="25" t="s">
        <v>798</v>
      </c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229">
        <f t="shared" si="1017"/>
        <v>0</v>
      </c>
      <c r="AC2486" s="228">
        <f t="shared" si="1013"/>
        <v>0</v>
      </c>
      <c r="AD2486" s="19">
        <v>0</v>
      </c>
      <c r="AE2486" s="28"/>
      <c r="AF2486" s="28"/>
      <c r="AG2486" s="28"/>
      <c r="AH2486" s="28"/>
      <c r="AI2486" s="28"/>
      <c r="AJ2486" s="28">
        <v>77</v>
      </c>
      <c r="AK2486" s="28"/>
      <c r="AL2486" s="28"/>
      <c r="AM2486" s="28"/>
      <c r="AN2486" s="28"/>
      <c r="AO2486" s="28"/>
      <c r="AP2486" s="28">
        <v>63</v>
      </c>
      <c r="AQ2486" s="28"/>
      <c r="AR2486" s="28"/>
      <c r="AS2486" s="28"/>
      <c r="AT2486" s="28"/>
      <c r="AU2486" s="28"/>
      <c r="AV2486" s="28">
        <v>60</v>
      </c>
      <c r="AW2486" s="28"/>
      <c r="AX2486" s="28"/>
      <c r="AY2486" s="28"/>
      <c r="AZ2486" s="28"/>
      <c r="BA2486" s="28"/>
      <c r="BB2486" s="28">
        <v>31</v>
      </c>
      <c r="BC2486" s="229">
        <f t="shared" si="1018"/>
        <v>0</v>
      </c>
      <c r="BD2486" s="48">
        <f t="shared" si="1014"/>
        <v>231</v>
      </c>
      <c r="BE2486" s="19">
        <v>15</v>
      </c>
      <c r="BF2486" s="229">
        <f t="shared" si="1019"/>
        <v>0</v>
      </c>
      <c r="BG2486" s="210">
        <f t="shared" si="1015"/>
        <v>231</v>
      </c>
      <c r="BH2486" s="210">
        <f t="shared" si="1016"/>
        <v>15</v>
      </c>
      <c r="BI2486" s="213">
        <f t="shared" si="1012"/>
        <v>1540</v>
      </c>
      <c r="BJ2486" s="141"/>
      <c r="BK2486" s="201"/>
      <c r="BL2486" s="4"/>
      <c r="BM2486" s="4"/>
    </row>
    <row r="2487" spans="1:65" s="38" customFormat="1" ht="18" customHeight="1">
      <c r="A2487" s="114">
        <v>97</v>
      </c>
      <c r="B2487" s="24" t="s">
        <v>653</v>
      </c>
      <c r="C2487" s="25" t="s">
        <v>654</v>
      </c>
      <c r="D2487" s="121"/>
      <c r="E2487" s="121"/>
      <c r="F2487" s="121"/>
      <c r="G2487" s="121"/>
      <c r="H2487" s="121"/>
      <c r="I2487" s="121">
        <v>2</v>
      </c>
      <c r="J2487" s="121"/>
      <c r="K2487" s="121"/>
      <c r="L2487" s="121"/>
      <c r="M2487" s="121"/>
      <c r="N2487" s="121"/>
      <c r="O2487" s="121">
        <v>6</v>
      </c>
      <c r="P2487" s="121"/>
      <c r="Q2487" s="121"/>
      <c r="R2487" s="121"/>
      <c r="S2487" s="121"/>
      <c r="T2487" s="121"/>
      <c r="U2487" s="121">
        <v>2</v>
      </c>
      <c r="V2487" s="121"/>
      <c r="W2487" s="121"/>
      <c r="X2487" s="121"/>
      <c r="Y2487" s="121"/>
      <c r="Z2487" s="121"/>
      <c r="AA2487" s="121">
        <v>2</v>
      </c>
      <c r="AB2487" s="229">
        <f t="shared" si="1017"/>
        <v>0</v>
      </c>
      <c r="AC2487" s="228">
        <f t="shared" si="1013"/>
        <v>12</v>
      </c>
      <c r="AD2487" s="19">
        <v>10</v>
      </c>
      <c r="AE2487" s="28"/>
      <c r="AF2487" s="28"/>
      <c r="AG2487" s="28"/>
      <c r="AH2487" s="28"/>
      <c r="AI2487" s="28"/>
      <c r="AJ2487" s="28">
        <v>105</v>
      </c>
      <c r="AK2487" s="28"/>
      <c r="AL2487" s="28"/>
      <c r="AM2487" s="28"/>
      <c r="AN2487" s="28"/>
      <c r="AO2487" s="28"/>
      <c r="AP2487" s="28">
        <v>82</v>
      </c>
      <c r="AQ2487" s="28"/>
      <c r="AR2487" s="28"/>
      <c r="AS2487" s="28"/>
      <c r="AT2487" s="28"/>
      <c r="AU2487" s="28"/>
      <c r="AV2487" s="28">
        <v>66</v>
      </c>
      <c r="AW2487" s="28"/>
      <c r="AX2487" s="28"/>
      <c r="AY2487" s="28"/>
      <c r="AZ2487" s="28"/>
      <c r="BA2487" s="28"/>
      <c r="BB2487" s="28">
        <v>86</v>
      </c>
      <c r="BC2487" s="229">
        <f t="shared" si="1018"/>
        <v>0</v>
      </c>
      <c r="BD2487" s="48">
        <f t="shared" si="1014"/>
        <v>339</v>
      </c>
      <c r="BE2487" s="19">
        <v>332</v>
      </c>
      <c r="BF2487" s="229">
        <f t="shared" si="1019"/>
        <v>0</v>
      </c>
      <c r="BG2487" s="210">
        <f t="shared" si="1015"/>
        <v>351</v>
      </c>
      <c r="BH2487" s="210">
        <f t="shared" si="1016"/>
        <v>342</v>
      </c>
      <c r="BI2487" s="213">
        <f t="shared" ref="BI2487:BI2519" si="1020">BG2487/BH2487*100</f>
        <v>102.63157894736842</v>
      </c>
      <c r="BJ2487" s="141"/>
      <c r="BK2487" s="201"/>
      <c r="BL2487" s="4"/>
      <c r="BM2487" s="4"/>
    </row>
    <row r="2488" spans="1:65" s="38" customFormat="1" ht="18" customHeight="1">
      <c r="A2488" s="114">
        <v>98</v>
      </c>
      <c r="B2488" s="24" t="s">
        <v>655</v>
      </c>
      <c r="C2488" s="25" t="s">
        <v>997</v>
      </c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229">
        <f t="shared" si="1017"/>
        <v>0</v>
      </c>
      <c r="AC2488" s="228">
        <f t="shared" si="1013"/>
        <v>0</v>
      </c>
      <c r="AD2488" s="19">
        <v>0</v>
      </c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  <c r="AY2488" s="28"/>
      <c r="AZ2488" s="28"/>
      <c r="BA2488" s="28"/>
      <c r="BB2488" s="28"/>
      <c r="BC2488" s="229">
        <f t="shared" si="1018"/>
        <v>0</v>
      </c>
      <c r="BD2488" s="48">
        <f t="shared" si="1014"/>
        <v>0</v>
      </c>
      <c r="BE2488" s="19">
        <v>1</v>
      </c>
      <c r="BF2488" s="229">
        <f t="shared" si="1019"/>
        <v>0</v>
      </c>
      <c r="BG2488" s="210">
        <f t="shared" si="1015"/>
        <v>0</v>
      </c>
      <c r="BH2488" s="210">
        <f t="shared" si="1016"/>
        <v>1</v>
      </c>
      <c r="BI2488" s="213">
        <f t="shared" si="1020"/>
        <v>0</v>
      </c>
      <c r="BJ2488" s="141"/>
      <c r="BK2488" s="201"/>
      <c r="BL2488" s="4"/>
      <c r="BM2488" s="4"/>
    </row>
    <row r="2489" spans="1:65" s="38" customFormat="1" ht="18" customHeight="1">
      <c r="A2489" s="114">
        <v>99</v>
      </c>
      <c r="B2489" s="24" t="s">
        <v>822</v>
      </c>
      <c r="C2489" s="25" t="s">
        <v>1424</v>
      </c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229">
        <f t="shared" si="1017"/>
        <v>0</v>
      </c>
      <c r="AC2489" s="228">
        <f t="shared" si="1013"/>
        <v>0</v>
      </c>
      <c r="AD2489" s="19">
        <v>0</v>
      </c>
      <c r="AE2489" s="28"/>
      <c r="AF2489" s="28"/>
      <c r="AG2489" s="28"/>
      <c r="AH2489" s="28"/>
      <c r="AI2489" s="28"/>
      <c r="AJ2489" s="28">
        <v>169</v>
      </c>
      <c r="AK2489" s="28"/>
      <c r="AL2489" s="28"/>
      <c r="AM2489" s="28"/>
      <c r="AN2489" s="28"/>
      <c r="AO2489" s="28"/>
      <c r="AP2489" s="28">
        <v>76</v>
      </c>
      <c r="AQ2489" s="28"/>
      <c r="AR2489" s="28"/>
      <c r="AS2489" s="28"/>
      <c r="AT2489" s="28"/>
      <c r="AU2489" s="28"/>
      <c r="AV2489" s="28">
        <v>216</v>
      </c>
      <c r="AW2489" s="28"/>
      <c r="AX2489" s="28"/>
      <c r="AY2489" s="28"/>
      <c r="AZ2489" s="28"/>
      <c r="BA2489" s="28"/>
      <c r="BB2489" s="28">
        <v>14</v>
      </c>
      <c r="BC2489" s="229">
        <f t="shared" si="1018"/>
        <v>0</v>
      </c>
      <c r="BD2489" s="48">
        <f t="shared" si="1014"/>
        <v>475</v>
      </c>
      <c r="BE2489" s="19">
        <v>7</v>
      </c>
      <c r="BF2489" s="229">
        <f t="shared" si="1019"/>
        <v>0</v>
      </c>
      <c r="BG2489" s="210">
        <f t="shared" si="1015"/>
        <v>475</v>
      </c>
      <c r="BH2489" s="210">
        <f t="shared" si="1016"/>
        <v>7</v>
      </c>
      <c r="BI2489" s="213">
        <f t="shared" si="1020"/>
        <v>6785.7142857142862</v>
      </c>
      <c r="BJ2489" s="141"/>
      <c r="BK2489" s="201"/>
      <c r="BL2489" s="4"/>
      <c r="BM2489" s="4"/>
    </row>
    <row r="2490" spans="1:65" s="38" customFormat="1" ht="18" customHeight="1">
      <c r="A2490" s="114">
        <v>100</v>
      </c>
      <c r="B2490" s="24" t="s">
        <v>1250</v>
      </c>
      <c r="C2490" s="25" t="s">
        <v>1583</v>
      </c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229">
        <f t="shared" si="1017"/>
        <v>0</v>
      </c>
      <c r="AC2490" s="228">
        <f t="shared" si="1013"/>
        <v>0</v>
      </c>
      <c r="AD2490" s="19">
        <v>0</v>
      </c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  <c r="AY2490" s="28"/>
      <c r="AZ2490" s="28"/>
      <c r="BA2490" s="28"/>
      <c r="BB2490" s="28"/>
      <c r="BC2490" s="229">
        <f t="shared" si="1018"/>
        <v>0</v>
      </c>
      <c r="BD2490" s="48">
        <f t="shared" si="1014"/>
        <v>0</v>
      </c>
      <c r="BE2490" s="19">
        <v>1</v>
      </c>
      <c r="BF2490" s="229">
        <f t="shared" si="1019"/>
        <v>0</v>
      </c>
      <c r="BG2490" s="210">
        <f t="shared" si="1015"/>
        <v>0</v>
      </c>
      <c r="BH2490" s="210">
        <f t="shared" si="1016"/>
        <v>1</v>
      </c>
      <c r="BI2490" s="213">
        <f t="shared" si="1020"/>
        <v>0</v>
      </c>
      <c r="BJ2490" s="141"/>
      <c r="BK2490" s="201"/>
      <c r="BL2490" s="4"/>
      <c r="BM2490" s="4"/>
    </row>
    <row r="2491" spans="1:65" s="38" customFormat="1" ht="18" customHeight="1">
      <c r="A2491" s="114">
        <v>101</v>
      </c>
      <c r="B2491" s="24" t="s">
        <v>776</v>
      </c>
      <c r="C2491" s="25" t="s">
        <v>777</v>
      </c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229">
        <f t="shared" si="1017"/>
        <v>0</v>
      </c>
      <c r="AC2491" s="228">
        <f t="shared" si="1013"/>
        <v>0</v>
      </c>
      <c r="AD2491" s="19">
        <v>0</v>
      </c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29">
        <f t="shared" si="1018"/>
        <v>0</v>
      </c>
      <c r="BD2491" s="48">
        <f t="shared" si="1014"/>
        <v>0</v>
      </c>
      <c r="BE2491" s="19">
        <v>1</v>
      </c>
      <c r="BF2491" s="229">
        <f t="shared" si="1019"/>
        <v>0</v>
      </c>
      <c r="BG2491" s="210">
        <f t="shared" si="1015"/>
        <v>0</v>
      </c>
      <c r="BH2491" s="210">
        <f t="shared" si="1016"/>
        <v>1</v>
      </c>
      <c r="BI2491" s="213">
        <f t="shared" si="1020"/>
        <v>0</v>
      </c>
      <c r="BJ2491" s="141"/>
      <c r="BK2491" s="201"/>
      <c r="BL2491" s="4"/>
      <c r="BM2491" s="4"/>
    </row>
    <row r="2492" spans="1:65" s="38" customFormat="1" ht="18" customHeight="1">
      <c r="A2492" s="114">
        <v>102</v>
      </c>
      <c r="B2492" s="24" t="s">
        <v>1987</v>
      </c>
      <c r="C2492" s="25" t="s">
        <v>660</v>
      </c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229">
        <f t="shared" si="1017"/>
        <v>0</v>
      </c>
      <c r="AC2492" s="228">
        <f t="shared" si="1013"/>
        <v>0</v>
      </c>
      <c r="AD2492" s="19">
        <v>0</v>
      </c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  <c r="AZ2492" s="28"/>
      <c r="BA2492" s="28"/>
      <c r="BB2492" s="28"/>
      <c r="BC2492" s="229">
        <f t="shared" si="1018"/>
        <v>0</v>
      </c>
      <c r="BD2492" s="48">
        <f t="shared" si="1014"/>
        <v>0</v>
      </c>
      <c r="BE2492" s="19">
        <v>0</v>
      </c>
      <c r="BF2492" s="229">
        <f t="shared" si="1019"/>
        <v>0</v>
      </c>
      <c r="BG2492" s="210">
        <f t="shared" si="1015"/>
        <v>0</v>
      </c>
      <c r="BH2492" s="210">
        <f t="shared" si="1016"/>
        <v>0</v>
      </c>
      <c r="BI2492" s="213" t="e">
        <f t="shared" si="1020"/>
        <v>#DIV/0!</v>
      </c>
      <c r="BJ2492" s="141"/>
      <c r="BK2492" s="201"/>
      <c r="BL2492" s="4"/>
      <c r="BM2492" s="4"/>
    </row>
    <row r="2493" spans="1:65" s="38" customFormat="1" ht="21.95" customHeight="1">
      <c r="A2493" s="114">
        <v>103</v>
      </c>
      <c r="B2493" s="24" t="s">
        <v>900</v>
      </c>
      <c r="C2493" s="27" t="s">
        <v>1983</v>
      </c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229">
        <f t="shared" si="1017"/>
        <v>0</v>
      </c>
      <c r="AC2493" s="228">
        <f t="shared" si="1013"/>
        <v>0</v>
      </c>
      <c r="AD2493" s="19">
        <v>8</v>
      </c>
      <c r="AE2493" s="28"/>
      <c r="AF2493" s="28"/>
      <c r="AG2493" s="28"/>
      <c r="AH2493" s="28"/>
      <c r="AI2493" s="28"/>
      <c r="AJ2493" s="28">
        <v>55</v>
      </c>
      <c r="AK2493" s="28"/>
      <c r="AL2493" s="28"/>
      <c r="AM2493" s="28"/>
      <c r="AN2493" s="28"/>
      <c r="AO2493" s="28"/>
      <c r="AP2493" s="28">
        <v>45</v>
      </c>
      <c r="AQ2493" s="28"/>
      <c r="AR2493" s="28"/>
      <c r="AS2493" s="28"/>
      <c r="AT2493" s="28"/>
      <c r="AU2493" s="28"/>
      <c r="AV2493" s="28">
        <f>59+1</f>
        <v>60</v>
      </c>
      <c r="AW2493" s="28"/>
      <c r="AX2493" s="28"/>
      <c r="AY2493" s="28"/>
      <c r="AZ2493" s="28"/>
      <c r="BA2493" s="28"/>
      <c r="BB2493" s="28">
        <f>65+4</f>
        <v>69</v>
      </c>
      <c r="BC2493" s="229">
        <f t="shared" si="1018"/>
        <v>0</v>
      </c>
      <c r="BD2493" s="48">
        <f t="shared" si="1014"/>
        <v>229</v>
      </c>
      <c r="BE2493" s="19">
        <f>132+1</f>
        <v>133</v>
      </c>
      <c r="BF2493" s="229">
        <f t="shared" si="1019"/>
        <v>0</v>
      </c>
      <c r="BG2493" s="210">
        <f t="shared" si="1015"/>
        <v>229</v>
      </c>
      <c r="BH2493" s="210">
        <f t="shared" si="1016"/>
        <v>141</v>
      </c>
      <c r="BI2493" s="213">
        <f t="shared" si="1020"/>
        <v>162.41134751773049</v>
      </c>
      <c r="BJ2493" s="141"/>
      <c r="BK2493" s="201"/>
      <c r="BL2493" s="4"/>
      <c r="BM2493" s="4"/>
    </row>
    <row r="2494" spans="1:65" s="38" customFormat="1" ht="21.95" customHeight="1">
      <c r="A2494" s="114">
        <v>104</v>
      </c>
      <c r="B2494" s="24" t="s">
        <v>799</v>
      </c>
      <c r="C2494" s="27" t="s">
        <v>1860</v>
      </c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229">
        <f t="shared" si="1017"/>
        <v>0</v>
      </c>
      <c r="AC2494" s="228">
        <f t="shared" si="1013"/>
        <v>0</v>
      </c>
      <c r="AD2494" s="19">
        <v>0</v>
      </c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>
        <f>1+7</f>
        <v>8</v>
      </c>
      <c r="AW2494" s="28"/>
      <c r="AX2494" s="28"/>
      <c r="AY2494" s="28"/>
      <c r="AZ2494" s="28"/>
      <c r="BA2494" s="28"/>
      <c r="BB2494" s="28"/>
      <c r="BC2494" s="229">
        <f t="shared" si="1018"/>
        <v>0</v>
      </c>
      <c r="BD2494" s="48">
        <f t="shared" si="1014"/>
        <v>8</v>
      </c>
      <c r="BE2494" s="19">
        <v>42</v>
      </c>
      <c r="BF2494" s="229">
        <f t="shared" si="1019"/>
        <v>0</v>
      </c>
      <c r="BG2494" s="210">
        <f t="shared" si="1015"/>
        <v>8</v>
      </c>
      <c r="BH2494" s="210">
        <f t="shared" si="1016"/>
        <v>42</v>
      </c>
      <c r="BI2494" s="213">
        <f t="shared" si="1020"/>
        <v>19.047619047619047</v>
      </c>
      <c r="BJ2494" s="141"/>
      <c r="BK2494" s="201"/>
      <c r="BL2494" s="4"/>
      <c r="BM2494" s="4"/>
    </row>
    <row r="2495" spans="1:65" s="38" customFormat="1" ht="18" customHeight="1">
      <c r="A2495" s="114">
        <v>105</v>
      </c>
      <c r="B2495" s="24" t="s">
        <v>842</v>
      </c>
      <c r="C2495" s="25" t="s">
        <v>843</v>
      </c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229">
        <f t="shared" si="1017"/>
        <v>0</v>
      </c>
      <c r="AC2495" s="228">
        <f t="shared" si="1013"/>
        <v>0</v>
      </c>
      <c r="AD2495" s="19">
        <v>0</v>
      </c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29">
        <f t="shared" si="1018"/>
        <v>0</v>
      </c>
      <c r="BD2495" s="48">
        <f t="shared" si="1014"/>
        <v>0</v>
      </c>
      <c r="BE2495" s="19">
        <v>2</v>
      </c>
      <c r="BF2495" s="229">
        <f t="shared" si="1019"/>
        <v>0</v>
      </c>
      <c r="BG2495" s="210">
        <f t="shared" si="1015"/>
        <v>0</v>
      </c>
      <c r="BH2495" s="210">
        <f t="shared" si="1016"/>
        <v>2</v>
      </c>
      <c r="BI2495" s="213">
        <f t="shared" si="1020"/>
        <v>0</v>
      </c>
      <c r="BJ2495" s="141"/>
      <c r="BK2495" s="201"/>
      <c r="BL2495" s="4"/>
      <c r="BM2495" s="4"/>
    </row>
    <row r="2496" spans="1:65" s="38" customFormat="1" ht="21.95" customHeight="1">
      <c r="A2496" s="114">
        <v>106</v>
      </c>
      <c r="B2496" s="24" t="s">
        <v>657</v>
      </c>
      <c r="C2496" s="27" t="s">
        <v>1401</v>
      </c>
      <c r="D2496" s="121"/>
      <c r="E2496" s="121"/>
      <c r="F2496" s="121"/>
      <c r="G2496" s="121"/>
      <c r="H2496" s="121"/>
      <c r="I2496" s="121">
        <v>2</v>
      </c>
      <c r="J2496" s="121"/>
      <c r="K2496" s="121"/>
      <c r="L2496" s="121"/>
      <c r="M2496" s="121"/>
      <c r="N2496" s="121"/>
      <c r="O2496" s="121">
        <v>1</v>
      </c>
      <c r="P2496" s="121"/>
      <c r="Q2496" s="121"/>
      <c r="R2496" s="121"/>
      <c r="S2496" s="121"/>
      <c r="T2496" s="121"/>
      <c r="U2496" s="121">
        <v>8</v>
      </c>
      <c r="V2496" s="121"/>
      <c r="W2496" s="121"/>
      <c r="X2496" s="121"/>
      <c r="Y2496" s="121"/>
      <c r="Z2496" s="121"/>
      <c r="AA2496" s="121"/>
      <c r="AB2496" s="229">
        <f t="shared" si="1017"/>
        <v>0</v>
      </c>
      <c r="AC2496" s="228">
        <f t="shared" si="1013"/>
        <v>11</v>
      </c>
      <c r="AD2496" s="19">
        <v>7</v>
      </c>
      <c r="AE2496" s="28"/>
      <c r="AF2496" s="28"/>
      <c r="AG2496" s="28"/>
      <c r="AH2496" s="28"/>
      <c r="AI2496" s="28"/>
      <c r="AJ2496" s="28">
        <f>544+4+12</f>
        <v>560</v>
      </c>
      <c r="AK2496" s="28"/>
      <c r="AL2496" s="28"/>
      <c r="AM2496" s="28"/>
      <c r="AN2496" s="28"/>
      <c r="AO2496" s="28"/>
      <c r="AP2496" s="28">
        <v>303</v>
      </c>
      <c r="AQ2496" s="28"/>
      <c r="AR2496" s="28"/>
      <c r="AS2496" s="28"/>
      <c r="AT2496" s="28"/>
      <c r="AU2496" s="28"/>
      <c r="AV2496" s="28">
        <v>462</v>
      </c>
      <c r="AW2496" s="28"/>
      <c r="AX2496" s="28"/>
      <c r="AY2496" s="28"/>
      <c r="AZ2496" s="28"/>
      <c r="BA2496" s="28"/>
      <c r="BB2496" s="28">
        <f>1+376</f>
        <v>377</v>
      </c>
      <c r="BC2496" s="229">
        <f t="shared" si="1018"/>
        <v>0</v>
      </c>
      <c r="BD2496" s="48">
        <f t="shared" si="1014"/>
        <v>1702</v>
      </c>
      <c r="BE2496" s="19">
        <v>2383</v>
      </c>
      <c r="BF2496" s="229">
        <f t="shared" si="1019"/>
        <v>0</v>
      </c>
      <c r="BG2496" s="210">
        <f t="shared" si="1015"/>
        <v>1713</v>
      </c>
      <c r="BH2496" s="210">
        <f t="shared" si="1016"/>
        <v>2390</v>
      </c>
      <c r="BI2496" s="213">
        <f t="shared" si="1020"/>
        <v>71.673640167364013</v>
      </c>
      <c r="BJ2496" s="141"/>
      <c r="BK2496" s="201"/>
      <c r="BL2496" s="4"/>
      <c r="BM2496" s="4"/>
    </row>
    <row r="2497" spans="1:65" s="38" customFormat="1" ht="21.95" customHeight="1">
      <c r="A2497" s="114">
        <v>107</v>
      </c>
      <c r="B2497" s="24" t="s">
        <v>658</v>
      </c>
      <c r="C2497" s="25" t="s">
        <v>779</v>
      </c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229">
        <f t="shared" si="1017"/>
        <v>0</v>
      </c>
      <c r="AC2497" s="228">
        <f t="shared" si="1013"/>
        <v>0</v>
      </c>
      <c r="AD2497" s="19">
        <v>0</v>
      </c>
      <c r="AE2497" s="28"/>
      <c r="AF2497" s="28"/>
      <c r="AG2497" s="28"/>
      <c r="AH2497" s="28"/>
      <c r="AI2497" s="28"/>
      <c r="AJ2497" s="28">
        <f>1+1925+48</f>
        <v>1974</v>
      </c>
      <c r="AK2497" s="28"/>
      <c r="AL2497" s="28"/>
      <c r="AM2497" s="28"/>
      <c r="AN2497" s="28"/>
      <c r="AO2497" s="28"/>
      <c r="AP2497" s="28">
        <f>1455+28</f>
        <v>1483</v>
      </c>
      <c r="AQ2497" s="28"/>
      <c r="AR2497" s="28"/>
      <c r="AS2497" s="28"/>
      <c r="AT2497" s="28"/>
      <c r="AU2497" s="28"/>
      <c r="AV2497" s="28">
        <v>1277</v>
      </c>
      <c r="AW2497" s="28"/>
      <c r="AX2497" s="28"/>
      <c r="AY2497" s="28"/>
      <c r="AZ2497" s="28"/>
      <c r="BA2497" s="28"/>
      <c r="BB2497" s="28">
        <v>1399</v>
      </c>
      <c r="BC2497" s="229">
        <f t="shared" si="1018"/>
        <v>0</v>
      </c>
      <c r="BD2497" s="48">
        <f t="shared" si="1014"/>
        <v>6133</v>
      </c>
      <c r="BE2497" s="19">
        <v>8745</v>
      </c>
      <c r="BF2497" s="229">
        <f t="shared" si="1019"/>
        <v>0</v>
      </c>
      <c r="BG2497" s="210">
        <f t="shared" si="1015"/>
        <v>6133</v>
      </c>
      <c r="BH2497" s="210">
        <f t="shared" si="1016"/>
        <v>8745</v>
      </c>
      <c r="BI2497" s="213">
        <f t="shared" si="1020"/>
        <v>70.13150371640937</v>
      </c>
      <c r="BJ2497" s="141"/>
      <c r="BK2497" s="201"/>
      <c r="BL2497" s="4"/>
      <c r="BM2497" s="4"/>
    </row>
    <row r="2498" spans="1:65" ht="18" customHeight="1">
      <c r="A2498" s="114">
        <v>108</v>
      </c>
      <c r="B2498" s="24" t="s">
        <v>780</v>
      </c>
      <c r="C2498" s="25" t="s">
        <v>781</v>
      </c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229">
        <f t="shared" si="1017"/>
        <v>0</v>
      </c>
      <c r="AC2498" s="228">
        <f t="shared" si="1013"/>
        <v>0</v>
      </c>
      <c r="AD2498" s="19">
        <v>0</v>
      </c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  <c r="AZ2498" s="28"/>
      <c r="BA2498" s="28"/>
      <c r="BB2498" s="28"/>
      <c r="BC2498" s="229">
        <f t="shared" si="1018"/>
        <v>0</v>
      </c>
      <c r="BD2498" s="48">
        <f t="shared" si="1014"/>
        <v>0</v>
      </c>
      <c r="BE2498" s="19">
        <v>1</v>
      </c>
      <c r="BF2498" s="229">
        <f t="shared" si="1019"/>
        <v>0</v>
      </c>
      <c r="BG2498" s="210">
        <f t="shared" si="1015"/>
        <v>0</v>
      </c>
      <c r="BH2498" s="210">
        <f t="shared" si="1016"/>
        <v>1</v>
      </c>
      <c r="BI2498" s="213">
        <f t="shared" si="1020"/>
        <v>0</v>
      </c>
      <c r="BJ2498" s="141"/>
      <c r="BK2498" s="201"/>
    </row>
    <row r="2499" spans="1:65" ht="18" customHeight="1">
      <c r="A2499" s="114">
        <v>109</v>
      </c>
      <c r="B2499" s="24" t="s">
        <v>782</v>
      </c>
      <c r="C2499" s="25" t="s">
        <v>783</v>
      </c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229">
        <f t="shared" si="1017"/>
        <v>0</v>
      </c>
      <c r="AC2499" s="228">
        <f t="shared" si="1013"/>
        <v>0</v>
      </c>
      <c r="AD2499" s="19">
        <v>0</v>
      </c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29">
        <f t="shared" si="1018"/>
        <v>0</v>
      </c>
      <c r="BD2499" s="48">
        <f t="shared" si="1014"/>
        <v>0</v>
      </c>
      <c r="BE2499" s="19">
        <v>1</v>
      </c>
      <c r="BF2499" s="229">
        <f t="shared" si="1019"/>
        <v>0</v>
      </c>
      <c r="BG2499" s="210">
        <f t="shared" si="1015"/>
        <v>0</v>
      </c>
      <c r="BH2499" s="210">
        <f t="shared" si="1016"/>
        <v>1</v>
      </c>
      <c r="BI2499" s="213">
        <f t="shared" si="1020"/>
        <v>0</v>
      </c>
      <c r="BJ2499" s="141"/>
      <c r="BK2499" s="201"/>
    </row>
    <row r="2500" spans="1:65" ht="18" customHeight="1">
      <c r="A2500" s="114">
        <v>110</v>
      </c>
      <c r="B2500" s="24" t="s">
        <v>804</v>
      </c>
      <c r="C2500" s="25" t="s">
        <v>1386</v>
      </c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229">
        <f t="shared" si="1017"/>
        <v>0</v>
      </c>
      <c r="AC2500" s="228">
        <f t="shared" si="1013"/>
        <v>0</v>
      </c>
      <c r="AD2500" s="19">
        <v>0</v>
      </c>
      <c r="AE2500" s="28"/>
      <c r="AF2500" s="28"/>
      <c r="AG2500" s="28"/>
      <c r="AH2500" s="28"/>
      <c r="AI2500" s="28"/>
      <c r="AJ2500" s="28">
        <v>25</v>
      </c>
      <c r="AK2500" s="28"/>
      <c r="AL2500" s="28"/>
      <c r="AM2500" s="28"/>
      <c r="AN2500" s="28"/>
      <c r="AO2500" s="28"/>
      <c r="AP2500" s="28">
        <v>8</v>
      </c>
      <c r="AQ2500" s="28"/>
      <c r="AR2500" s="28"/>
      <c r="AS2500" s="28"/>
      <c r="AT2500" s="28"/>
      <c r="AU2500" s="28"/>
      <c r="AV2500" s="28">
        <v>49</v>
      </c>
      <c r="AW2500" s="28"/>
      <c r="AX2500" s="28"/>
      <c r="AY2500" s="28"/>
      <c r="AZ2500" s="28"/>
      <c r="BA2500" s="28"/>
      <c r="BB2500" s="28">
        <v>47</v>
      </c>
      <c r="BC2500" s="229">
        <f t="shared" si="1018"/>
        <v>0</v>
      </c>
      <c r="BD2500" s="48">
        <f t="shared" si="1014"/>
        <v>129</v>
      </c>
      <c r="BE2500" s="19">
        <v>201</v>
      </c>
      <c r="BF2500" s="229">
        <f t="shared" si="1019"/>
        <v>0</v>
      </c>
      <c r="BG2500" s="210">
        <f t="shared" si="1015"/>
        <v>129</v>
      </c>
      <c r="BH2500" s="210">
        <f t="shared" si="1016"/>
        <v>201</v>
      </c>
      <c r="BI2500" s="213">
        <f t="shared" si="1020"/>
        <v>64.179104477611943</v>
      </c>
      <c r="BJ2500" s="141"/>
      <c r="BK2500" s="201"/>
    </row>
    <row r="2501" spans="1:65" ht="18" customHeight="1">
      <c r="A2501" s="114">
        <v>111</v>
      </c>
      <c r="B2501" s="24" t="s">
        <v>903</v>
      </c>
      <c r="C2501" s="25" t="s">
        <v>1165</v>
      </c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229">
        <f t="shared" si="1017"/>
        <v>0</v>
      </c>
      <c r="AC2501" s="228">
        <f t="shared" si="1013"/>
        <v>0</v>
      </c>
      <c r="AD2501" s="19">
        <v>0</v>
      </c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29">
        <f t="shared" si="1018"/>
        <v>0</v>
      </c>
      <c r="BD2501" s="48">
        <f t="shared" si="1014"/>
        <v>0</v>
      </c>
      <c r="BE2501" s="19">
        <v>1</v>
      </c>
      <c r="BF2501" s="229">
        <f t="shared" si="1019"/>
        <v>0</v>
      </c>
      <c r="BG2501" s="210">
        <f t="shared" si="1015"/>
        <v>0</v>
      </c>
      <c r="BH2501" s="210">
        <f t="shared" si="1016"/>
        <v>1</v>
      </c>
      <c r="BI2501" s="213">
        <f t="shared" si="1020"/>
        <v>0</v>
      </c>
      <c r="BJ2501" s="141"/>
      <c r="BK2501" s="201"/>
    </row>
    <row r="2502" spans="1:65" ht="18" customHeight="1">
      <c r="A2502" s="114">
        <v>112</v>
      </c>
      <c r="B2502" s="24" t="s">
        <v>659</v>
      </c>
      <c r="C2502" s="25" t="s">
        <v>660</v>
      </c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229">
        <f t="shared" si="1017"/>
        <v>0</v>
      </c>
      <c r="AC2502" s="228">
        <f t="shared" ref="AC2502:AC2521" si="1021">E2502+G2502+I2502+K2502+M2502+O2502+Q2502+S2502+U2502+W2502+Y2502+AA2502</f>
        <v>0</v>
      </c>
      <c r="AD2502" s="19">
        <v>0</v>
      </c>
      <c r="AE2502" s="28"/>
      <c r="AF2502" s="28"/>
      <c r="AG2502" s="28"/>
      <c r="AH2502" s="28"/>
      <c r="AI2502" s="28"/>
      <c r="AJ2502" s="28">
        <f>1119+392+31</f>
        <v>1542</v>
      </c>
      <c r="AK2502" s="28"/>
      <c r="AL2502" s="28"/>
      <c r="AM2502" s="28"/>
      <c r="AN2502" s="28"/>
      <c r="AO2502" s="28"/>
      <c r="AP2502" s="28">
        <f>1+1022+318+12</f>
        <v>1353</v>
      </c>
      <c r="AQ2502" s="28"/>
      <c r="AR2502" s="28"/>
      <c r="AS2502" s="28"/>
      <c r="AT2502" s="28"/>
      <c r="AU2502" s="28"/>
      <c r="AV2502" s="28">
        <f>1081+404</f>
        <v>1485</v>
      </c>
      <c r="AW2502" s="28"/>
      <c r="AX2502" s="28"/>
      <c r="AY2502" s="28"/>
      <c r="AZ2502" s="28"/>
      <c r="BA2502" s="28"/>
      <c r="BB2502" s="28">
        <f>1039+120</f>
        <v>1159</v>
      </c>
      <c r="BC2502" s="229">
        <f t="shared" si="1018"/>
        <v>0</v>
      </c>
      <c r="BD2502" s="48">
        <f t="shared" ref="BD2502:BD2521" si="1022">AF2502+AH2502+AJ2502+AL2502+AN2502+AP2502+AR2502+AT2502+AV2502+AX2502+AZ2502+BB2502</f>
        <v>5539</v>
      </c>
      <c r="BE2502" s="19">
        <v>4284</v>
      </c>
      <c r="BF2502" s="229">
        <f t="shared" si="1019"/>
        <v>0</v>
      </c>
      <c r="BG2502" s="210">
        <f t="shared" ref="BG2502:BG2521" si="1023">AC2502+BD2502</f>
        <v>5539</v>
      </c>
      <c r="BH2502" s="210">
        <f t="shared" ref="BH2502:BH2521" si="1024">AD2502+BE2502</f>
        <v>4284</v>
      </c>
      <c r="BI2502" s="213">
        <f t="shared" si="1020"/>
        <v>129.2950513538749</v>
      </c>
      <c r="BJ2502" s="141"/>
      <c r="BK2502" s="201"/>
    </row>
    <row r="2503" spans="1:65" s="38" customFormat="1" ht="21.95" customHeight="1">
      <c r="A2503" s="114">
        <v>113</v>
      </c>
      <c r="B2503" s="24" t="s">
        <v>661</v>
      </c>
      <c r="C2503" s="27" t="s">
        <v>743</v>
      </c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229">
        <f t="shared" si="1017"/>
        <v>0</v>
      </c>
      <c r="AC2503" s="228">
        <f t="shared" si="1021"/>
        <v>0</v>
      </c>
      <c r="AD2503" s="19">
        <v>0</v>
      </c>
      <c r="AE2503" s="28"/>
      <c r="AF2503" s="28"/>
      <c r="AG2503" s="28"/>
      <c r="AH2503" s="28"/>
      <c r="AI2503" s="28"/>
      <c r="AJ2503" s="28">
        <f>449+1431+13</f>
        <v>1893</v>
      </c>
      <c r="AK2503" s="28"/>
      <c r="AL2503" s="28"/>
      <c r="AM2503" s="28"/>
      <c r="AN2503" s="28"/>
      <c r="AO2503" s="28"/>
      <c r="AP2503" s="28">
        <f>374+857+10</f>
        <v>1241</v>
      </c>
      <c r="AQ2503" s="28"/>
      <c r="AR2503" s="28"/>
      <c r="AS2503" s="28"/>
      <c r="AT2503" s="28"/>
      <c r="AU2503" s="28"/>
      <c r="AV2503" s="28">
        <f>327+1401</f>
        <v>1728</v>
      </c>
      <c r="AW2503" s="28"/>
      <c r="AX2503" s="28"/>
      <c r="AY2503" s="28"/>
      <c r="AZ2503" s="28"/>
      <c r="BA2503" s="28"/>
      <c r="BB2503" s="28">
        <f>251+389</f>
        <v>640</v>
      </c>
      <c r="BC2503" s="229">
        <f t="shared" si="1018"/>
        <v>0</v>
      </c>
      <c r="BD2503" s="48">
        <f t="shared" si="1022"/>
        <v>5502</v>
      </c>
      <c r="BE2503" s="19">
        <v>2585</v>
      </c>
      <c r="BF2503" s="229">
        <f t="shared" si="1019"/>
        <v>0</v>
      </c>
      <c r="BG2503" s="210">
        <f t="shared" si="1023"/>
        <v>5502</v>
      </c>
      <c r="BH2503" s="210">
        <f t="shared" si="1024"/>
        <v>2585</v>
      </c>
      <c r="BI2503" s="213">
        <f t="shared" si="1020"/>
        <v>212.84332688588009</v>
      </c>
      <c r="BJ2503" s="141"/>
      <c r="BK2503" s="201"/>
      <c r="BL2503" s="4"/>
      <c r="BM2503" s="4"/>
    </row>
    <row r="2504" spans="1:65" s="38" customFormat="1" ht="18" customHeight="1">
      <c r="A2504" s="114">
        <v>114</v>
      </c>
      <c r="B2504" s="24" t="s">
        <v>662</v>
      </c>
      <c r="C2504" s="25" t="s">
        <v>1096</v>
      </c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229">
        <f t="shared" si="1017"/>
        <v>0</v>
      </c>
      <c r="AC2504" s="228">
        <f t="shared" si="1021"/>
        <v>0</v>
      </c>
      <c r="AD2504" s="19">
        <v>0</v>
      </c>
      <c r="AE2504" s="28"/>
      <c r="AF2504" s="28"/>
      <c r="AG2504" s="28"/>
      <c r="AH2504" s="28"/>
      <c r="AI2504" s="28"/>
      <c r="AJ2504" s="28">
        <f>1208+95+23</f>
        <v>1326</v>
      </c>
      <c r="AK2504" s="28"/>
      <c r="AL2504" s="28"/>
      <c r="AM2504" s="28"/>
      <c r="AN2504" s="28"/>
      <c r="AO2504" s="28"/>
      <c r="AP2504" s="28">
        <f>1123+59</f>
        <v>1182</v>
      </c>
      <c r="AQ2504" s="28"/>
      <c r="AR2504" s="28"/>
      <c r="AS2504" s="28"/>
      <c r="AT2504" s="28"/>
      <c r="AU2504" s="28"/>
      <c r="AV2504" s="28">
        <f>1125+46</f>
        <v>1171</v>
      </c>
      <c r="AW2504" s="28"/>
      <c r="AX2504" s="28"/>
      <c r="AY2504" s="28"/>
      <c r="AZ2504" s="28"/>
      <c r="BA2504" s="28"/>
      <c r="BB2504" s="28">
        <f>1104+26</f>
        <v>1130</v>
      </c>
      <c r="BC2504" s="229">
        <f t="shared" si="1018"/>
        <v>0</v>
      </c>
      <c r="BD2504" s="48">
        <f t="shared" si="1022"/>
        <v>4809</v>
      </c>
      <c r="BE2504" s="19">
        <v>4592</v>
      </c>
      <c r="BF2504" s="229">
        <f t="shared" si="1019"/>
        <v>0</v>
      </c>
      <c r="BG2504" s="210">
        <f t="shared" si="1023"/>
        <v>4809</v>
      </c>
      <c r="BH2504" s="210">
        <f t="shared" si="1024"/>
        <v>4592</v>
      </c>
      <c r="BI2504" s="213">
        <f t="shared" si="1020"/>
        <v>104.72560975609757</v>
      </c>
      <c r="BJ2504" s="141"/>
      <c r="BK2504" s="201"/>
      <c r="BL2504" s="4"/>
      <c r="BM2504" s="4"/>
    </row>
    <row r="2505" spans="1:65" s="38" customFormat="1" ht="18" customHeight="1">
      <c r="A2505" s="114">
        <v>115</v>
      </c>
      <c r="B2505" s="24" t="s">
        <v>663</v>
      </c>
      <c r="C2505" s="25" t="s">
        <v>1097</v>
      </c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229">
        <f t="shared" si="1017"/>
        <v>0</v>
      </c>
      <c r="AC2505" s="228">
        <f t="shared" si="1021"/>
        <v>0</v>
      </c>
      <c r="AD2505" s="19">
        <v>0</v>
      </c>
      <c r="AE2505" s="28"/>
      <c r="AF2505" s="28"/>
      <c r="AG2505" s="28"/>
      <c r="AH2505" s="28"/>
      <c r="AI2505" s="28"/>
      <c r="AJ2505" s="28">
        <v>42</v>
      </c>
      <c r="AK2505" s="28"/>
      <c r="AL2505" s="28"/>
      <c r="AM2505" s="28"/>
      <c r="AN2505" s="28"/>
      <c r="AO2505" s="28"/>
      <c r="AP2505" s="28">
        <v>52</v>
      </c>
      <c r="AQ2505" s="28"/>
      <c r="AR2505" s="28"/>
      <c r="AS2505" s="28"/>
      <c r="AT2505" s="28"/>
      <c r="AU2505" s="28"/>
      <c r="AV2505" s="28">
        <v>24</v>
      </c>
      <c r="AW2505" s="28"/>
      <c r="AX2505" s="28"/>
      <c r="AY2505" s="28"/>
      <c r="AZ2505" s="28"/>
      <c r="BA2505" s="28"/>
      <c r="BB2505" s="28">
        <v>8</v>
      </c>
      <c r="BC2505" s="229">
        <f t="shared" si="1018"/>
        <v>0</v>
      </c>
      <c r="BD2505" s="48">
        <f t="shared" si="1022"/>
        <v>126</v>
      </c>
      <c r="BE2505" s="19">
        <v>377</v>
      </c>
      <c r="BF2505" s="229">
        <f t="shared" si="1019"/>
        <v>0</v>
      </c>
      <c r="BG2505" s="210">
        <f t="shared" si="1023"/>
        <v>126</v>
      </c>
      <c r="BH2505" s="210">
        <f t="shared" si="1024"/>
        <v>377</v>
      </c>
      <c r="BI2505" s="213">
        <f t="shared" si="1020"/>
        <v>33.42175066312997</v>
      </c>
      <c r="BJ2505" s="141"/>
      <c r="BK2505" s="201"/>
      <c r="BL2505" s="4"/>
      <c r="BM2505" s="4"/>
    </row>
    <row r="2506" spans="1:65" s="38" customFormat="1" ht="21.95" customHeight="1">
      <c r="A2506" s="114">
        <v>116</v>
      </c>
      <c r="B2506" s="24" t="s">
        <v>664</v>
      </c>
      <c r="C2506" s="27" t="s">
        <v>1167</v>
      </c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229">
        <f t="shared" si="1017"/>
        <v>0</v>
      </c>
      <c r="AC2506" s="228">
        <f t="shared" si="1021"/>
        <v>0</v>
      </c>
      <c r="AD2506" s="19">
        <v>0</v>
      </c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  <c r="AZ2506" s="28"/>
      <c r="BA2506" s="28"/>
      <c r="BB2506" s="28"/>
      <c r="BC2506" s="229">
        <f t="shared" si="1018"/>
        <v>0</v>
      </c>
      <c r="BD2506" s="48">
        <f t="shared" si="1022"/>
        <v>0</v>
      </c>
      <c r="BE2506" s="19">
        <v>1</v>
      </c>
      <c r="BF2506" s="229">
        <f t="shared" si="1019"/>
        <v>0</v>
      </c>
      <c r="BG2506" s="210">
        <f t="shared" si="1023"/>
        <v>0</v>
      </c>
      <c r="BH2506" s="210">
        <f t="shared" si="1024"/>
        <v>1</v>
      </c>
      <c r="BI2506" s="213">
        <f t="shared" si="1020"/>
        <v>0</v>
      </c>
      <c r="BJ2506" s="141"/>
      <c r="BK2506" s="201"/>
      <c r="BL2506" s="4"/>
      <c r="BM2506" s="4"/>
    </row>
    <row r="2507" spans="1:65" s="38" customFormat="1" ht="18" customHeight="1">
      <c r="A2507" s="114">
        <v>117</v>
      </c>
      <c r="B2507" s="24" t="s">
        <v>704</v>
      </c>
      <c r="C2507" s="25" t="s">
        <v>2843</v>
      </c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229">
        <f t="shared" si="1017"/>
        <v>0</v>
      </c>
      <c r="AC2507" s="228">
        <f t="shared" si="1021"/>
        <v>0</v>
      </c>
      <c r="AD2507" s="19">
        <v>0</v>
      </c>
      <c r="AE2507" s="28"/>
      <c r="AF2507" s="28"/>
      <c r="AG2507" s="28"/>
      <c r="AH2507" s="28"/>
      <c r="AI2507" s="28"/>
      <c r="AJ2507" s="28">
        <v>10</v>
      </c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29">
        <f t="shared" si="1018"/>
        <v>0</v>
      </c>
      <c r="BD2507" s="48">
        <f t="shared" si="1022"/>
        <v>10</v>
      </c>
      <c r="BE2507" s="19">
        <v>0</v>
      </c>
      <c r="BF2507" s="229">
        <f t="shared" si="1019"/>
        <v>0</v>
      </c>
      <c r="BG2507" s="210">
        <f t="shared" si="1023"/>
        <v>10</v>
      </c>
      <c r="BH2507" s="210">
        <f t="shared" si="1024"/>
        <v>0</v>
      </c>
      <c r="BI2507" s="213" t="e">
        <f t="shared" si="1020"/>
        <v>#DIV/0!</v>
      </c>
      <c r="BJ2507" s="141"/>
      <c r="BK2507" s="201"/>
      <c r="BL2507" s="4"/>
      <c r="BM2507" s="4"/>
    </row>
    <row r="2508" spans="1:65" s="38" customFormat="1" ht="18" customHeight="1">
      <c r="A2508" s="114">
        <v>118</v>
      </c>
      <c r="B2508" s="24" t="s">
        <v>787</v>
      </c>
      <c r="C2508" s="25" t="s">
        <v>1171</v>
      </c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229">
        <f t="shared" si="1017"/>
        <v>0</v>
      </c>
      <c r="AC2508" s="228">
        <f t="shared" si="1021"/>
        <v>0</v>
      </c>
      <c r="AD2508" s="19">
        <v>0</v>
      </c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  <c r="AZ2508" s="28"/>
      <c r="BA2508" s="28"/>
      <c r="BB2508" s="28"/>
      <c r="BC2508" s="229">
        <f t="shared" si="1018"/>
        <v>0</v>
      </c>
      <c r="BD2508" s="48">
        <f t="shared" si="1022"/>
        <v>0</v>
      </c>
      <c r="BE2508" s="19">
        <v>1</v>
      </c>
      <c r="BF2508" s="229">
        <f t="shared" si="1019"/>
        <v>0</v>
      </c>
      <c r="BG2508" s="210">
        <f t="shared" si="1023"/>
        <v>0</v>
      </c>
      <c r="BH2508" s="210">
        <f t="shared" si="1024"/>
        <v>1</v>
      </c>
      <c r="BI2508" s="213">
        <f t="shared" si="1020"/>
        <v>0</v>
      </c>
      <c r="BJ2508" s="141"/>
      <c r="BK2508" s="201"/>
      <c r="BL2508" s="4"/>
      <c r="BM2508" s="4"/>
    </row>
    <row r="2509" spans="1:65" s="38" customFormat="1" ht="18" customHeight="1">
      <c r="A2509" s="114">
        <v>119</v>
      </c>
      <c r="B2509" s="24" t="s">
        <v>788</v>
      </c>
      <c r="C2509" s="25" t="s">
        <v>1172</v>
      </c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229">
        <f t="shared" si="1017"/>
        <v>0</v>
      </c>
      <c r="AC2509" s="228">
        <f t="shared" si="1021"/>
        <v>0</v>
      </c>
      <c r="AD2509" s="19">
        <v>0</v>
      </c>
      <c r="AE2509" s="28"/>
      <c r="AF2509" s="28"/>
      <c r="AG2509" s="28"/>
      <c r="AH2509" s="28"/>
      <c r="AI2509" s="28"/>
      <c r="AJ2509" s="28">
        <f>1+260+7</f>
        <v>268</v>
      </c>
      <c r="AK2509" s="28"/>
      <c r="AL2509" s="28"/>
      <c r="AM2509" s="28"/>
      <c r="AN2509" s="28"/>
      <c r="AO2509" s="28"/>
      <c r="AP2509" s="28">
        <f>191+1</f>
        <v>192</v>
      </c>
      <c r="AQ2509" s="28"/>
      <c r="AR2509" s="28"/>
      <c r="AS2509" s="28"/>
      <c r="AT2509" s="28"/>
      <c r="AU2509" s="28"/>
      <c r="AV2509" s="28">
        <v>209</v>
      </c>
      <c r="AW2509" s="28"/>
      <c r="AX2509" s="28"/>
      <c r="AY2509" s="28"/>
      <c r="AZ2509" s="28"/>
      <c r="BA2509" s="28"/>
      <c r="BB2509" s="28">
        <v>162</v>
      </c>
      <c r="BC2509" s="229">
        <f t="shared" si="1018"/>
        <v>0</v>
      </c>
      <c r="BD2509" s="48">
        <f t="shared" si="1022"/>
        <v>831</v>
      </c>
      <c r="BE2509" s="19">
        <v>1104</v>
      </c>
      <c r="BF2509" s="229">
        <f t="shared" si="1019"/>
        <v>0</v>
      </c>
      <c r="BG2509" s="210">
        <f t="shared" si="1023"/>
        <v>831</v>
      </c>
      <c r="BH2509" s="210">
        <f t="shared" si="1024"/>
        <v>1104</v>
      </c>
      <c r="BI2509" s="213">
        <f t="shared" si="1020"/>
        <v>75.271739130434781</v>
      </c>
      <c r="BJ2509" s="141"/>
      <c r="BK2509" s="201"/>
      <c r="BL2509" s="4"/>
      <c r="BM2509" s="4"/>
    </row>
    <row r="2510" spans="1:65" s="38" customFormat="1" ht="18" customHeight="1">
      <c r="A2510" s="114">
        <v>120</v>
      </c>
      <c r="B2510" s="24" t="s">
        <v>1174</v>
      </c>
      <c r="C2510" s="25" t="s">
        <v>1175</v>
      </c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229">
        <f t="shared" si="1017"/>
        <v>0</v>
      </c>
      <c r="AC2510" s="228">
        <f t="shared" si="1021"/>
        <v>0</v>
      </c>
      <c r="AD2510" s="19">
        <v>0</v>
      </c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>
        <v>3</v>
      </c>
      <c r="AQ2510" s="28"/>
      <c r="AR2510" s="28"/>
      <c r="AS2510" s="28"/>
      <c r="AT2510" s="28"/>
      <c r="AU2510" s="28"/>
      <c r="AV2510" s="28">
        <v>4</v>
      </c>
      <c r="AW2510" s="28"/>
      <c r="AX2510" s="28"/>
      <c r="AY2510" s="28"/>
      <c r="AZ2510" s="28"/>
      <c r="BA2510" s="28"/>
      <c r="BB2510" s="28"/>
      <c r="BC2510" s="229">
        <f t="shared" si="1018"/>
        <v>0</v>
      </c>
      <c r="BD2510" s="48">
        <f t="shared" si="1022"/>
        <v>7</v>
      </c>
      <c r="BE2510" s="19">
        <v>1</v>
      </c>
      <c r="BF2510" s="229">
        <f t="shared" si="1019"/>
        <v>0</v>
      </c>
      <c r="BG2510" s="210">
        <f t="shared" si="1023"/>
        <v>7</v>
      </c>
      <c r="BH2510" s="210">
        <f t="shared" si="1024"/>
        <v>1</v>
      </c>
      <c r="BI2510" s="213">
        <f t="shared" si="1020"/>
        <v>700</v>
      </c>
      <c r="BJ2510" s="141"/>
      <c r="BK2510" s="201"/>
      <c r="BL2510" s="4"/>
      <c r="BM2510" s="4"/>
    </row>
    <row r="2511" spans="1:65" s="38" customFormat="1" ht="21.95" customHeight="1">
      <c r="A2511" s="114">
        <v>121</v>
      </c>
      <c r="B2511" s="24" t="s">
        <v>790</v>
      </c>
      <c r="C2511" s="27" t="s">
        <v>2431</v>
      </c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229">
        <f t="shared" si="1017"/>
        <v>0</v>
      </c>
      <c r="AC2511" s="228">
        <f t="shared" si="1021"/>
        <v>0</v>
      </c>
      <c r="AD2511" s="19">
        <v>0</v>
      </c>
      <c r="AE2511" s="28"/>
      <c r="AF2511" s="28"/>
      <c r="AG2511" s="28"/>
      <c r="AH2511" s="28"/>
      <c r="AI2511" s="28"/>
      <c r="AJ2511" s="28">
        <f>27+37+5</f>
        <v>69</v>
      </c>
      <c r="AK2511" s="28"/>
      <c r="AL2511" s="28"/>
      <c r="AM2511" s="28"/>
      <c r="AN2511" s="28"/>
      <c r="AO2511" s="28"/>
      <c r="AP2511" s="28">
        <f>25+10</f>
        <v>35</v>
      </c>
      <c r="AQ2511" s="28"/>
      <c r="AR2511" s="28"/>
      <c r="AS2511" s="28"/>
      <c r="AT2511" s="28"/>
      <c r="AU2511" s="28"/>
      <c r="AV2511" s="28">
        <f>33+9</f>
        <v>42</v>
      </c>
      <c r="AW2511" s="28"/>
      <c r="AX2511" s="28"/>
      <c r="AY2511" s="28"/>
      <c r="AZ2511" s="28"/>
      <c r="BA2511" s="28"/>
      <c r="BB2511" s="28">
        <f>28+6</f>
        <v>34</v>
      </c>
      <c r="BC2511" s="229">
        <f t="shared" si="1018"/>
        <v>0</v>
      </c>
      <c r="BD2511" s="48">
        <f t="shared" si="1022"/>
        <v>180</v>
      </c>
      <c r="BE2511" s="19">
        <v>3</v>
      </c>
      <c r="BF2511" s="229">
        <f t="shared" si="1019"/>
        <v>0</v>
      </c>
      <c r="BG2511" s="210">
        <f t="shared" si="1023"/>
        <v>180</v>
      </c>
      <c r="BH2511" s="210">
        <f t="shared" si="1024"/>
        <v>3</v>
      </c>
      <c r="BI2511" s="213">
        <f t="shared" si="1020"/>
        <v>6000</v>
      </c>
      <c r="BJ2511" s="141"/>
      <c r="BK2511" s="201"/>
      <c r="BL2511" s="4"/>
      <c r="BM2511" s="4"/>
    </row>
    <row r="2512" spans="1:65" s="38" customFormat="1" ht="21.95" customHeight="1">
      <c r="A2512" s="114">
        <v>122</v>
      </c>
      <c r="B2512" s="24" t="s">
        <v>791</v>
      </c>
      <c r="C2512" s="27" t="s">
        <v>1554</v>
      </c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229">
        <f t="shared" si="1017"/>
        <v>0</v>
      </c>
      <c r="AC2512" s="228">
        <f t="shared" si="1021"/>
        <v>0</v>
      </c>
      <c r="AD2512" s="19">
        <v>0</v>
      </c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  <c r="AZ2512" s="28"/>
      <c r="BA2512" s="28"/>
      <c r="BB2512" s="28"/>
      <c r="BC2512" s="229">
        <f t="shared" si="1018"/>
        <v>0</v>
      </c>
      <c r="BD2512" s="48">
        <f t="shared" si="1022"/>
        <v>0</v>
      </c>
      <c r="BE2512" s="19">
        <v>1</v>
      </c>
      <c r="BF2512" s="229">
        <f t="shared" si="1019"/>
        <v>0</v>
      </c>
      <c r="BG2512" s="210">
        <f t="shared" si="1023"/>
        <v>0</v>
      </c>
      <c r="BH2512" s="210">
        <f t="shared" si="1024"/>
        <v>1</v>
      </c>
      <c r="BI2512" s="213">
        <f t="shared" si="1020"/>
        <v>0</v>
      </c>
      <c r="BJ2512" s="141"/>
      <c r="BK2512" s="201"/>
      <c r="BL2512" s="4"/>
      <c r="BM2512" s="4"/>
    </row>
    <row r="2513" spans="1:65" s="38" customFormat="1" ht="18" customHeight="1">
      <c r="A2513" s="114">
        <v>123</v>
      </c>
      <c r="B2513" s="24" t="s">
        <v>1654</v>
      </c>
      <c r="C2513" s="25" t="s">
        <v>1861</v>
      </c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229">
        <f t="shared" si="1017"/>
        <v>0</v>
      </c>
      <c r="AC2513" s="228">
        <f t="shared" si="1021"/>
        <v>0</v>
      </c>
      <c r="AD2513" s="19">
        <v>0</v>
      </c>
      <c r="AE2513" s="28"/>
      <c r="AF2513" s="28"/>
      <c r="AG2513" s="28"/>
      <c r="AH2513" s="28"/>
      <c r="AI2513" s="28"/>
      <c r="AJ2513" s="28">
        <v>2</v>
      </c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29">
        <f t="shared" si="1018"/>
        <v>0</v>
      </c>
      <c r="BD2513" s="48">
        <f t="shared" si="1022"/>
        <v>2</v>
      </c>
      <c r="BE2513" s="19">
        <v>13</v>
      </c>
      <c r="BF2513" s="229">
        <f t="shared" si="1019"/>
        <v>0</v>
      </c>
      <c r="BG2513" s="210">
        <f t="shared" si="1023"/>
        <v>2</v>
      </c>
      <c r="BH2513" s="210">
        <f t="shared" si="1024"/>
        <v>13</v>
      </c>
      <c r="BI2513" s="213">
        <f t="shared" si="1020"/>
        <v>15.384615384615385</v>
      </c>
      <c r="BJ2513" s="141"/>
      <c r="BK2513" s="201"/>
      <c r="BL2513" s="4"/>
      <c r="BM2513" s="4"/>
    </row>
    <row r="2514" spans="1:65" s="38" customFormat="1" ht="18" customHeight="1">
      <c r="A2514" s="114">
        <v>124</v>
      </c>
      <c r="B2514" s="24" t="s">
        <v>744</v>
      </c>
      <c r="C2514" s="25" t="s">
        <v>745</v>
      </c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229">
        <f t="shared" si="1017"/>
        <v>0</v>
      </c>
      <c r="AC2514" s="228">
        <f t="shared" si="1021"/>
        <v>0</v>
      </c>
      <c r="AD2514" s="19">
        <v>0</v>
      </c>
      <c r="AE2514" s="28"/>
      <c r="AF2514" s="28"/>
      <c r="AG2514" s="28"/>
      <c r="AH2514" s="28"/>
      <c r="AI2514" s="28"/>
      <c r="AJ2514" s="28">
        <v>1</v>
      </c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28"/>
      <c r="BC2514" s="229">
        <f t="shared" si="1018"/>
        <v>0</v>
      </c>
      <c r="BD2514" s="48">
        <f t="shared" si="1022"/>
        <v>1</v>
      </c>
      <c r="BE2514" s="19">
        <v>0</v>
      </c>
      <c r="BF2514" s="229">
        <f t="shared" si="1019"/>
        <v>0</v>
      </c>
      <c r="BG2514" s="210">
        <f t="shared" si="1023"/>
        <v>1</v>
      </c>
      <c r="BH2514" s="210">
        <f t="shared" si="1024"/>
        <v>0</v>
      </c>
      <c r="BI2514" s="213" t="e">
        <f t="shared" si="1020"/>
        <v>#DIV/0!</v>
      </c>
      <c r="BJ2514" s="141"/>
      <c r="BK2514" s="201"/>
      <c r="BL2514" s="4"/>
      <c r="BM2514" s="4"/>
    </row>
    <row r="2515" spans="1:65" s="38" customFormat="1" ht="18" customHeight="1">
      <c r="A2515" s="330"/>
      <c r="B2515" s="24" t="s">
        <v>1177</v>
      </c>
      <c r="C2515" s="332" t="s">
        <v>2286</v>
      </c>
      <c r="D2515" s="333"/>
      <c r="E2515" s="333"/>
      <c r="F2515" s="333"/>
      <c r="G2515" s="333"/>
      <c r="H2515" s="333"/>
      <c r="I2515" s="333"/>
      <c r="J2515" s="333"/>
      <c r="K2515" s="333"/>
      <c r="L2515" s="333"/>
      <c r="M2515" s="333"/>
      <c r="N2515" s="333"/>
      <c r="O2515" s="333"/>
      <c r="P2515" s="333"/>
      <c r="Q2515" s="333"/>
      <c r="R2515" s="333"/>
      <c r="S2515" s="333"/>
      <c r="T2515" s="333"/>
      <c r="U2515" s="333"/>
      <c r="V2515" s="333"/>
      <c r="W2515" s="333"/>
      <c r="X2515" s="333"/>
      <c r="Y2515" s="333"/>
      <c r="Z2515" s="333"/>
      <c r="AA2515" s="333"/>
      <c r="AB2515" s="323"/>
      <c r="AC2515" s="228">
        <f t="shared" si="1021"/>
        <v>0</v>
      </c>
      <c r="AD2515" s="326">
        <v>0</v>
      </c>
      <c r="AE2515" s="334"/>
      <c r="AF2515" s="334"/>
      <c r="AG2515" s="334"/>
      <c r="AH2515" s="334"/>
      <c r="AI2515" s="334"/>
      <c r="AJ2515" s="334"/>
      <c r="AK2515" s="334"/>
      <c r="AL2515" s="334"/>
      <c r="AM2515" s="334"/>
      <c r="AN2515" s="334"/>
      <c r="AO2515" s="334"/>
      <c r="AP2515" s="334"/>
      <c r="AQ2515" s="334"/>
      <c r="AR2515" s="334"/>
      <c r="AS2515" s="334"/>
      <c r="AT2515" s="334"/>
      <c r="AU2515" s="334"/>
      <c r="AV2515" s="334"/>
      <c r="AW2515" s="334"/>
      <c r="AX2515" s="334"/>
      <c r="AY2515" s="334"/>
      <c r="AZ2515" s="334"/>
      <c r="BA2515" s="334"/>
      <c r="BB2515" s="334">
        <v>14</v>
      </c>
      <c r="BC2515" s="323"/>
      <c r="BD2515" s="48">
        <f t="shared" si="1022"/>
        <v>14</v>
      </c>
      <c r="BE2515" s="326">
        <v>0</v>
      </c>
      <c r="BF2515" s="323"/>
      <c r="BG2515" s="210">
        <f t="shared" ref="BG2515" si="1025">AC2515+BD2515</f>
        <v>14</v>
      </c>
      <c r="BH2515" s="210">
        <f t="shared" ref="BH2515" si="1026">AD2515+BE2515</f>
        <v>0</v>
      </c>
      <c r="BI2515" s="213" t="e">
        <f t="shared" ref="BI2515" si="1027">BG2515/BH2515*100</f>
        <v>#DIV/0!</v>
      </c>
      <c r="BJ2515" s="141"/>
      <c r="BK2515" s="201"/>
      <c r="BL2515" s="4"/>
      <c r="BM2515" s="4"/>
    </row>
    <row r="2516" spans="1:65" s="38" customFormat="1" ht="21.95" customHeight="1">
      <c r="A2516" s="114">
        <v>125</v>
      </c>
      <c r="B2516" s="24" t="s">
        <v>1629</v>
      </c>
      <c r="C2516" s="27" t="s">
        <v>1714</v>
      </c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229">
        <f t="shared" ref="AB2516:AB2521" si="1028">D2516+F2516+H2516+J2516+L2516+N2516+P2516+R2516+T2516+V2516+X2516+Z2516</f>
        <v>0</v>
      </c>
      <c r="AC2516" s="228">
        <f t="shared" si="1021"/>
        <v>0</v>
      </c>
      <c r="AD2516" s="19">
        <v>0</v>
      </c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8"/>
      <c r="BC2516" s="229">
        <f t="shared" ref="BC2516:BC2521" si="1029">AE2516+AG2516+AI2516+AK2516+AM2516+AO2516+AQ2516+AS2516+AU2516+AW2516+AY2516+BA2516</f>
        <v>0</v>
      </c>
      <c r="BD2516" s="48">
        <f t="shared" si="1022"/>
        <v>0</v>
      </c>
      <c r="BE2516" s="19">
        <v>1</v>
      </c>
      <c r="BF2516" s="229">
        <f t="shared" ref="BF2516:BF2521" si="1030">AB2516+BC2516</f>
        <v>0</v>
      </c>
      <c r="BG2516" s="210">
        <f t="shared" si="1023"/>
        <v>0</v>
      </c>
      <c r="BH2516" s="210">
        <f t="shared" si="1024"/>
        <v>1</v>
      </c>
      <c r="BI2516" s="213">
        <f t="shared" si="1020"/>
        <v>0</v>
      </c>
      <c r="BJ2516" s="141"/>
      <c r="BK2516" s="201"/>
      <c r="BL2516" s="4"/>
      <c r="BM2516" s="4"/>
    </row>
    <row r="2517" spans="1:65" s="38" customFormat="1" ht="18" customHeight="1">
      <c r="A2517" s="114">
        <v>126</v>
      </c>
      <c r="B2517" s="24" t="s">
        <v>1876</v>
      </c>
      <c r="C2517" s="25" t="s">
        <v>1877</v>
      </c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229">
        <f t="shared" si="1028"/>
        <v>0</v>
      </c>
      <c r="AC2517" s="228">
        <f t="shared" si="1021"/>
        <v>0</v>
      </c>
      <c r="AD2517" s="19">
        <v>0</v>
      </c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>
        <v>2</v>
      </c>
      <c r="BC2517" s="229">
        <f t="shared" si="1029"/>
        <v>0</v>
      </c>
      <c r="BD2517" s="48">
        <f t="shared" si="1022"/>
        <v>2</v>
      </c>
      <c r="BE2517" s="19">
        <v>1</v>
      </c>
      <c r="BF2517" s="229">
        <f t="shared" si="1030"/>
        <v>0</v>
      </c>
      <c r="BG2517" s="210">
        <f t="shared" si="1023"/>
        <v>2</v>
      </c>
      <c r="BH2517" s="210">
        <f t="shared" si="1024"/>
        <v>1</v>
      </c>
      <c r="BI2517" s="213">
        <f t="shared" si="1020"/>
        <v>200</v>
      </c>
      <c r="BJ2517" s="141"/>
      <c r="BK2517" s="201"/>
      <c r="BL2517" s="4"/>
      <c r="BM2517" s="4"/>
    </row>
    <row r="2518" spans="1:65" s="38" customFormat="1" ht="21.95" customHeight="1">
      <c r="A2518" s="114">
        <v>127</v>
      </c>
      <c r="B2518" s="24" t="s">
        <v>1934</v>
      </c>
      <c r="C2518" s="27" t="s">
        <v>1936</v>
      </c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229">
        <f t="shared" si="1028"/>
        <v>0</v>
      </c>
      <c r="AC2518" s="228">
        <f t="shared" si="1021"/>
        <v>0</v>
      </c>
      <c r="AD2518" s="19">
        <v>0</v>
      </c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  <c r="AZ2518" s="28"/>
      <c r="BA2518" s="28"/>
      <c r="BB2518" s="28"/>
      <c r="BC2518" s="229">
        <f t="shared" si="1029"/>
        <v>0</v>
      </c>
      <c r="BD2518" s="48">
        <f t="shared" si="1022"/>
        <v>0</v>
      </c>
      <c r="BE2518" s="19">
        <v>1</v>
      </c>
      <c r="BF2518" s="229">
        <f t="shared" si="1030"/>
        <v>0</v>
      </c>
      <c r="BG2518" s="210">
        <f t="shared" si="1023"/>
        <v>0</v>
      </c>
      <c r="BH2518" s="210">
        <f t="shared" si="1024"/>
        <v>1</v>
      </c>
      <c r="BI2518" s="213">
        <f t="shared" si="1020"/>
        <v>0</v>
      </c>
      <c r="BJ2518" s="141"/>
      <c r="BK2518" s="201"/>
      <c r="BL2518" s="4"/>
      <c r="BM2518" s="4"/>
    </row>
    <row r="2519" spans="1:65" s="38" customFormat="1" ht="18" customHeight="1">
      <c r="A2519" s="114">
        <v>128</v>
      </c>
      <c r="B2519" s="24" t="s">
        <v>1935</v>
      </c>
      <c r="C2519" s="25" t="s">
        <v>1937</v>
      </c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229">
        <f t="shared" si="1028"/>
        <v>0</v>
      </c>
      <c r="AC2519" s="228">
        <f t="shared" si="1021"/>
        <v>0</v>
      </c>
      <c r="AD2519" s="19">
        <v>0</v>
      </c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>
        <v>1</v>
      </c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29">
        <f t="shared" si="1029"/>
        <v>0</v>
      </c>
      <c r="BD2519" s="48">
        <f t="shared" si="1022"/>
        <v>1</v>
      </c>
      <c r="BE2519" s="19">
        <v>1</v>
      </c>
      <c r="BF2519" s="229">
        <f t="shared" si="1030"/>
        <v>0</v>
      </c>
      <c r="BG2519" s="210">
        <f t="shared" si="1023"/>
        <v>1</v>
      </c>
      <c r="BH2519" s="210">
        <f t="shared" si="1024"/>
        <v>1</v>
      </c>
      <c r="BI2519" s="213">
        <f t="shared" si="1020"/>
        <v>100</v>
      </c>
      <c r="BJ2519" s="141"/>
      <c r="BK2519" s="201"/>
      <c r="BL2519" s="4"/>
      <c r="BM2519" s="4"/>
    </row>
    <row r="2520" spans="1:65" s="38" customFormat="1" ht="21.95" customHeight="1">
      <c r="A2520" s="114">
        <v>129</v>
      </c>
      <c r="B2520" s="24" t="s">
        <v>824</v>
      </c>
      <c r="C2520" s="27" t="s">
        <v>825</v>
      </c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229">
        <f t="shared" si="1028"/>
        <v>0</v>
      </c>
      <c r="AC2520" s="228">
        <f t="shared" si="1021"/>
        <v>0</v>
      </c>
      <c r="AD2520" s="19">
        <v>0</v>
      </c>
      <c r="AE2520" s="28"/>
      <c r="AF2520" s="28"/>
      <c r="AG2520" s="28"/>
      <c r="AH2520" s="28"/>
      <c r="AI2520" s="28"/>
      <c r="AJ2520" s="28">
        <f>728+14</f>
        <v>742</v>
      </c>
      <c r="AK2520" s="28"/>
      <c r="AL2520" s="28"/>
      <c r="AM2520" s="28"/>
      <c r="AN2520" s="28"/>
      <c r="AO2520" s="28"/>
      <c r="AP2520" s="28">
        <f>642+10</f>
        <v>652</v>
      </c>
      <c r="AQ2520" s="28"/>
      <c r="AR2520" s="28"/>
      <c r="AS2520" s="28"/>
      <c r="AT2520" s="28"/>
      <c r="AU2520" s="28"/>
      <c r="AV2520" s="28">
        <v>591</v>
      </c>
      <c r="AW2520" s="28"/>
      <c r="AX2520" s="28"/>
      <c r="AY2520" s="28"/>
      <c r="AZ2520" s="28"/>
      <c r="BA2520" s="28"/>
      <c r="BB2520" s="28">
        <v>548</v>
      </c>
      <c r="BC2520" s="229">
        <f t="shared" si="1029"/>
        <v>0</v>
      </c>
      <c r="BD2520" s="48">
        <f t="shared" si="1022"/>
        <v>2533</v>
      </c>
      <c r="BE2520" s="19">
        <v>2618</v>
      </c>
      <c r="BF2520" s="229">
        <f t="shared" si="1030"/>
        <v>0</v>
      </c>
      <c r="BG2520" s="210">
        <f t="shared" si="1023"/>
        <v>2533</v>
      </c>
      <c r="BH2520" s="210">
        <f t="shared" si="1024"/>
        <v>2618</v>
      </c>
      <c r="BI2520" s="213">
        <f t="shared" ref="BI2520:BI2521" si="1031">BG2520/BH2520*100</f>
        <v>96.753246753246756</v>
      </c>
      <c r="BJ2520" s="141"/>
      <c r="BK2520" s="201"/>
      <c r="BL2520" s="4"/>
      <c r="BM2520" s="4"/>
    </row>
    <row r="2521" spans="1:65" s="38" customFormat="1" ht="18" customHeight="1">
      <c r="A2521" s="114">
        <v>130</v>
      </c>
      <c r="B2521" s="156" t="s">
        <v>1788</v>
      </c>
      <c r="C2521" s="159" t="s">
        <v>1789</v>
      </c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229">
        <f t="shared" si="1028"/>
        <v>0</v>
      </c>
      <c r="AC2521" s="228">
        <f t="shared" si="1021"/>
        <v>0</v>
      </c>
      <c r="AD2521" s="19">
        <v>1</v>
      </c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29">
        <f t="shared" si="1029"/>
        <v>0</v>
      </c>
      <c r="BD2521" s="48">
        <f t="shared" si="1022"/>
        <v>0</v>
      </c>
      <c r="BE2521" s="19">
        <v>0</v>
      </c>
      <c r="BF2521" s="229">
        <f t="shared" si="1030"/>
        <v>0</v>
      </c>
      <c r="BG2521" s="210">
        <f t="shared" si="1023"/>
        <v>0</v>
      </c>
      <c r="BH2521" s="210">
        <f t="shared" si="1024"/>
        <v>1</v>
      </c>
      <c r="BI2521" s="213">
        <f t="shared" si="1031"/>
        <v>0</v>
      </c>
      <c r="BJ2521" s="269" t="s">
        <v>2856</v>
      </c>
      <c r="BK2521" s="201"/>
      <c r="BL2521" s="4"/>
      <c r="BM2521" s="4"/>
    </row>
    <row r="2522" spans="1:65" s="38" customFormat="1" ht="21.95" customHeight="1">
      <c r="A2522" s="375" t="s">
        <v>2773</v>
      </c>
      <c r="B2522" s="375"/>
      <c r="C2522" s="375"/>
      <c r="D2522" s="220">
        <f t="shared" ref="D2522:BE2522" si="1032">SUM(D2523:D2631)</f>
        <v>0</v>
      </c>
      <c r="E2522" s="220">
        <f t="shared" si="1032"/>
        <v>0</v>
      </c>
      <c r="F2522" s="220">
        <f t="shared" si="1032"/>
        <v>0</v>
      </c>
      <c r="G2522" s="220">
        <f t="shared" si="1032"/>
        <v>0</v>
      </c>
      <c r="H2522" s="220">
        <f t="shared" si="1032"/>
        <v>0</v>
      </c>
      <c r="I2522" s="220">
        <f t="shared" si="1032"/>
        <v>1850</v>
      </c>
      <c r="J2522" s="220">
        <f t="shared" si="1032"/>
        <v>0</v>
      </c>
      <c r="K2522" s="220">
        <f t="shared" si="1032"/>
        <v>0</v>
      </c>
      <c r="L2522" s="220">
        <f t="shared" si="1032"/>
        <v>0</v>
      </c>
      <c r="M2522" s="220">
        <f t="shared" si="1032"/>
        <v>0</v>
      </c>
      <c r="N2522" s="220">
        <f t="shared" si="1032"/>
        <v>0</v>
      </c>
      <c r="O2522" s="220">
        <f t="shared" si="1032"/>
        <v>1573</v>
      </c>
      <c r="P2522" s="220">
        <f t="shared" si="1032"/>
        <v>0</v>
      </c>
      <c r="Q2522" s="220">
        <f t="shared" si="1032"/>
        <v>0</v>
      </c>
      <c r="R2522" s="220">
        <f t="shared" si="1032"/>
        <v>0</v>
      </c>
      <c r="S2522" s="220">
        <f t="shared" si="1032"/>
        <v>0</v>
      </c>
      <c r="T2522" s="220">
        <f t="shared" si="1032"/>
        <v>0</v>
      </c>
      <c r="U2522" s="220">
        <f t="shared" si="1032"/>
        <v>2073</v>
      </c>
      <c r="V2522" s="220">
        <f t="shared" si="1032"/>
        <v>0</v>
      </c>
      <c r="W2522" s="220">
        <f t="shared" si="1032"/>
        <v>0</v>
      </c>
      <c r="X2522" s="220">
        <f t="shared" si="1032"/>
        <v>0</v>
      </c>
      <c r="Y2522" s="220">
        <f t="shared" si="1032"/>
        <v>0</v>
      </c>
      <c r="Z2522" s="220">
        <f t="shared" si="1032"/>
        <v>0</v>
      </c>
      <c r="AA2522" s="220">
        <f t="shared" si="1032"/>
        <v>1330</v>
      </c>
      <c r="AB2522" s="220">
        <f t="shared" ref="AB2522" si="1033">D2522+F2522+H2522+J2522+L2522+N2522+P2522+R2522+T2522+V2522+X2522+Z2522</f>
        <v>0</v>
      </c>
      <c r="AC2522" s="220">
        <f t="shared" ref="AC2522" si="1034">E2522+G2522+I2522+K2522+M2522+O2522+Q2522+S2522+U2522+W2522+Y2522+AA2522</f>
        <v>6826</v>
      </c>
      <c r="AD2522" s="210">
        <f t="shared" si="1032"/>
        <v>6771</v>
      </c>
      <c r="AE2522" s="210">
        <f t="shared" si="1032"/>
        <v>0</v>
      </c>
      <c r="AF2522" s="210">
        <f t="shared" si="1032"/>
        <v>0</v>
      </c>
      <c r="AG2522" s="210">
        <f t="shared" si="1032"/>
        <v>0</v>
      </c>
      <c r="AH2522" s="210">
        <f t="shared" si="1032"/>
        <v>0</v>
      </c>
      <c r="AI2522" s="210">
        <f t="shared" si="1032"/>
        <v>0</v>
      </c>
      <c r="AJ2522" s="210">
        <f t="shared" si="1032"/>
        <v>14538</v>
      </c>
      <c r="AK2522" s="210">
        <f t="shared" si="1032"/>
        <v>0</v>
      </c>
      <c r="AL2522" s="210">
        <f t="shared" si="1032"/>
        <v>0</v>
      </c>
      <c r="AM2522" s="210">
        <f t="shared" si="1032"/>
        <v>0</v>
      </c>
      <c r="AN2522" s="210">
        <f t="shared" si="1032"/>
        <v>0</v>
      </c>
      <c r="AO2522" s="210">
        <f t="shared" si="1032"/>
        <v>0</v>
      </c>
      <c r="AP2522" s="210">
        <f t="shared" si="1032"/>
        <v>12470</v>
      </c>
      <c r="AQ2522" s="210">
        <f t="shared" si="1032"/>
        <v>0</v>
      </c>
      <c r="AR2522" s="210">
        <f t="shared" si="1032"/>
        <v>0</v>
      </c>
      <c r="AS2522" s="210">
        <f t="shared" si="1032"/>
        <v>0</v>
      </c>
      <c r="AT2522" s="210">
        <f t="shared" si="1032"/>
        <v>0</v>
      </c>
      <c r="AU2522" s="210">
        <f t="shared" si="1032"/>
        <v>0</v>
      </c>
      <c r="AV2522" s="210">
        <f t="shared" si="1032"/>
        <v>12869</v>
      </c>
      <c r="AW2522" s="210">
        <f t="shared" si="1032"/>
        <v>0</v>
      </c>
      <c r="AX2522" s="210">
        <f t="shared" si="1032"/>
        <v>0</v>
      </c>
      <c r="AY2522" s="210">
        <f t="shared" si="1032"/>
        <v>0</v>
      </c>
      <c r="AZ2522" s="210">
        <f t="shared" si="1032"/>
        <v>0</v>
      </c>
      <c r="BA2522" s="210">
        <f t="shared" si="1032"/>
        <v>0</v>
      </c>
      <c r="BB2522" s="210">
        <f t="shared" si="1032"/>
        <v>15702</v>
      </c>
      <c r="BC2522" s="220">
        <f t="shared" ref="BC2522" si="1035">AE2522+AG2522+AI2522+AK2522+AM2522+AO2522+AQ2522+AS2522+AU2522+AW2522+AY2522+BA2522</f>
        <v>0</v>
      </c>
      <c r="BD2522" s="210">
        <f t="shared" ref="BD2522" si="1036">AF2522+AH2522+AJ2522+AL2522+AN2522+AP2522+AR2522+AT2522+AV2522+AX2522+AZ2522+BB2522</f>
        <v>55579</v>
      </c>
      <c r="BE2522" s="210">
        <f t="shared" si="1032"/>
        <v>63723</v>
      </c>
      <c r="BF2522" s="220">
        <f t="shared" ref="BF2522" si="1037">AB2522+BC2522</f>
        <v>0</v>
      </c>
      <c r="BG2522" s="210">
        <f t="shared" ref="BG2522" si="1038">AC2522+BD2522</f>
        <v>62405</v>
      </c>
      <c r="BH2522" s="210">
        <f t="shared" ref="BH2522" si="1039">AD2522+BE2522</f>
        <v>70494</v>
      </c>
      <c r="BI2522" s="213">
        <f t="shared" ref="BI2522" si="1040">BG2522/BH2522*100</f>
        <v>88.52526456152296</v>
      </c>
      <c r="BJ2522" s="140">
        <v>70494</v>
      </c>
      <c r="BK2522" s="203">
        <f>BH2522-BJ2522</f>
        <v>0</v>
      </c>
      <c r="BL2522" s="198">
        <v>107323</v>
      </c>
      <c r="BM2522" s="199">
        <f>BG2522-BL2522</f>
        <v>-44918</v>
      </c>
    </row>
    <row r="2523" spans="1:65" s="38" customFormat="1" ht="18" customHeight="1">
      <c r="A2523" s="114">
        <v>1</v>
      </c>
      <c r="B2523" s="24" t="s">
        <v>2138</v>
      </c>
      <c r="C2523" s="25" t="s">
        <v>2139</v>
      </c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229">
        <f t="shared" ref="AB2523:AB2556" si="1041">D2523+F2523+H2523+J2523+L2523+N2523+P2523+R2523+T2523+V2523+X2523+Z2523</f>
        <v>0</v>
      </c>
      <c r="AC2523" s="228">
        <f t="shared" ref="AC2523:AC2556" si="1042">E2523+G2523+I2523+K2523+M2523+O2523+Q2523+S2523+U2523+W2523+Y2523+AA2523</f>
        <v>0</v>
      </c>
      <c r="AD2523" s="19">
        <v>3</v>
      </c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  <c r="AZ2523" s="28"/>
      <c r="BA2523" s="28"/>
      <c r="BB2523" s="28"/>
      <c r="BC2523" s="229">
        <f t="shared" ref="BC2523:BC2556" si="1043">AE2523+AG2523+AI2523+AK2523+AM2523+AO2523+AQ2523+AS2523+AU2523+AW2523+AY2523+BA2523</f>
        <v>0</v>
      </c>
      <c r="BD2523" s="48">
        <f t="shared" ref="BD2523:BD2556" si="1044">AF2523+AH2523+AJ2523+AL2523+AN2523+AP2523+AR2523+AT2523+AV2523+AX2523+AZ2523+BB2523</f>
        <v>0</v>
      </c>
      <c r="BE2523" s="19">
        <v>0</v>
      </c>
      <c r="BF2523" s="229">
        <f t="shared" ref="BF2523:BF2556" si="1045">AB2523+BC2523</f>
        <v>0</v>
      </c>
      <c r="BG2523" s="210">
        <f t="shared" ref="BG2523:BG2556" si="1046">AC2523+BD2523</f>
        <v>0</v>
      </c>
      <c r="BH2523" s="210">
        <f t="shared" ref="BH2523:BH2556" si="1047">AD2523+BE2523</f>
        <v>3</v>
      </c>
      <c r="BI2523" s="213">
        <f t="shared" ref="BI2523:BI2554" si="1048">BG2523/BH2523*100</f>
        <v>0</v>
      </c>
      <c r="BJ2523" s="270" t="s">
        <v>2857</v>
      </c>
      <c r="BK2523" s="201"/>
      <c r="BL2523" s="4"/>
      <c r="BM2523" s="4"/>
    </row>
    <row r="2524" spans="1:65" s="38" customFormat="1" ht="21.95" customHeight="1">
      <c r="A2524" s="114">
        <v>2</v>
      </c>
      <c r="B2524" s="24" t="s">
        <v>705</v>
      </c>
      <c r="C2524" s="27" t="s">
        <v>1049</v>
      </c>
      <c r="D2524" s="121"/>
      <c r="E2524" s="121"/>
      <c r="F2524" s="121"/>
      <c r="G2524" s="121"/>
      <c r="H2524" s="121"/>
      <c r="I2524" s="121">
        <v>27</v>
      </c>
      <c r="J2524" s="121"/>
      <c r="K2524" s="121"/>
      <c r="L2524" s="121"/>
      <c r="M2524" s="121"/>
      <c r="N2524" s="121"/>
      <c r="O2524" s="121">
        <v>28</v>
      </c>
      <c r="P2524" s="121"/>
      <c r="Q2524" s="121"/>
      <c r="R2524" s="121"/>
      <c r="S2524" s="121"/>
      <c r="T2524" s="121"/>
      <c r="U2524" s="121">
        <f>23+23</f>
        <v>46</v>
      </c>
      <c r="V2524" s="121"/>
      <c r="W2524" s="121"/>
      <c r="X2524" s="121"/>
      <c r="Y2524" s="121"/>
      <c r="Z2524" s="121"/>
      <c r="AA2524" s="121"/>
      <c r="AB2524" s="229">
        <f t="shared" si="1041"/>
        <v>0</v>
      </c>
      <c r="AC2524" s="228">
        <f t="shared" si="1042"/>
        <v>101</v>
      </c>
      <c r="AD2524" s="19">
        <v>91</v>
      </c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28"/>
      <c r="BC2524" s="229">
        <f t="shared" si="1043"/>
        <v>0</v>
      </c>
      <c r="BD2524" s="48">
        <f t="shared" si="1044"/>
        <v>0</v>
      </c>
      <c r="BE2524" s="19">
        <v>0</v>
      </c>
      <c r="BF2524" s="229">
        <f t="shared" si="1045"/>
        <v>0</v>
      </c>
      <c r="BG2524" s="210">
        <f t="shared" si="1046"/>
        <v>101</v>
      </c>
      <c r="BH2524" s="210">
        <f t="shared" si="1047"/>
        <v>91</v>
      </c>
      <c r="BI2524" s="213">
        <f t="shared" si="1048"/>
        <v>110.98901098901099</v>
      </c>
      <c r="BJ2524" s="270" t="s">
        <v>2857</v>
      </c>
      <c r="BK2524" s="201"/>
      <c r="BL2524" s="4"/>
      <c r="BM2524" s="4"/>
    </row>
    <row r="2525" spans="1:65" s="38" customFormat="1" ht="18" customHeight="1">
      <c r="A2525" s="114">
        <v>3</v>
      </c>
      <c r="B2525" s="24" t="s">
        <v>937</v>
      </c>
      <c r="C2525" s="25" t="s">
        <v>938</v>
      </c>
      <c r="D2525" s="121"/>
      <c r="E2525" s="121"/>
      <c r="F2525" s="121"/>
      <c r="G2525" s="121"/>
      <c r="H2525" s="121"/>
      <c r="I2525" s="121">
        <v>65</v>
      </c>
      <c r="J2525" s="121"/>
      <c r="K2525" s="121"/>
      <c r="L2525" s="121"/>
      <c r="M2525" s="121"/>
      <c r="N2525" s="121"/>
      <c r="O2525" s="121">
        <v>60</v>
      </c>
      <c r="P2525" s="121"/>
      <c r="Q2525" s="121"/>
      <c r="R2525" s="121"/>
      <c r="S2525" s="121"/>
      <c r="T2525" s="121"/>
      <c r="U2525" s="121">
        <f>43+45</f>
        <v>88</v>
      </c>
      <c r="V2525" s="121"/>
      <c r="W2525" s="121"/>
      <c r="X2525" s="121"/>
      <c r="Y2525" s="121"/>
      <c r="Z2525" s="121"/>
      <c r="AA2525" s="121"/>
      <c r="AB2525" s="229">
        <f t="shared" si="1041"/>
        <v>0</v>
      </c>
      <c r="AC2525" s="228">
        <f t="shared" si="1042"/>
        <v>213</v>
      </c>
      <c r="AD2525" s="19">
        <v>218</v>
      </c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29">
        <f t="shared" si="1043"/>
        <v>0</v>
      </c>
      <c r="BD2525" s="48">
        <f t="shared" si="1044"/>
        <v>0</v>
      </c>
      <c r="BE2525" s="19">
        <v>0</v>
      </c>
      <c r="BF2525" s="229">
        <f t="shared" si="1045"/>
        <v>0</v>
      </c>
      <c r="BG2525" s="210">
        <f t="shared" si="1046"/>
        <v>213</v>
      </c>
      <c r="BH2525" s="210">
        <f t="shared" si="1047"/>
        <v>218</v>
      </c>
      <c r="BI2525" s="213">
        <f t="shared" si="1048"/>
        <v>97.706422018348633</v>
      </c>
      <c r="BJ2525" s="270" t="s">
        <v>2857</v>
      </c>
      <c r="BK2525" s="201"/>
      <c r="BL2525" s="4"/>
      <c r="BM2525" s="4"/>
    </row>
    <row r="2526" spans="1:65" s="38" customFormat="1" ht="18" customHeight="1">
      <c r="A2526" s="114">
        <v>4</v>
      </c>
      <c r="B2526" s="24" t="s">
        <v>1468</v>
      </c>
      <c r="C2526" s="25" t="s">
        <v>1471</v>
      </c>
      <c r="D2526" s="121"/>
      <c r="E2526" s="121"/>
      <c r="F2526" s="121"/>
      <c r="G2526" s="121"/>
      <c r="H2526" s="121"/>
      <c r="I2526" s="121">
        <f>1+221</f>
        <v>222</v>
      </c>
      <c r="J2526" s="121"/>
      <c r="K2526" s="121"/>
      <c r="L2526" s="121"/>
      <c r="M2526" s="121"/>
      <c r="N2526" s="121"/>
      <c r="O2526" s="121">
        <f>1+167</f>
        <v>168</v>
      </c>
      <c r="P2526" s="121"/>
      <c r="Q2526" s="121"/>
      <c r="R2526" s="121"/>
      <c r="S2526" s="121"/>
      <c r="T2526" s="121"/>
      <c r="U2526" s="121">
        <f>301+190</f>
        <v>491</v>
      </c>
      <c r="V2526" s="121"/>
      <c r="W2526" s="121"/>
      <c r="X2526" s="121"/>
      <c r="Y2526" s="121"/>
      <c r="Z2526" s="121"/>
      <c r="AA2526" s="121"/>
      <c r="AB2526" s="229">
        <f t="shared" si="1041"/>
        <v>0</v>
      </c>
      <c r="AC2526" s="228">
        <f t="shared" si="1042"/>
        <v>881</v>
      </c>
      <c r="AD2526" s="19">
        <v>854</v>
      </c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29">
        <f t="shared" si="1043"/>
        <v>0</v>
      </c>
      <c r="BD2526" s="48">
        <f t="shared" si="1044"/>
        <v>0</v>
      </c>
      <c r="BE2526" s="19">
        <v>0</v>
      </c>
      <c r="BF2526" s="229">
        <f t="shared" si="1045"/>
        <v>0</v>
      </c>
      <c r="BG2526" s="210">
        <f t="shared" si="1046"/>
        <v>881</v>
      </c>
      <c r="BH2526" s="210">
        <f t="shared" si="1047"/>
        <v>854</v>
      </c>
      <c r="BI2526" s="213">
        <f t="shared" si="1048"/>
        <v>103.1615925058548</v>
      </c>
      <c r="BJ2526" s="270" t="s">
        <v>2857</v>
      </c>
      <c r="BK2526" s="201"/>
      <c r="BL2526" s="4"/>
      <c r="BM2526" s="4"/>
    </row>
    <row r="2527" spans="1:65" s="38" customFormat="1" ht="18" customHeight="1">
      <c r="A2527" s="114">
        <v>5</v>
      </c>
      <c r="B2527" s="24" t="s">
        <v>1482</v>
      </c>
      <c r="C2527" s="25" t="s">
        <v>1483</v>
      </c>
      <c r="D2527" s="121"/>
      <c r="E2527" s="121"/>
      <c r="F2527" s="121"/>
      <c r="G2527" s="121"/>
      <c r="H2527" s="121"/>
      <c r="I2527" s="121">
        <f>1286+1+221</f>
        <v>1508</v>
      </c>
      <c r="J2527" s="121"/>
      <c r="K2527" s="121"/>
      <c r="L2527" s="121"/>
      <c r="M2527" s="121"/>
      <c r="N2527" s="121"/>
      <c r="O2527" s="121">
        <f>1108+1+170</f>
        <v>1279</v>
      </c>
      <c r="P2527" s="121"/>
      <c r="Q2527" s="121"/>
      <c r="R2527" s="121"/>
      <c r="S2527" s="121"/>
      <c r="T2527" s="121"/>
      <c r="U2527" s="121">
        <f>1163+89+191</f>
        <v>1443</v>
      </c>
      <c r="V2527" s="121"/>
      <c r="W2527" s="121"/>
      <c r="X2527" s="121"/>
      <c r="Y2527" s="121"/>
      <c r="Z2527" s="121"/>
      <c r="AA2527" s="121">
        <v>1319</v>
      </c>
      <c r="AB2527" s="229">
        <f t="shared" si="1041"/>
        <v>0</v>
      </c>
      <c r="AC2527" s="228">
        <f t="shared" si="1042"/>
        <v>5549</v>
      </c>
      <c r="AD2527" s="19">
        <v>5541</v>
      </c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29">
        <f t="shared" si="1043"/>
        <v>0</v>
      </c>
      <c r="BD2527" s="48">
        <f t="shared" si="1044"/>
        <v>0</v>
      </c>
      <c r="BE2527" s="19">
        <v>0</v>
      </c>
      <c r="BF2527" s="229">
        <f t="shared" si="1045"/>
        <v>0</v>
      </c>
      <c r="BG2527" s="210">
        <f t="shared" si="1046"/>
        <v>5549</v>
      </c>
      <c r="BH2527" s="210">
        <f t="shared" si="1047"/>
        <v>5541</v>
      </c>
      <c r="BI2527" s="213">
        <f t="shared" si="1048"/>
        <v>100.14437827107021</v>
      </c>
      <c r="BJ2527" s="270" t="s">
        <v>2857</v>
      </c>
      <c r="BK2527" s="201"/>
      <c r="BL2527" s="4"/>
      <c r="BM2527" s="4"/>
    </row>
    <row r="2528" spans="1:65" s="38" customFormat="1" ht="18" customHeight="1">
      <c r="A2528" s="114">
        <v>6</v>
      </c>
      <c r="B2528" s="24" t="s">
        <v>551</v>
      </c>
      <c r="C2528" s="25" t="s">
        <v>552</v>
      </c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229">
        <f t="shared" si="1041"/>
        <v>0</v>
      </c>
      <c r="AC2528" s="228">
        <f t="shared" si="1042"/>
        <v>0</v>
      </c>
      <c r="AD2528" s="19">
        <v>0</v>
      </c>
      <c r="AE2528" s="28"/>
      <c r="AF2528" s="28"/>
      <c r="AG2528" s="28"/>
      <c r="AH2528" s="28"/>
      <c r="AI2528" s="28"/>
      <c r="AJ2528" s="28">
        <v>5</v>
      </c>
      <c r="AK2528" s="28"/>
      <c r="AL2528" s="28"/>
      <c r="AM2528" s="28"/>
      <c r="AN2528" s="28"/>
      <c r="AO2528" s="28"/>
      <c r="AP2528" s="28">
        <v>1</v>
      </c>
      <c r="AQ2528" s="28"/>
      <c r="AR2528" s="28"/>
      <c r="AS2528" s="28"/>
      <c r="AT2528" s="28"/>
      <c r="AU2528" s="28"/>
      <c r="AV2528" s="28">
        <v>1</v>
      </c>
      <c r="AW2528" s="28"/>
      <c r="AX2528" s="28"/>
      <c r="AY2528" s="28"/>
      <c r="AZ2528" s="28"/>
      <c r="BA2528" s="28"/>
      <c r="BB2528" s="28"/>
      <c r="BC2528" s="229">
        <f t="shared" si="1043"/>
        <v>0</v>
      </c>
      <c r="BD2528" s="48">
        <f t="shared" si="1044"/>
        <v>7</v>
      </c>
      <c r="BE2528" s="19">
        <v>23</v>
      </c>
      <c r="BF2528" s="229">
        <f t="shared" si="1045"/>
        <v>0</v>
      </c>
      <c r="BG2528" s="210">
        <f t="shared" si="1046"/>
        <v>7</v>
      </c>
      <c r="BH2528" s="210">
        <f t="shared" si="1047"/>
        <v>23</v>
      </c>
      <c r="BI2528" s="213">
        <f t="shared" si="1048"/>
        <v>30.434782608695656</v>
      </c>
      <c r="BJ2528" s="141"/>
      <c r="BK2528" s="201"/>
      <c r="BL2528" s="4"/>
      <c r="BM2528" s="4"/>
    </row>
    <row r="2529" spans="1:65" s="38" customFormat="1" ht="18" customHeight="1">
      <c r="A2529" s="114">
        <v>7</v>
      </c>
      <c r="B2529" s="24" t="s">
        <v>553</v>
      </c>
      <c r="C2529" s="25" t="s">
        <v>554</v>
      </c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229">
        <f t="shared" si="1041"/>
        <v>0</v>
      </c>
      <c r="AC2529" s="228">
        <f t="shared" si="1042"/>
        <v>0</v>
      </c>
      <c r="AD2529" s="19">
        <v>0</v>
      </c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29">
        <f t="shared" si="1043"/>
        <v>0</v>
      </c>
      <c r="BD2529" s="48">
        <f t="shared" si="1044"/>
        <v>0</v>
      </c>
      <c r="BE2529" s="19">
        <v>6</v>
      </c>
      <c r="BF2529" s="229">
        <f t="shared" si="1045"/>
        <v>0</v>
      </c>
      <c r="BG2529" s="210">
        <f t="shared" si="1046"/>
        <v>0</v>
      </c>
      <c r="BH2529" s="210">
        <f t="shared" si="1047"/>
        <v>6</v>
      </c>
      <c r="BI2529" s="213">
        <f t="shared" si="1048"/>
        <v>0</v>
      </c>
      <c r="BJ2529" s="141"/>
      <c r="BK2529" s="201"/>
      <c r="BL2529" s="4"/>
      <c r="BM2529" s="4"/>
    </row>
    <row r="2530" spans="1:65" s="38" customFormat="1" ht="18" customHeight="1">
      <c r="A2530" s="114">
        <v>8</v>
      </c>
      <c r="B2530" s="24" t="s">
        <v>561</v>
      </c>
      <c r="C2530" s="25" t="s">
        <v>562</v>
      </c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229">
        <f t="shared" si="1041"/>
        <v>0</v>
      </c>
      <c r="AC2530" s="228">
        <f t="shared" si="1042"/>
        <v>0</v>
      </c>
      <c r="AD2530" s="19">
        <v>0</v>
      </c>
      <c r="AE2530" s="28"/>
      <c r="AF2530" s="28"/>
      <c r="AG2530" s="28"/>
      <c r="AH2530" s="28"/>
      <c r="AI2530" s="28"/>
      <c r="AJ2530" s="28">
        <f>41+1+30+1</f>
        <v>73</v>
      </c>
      <c r="AK2530" s="28"/>
      <c r="AL2530" s="28"/>
      <c r="AM2530" s="28"/>
      <c r="AN2530" s="28"/>
      <c r="AO2530" s="28"/>
      <c r="AP2530" s="28">
        <f>34+29</f>
        <v>63</v>
      </c>
      <c r="AQ2530" s="28"/>
      <c r="AR2530" s="28"/>
      <c r="AS2530" s="28"/>
      <c r="AT2530" s="28"/>
      <c r="AU2530" s="28"/>
      <c r="AV2530" s="28">
        <f>17+45</f>
        <v>62</v>
      </c>
      <c r="AW2530" s="28"/>
      <c r="AX2530" s="28"/>
      <c r="AY2530" s="28"/>
      <c r="AZ2530" s="28"/>
      <c r="BA2530" s="28"/>
      <c r="BB2530" s="28">
        <f>22+48</f>
        <v>70</v>
      </c>
      <c r="BC2530" s="229">
        <f t="shared" si="1043"/>
        <v>0</v>
      </c>
      <c r="BD2530" s="48">
        <f t="shared" si="1044"/>
        <v>268</v>
      </c>
      <c r="BE2530" s="19">
        <v>178</v>
      </c>
      <c r="BF2530" s="229">
        <f t="shared" si="1045"/>
        <v>0</v>
      </c>
      <c r="BG2530" s="210">
        <f t="shared" si="1046"/>
        <v>268</v>
      </c>
      <c r="BH2530" s="210">
        <f t="shared" si="1047"/>
        <v>178</v>
      </c>
      <c r="BI2530" s="213">
        <f t="shared" si="1048"/>
        <v>150.56179775280899</v>
      </c>
      <c r="BJ2530" s="141"/>
      <c r="BK2530" s="201"/>
      <c r="BL2530" s="4"/>
      <c r="BM2530" s="4"/>
    </row>
    <row r="2531" spans="1:65" s="38" customFormat="1" ht="18" customHeight="1">
      <c r="A2531" s="114">
        <v>9</v>
      </c>
      <c r="B2531" s="24" t="s">
        <v>672</v>
      </c>
      <c r="C2531" s="25" t="s">
        <v>1028</v>
      </c>
      <c r="D2531" s="121"/>
      <c r="E2531" s="121"/>
      <c r="F2531" s="121"/>
      <c r="G2531" s="121"/>
      <c r="H2531" s="121"/>
      <c r="I2531" s="121">
        <v>1</v>
      </c>
      <c r="J2531" s="121"/>
      <c r="K2531" s="121"/>
      <c r="L2531" s="121"/>
      <c r="M2531" s="121"/>
      <c r="N2531" s="121"/>
      <c r="O2531" s="121">
        <v>1</v>
      </c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229">
        <f t="shared" si="1041"/>
        <v>0</v>
      </c>
      <c r="AC2531" s="228">
        <f t="shared" si="1042"/>
        <v>2</v>
      </c>
      <c r="AD2531" s="19">
        <v>0</v>
      </c>
      <c r="AE2531" s="28"/>
      <c r="AF2531" s="28"/>
      <c r="AG2531" s="28"/>
      <c r="AH2531" s="28"/>
      <c r="AI2531" s="28"/>
      <c r="AJ2531" s="28">
        <f>382+414+7</f>
        <v>803</v>
      </c>
      <c r="AK2531" s="28"/>
      <c r="AL2531" s="28"/>
      <c r="AM2531" s="28"/>
      <c r="AN2531" s="28"/>
      <c r="AO2531" s="28"/>
      <c r="AP2531" s="28">
        <f>4+265+345</f>
        <v>614</v>
      </c>
      <c r="AQ2531" s="28"/>
      <c r="AR2531" s="28"/>
      <c r="AS2531" s="28"/>
      <c r="AT2531" s="28"/>
      <c r="AU2531" s="28"/>
      <c r="AV2531" s="28">
        <f>242+386+3</f>
        <v>631</v>
      </c>
      <c r="AW2531" s="28"/>
      <c r="AX2531" s="28"/>
      <c r="AY2531" s="28"/>
      <c r="AZ2531" s="28"/>
      <c r="BA2531" s="28"/>
      <c r="BB2531" s="28">
        <f>397+419+1</f>
        <v>817</v>
      </c>
      <c r="BC2531" s="229">
        <f t="shared" si="1043"/>
        <v>0</v>
      </c>
      <c r="BD2531" s="48">
        <f t="shared" si="1044"/>
        <v>2865</v>
      </c>
      <c r="BE2531" s="19">
        <v>2782</v>
      </c>
      <c r="BF2531" s="229">
        <f t="shared" si="1045"/>
        <v>0</v>
      </c>
      <c r="BG2531" s="210">
        <f t="shared" si="1046"/>
        <v>2867</v>
      </c>
      <c r="BH2531" s="210">
        <f t="shared" si="1047"/>
        <v>2782</v>
      </c>
      <c r="BI2531" s="213">
        <f t="shared" si="1048"/>
        <v>103.05535585909418</v>
      </c>
      <c r="BJ2531" s="141"/>
      <c r="BK2531" s="201"/>
      <c r="BL2531" s="4"/>
      <c r="BM2531" s="4"/>
    </row>
    <row r="2532" spans="1:65" s="38" customFormat="1" ht="18" customHeight="1">
      <c r="A2532" s="114">
        <v>10</v>
      </c>
      <c r="B2532" s="24" t="s">
        <v>563</v>
      </c>
      <c r="C2532" s="25" t="s">
        <v>564</v>
      </c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>
        <v>1</v>
      </c>
      <c r="V2532" s="121"/>
      <c r="W2532" s="121"/>
      <c r="X2532" s="121"/>
      <c r="Y2532" s="121"/>
      <c r="Z2532" s="121"/>
      <c r="AA2532" s="121"/>
      <c r="AB2532" s="229">
        <f t="shared" si="1041"/>
        <v>0</v>
      </c>
      <c r="AC2532" s="228">
        <f t="shared" si="1042"/>
        <v>1</v>
      </c>
      <c r="AD2532" s="19">
        <v>0</v>
      </c>
      <c r="AE2532" s="28"/>
      <c r="AF2532" s="28"/>
      <c r="AG2532" s="28"/>
      <c r="AH2532" s="28"/>
      <c r="AI2532" s="28"/>
      <c r="AJ2532" s="28">
        <v>2</v>
      </c>
      <c r="AK2532" s="28"/>
      <c r="AL2532" s="28"/>
      <c r="AM2532" s="28"/>
      <c r="AN2532" s="28"/>
      <c r="AO2532" s="28"/>
      <c r="AP2532" s="28">
        <f>2+5</f>
        <v>7</v>
      </c>
      <c r="AQ2532" s="28"/>
      <c r="AR2532" s="28"/>
      <c r="AS2532" s="28"/>
      <c r="AT2532" s="28"/>
      <c r="AU2532" s="28"/>
      <c r="AV2532" s="28">
        <v>6</v>
      </c>
      <c r="AW2532" s="28"/>
      <c r="AX2532" s="28"/>
      <c r="AY2532" s="28"/>
      <c r="AZ2532" s="28"/>
      <c r="BA2532" s="28"/>
      <c r="BB2532" s="28">
        <f>2+5</f>
        <v>7</v>
      </c>
      <c r="BC2532" s="229">
        <f t="shared" si="1043"/>
        <v>0</v>
      </c>
      <c r="BD2532" s="48">
        <f t="shared" si="1044"/>
        <v>22</v>
      </c>
      <c r="BE2532" s="19">
        <v>31</v>
      </c>
      <c r="BF2532" s="229">
        <f t="shared" si="1045"/>
        <v>0</v>
      </c>
      <c r="BG2532" s="210">
        <f t="shared" si="1046"/>
        <v>23</v>
      </c>
      <c r="BH2532" s="210">
        <f t="shared" si="1047"/>
        <v>31</v>
      </c>
      <c r="BI2532" s="213">
        <f t="shared" si="1048"/>
        <v>74.193548387096769</v>
      </c>
      <c r="BJ2532" s="141"/>
      <c r="BK2532" s="201"/>
      <c r="BL2532" s="4"/>
      <c r="BM2532" s="4"/>
    </row>
    <row r="2533" spans="1:65" s="38" customFormat="1" ht="18" customHeight="1">
      <c r="A2533" s="114">
        <v>11</v>
      </c>
      <c r="B2533" s="24" t="s">
        <v>565</v>
      </c>
      <c r="C2533" s="25" t="s">
        <v>566</v>
      </c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229">
        <f t="shared" si="1041"/>
        <v>0</v>
      </c>
      <c r="AC2533" s="228">
        <f t="shared" si="1042"/>
        <v>0</v>
      </c>
      <c r="AD2533" s="19">
        <v>0</v>
      </c>
      <c r="AE2533" s="28"/>
      <c r="AF2533" s="28"/>
      <c r="AG2533" s="28"/>
      <c r="AH2533" s="28"/>
      <c r="AI2533" s="28"/>
      <c r="AJ2533" s="28">
        <f>4+37</f>
        <v>41</v>
      </c>
      <c r="AK2533" s="28"/>
      <c r="AL2533" s="28"/>
      <c r="AM2533" s="28"/>
      <c r="AN2533" s="28"/>
      <c r="AO2533" s="28"/>
      <c r="AP2533" s="28">
        <f>6+49</f>
        <v>55</v>
      </c>
      <c r="AQ2533" s="28"/>
      <c r="AR2533" s="28"/>
      <c r="AS2533" s="28"/>
      <c r="AT2533" s="28"/>
      <c r="AU2533" s="28"/>
      <c r="AV2533" s="28">
        <f>3+40</f>
        <v>43</v>
      </c>
      <c r="AW2533" s="28"/>
      <c r="AX2533" s="28"/>
      <c r="AY2533" s="28"/>
      <c r="AZ2533" s="28"/>
      <c r="BA2533" s="28"/>
      <c r="BB2533" s="28">
        <f>4+34</f>
        <v>38</v>
      </c>
      <c r="BC2533" s="229">
        <f t="shared" si="1043"/>
        <v>0</v>
      </c>
      <c r="BD2533" s="48">
        <f t="shared" si="1044"/>
        <v>177</v>
      </c>
      <c r="BE2533" s="19">
        <v>286</v>
      </c>
      <c r="BF2533" s="229">
        <f t="shared" si="1045"/>
        <v>0</v>
      </c>
      <c r="BG2533" s="210">
        <f t="shared" si="1046"/>
        <v>177</v>
      </c>
      <c r="BH2533" s="210">
        <f t="shared" si="1047"/>
        <v>286</v>
      </c>
      <c r="BI2533" s="213">
        <f t="shared" si="1048"/>
        <v>61.888111888111887</v>
      </c>
      <c r="BJ2533" s="141"/>
      <c r="BK2533" s="201"/>
      <c r="BL2533" s="4"/>
      <c r="BM2533" s="4"/>
    </row>
    <row r="2534" spans="1:65" s="38" customFormat="1" ht="18" customHeight="1">
      <c r="A2534" s="114">
        <v>12</v>
      </c>
      <c r="B2534" s="24" t="s">
        <v>707</v>
      </c>
      <c r="C2534" s="25" t="s">
        <v>708</v>
      </c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229">
        <f t="shared" si="1041"/>
        <v>0</v>
      </c>
      <c r="AC2534" s="228">
        <f t="shared" si="1042"/>
        <v>0</v>
      </c>
      <c r="AD2534" s="19">
        <v>0</v>
      </c>
      <c r="AE2534" s="28"/>
      <c r="AF2534" s="28"/>
      <c r="AG2534" s="28"/>
      <c r="AH2534" s="28"/>
      <c r="AI2534" s="28"/>
      <c r="AJ2534" s="28">
        <f>6+11</f>
        <v>17</v>
      </c>
      <c r="AK2534" s="28"/>
      <c r="AL2534" s="28"/>
      <c r="AM2534" s="28"/>
      <c r="AN2534" s="28"/>
      <c r="AO2534" s="28"/>
      <c r="AP2534" s="28">
        <v>31</v>
      </c>
      <c r="AQ2534" s="28"/>
      <c r="AR2534" s="28"/>
      <c r="AS2534" s="28"/>
      <c r="AT2534" s="28"/>
      <c r="AU2534" s="28"/>
      <c r="AV2534" s="28">
        <v>1</v>
      </c>
      <c r="AW2534" s="28"/>
      <c r="AX2534" s="28"/>
      <c r="AY2534" s="28"/>
      <c r="AZ2534" s="28"/>
      <c r="BA2534" s="28"/>
      <c r="BB2534" s="28">
        <v>1</v>
      </c>
      <c r="BC2534" s="229">
        <f t="shared" si="1043"/>
        <v>0</v>
      </c>
      <c r="BD2534" s="48">
        <f t="shared" si="1044"/>
        <v>50</v>
      </c>
      <c r="BE2534" s="19">
        <v>42</v>
      </c>
      <c r="BF2534" s="229">
        <f t="shared" si="1045"/>
        <v>0</v>
      </c>
      <c r="BG2534" s="210">
        <f t="shared" si="1046"/>
        <v>50</v>
      </c>
      <c r="BH2534" s="210">
        <f t="shared" si="1047"/>
        <v>42</v>
      </c>
      <c r="BI2534" s="213">
        <f t="shared" si="1048"/>
        <v>119.04761904761905</v>
      </c>
      <c r="BJ2534" s="141"/>
      <c r="BK2534" s="201"/>
      <c r="BL2534" s="4"/>
      <c r="BM2534" s="4"/>
    </row>
    <row r="2535" spans="1:65" s="38" customFormat="1" ht="18" customHeight="1">
      <c r="A2535" s="114">
        <v>13</v>
      </c>
      <c r="B2535" s="24" t="s">
        <v>567</v>
      </c>
      <c r="C2535" s="25" t="s">
        <v>568</v>
      </c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229">
        <f t="shared" si="1041"/>
        <v>0</v>
      </c>
      <c r="AC2535" s="228">
        <f t="shared" si="1042"/>
        <v>0</v>
      </c>
      <c r="AD2535" s="19">
        <v>0</v>
      </c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29">
        <f t="shared" si="1043"/>
        <v>0</v>
      </c>
      <c r="BD2535" s="48">
        <f t="shared" si="1044"/>
        <v>0</v>
      </c>
      <c r="BE2535" s="19">
        <v>14</v>
      </c>
      <c r="BF2535" s="229">
        <f t="shared" si="1045"/>
        <v>0</v>
      </c>
      <c r="BG2535" s="210">
        <f t="shared" si="1046"/>
        <v>0</v>
      </c>
      <c r="BH2535" s="210">
        <f t="shared" si="1047"/>
        <v>14</v>
      </c>
      <c r="BI2535" s="213">
        <f t="shared" si="1048"/>
        <v>0</v>
      </c>
      <c r="BJ2535" s="141"/>
      <c r="BK2535" s="201"/>
      <c r="BL2535" s="4"/>
      <c r="BM2535" s="4"/>
    </row>
    <row r="2536" spans="1:65" s="38" customFormat="1" ht="18" customHeight="1">
      <c r="A2536" s="114">
        <v>14</v>
      </c>
      <c r="B2536" s="24" t="s">
        <v>569</v>
      </c>
      <c r="C2536" s="25" t="s">
        <v>680</v>
      </c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229">
        <f t="shared" si="1041"/>
        <v>0</v>
      </c>
      <c r="AC2536" s="228">
        <f t="shared" si="1042"/>
        <v>0</v>
      </c>
      <c r="AD2536" s="19">
        <v>0</v>
      </c>
      <c r="AE2536" s="28"/>
      <c r="AF2536" s="28"/>
      <c r="AG2536" s="28"/>
      <c r="AH2536" s="28"/>
      <c r="AI2536" s="28"/>
      <c r="AJ2536" s="28">
        <f>1+23</f>
        <v>24</v>
      </c>
      <c r="AK2536" s="28"/>
      <c r="AL2536" s="28"/>
      <c r="AM2536" s="28"/>
      <c r="AN2536" s="28"/>
      <c r="AO2536" s="28"/>
      <c r="AP2536" s="28">
        <v>21</v>
      </c>
      <c r="AQ2536" s="28"/>
      <c r="AR2536" s="28"/>
      <c r="AS2536" s="28"/>
      <c r="AT2536" s="28"/>
      <c r="AU2536" s="28"/>
      <c r="AV2536" s="28">
        <f>1+26</f>
        <v>27</v>
      </c>
      <c r="AW2536" s="28"/>
      <c r="AX2536" s="28"/>
      <c r="AY2536" s="28"/>
      <c r="AZ2536" s="28"/>
      <c r="BA2536" s="28"/>
      <c r="BB2536" s="28">
        <f>8+22+1</f>
        <v>31</v>
      </c>
      <c r="BC2536" s="229">
        <f t="shared" si="1043"/>
        <v>0</v>
      </c>
      <c r="BD2536" s="48">
        <f t="shared" si="1044"/>
        <v>103</v>
      </c>
      <c r="BE2536" s="19">
        <v>92</v>
      </c>
      <c r="BF2536" s="229">
        <f t="shared" si="1045"/>
        <v>0</v>
      </c>
      <c r="BG2536" s="210">
        <f t="shared" si="1046"/>
        <v>103</v>
      </c>
      <c r="BH2536" s="210">
        <f t="shared" si="1047"/>
        <v>92</v>
      </c>
      <c r="BI2536" s="213">
        <f t="shared" si="1048"/>
        <v>111.95652173913044</v>
      </c>
      <c r="BJ2536" s="141"/>
      <c r="BK2536" s="201"/>
      <c r="BL2536" s="4"/>
      <c r="BM2536" s="4"/>
    </row>
    <row r="2537" spans="1:65" s="38" customFormat="1" ht="18" customHeight="1">
      <c r="A2537" s="114">
        <v>15</v>
      </c>
      <c r="B2537" s="24" t="s">
        <v>571</v>
      </c>
      <c r="C2537" s="25" t="s">
        <v>572</v>
      </c>
      <c r="D2537" s="121"/>
      <c r="E2537" s="121"/>
      <c r="F2537" s="121"/>
      <c r="G2537" s="121"/>
      <c r="H2537" s="121"/>
      <c r="I2537" s="121">
        <v>3</v>
      </c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229">
        <f t="shared" si="1041"/>
        <v>0</v>
      </c>
      <c r="AC2537" s="228">
        <f t="shared" si="1042"/>
        <v>3</v>
      </c>
      <c r="AD2537" s="19">
        <v>0</v>
      </c>
      <c r="AE2537" s="28"/>
      <c r="AF2537" s="28"/>
      <c r="AG2537" s="28"/>
      <c r="AH2537" s="28"/>
      <c r="AI2537" s="28"/>
      <c r="AJ2537" s="28">
        <f>635+2+814+13+14</f>
        <v>1478</v>
      </c>
      <c r="AK2537" s="28"/>
      <c r="AL2537" s="28"/>
      <c r="AM2537" s="28"/>
      <c r="AN2537" s="28"/>
      <c r="AO2537" s="28"/>
      <c r="AP2537" s="28">
        <f>586+867</f>
        <v>1453</v>
      </c>
      <c r="AQ2537" s="28"/>
      <c r="AR2537" s="28"/>
      <c r="AS2537" s="28"/>
      <c r="AT2537" s="28"/>
      <c r="AU2537" s="28"/>
      <c r="AV2537" s="28">
        <f>496+878+10</f>
        <v>1384</v>
      </c>
      <c r="AW2537" s="28"/>
      <c r="AX2537" s="28"/>
      <c r="AY2537" s="28"/>
      <c r="AZ2537" s="28"/>
      <c r="BA2537" s="28"/>
      <c r="BB2537" s="28">
        <f>668+1002+1</f>
        <v>1671</v>
      </c>
      <c r="BC2537" s="229">
        <f t="shared" si="1043"/>
        <v>0</v>
      </c>
      <c r="BD2537" s="48">
        <f t="shared" si="1044"/>
        <v>5986</v>
      </c>
      <c r="BE2537" s="19">
        <v>5181</v>
      </c>
      <c r="BF2537" s="229">
        <f t="shared" si="1045"/>
        <v>0</v>
      </c>
      <c r="BG2537" s="210">
        <f t="shared" si="1046"/>
        <v>5989</v>
      </c>
      <c r="BH2537" s="210">
        <f t="shared" si="1047"/>
        <v>5181</v>
      </c>
      <c r="BI2537" s="213">
        <f t="shared" si="1048"/>
        <v>115.59544489480795</v>
      </c>
      <c r="BJ2537" s="141"/>
      <c r="BK2537" s="201"/>
      <c r="BL2537" s="4"/>
      <c r="BM2537" s="4"/>
    </row>
    <row r="2538" spans="1:65" s="38" customFormat="1" ht="18" customHeight="1">
      <c r="A2538" s="114">
        <v>16</v>
      </c>
      <c r="B2538" s="24" t="s">
        <v>573</v>
      </c>
      <c r="C2538" s="25" t="s">
        <v>574</v>
      </c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229">
        <f t="shared" si="1041"/>
        <v>0</v>
      </c>
      <c r="AC2538" s="228">
        <f t="shared" si="1042"/>
        <v>0</v>
      </c>
      <c r="AD2538" s="19">
        <v>0</v>
      </c>
      <c r="AE2538" s="28"/>
      <c r="AF2538" s="28"/>
      <c r="AG2538" s="28"/>
      <c r="AH2538" s="28"/>
      <c r="AI2538" s="28"/>
      <c r="AJ2538" s="28">
        <v>5</v>
      </c>
      <c r="AK2538" s="28"/>
      <c r="AL2538" s="28"/>
      <c r="AM2538" s="28"/>
      <c r="AN2538" s="28"/>
      <c r="AO2538" s="28"/>
      <c r="AP2538" s="28">
        <v>8</v>
      </c>
      <c r="AQ2538" s="28"/>
      <c r="AR2538" s="28"/>
      <c r="AS2538" s="28"/>
      <c r="AT2538" s="28"/>
      <c r="AU2538" s="28"/>
      <c r="AV2538" s="28">
        <v>16</v>
      </c>
      <c r="AW2538" s="28"/>
      <c r="AX2538" s="28"/>
      <c r="AY2538" s="28"/>
      <c r="AZ2538" s="28"/>
      <c r="BA2538" s="28"/>
      <c r="BB2538" s="28">
        <f>1+7</f>
        <v>8</v>
      </c>
      <c r="BC2538" s="229">
        <f t="shared" si="1043"/>
        <v>0</v>
      </c>
      <c r="BD2538" s="48">
        <f t="shared" si="1044"/>
        <v>37</v>
      </c>
      <c r="BE2538" s="19">
        <v>54</v>
      </c>
      <c r="BF2538" s="229">
        <f t="shared" si="1045"/>
        <v>0</v>
      </c>
      <c r="BG2538" s="210">
        <f t="shared" si="1046"/>
        <v>37</v>
      </c>
      <c r="BH2538" s="210">
        <f t="shared" si="1047"/>
        <v>54</v>
      </c>
      <c r="BI2538" s="213">
        <f t="shared" si="1048"/>
        <v>68.518518518518519</v>
      </c>
      <c r="BJ2538" s="141"/>
      <c r="BK2538" s="201"/>
      <c r="BL2538" s="4"/>
      <c r="BM2538" s="4"/>
    </row>
    <row r="2539" spans="1:65" s="38" customFormat="1" ht="18" customHeight="1">
      <c r="A2539" s="114">
        <v>17</v>
      </c>
      <c r="B2539" s="24" t="s">
        <v>575</v>
      </c>
      <c r="C2539" s="27" t="s">
        <v>711</v>
      </c>
      <c r="D2539" s="121"/>
      <c r="E2539" s="121"/>
      <c r="F2539" s="121"/>
      <c r="G2539" s="121"/>
      <c r="H2539" s="121"/>
      <c r="I2539" s="121">
        <v>1</v>
      </c>
      <c r="J2539" s="121"/>
      <c r="K2539" s="121"/>
      <c r="L2539" s="121"/>
      <c r="M2539" s="121"/>
      <c r="N2539" s="121"/>
      <c r="O2539" s="121">
        <v>1</v>
      </c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229">
        <f t="shared" si="1041"/>
        <v>0</v>
      </c>
      <c r="AC2539" s="228">
        <f t="shared" si="1042"/>
        <v>2</v>
      </c>
      <c r="AD2539" s="19">
        <v>0</v>
      </c>
      <c r="AE2539" s="28"/>
      <c r="AF2539" s="28"/>
      <c r="AG2539" s="28"/>
      <c r="AH2539" s="28"/>
      <c r="AI2539" s="28"/>
      <c r="AJ2539" s="28">
        <f>11+161+4</f>
        <v>176</v>
      </c>
      <c r="AK2539" s="28"/>
      <c r="AL2539" s="28"/>
      <c r="AM2539" s="28"/>
      <c r="AN2539" s="28"/>
      <c r="AO2539" s="28"/>
      <c r="AP2539" s="28">
        <f>21+168</f>
        <v>189</v>
      </c>
      <c r="AQ2539" s="28"/>
      <c r="AR2539" s="28"/>
      <c r="AS2539" s="28"/>
      <c r="AT2539" s="28"/>
      <c r="AU2539" s="28"/>
      <c r="AV2539" s="28">
        <f>9+186+4</f>
        <v>199</v>
      </c>
      <c r="AW2539" s="28"/>
      <c r="AX2539" s="28"/>
      <c r="AY2539" s="28"/>
      <c r="AZ2539" s="28"/>
      <c r="BA2539" s="28"/>
      <c r="BB2539" s="28">
        <f>28+192+1</f>
        <v>221</v>
      </c>
      <c r="BC2539" s="229">
        <f t="shared" si="1043"/>
        <v>0</v>
      </c>
      <c r="BD2539" s="48">
        <f t="shared" si="1044"/>
        <v>785</v>
      </c>
      <c r="BE2539" s="19">
        <v>922</v>
      </c>
      <c r="BF2539" s="229">
        <f t="shared" si="1045"/>
        <v>0</v>
      </c>
      <c r="BG2539" s="210">
        <f t="shared" si="1046"/>
        <v>787</v>
      </c>
      <c r="BH2539" s="210">
        <f t="shared" si="1047"/>
        <v>922</v>
      </c>
      <c r="BI2539" s="213">
        <f t="shared" si="1048"/>
        <v>85.357917570498927</v>
      </c>
      <c r="BJ2539" s="141"/>
      <c r="BK2539" s="201"/>
      <c r="BL2539" s="4"/>
      <c r="BM2539" s="4"/>
    </row>
    <row r="2540" spans="1:65" s="38" customFormat="1" ht="18" customHeight="1">
      <c r="A2540" s="114">
        <v>18</v>
      </c>
      <c r="B2540" s="24" t="s">
        <v>1597</v>
      </c>
      <c r="C2540" s="27" t="s">
        <v>1598</v>
      </c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229">
        <f t="shared" si="1041"/>
        <v>0</v>
      </c>
      <c r="AC2540" s="228">
        <f t="shared" si="1042"/>
        <v>0</v>
      </c>
      <c r="AD2540" s="19">
        <v>0</v>
      </c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>
        <v>3</v>
      </c>
      <c r="AQ2540" s="28"/>
      <c r="AR2540" s="28"/>
      <c r="AS2540" s="28"/>
      <c r="AT2540" s="28"/>
      <c r="AU2540" s="28"/>
      <c r="AV2540" s="28">
        <v>1</v>
      </c>
      <c r="AW2540" s="28"/>
      <c r="AX2540" s="28"/>
      <c r="AY2540" s="28"/>
      <c r="AZ2540" s="28"/>
      <c r="BA2540" s="28"/>
      <c r="BB2540" s="28"/>
      <c r="BC2540" s="229">
        <f t="shared" si="1043"/>
        <v>0</v>
      </c>
      <c r="BD2540" s="48">
        <f t="shared" si="1044"/>
        <v>4</v>
      </c>
      <c r="BE2540" s="19">
        <v>10</v>
      </c>
      <c r="BF2540" s="229">
        <f t="shared" si="1045"/>
        <v>0</v>
      </c>
      <c r="BG2540" s="210">
        <f t="shared" si="1046"/>
        <v>4</v>
      </c>
      <c r="BH2540" s="210">
        <f t="shared" si="1047"/>
        <v>10</v>
      </c>
      <c r="BI2540" s="213">
        <f t="shared" si="1048"/>
        <v>40</v>
      </c>
      <c r="BJ2540" s="141"/>
      <c r="BK2540" s="201"/>
      <c r="BL2540" s="4"/>
      <c r="BM2540" s="4"/>
    </row>
    <row r="2541" spans="1:65" s="38" customFormat="1" ht="18" customHeight="1">
      <c r="A2541" s="114">
        <v>19</v>
      </c>
      <c r="B2541" s="24" t="s">
        <v>1581</v>
      </c>
      <c r="C2541" s="25" t="s">
        <v>1582</v>
      </c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229">
        <f t="shared" si="1041"/>
        <v>0</v>
      </c>
      <c r="AC2541" s="228">
        <f t="shared" si="1042"/>
        <v>0</v>
      </c>
      <c r="AD2541" s="19">
        <v>6</v>
      </c>
      <c r="AE2541" s="28"/>
      <c r="AF2541" s="28"/>
      <c r="AG2541" s="28"/>
      <c r="AH2541" s="28"/>
      <c r="AI2541" s="28"/>
      <c r="AJ2541" s="28">
        <f>35+1</f>
        <v>36</v>
      </c>
      <c r="AK2541" s="28"/>
      <c r="AL2541" s="28"/>
      <c r="AM2541" s="28"/>
      <c r="AN2541" s="28"/>
      <c r="AO2541" s="28"/>
      <c r="AP2541" s="28">
        <v>47</v>
      </c>
      <c r="AQ2541" s="28"/>
      <c r="AR2541" s="28"/>
      <c r="AS2541" s="28"/>
      <c r="AT2541" s="28"/>
      <c r="AU2541" s="28"/>
      <c r="AV2541" s="28">
        <v>45</v>
      </c>
      <c r="AW2541" s="28"/>
      <c r="AX2541" s="28"/>
      <c r="AY2541" s="28"/>
      <c r="AZ2541" s="28"/>
      <c r="BA2541" s="28"/>
      <c r="BB2541" s="28">
        <f>42+1</f>
        <v>43</v>
      </c>
      <c r="BC2541" s="229">
        <f t="shared" si="1043"/>
        <v>0</v>
      </c>
      <c r="BD2541" s="48">
        <f t="shared" si="1044"/>
        <v>171</v>
      </c>
      <c r="BE2541" s="19">
        <v>101</v>
      </c>
      <c r="BF2541" s="229">
        <f t="shared" si="1045"/>
        <v>0</v>
      </c>
      <c r="BG2541" s="210">
        <f t="shared" si="1046"/>
        <v>171</v>
      </c>
      <c r="BH2541" s="210">
        <f t="shared" si="1047"/>
        <v>107</v>
      </c>
      <c r="BI2541" s="213">
        <f t="shared" si="1048"/>
        <v>159.81308411214954</v>
      </c>
      <c r="BJ2541" s="141"/>
      <c r="BK2541" s="201"/>
      <c r="BL2541" s="4"/>
      <c r="BM2541" s="4"/>
    </row>
    <row r="2542" spans="1:65" s="38" customFormat="1" ht="18" customHeight="1">
      <c r="A2542" s="114">
        <v>20</v>
      </c>
      <c r="B2542" s="24" t="s">
        <v>1002</v>
      </c>
      <c r="C2542" s="25" t="s">
        <v>1003</v>
      </c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229">
        <f t="shared" si="1041"/>
        <v>0</v>
      </c>
      <c r="AC2542" s="228">
        <f t="shared" si="1042"/>
        <v>0</v>
      </c>
      <c r="AD2542" s="19">
        <v>0</v>
      </c>
      <c r="AE2542" s="28"/>
      <c r="AF2542" s="28"/>
      <c r="AG2542" s="28"/>
      <c r="AH2542" s="28"/>
      <c r="AI2542" s="28"/>
      <c r="AJ2542" s="28">
        <f>1+43</f>
        <v>44</v>
      </c>
      <c r="AK2542" s="28"/>
      <c r="AL2542" s="28"/>
      <c r="AM2542" s="28"/>
      <c r="AN2542" s="28"/>
      <c r="AO2542" s="28"/>
      <c r="AP2542" s="28">
        <f>5+56</f>
        <v>61</v>
      </c>
      <c r="AQ2542" s="28"/>
      <c r="AR2542" s="28"/>
      <c r="AS2542" s="28"/>
      <c r="AT2542" s="28"/>
      <c r="AU2542" s="28"/>
      <c r="AV2542" s="28">
        <f>3+51</f>
        <v>54</v>
      </c>
      <c r="AW2542" s="28"/>
      <c r="AX2542" s="28"/>
      <c r="AY2542" s="28"/>
      <c r="AZ2542" s="28"/>
      <c r="BA2542" s="28"/>
      <c r="BB2542" s="28">
        <f>2+43</f>
        <v>45</v>
      </c>
      <c r="BC2542" s="229">
        <f t="shared" si="1043"/>
        <v>0</v>
      </c>
      <c r="BD2542" s="48">
        <f t="shared" si="1044"/>
        <v>204</v>
      </c>
      <c r="BE2542" s="19">
        <v>187</v>
      </c>
      <c r="BF2542" s="229">
        <f t="shared" si="1045"/>
        <v>0</v>
      </c>
      <c r="BG2542" s="210">
        <f t="shared" si="1046"/>
        <v>204</v>
      </c>
      <c r="BH2542" s="210">
        <f t="shared" si="1047"/>
        <v>187</v>
      </c>
      <c r="BI2542" s="213">
        <f t="shared" si="1048"/>
        <v>109.09090909090908</v>
      </c>
      <c r="BJ2542" s="141"/>
      <c r="BK2542" s="201"/>
      <c r="BL2542" s="4"/>
      <c r="BM2542" s="4"/>
    </row>
    <row r="2543" spans="1:65" s="38" customFormat="1" ht="18" customHeight="1">
      <c r="A2543" s="114">
        <v>21</v>
      </c>
      <c r="B2543" s="24" t="s">
        <v>1988</v>
      </c>
      <c r="C2543" s="25" t="s">
        <v>1989</v>
      </c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229">
        <f t="shared" si="1041"/>
        <v>0</v>
      </c>
      <c r="AC2543" s="228">
        <f t="shared" si="1042"/>
        <v>0</v>
      </c>
      <c r="AD2543" s="19">
        <v>0</v>
      </c>
      <c r="AE2543" s="28"/>
      <c r="AF2543" s="28"/>
      <c r="AG2543" s="28"/>
      <c r="AH2543" s="28"/>
      <c r="AI2543" s="28"/>
      <c r="AJ2543" s="28">
        <v>1</v>
      </c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>
        <v>1</v>
      </c>
      <c r="AW2543" s="28"/>
      <c r="AX2543" s="28"/>
      <c r="AY2543" s="28"/>
      <c r="AZ2543" s="28"/>
      <c r="BA2543" s="28"/>
      <c r="BB2543" s="28"/>
      <c r="BC2543" s="229">
        <f t="shared" si="1043"/>
        <v>0</v>
      </c>
      <c r="BD2543" s="48">
        <f t="shared" si="1044"/>
        <v>2</v>
      </c>
      <c r="BE2543" s="19">
        <v>1</v>
      </c>
      <c r="BF2543" s="229">
        <f t="shared" si="1045"/>
        <v>0</v>
      </c>
      <c r="BG2543" s="210">
        <f t="shared" si="1046"/>
        <v>2</v>
      </c>
      <c r="BH2543" s="210">
        <f t="shared" si="1047"/>
        <v>1</v>
      </c>
      <c r="BI2543" s="213">
        <f t="shared" si="1048"/>
        <v>200</v>
      </c>
      <c r="BJ2543" s="141"/>
      <c r="BK2543" s="201"/>
      <c r="BL2543" s="4"/>
      <c r="BM2543" s="4"/>
    </row>
    <row r="2544" spans="1:65" s="38" customFormat="1" ht="21.95" customHeight="1">
      <c r="A2544" s="114">
        <v>22</v>
      </c>
      <c r="B2544" s="24" t="s">
        <v>1863</v>
      </c>
      <c r="C2544" s="25" t="s">
        <v>1864</v>
      </c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229">
        <f t="shared" si="1041"/>
        <v>0</v>
      </c>
      <c r="AC2544" s="228">
        <f t="shared" si="1042"/>
        <v>0</v>
      </c>
      <c r="AD2544" s="19">
        <v>3</v>
      </c>
      <c r="AE2544" s="28"/>
      <c r="AF2544" s="28"/>
      <c r="AG2544" s="28"/>
      <c r="AH2544" s="28"/>
      <c r="AI2544" s="28"/>
      <c r="AJ2544" s="28">
        <v>25</v>
      </c>
      <c r="AK2544" s="28"/>
      <c r="AL2544" s="28"/>
      <c r="AM2544" s="28"/>
      <c r="AN2544" s="28"/>
      <c r="AO2544" s="28"/>
      <c r="AP2544" s="28">
        <v>31</v>
      </c>
      <c r="AQ2544" s="28"/>
      <c r="AR2544" s="28"/>
      <c r="AS2544" s="28"/>
      <c r="AT2544" s="28"/>
      <c r="AU2544" s="28"/>
      <c r="AV2544" s="28">
        <v>11</v>
      </c>
      <c r="AW2544" s="28"/>
      <c r="AX2544" s="28"/>
      <c r="AY2544" s="28"/>
      <c r="AZ2544" s="28"/>
      <c r="BA2544" s="28"/>
      <c r="BB2544" s="28">
        <v>4</v>
      </c>
      <c r="BC2544" s="229">
        <f t="shared" si="1043"/>
        <v>0</v>
      </c>
      <c r="BD2544" s="48">
        <f t="shared" si="1044"/>
        <v>71</v>
      </c>
      <c r="BE2544" s="19">
        <v>116</v>
      </c>
      <c r="BF2544" s="229">
        <f t="shared" si="1045"/>
        <v>0</v>
      </c>
      <c r="BG2544" s="210">
        <f t="shared" si="1046"/>
        <v>71</v>
      </c>
      <c r="BH2544" s="210">
        <f t="shared" si="1047"/>
        <v>119</v>
      </c>
      <c r="BI2544" s="213">
        <f t="shared" si="1048"/>
        <v>59.663865546218489</v>
      </c>
      <c r="BJ2544" s="141"/>
      <c r="BK2544" s="201"/>
      <c r="BL2544" s="4"/>
      <c r="BM2544" s="4"/>
    </row>
    <row r="2545" spans="1:65" s="38" customFormat="1" ht="21.95" customHeight="1">
      <c r="A2545" s="114">
        <v>23</v>
      </c>
      <c r="B2545" s="24" t="s">
        <v>3022</v>
      </c>
      <c r="C2545" s="25" t="s">
        <v>3023</v>
      </c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229">
        <f t="shared" si="1041"/>
        <v>0</v>
      </c>
      <c r="AC2545" s="228">
        <f t="shared" si="1042"/>
        <v>0</v>
      </c>
      <c r="AD2545" s="19">
        <v>0</v>
      </c>
      <c r="AE2545" s="28"/>
      <c r="AF2545" s="28"/>
      <c r="AG2545" s="28"/>
      <c r="AH2545" s="28"/>
      <c r="AI2545" s="28"/>
      <c r="AJ2545" s="28">
        <v>1</v>
      </c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>
        <v>1</v>
      </c>
      <c r="AW2545" s="28"/>
      <c r="AX2545" s="28"/>
      <c r="AY2545" s="28"/>
      <c r="AZ2545" s="28"/>
      <c r="BA2545" s="28"/>
      <c r="BB2545" s="28"/>
      <c r="BC2545" s="229">
        <f t="shared" si="1043"/>
        <v>0</v>
      </c>
      <c r="BD2545" s="48">
        <f t="shared" si="1044"/>
        <v>2</v>
      </c>
      <c r="BE2545" s="19">
        <v>0</v>
      </c>
      <c r="BF2545" s="229">
        <f t="shared" si="1045"/>
        <v>0</v>
      </c>
      <c r="BG2545" s="210">
        <f t="shared" si="1046"/>
        <v>2</v>
      </c>
      <c r="BH2545" s="210">
        <f t="shared" si="1047"/>
        <v>0</v>
      </c>
      <c r="BI2545" s="213" t="e">
        <f t="shared" si="1048"/>
        <v>#DIV/0!</v>
      </c>
      <c r="BJ2545" s="141"/>
      <c r="BK2545" s="201"/>
      <c r="BL2545" s="4"/>
      <c r="BM2545" s="4"/>
    </row>
    <row r="2546" spans="1:65" s="38" customFormat="1" ht="18" customHeight="1">
      <c r="A2546" s="114">
        <v>24</v>
      </c>
      <c r="B2546" s="24" t="s">
        <v>582</v>
      </c>
      <c r="C2546" s="25" t="s">
        <v>583</v>
      </c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229">
        <f t="shared" si="1041"/>
        <v>0</v>
      </c>
      <c r="AC2546" s="228">
        <f t="shared" si="1042"/>
        <v>0</v>
      </c>
      <c r="AD2546" s="19">
        <v>0</v>
      </c>
      <c r="AE2546" s="28"/>
      <c r="AF2546" s="28"/>
      <c r="AG2546" s="28"/>
      <c r="AH2546" s="28"/>
      <c r="AI2546" s="28"/>
      <c r="AJ2546" s="28">
        <f>2+16</f>
        <v>18</v>
      </c>
      <c r="AK2546" s="28"/>
      <c r="AL2546" s="28"/>
      <c r="AM2546" s="28"/>
      <c r="AN2546" s="28"/>
      <c r="AO2546" s="28"/>
      <c r="AP2546" s="28">
        <v>18</v>
      </c>
      <c r="AQ2546" s="28"/>
      <c r="AR2546" s="28"/>
      <c r="AS2546" s="28"/>
      <c r="AT2546" s="28"/>
      <c r="AU2546" s="28"/>
      <c r="AV2546" s="28">
        <f>1+17</f>
        <v>18</v>
      </c>
      <c r="AW2546" s="28"/>
      <c r="AX2546" s="28"/>
      <c r="AY2546" s="28"/>
      <c r="AZ2546" s="28"/>
      <c r="BA2546" s="28"/>
      <c r="BB2546" s="28">
        <f>1+12+1</f>
        <v>14</v>
      </c>
      <c r="BC2546" s="229">
        <f t="shared" si="1043"/>
        <v>0</v>
      </c>
      <c r="BD2546" s="48">
        <f t="shared" si="1044"/>
        <v>68</v>
      </c>
      <c r="BE2546" s="19">
        <v>45</v>
      </c>
      <c r="BF2546" s="229">
        <f t="shared" si="1045"/>
        <v>0</v>
      </c>
      <c r="BG2546" s="210">
        <f t="shared" si="1046"/>
        <v>68</v>
      </c>
      <c r="BH2546" s="210">
        <f t="shared" si="1047"/>
        <v>45</v>
      </c>
      <c r="BI2546" s="213">
        <f t="shared" si="1048"/>
        <v>151.11111111111111</v>
      </c>
      <c r="BJ2546" s="141"/>
      <c r="BK2546" s="201"/>
      <c r="BL2546" s="4"/>
      <c r="BM2546" s="4"/>
    </row>
    <row r="2547" spans="1:65" s="38" customFormat="1" ht="18" customHeight="1">
      <c r="A2547" s="114">
        <v>25</v>
      </c>
      <c r="B2547" s="24" t="s">
        <v>584</v>
      </c>
      <c r="C2547" s="25" t="s">
        <v>2603</v>
      </c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229">
        <f t="shared" si="1041"/>
        <v>0</v>
      </c>
      <c r="AC2547" s="228">
        <f t="shared" si="1042"/>
        <v>0</v>
      </c>
      <c r="AD2547" s="19">
        <v>0</v>
      </c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29">
        <f t="shared" si="1043"/>
        <v>0</v>
      </c>
      <c r="BD2547" s="48">
        <f t="shared" si="1044"/>
        <v>0</v>
      </c>
      <c r="BE2547" s="19">
        <v>738</v>
      </c>
      <c r="BF2547" s="229">
        <f t="shared" si="1045"/>
        <v>0</v>
      </c>
      <c r="BG2547" s="210">
        <f t="shared" si="1046"/>
        <v>0</v>
      </c>
      <c r="BH2547" s="210">
        <f t="shared" si="1047"/>
        <v>738</v>
      </c>
      <c r="BI2547" s="213">
        <f t="shared" si="1048"/>
        <v>0</v>
      </c>
      <c r="BJ2547" s="141"/>
      <c r="BK2547" s="201"/>
      <c r="BL2547" s="4"/>
      <c r="BM2547" s="4"/>
    </row>
    <row r="2548" spans="1:65" s="38" customFormat="1" ht="18" customHeight="1">
      <c r="A2548" s="114">
        <v>26</v>
      </c>
      <c r="B2548" s="24" t="s">
        <v>585</v>
      </c>
      <c r="C2548" s="25" t="s">
        <v>586</v>
      </c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>
        <v>11</v>
      </c>
      <c r="P2548" s="121"/>
      <c r="Q2548" s="121"/>
      <c r="R2548" s="121"/>
      <c r="S2548" s="121"/>
      <c r="T2548" s="121"/>
      <c r="U2548" s="121">
        <v>1</v>
      </c>
      <c r="V2548" s="121"/>
      <c r="W2548" s="121"/>
      <c r="X2548" s="121"/>
      <c r="Y2548" s="121"/>
      <c r="Z2548" s="121"/>
      <c r="AA2548" s="121">
        <v>4</v>
      </c>
      <c r="AB2548" s="229">
        <f t="shared" si="1041"/>
        <v>0</v>
      </c>
      <c r="AC2548" s="228">
        <f t="shared" si="1042"/>
        <v>16</v>
      </c>
      <c r="AD2548" s="19">
        <v>26</v>
      </c>
      <c r="AE2548" s="28"/>
      <c r="AF2548" s="28"/>
      <c r="AG2548" s="28"/>
      <c r="AH2548" s="28"/>
      <c r="AI2548" s="28"/>
      <c r="AJ2548" s="28">
        <f>510+179+1</f>
        <v>690</v>
      </c>
      <c r="AK2548" s="28"/>
      <c r="AL2548" s="28"/>
      <c r="AM2548" s="28"/>
      <c r="AN2548" s="28"/>
      <c r="AO2548" s="28"/>
      <c r="AP2548" s="28">
        <f>388+205</f>
        <v>593</v>
      </c>
      <c r="AQ2548" s="28"/>
      <c r="AR2548" s="28"/>
      <c r="AS2548" s="28"/>
      <c r="AT2548" s="28"/>
      <c r="AU2548" s="28"/>
      <c r="AV2548" s="28">
        <f>388+134</f>
        <v>522</v>
      </c>
      <c r="AW2548" s="28"/>
      <c r="AX2548" s="28"/>
      <c r="AY2548" s="28"/>
      <c r="AZ2548" s="28"/>
      <c r="BA2548" s="28"/>
      <c r="BB2548" s="28">
        <f>601+184</f>
        <v>785</v>
      </c>
      <c r="BC2548" s="229">
        <f t="shared" si="1043"/>
        <v>0</v>
      </c>
      <c r="BD2548" s="48">
        <f t="shared" si="1044"/>
        <v>2590</v>
      </c>
      <c r="BE2548" s="19">
        <v>2458</v>
      </c>
      <c r="BF2548" s="229">
        <f t="shared" si="1045"/>
        <v>0</v>
      </c>
      <c r="BG2548" s="210">
        <f t="shared" si="1046"/>
        <v>2606</v>
      </c>
      <c r="BH2548" s="210">
        <f t="shared" si="1047"/>
        <v>2484</v>
      </c>
      <c r="BI2548" s="213">
        <f t="shared" si="1048"/>
        <v>104.91143317230274</v>
      </c>
      <c r="BJ2548" s="141"/>
      <c r="BK2548" s="201"/>
      <c r="BL2548" s="4"/>
      <c r="BM2548" s="4"/>
    </row>
    <row r="2549" spans="1:65" s="38" customFormat="1" ht="18" customHeight="1">
      <c r="A2549" s="114">
        <v>27</v>
      </c>
      <c r="B2549" s="24" t="s">
        <v>1888</v>
      </c>
      <c r="C2549" s="25" t="s">
        <v>1889</v>
      </c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229">
        <f t="shared" si="1041"/>
        <v>0</v>
      </c>
      <c r="AC2549" s="228">
        <f t="shared" si="1042"/>
        <v>0</v>
      </c>
      <c r="AD2549" s="19">
        <v>0</v>
      </c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29">
        <f t="shared" si="1043"/>
        <v>0</v>
      </c>
      <c r="BD2549" s="48">
        <f t="shared" si="1044"/>
        <v>0</v>
      </c>
      <c r="BE2549" s="19">
        <v>1</v>
      </c>
      <c r="BF2549" s="229">
        <f t="shared" si="1045"/>
        <v>0</v>
      </c>
      <c r="BG2549" s="210">
        <f t="shared" si="1046"/>
        <v>0</v>
      </c>
      <c r="BH2549" s="210">
        <f t="shared" si="1047"/>
        <v>1</v>
      </c>
      <c r="BI2549" s="213">
        <f t="shared" si="1048"/>
        <v>0</v>
      </c>
      <c r="BJ2549" s="141"/>
      <c r="BK2549" s="201"/>
      <c r="BL2549" s="4"/>
      <c r="BM2549" s="4"/>
    </row>
    <row r="2550" spans="1:65" s="38" customFormat="1" ht="18" customHeight="1">
      <c r="A2550" s="114">
        <v>28</v>
      </c>
      <c r="B2550" s="24" t="s">
        <v>826</v>
      </c>
      <c r="C2550" s="25" t="s">
        <v>827</v>
      </c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229">
        <f t="shared" si="1041"/>
        <v>0</v>
      </c>
      <c r="AC2550" s="228">
        <f t="shared" si="1042"/>
        <v>0</v>
      </c>
      <c r="AD2550" s="19">
        <v>0</v>
      </c>
      <c r="AE2550" s="28"/>
      <c r="AF2550" s="28"/>
      <c r="AG2550" s="28"/>
      <c r="AH2550" s="28"/>
      <c r="AI2550" s="28"/>
      <c r="AJ2550" s="28">
        <f>13+4</f>
        <v>17</v>
      </c>
      <c r="AK2550" s="28"/>
      <c r="AL2550" s="28"/>
      <c r="AM2550" s="28"/>
      <c r="AN2550" s="28"/>
      <c r="AO2550" s="28"/>
      <c r="AP2550" s="28">
        <f>9+4</f>
        <v>13</v>
      </c>
      <c r="AQ2550" s="28"/>
      <c r="AR2550" s="28"/>
      <c r="AS2550" s="28"/>
      <c r="AT2550" s="28"/>
      <c r="AU2550" s="28"/>
      <c r="AV2550" s="28">
        <f>9+1</f>
        <v>10</v>
      </c>
      <c r="AW2550" s="28"/>
      <c r="AX2550" s="28"/>
      <c r="AY2550" s="28"/>
      <c r="AZ2550" s="28"/>
      <c r="BA2550" s="28"/>
      <c r="BB2550" s="28">
        <f>10+3</f>
        <v>13</v>
      </c>
      <c r="BC2550" s="229">
        <f t="shared" si="1043"/>
        <v>0</v>
      </c>
      <c r="BD2550" s="48">
        <f t="shared" si="1044"/>
        <v>53</v>
      </c>
      <c r="BE2550" s="19">
        <v>75</v>
      </c>
      <c r="BF2550" s="229">
        <f t="shared" si="1045"/>
        <v>0</v>
      </c>
      <c r="BG2550" s="210">
        <f t="shared" si="1046"/>
        <v>53</v>
      </c>
      <c r="BH2550" s="210">
        <f t="shared" si="1047"/>
        <v>75</v>
      </c>
      <c r="BI2550" s="213">
        <f t="shared" si="1048"/>
        <v>70.666666666666671</v>
      </c>
      <c r="BJ2550" s="141"/>
      <c r="BK2550" s="201"/>
      <c r="BL2550" s="4"/>
      <c r="BM2550" s="4"/>
    </row>
    <row r="2551" spans="1:65" s="38" customFormat="1" ht="18" customHeight="1">
      <c r="A2551" s="114">
        <v>29</v>
      </c>
      <c r="B2551" s="30" t="s">
        <v>1050</v>
      </c>
      <c r="C2551" s="31" t="s">
        <v>2516</v>
      </c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229">
        <f t="shared" si="1041"/>
        <v>0</v>
      </c>
      <c r="AC2551" s="228">
        <f t="shared" si="1042"/>
        <v>0</v>
      </c>
      <c r="AD2551" s="19">
        <v>0</v>
      </c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29">
        <f t="shared" si="1043"/>
        <v>0</v>
      </c>
      <c r="BD2551" s="48">
        <f t="shared" si="1044"/>
        <v>0</v>
      </c>
      <c r="BE2551" s="19">
        <v>0</v>
      </c>
      <c r="BF2551" s="229">
        <f t="shared" si="1045"/>
        <v>0</v>
      </c>
      <c r="BG2551" s="210">
        <f t="shared" si="1046"/>
        <v>0</v>
      </c>
      <c r="BH2551" s="210">
        <f t="shared" si="1047"/>
        <v>0</v>
      </c>
      <c r="BI2551" s="213" t="e">
        <f t="shared" si="1048"/>
        <v>#DIV/0!</v>
      </c>
      <c r="BJ2551" s="141"/>
      <c r="BK2551" s="201"/>
      <c r="BL2551" s="4"/>
      <c r="BM2551" s="4"/>
    </row>
    <row r="2552" spans="1:65" s="38" customFormat="1" ht="18" customHeight="1">
      <c r="A2552" s="114">
        <v>30</v>
      </c>
      <c r="B2552" s="30" t="s">
        <v>1051</v>
      </c>
      <c r="C2552" s="31" t="s">
        <v>2515</v>
      </c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229">
        <f t="shared" si="1041"/>
        <v>0</v>
      </c>
      <c r="AC2552" s="228">
        <f t="shared" si="1042"/>
        <v>0</v>
      </c>
      <c r="AD2552" s="19">
        <v>0</v>
      </c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28"/>
      <c r="BA2552" s="28"/>
      <c r="BB2552" s="28"/>
      <c r="BC2552" s="229">
        <f t="shared" si="1043"/>
        <v>0</v>
      </c>
      <c r="BD2552" s="48">
        <f t="shared" si="1044"/>
        <v>0</v>
      </c>
      <c r="BE2552" s="19">
        <v>0</v>
      </c>
      <c r="BF2552" s="229">
        <f t="shared" si="1045"/>
        <v>0</v>
      </c>
      <c r="BG2552" s="210">
        <f t="shared" si="1046"/>
        <v>0</v>
      </c>
      <c r="BH2552" s="210">
        <f t="shared" si="1047"/>
        <v>0</v>
      </c>
      <c r="BI2552" s="213" t="e">
        <f t="shared" si="1048"/>
        <v>#DIV/0!</v>
      </c>
      <c r="BJ2552" s="141"/>
      <c r="BK2552" s="201"/>
      <c r="BL2552" s="4"/>
      <c r="BM2552" s="4"/>
    </row>
    <row r="2553" spans="1:65" s="38" customFormat="1" ht="18" customHeight="1">
      <c r="A2553" s="114">
        <v>31</v>
      </c>
      <c r="B2553" s="24" t="s">
        <v>596</v>
      </c>
      <c r="C2553" s="25" t="s">
        <v>597</v>
      </c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229">
        <f t="shared" si="1041"/>
        <v>0</v>
      </c>
      <c r="AC2553" s="228">
        <f t="shared" si="1042"/>
        <v>0</v>
      </c>
      <c r="AD2553" s="19">
        <v>7</v>
      </c>
      <c r="AE2553" s="28"/>
      <c r="AF2553" s="28"/>
      <c r="AG2553" s="28"/>
      <c r="AH2553" s="28"/>
      <c r="AI2553" s="28"/>
      <c r="AJ2553" s="28">
        <f>32+19</f>
        <v>51</v>
      </c>
      <c r="AK2553" s="28"/>
      <c r="AL2553" s="28"/>
      <c r="AM2553" s="28"/>
      <c r="AN2553" s="28"/>
      <c r="AO2553" s="28"/>
      <c r="AP2553" s="28">
        <f>24+20</f>
        <v>44</v>
      </c>
      <c r="AQ2553" s="28"/>
      <c r="AR2553" s="28"/>
      <c r="AS2553" s="28"/>
      <c r="AT2553" s="28"/>
      <c r="AU2553" s="28"/>
      <c r="AV2553" s="28">
        <f>16+33</f>
        <v>49</v>
      </c>
      <c r="AW2553" s="28"/>
      <c r="AX2553" s="28"/>
      <c r="AY2553" s="28"/>
      <c r="AZ2553" s="28"/>
      <c r="BA2553" s="28"/>
      <c r="BB2553" s="28">
        <f>31+26+1</f>
        <v>58</v>
      </c>
      <c r="BC2553" s="229">
        <f t="shared" si="1043"/>
        <v>0</v>
      </c>
      <c r="BD2553" s="48">
        <f t="shared" si="1044"/>
        <v>202</v>
      </c>
      <c r="BE2553" s="19">
        <v>225</v>
      </c>
      <c r="BF2553" s="229">
        <f t="shared" si="1045"/>
        <v>0</v>
      </c>
      <c r="BG2553" s="210">
        <f t="shared" si="1046"/>
        <v>202</v>
      </c>
      <c r="BH2553" s="210">
        <f t="shared" si="1047"/>
        <v>232</v>
      </c>
      <c r="BI2553" s="213">
        <f t="shared" si="1048"/>
        <v>87.068965517241381</v>
      </c>
      <c r="BJ2553" s="141"/>
      <c r="BK2553" s="201"/>
      <c r="BL2553" s="4"/>
      <c r="BM2553" s="4"/>
    </row>
    <row r="2554" spans="1:65" s="38" customFormat="1" ht="18" customHeight="1">
      <c r="A2554" s="114">
        <v>32</v>
      </c>
      <c r="B2554" s="30" t="s">
        <v>757</v>
      </c>
      <c r="C2554" s="31" t="s">
        <v>758</v>
      </c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229">
        <f t="shared" si="1041"/>
        <v>0</v>
      </c>
      <c r="AC2554" s="228">
        <f t="shared" si="1042"/>
        <v>0</v>
      </c>
      <c r="AD2554" s="19">
        <v>0</v>
      </c>
      <c r="AE2554" s="28"/>
      <c r="AF2554" s="28"/>
      <c r="AG2554" s="28"/>
      <c r="AH2554" s="28"/>
      <c r="AI2554" s="28"/>
      <c r="AJ2554" s="28">
        <f>2+10</f>
        <v>12</v>
      </c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>
        <f>1+3</f>
        <v>4</v>
      </c>
      <c r="AW2554" s="28"/>
      <c r="AX2554" s="28"/>
      <c r="AY2554" s="28"/>
      <c r="AZ2554" s="28"/>
      <c r="BA2554" s="28"/>
      <c r="BB2554" s="28">
        <f>9+5</f>
        <v>14</v>
      </c>
      <c r="BC2554" s="229">
        <f t="shared" si="1043"/>
        <v>0</v>
      </c>
      <c r="BD2554" s="48">
        <f t="shared" si="1044"/>
        <v>30</v>
      </c>
      <c r="BE2554" s="19">
        <v>34</v>
      </c>
      <c r="BF2554" s="229">
        <f t="shared" si="1045"/>
        <v>0</v>
      </c>
      <c r="BG2554" s="210">
        <f t="shared" si="1046"/>
        <v>30</v>
      </c>
      <c r="BH2554" s="210">
        <f t="shared" si="1047"/>
        <v>34</v>
      </c>
      <c r="BI2554" s="213">
        <f t="shared" si="1048"/>
        <v>88.235294117647058</v>
      </c>
      <c r="BJ2554" s="141"/>
      <c r="BK2554" s="201"/>
      <c r="BL2554" s="4"/>
      <c r="BM2554" s="4"/>
    </row>
    <row r="2555" spans="1:65" s="38" customFormat="1" ht="21.95" customHeight="1">
      <c r="A2555" s="114">
        <v>33</v>
      </c>
      <c r="B2555" s="24" t="s">
        <v>1950</v>
      </c>
      <c r="C2555" s="27" t="s">
        <v>2487</v>
      </c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229">
        <f t="shared" si="1041"/>
        <v>0</v>
      </c>
      <c r="AC2555" s="228">
        <f t="shared" si="1042"/>
        <v>0</v>
      </c>
      <c r="AD2555" s="21">
        <v>0</v>
      </c>
      <c r="AE2555" s="20"/>
      <c r="AF2555" s="20"/>
      <c r="AG2555" s="20"/>
      <c r="AH2555" s="20"/>
      <c r="AI2555" s="20"/>
      <c r="AJ2555" s="28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29">
        <f t="shared" si="1043"/>
        <v>0</v>
      </c>
      <c r="BD2555" s="48">
        <f t="shared" si="1044"/>
        <v>0</v>
      </c>
      <c r="BE2555" s="19">
        <v>1</v>
      </c>
      <c r="BF2555" s="229">
        <f t="shared" si="1045"/>
        <v>0</v>
      </c>
      <c r="BG2555" s="210">
        <f t="shared" si="1046"/>
        <v>0</v>
      </c>
      <c r="BH2555" s="210">
        <f t="shared" si="1047"/>
        <v>1</v>
      </c>
      <c r="BI2555" s="213">
        <f t="shared" ref="BI2555:BI2586" si="1049">BG2555/BH2555*100</f>
        <v>0</v>
      </c>
      <c r="BJ2555" s="165"/>
      <c r="BK2555" s="201"/>
      <c r="BL2555" s="4"/>
      <c r="BM2555" s="4"/>
    </row>
    <row r="2556" spans="1:65" s="38" customFormat="1" ht="18" customHeight="1">
      <c r="A2556" s="114">
        <v>34</v>
      </c>
      <c r="B2556" s="24" t="s">
        <v>761</v>
      </c>
      <c r="C2556" s="25" t="s">
        <v>762</v>
      </c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229">
        <f t="shared" si="1041"/>
        <v>0</v>
      </c>
      <c r="AC2556" s="228">
        <f t="shared" si="1042"/>
        <v>0</v>
      </c>
      <c r="AD2556" s="19">
        <v>0</v>
      </c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  <c r="AZ2556" s="28"/>
      <c r="BA2556" s="28"/>
      <c r="BB2556" s="28"/>
      <c r="BC2556" s="229">
        <f t="shared" si="1043"/>
        <v>0</v>
      </c>
      <c r="BD2556" s="48">
        <f t="shared" si="1044"/>
        <v>0</v>
      </c>
      <c r="BE2556" s="19">
        <v>1</v>
      </c>
      <c r="BF2556" s="229">
        <f t="shared" si="1045"/>
        <v>0</v>
      </c>
      <c r="BG2556" s="210">
        <f t="shared" si="1046"/>
        <v>0</v>
      </c>
      <c r="BH2556" s="210">
        <f t="shared" si="1047"/>
        <v>1</v>
      </c>
      <c r="BI2556" s="213">
        <f t="shared" si="1049"/>
        <v>0</v>
      </c>
      <c r="BJ2556" s="141"/>
      <c r="BK2556" s="201"/>
      <c r="BL2556" s="4"/>
      <c r="BM2556" s="4"/>
    </row>
    <row r="2557" spans="1:65" s="38" customFormat="1" ht="18" customHeight="1">
      <c r="A2557" s="114">
        <v>35</v>
      </c>
      <c r="B2557" s="24" t="s">
        <v>2726</v>
      </c>
      <c r="C2557" s="25" t="s">
        <v>2727</v>
      </c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229"/>
      <c r="AC2557" s="228">
        <f t="shared" ref="AC2557:AC2588" si="1050">E2557+G2557+I2557+K2557+M2557+O2557+Q2557+S2557+U2557+W2557+Y2557+AA2557</f>
        <v>0</v>
      </c>
      <c r="AD2557" s="19">
        <v>0</v>
      </c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>
        <v>1</v>
      </c>
      <c r="AW2557" s="28"/>
      <c r="AX2557" s="28"/>
      <c r="AY2557" s="28"/>
      <c r="AZ2557" s="28"/>
      <c r="BA2557" s="28"/>
      <c r="BB2557" s="28"/>
      <c r="BC2557" s="229"/>
      <c r="BD2557" s="48">
        <f t="shared" ref="BD2557:BD2588" si="1051">AF2557+AH2557+AJ2557+AL2557+AN2557+AP2557+AR2557+AT2557+AV2557+AX2557+AZ2557+BB2557</f>
        <v>1</v>
      </c>
      <c r="BE2557" s="19">
        <v>0</v>
      </c>
      <c r="BF2557" s="229"/>
      <c r="BG2557" s="210">
        <f t="shared" ref="BG2557:BG2588" si="1052">AC2557+BD2557</f>
        <v>1</v>
      </c>
      <c r="BH2557" s="210">
        <f t="shared" ref="BH2557:BH2588" si="1053">AD2557+BE2557</f>
        <v>0</v>
      </c>
      <c r="BI2557" s="213" t="e">
        <f t="shared" si="1049"/>
        <v>#DIV/0!</v>
      </c>
      <c r="BJ2557" s="141"/>
      <c r="BK2557" s="201"/>
      <c r="BL2557" s="4"/>
      <c r="BM2557" s="4"/>
    </row>
    <row r="2558" spans="1:65" s="38" customFormat="1" ht="18" customHeight="1">
      <c r="A2558" s="114">
        <v>36</v>
      </c>
      <c r="B2558" s="24" t="s">
        <v>2027</v>
      </c>
      <c r="C2558" s="25" t="s">
        <v>2028</v>
      </c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229">
        <f t="shared" ref="AB2558:AB2589" si="1054">D2558+F2558+H2558+J2558+L2558+N2558+P2558+R2558+T2558+V2558+X2558+Z2558</f>
        <v>0</v>
      </c>
      <c r="AC2558" s="228">
        <f t="shared" si="1050"/>
        <v>0</v>
      </c>
      <c r="AD2558" s="19">
        <v>3</v>
      </c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229">
        <f t="shared" ref="BC2558:BC2589" si="1055">AE2558+AG2558+AI2558+AK2558+AM2558+AO2558+AQ2558+AS2558+AU2558+AW2558+AY2558+BA2558</f>
        <v>0</v>
      </c>
      <c r="BD2558" s="48">
        <f t="shared" si="1051"/>
        <v>0</v>
      </c>
      <c r="BE2558" s="19">
        <v>0</v>
      </c>
      <c r="BF2558" s="229">
        <f t="shared" ref="BF2558:BF2589" si="1056">AB2558+BC2558</f>
        <v>0</v>
      </c>
      <c r="BG2558" s="210">
        <f t="shared" si="1052"/>
        <v>0</v>
      </c>
      <c r="BH2558" s="210">
        <f t="shared" si="1053"/>
        <v>3</v>
      </c>
      <c r="BI2558" s="213">
        <f t="shared" si="1049"/>
        <v>0</v>
      </c>
      <c r="BJ2558" s="141"/>
      <c r="BK2558" s="201"/>
      <c r="BL2558" s="4"/>
      <c r="BM2558" s="4"/>
    </row>
    <row r="2559" spans="1:65" s="38" customFormat="1" ht="21.95" customHeight="1">
      <c r="A2559" s="114">
        <v>37</v>
      </c>
      <c r="B2559" s="24" t="s">
        <v>626</v>
      </c>
      <c r="C2559" s="25" t="s">
        <v>627</v>
      </c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229">
        <f t="shared" si="1054"/>
        <v>0</v>
      </c>
      <c r="AC2559" s="228">
        <f t="shared" si="1050"/>
        <v>0</v>
      </c>
      <c r="AD2559" s="19">
        <v>0</v>
      </c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29">
        <f t="shared" si="1055"/>
        <v>0</v>
      </c>
      <c r="BD2559" s="48">
        <f t="shared" si="1051"/>
        <v>0</v>
      </c>
      <c r="BE2559" s="19">
        <v>1</v>
      </c>
      <c r="BF2559" s="229">
        <f t="shared" si="1056"/>
        <v>0</v>
      </c>
      <c r="BG2559" s="210">
        <f t="shared" si="1052"/>
        <v>0</v>
      </c>
      <c r="BH2559" s="210">
        <f t="shared" si="1053"/>
        <v>1</v>
      </c>
      <c r="BI2559" s="213">
        <f t="shared" si="1049"/>
        <v>0</v>
      </c>
      <c r="BJ2559" s="141"/>
      <c r="BK2559" s="201"/>
      <c r="BL2559" s="4"/>
      <c r="BM2559" s="4"/>
    </row>
    <row r="2560" spans="1:65" ht="18" customHeight="1">
      <c r="A2560" s="114">
        <v>38</v>
      </c>
      <c r="B2560" s="24" t="s">
        <v>1990</v>
      </c>
      <c r="C2560" s="25" t="s">
        <v>1991</v>
      </c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229">
        <f t="shared" si="1054"/>
        <v>0</v>
      </c>
      <c r="AC2560" s="228">
        <f t="shared" si="1050"/>
        <v>0</v>
      </c>
      <c r="AD2560" s="19">
        <v>0</v>
      </c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29">
        <f t="shared" si="1055"/>
        <v>0</v>
      </c>
      <c r="BD2560" s="48">
        <f t="shared" si="1051"/>
        <v>0</v>
      </c>
      <c r="BE2560" s="19">
        <v>1</v>
      </c>
      <c r="BF2560" s="229">
        <f t="shared" si="1056"/>
        <v>0</v>
      </c>
      <c r="BG2560" s="210">
        <f t="shared" si="1052"/>
        <v>0</v>
      </c>
      <c r="BH2560" s="210">
        <f t="shared" si="1053"/>
        <v>1</v>
      </c>
      <c r="BI2560" s="213">
        <f t="shared" si="1049"/>
        <v>0</v>
      </c>
      <c r="BJ2560" s="141"/>
      <c r="BK2560" s="201"/>
    </row>
    <row r="2561" spans="1:63" ht="18" customHeight="1">
      <c r="A2561" s="114">
        <v>39</v>
      </c>
      <c r="B2561" s="24" t="s">
        <v>628</v>
      </c>
      <c r="C2561" s="25" t="s">
        <v>629</v>
      </c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229">
        <f t="shared" si="1054"/>
        <v>0</v>
      </c>
      <c r="AC2561" s="228">
        <f t="shared" si="1050"/>
        <v>0</v>
      </c>
      <c r="AD2561" s="19">
        <v>0</v>
      </c>
      <c r="AE2561" s="28"/>
      <c r="AF2561" s="28"/>
      <c r="AG2561" s="28"/>
      <c r="AH2561" s="28"/>
      <c r="AI2561" s="28"/>
      <c r="AJ2561" s="28">
        <f>226+50+32</f>
        <v>308</v>
      </c>
      <c r="AK2561" s="28"/>
      <c r="AL2561" s="28"/>
      <c r="AM2561" s="28"/>
      <c r="AN2561" s="28"/>
      <c r="AO2561" s="28"/>
      <c r="AP2561" s="28">
        <f>177+81+39</f>
        <v>297</v>
      </c>
      <c r="AQ2561" s="28"/>
      <c r="AR2561" s="28"/>
      <c r="AS2561" s="28"/>
      <c r="AT2561" s="28"/>
      <c r="AU2561" s="28"/>
      <c r="AV2561" s="28">
        <f>222+72+67+1</f>
        <v>362</v>
      </c>
      <c r="AW2561" s="28"/>
      <c r="AX2561" s="28"/>
      <c r="AY2561" s="28"/>
      <c r="AZ2561" s="28"/>
      <c r="BA2561" s="28"/>
      <c r="BB2561" s="28">
        <f>297+67+38+1</f>
        <v>403</v>
      </c>
      <c r="BC2561" s="229">
        <f t="shared" si="1055"/>
        <v>0</v>
      </c>
      <c r="BD2561" s="48">
        <f t="shared" si="1051"/>
        <v>1370</v>
      </c>
      <c r="BE2561" s="19">
        <v>1285</v>
      </c>
      <c r="BF2561" s="229">
        <f t="shared" si="1056"/>
        <v>0</v>
      </c>
      <c r="BG2561" s="210">
        <f t="shared" si="1052"/>
        <v>1370</v>
      </c>
      <c r="BH2561" s="210">
        <f t="shared" si="1053"/>
        <v>1285</v>
      </c>
      <c r="BI2561" s="213">
        <f t="shared" si="1049"/>
        <v>106.6147859922179</v>
      </c>
      <c r="BJ2561" s="141"/>
      <c r="BK2561" s="201"/>
    </row>
    <row r="2562" spans="1:63" ht="18" customHeight="1">
      <c r="A2562" s="114">
        <v>40</v>
      </c>
      <c r="B2562" s="24" t="s">
        <v>2710</v>
      </c>
      <c r="C2562" s="25" t="s">
        <v>2711</v>
      </c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229">
        <f t="shared" si="1054"/>
        <v>0</v>
      </c>
      <c r="AC2562" s="228">
        <f t="shared" si="1050"/>
        <v>0</v>
      </c>
      <c r="AD2562" s="21">
        <v>0</v>
      </c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229">
        <f t="shared" si="1055"/>
        <v>0</v>
      </c>
      <c r="BD2562" s="48">
        <f t="shared" si="1051"/>
        <v>0</v>
      </c>
      <c r="BE2562" s="19">
        <v>3</v>
      </c>
      <c r="BF2562" s="229">
        <f t="shared" si="1056"/>
        <v>0</v>
      </c>
      <c r="BG2562" s="210">
        <f t="shared" si="1052"/>
        <v>0</v>
      </c>
      <c r="BH2562" s="210">
        <f t="shared" si="1053"/>
        <v>3</v>
      </c>
      <c r="BI2562" s="213">
        <f t="shared" si="1049"/>
        <v>0</v>
      </c>
      <c r="BJ2562" s="165"/>
      <c r="BK2562" s="201"/>
    </row>
    <row r="2563" spans="1:63" ht="18" customHeight="1">
      <c r="A2563" s="114">
        <v>41</v>
      </c>
      <c r="B2563" s="24" t="s">
        <v>512</v>
      </c>
      <c r="C2563" s="219" t="s">
        <v>513</v>
      </c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229">
        <f t="shared" si="1054"/>
        <v>0</v>
      </c>
      <c r="AC2563" s="228">
        <f t="shared" si="1050"/>
        <v>0</v>
      </c>
      <c r="AD2563" s="21">
        <v>0</v>
      </c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29">
        <f t="shared" si="1055"/>
        <v>0</v>
      </c>
      <c r="BD2563" s="48">
        <f t="shared" si="1051"/>
        <v>0</v>
      </c>
      <c r="BE2563" s="19">
        <v>1</v>
      </c>
      <c r="BF2563" s="229">
        <f t="shared" si="1056"/>
        <v>0</v>
      </c>
      <c r="BG2563" s="210">
        <f t="shared" si="1052"/>
        <v>0</v>
      </c>
      <c r="BH2563" s="210">
        <f t="shared" si="1053"/>
        <v>1</v>
      </c>
      <c r="BI2563" s="213">
        <f t="shared" si="1049"/>
        <v>0</v>
      </c>
      <c r="BJ2563" s="165"/>
      <c r="BK2563" s="201"/>
    </row>
    <row r="2564" spans="1:63" ht="18" customHeight="1">
      <c r="A2564" s="114">
        <v>42</v>
      </c>
      <c r="B2564" s="24" t="s">
        <v>630</v>
      </c>
      <c r="C2564" s="25" t="s">
        <v>631</v>
      </c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229">
        <f t="shared" si="1054"/>
        <v>0</v>
      </c>
      <c r="AC2564" s="228">
        <f t="shared" si="1050"/>
        <v>0</v>
      </c>
      <c r="AD2564" s="19">
        <v>0</v>
      </c>
      <c r="AE2564" s="28"/>
      <c r="AF2564" s="28"/>
      <c r="AG2564" s="28"/>
      <c r="AH2564" s="28"/>
      <c r="AI2564" s="28"/>
      <c r="AJ2564" s="28">
        <f>2+28</f>
        <v>30</v>
      </c>
      <c r="AK2564" s="28"/>
      <c r="AL2564" s="28"/>
      <c r="AM2564" s="28"/>
      <c r="AN2564" s="28"/>
      <c r="AO2564" s="28"/>
      <c r="AP2564" s="28">
        <f>1+21</f>
        <v>22</v>
      </c>
      <c r="AQ2564" s="28"/>
      <c r="AR2564" s="28"/>
      <c r="AS2564" s="28"/>
      <c r="AT2564" s="28"/>
      <c r="AU2564" s="28"/>
      <c r="AV2564" s="28">
        <f>14+1</f>
        <v>15</v>
      </c>
      <c r="AW2564" s="28"/>
      <c r="AX2564" s="28"/>
      <c r="AY2564" s="28"/>
      <c r="AZ2564" s="28"/>
      <c r="BA2564" s="28"/>
      <c r="BB2564" s="28">
        <f>5+17</f>
        <v>22</v>
      </c>
      <c r="BC2564" s="229">
        <f t="shared" si="1055"/>
        <v>0</v>
      </c>
      <c r="BD2564" s="48">
        <f t="shared" si="1051"/>
        <v>89</v>
      </c>
      <c r="BE2564" s="19">
        <v>76</v>
      </c>
      <c r="BF2564" s="229">
        <f t="shared" si="1056"/>
        <v>0</v>
      </c>
      <c r="BG2564" s="210">
        <f t="shared" si="1052"/>
        <v>89</v>
      </c>
      <c r="BH2564" s="210">
        <f t="shared" si="1053"/>
        <v>76</v>
      </c>
      <c r="BI2564" s="213">
        <f t="shared" si="1049"/>
        <v>117.10526315789474</v>
      </c>
      <c r="BJ2564" s="141"/>
      <c r="BK2564" s="201"/>
    </row>
    <row r="2565" spans="1:63" ht="18" customHeight="1">
      <c r="A2565" s="114">
        <v>43</v>
      </c>
      <c r="B2565" s="24" t="s">
        <v>632</v>
      </c>
      <c r="C2565" s="25" t="s">
        <v>633</v>
      </c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229">
        <f t="shared" si="1054"/>
        <v>0</v>
      </c>
      <c r="AC2565" s="228">
        <f t="shared" si="1050"/>
        <v>0</v>
      </c>
      <c r="AD2565" s="19">
        <v>0</v>
      </c>
      <c r="AE2565" s="28"/>
      <c r="AF2565" s="28"/>
      <c r="AG2565" s="28"/>
      <c r="AH2565" s="28"/>
      <c r="AI2565" s="28"/>
      <c r="AJ2565" s="28">
        <f>5+1</f>
        <v>6</v>
      </c>
      <c r="AK2565" s="28"/>
      <c r="AL2565" s="28"/>
      <c r="AM2565" s="28"/>
      <c r="AN2565" s="28"/>
      <c r="AO2565" s="28"/>
      <c r="AP2565" s="28">
        <f>1+2</f>
        <v>3</v>
      </c>
      <c r="AQ2565" s="28"/>
      <c r="AR2565" s="28"/>
      <c r="AS2565" s="28"/>
      <c r="AT2565" s="28"/>
      <c r="AU2565" s="28"/>
      <c r="AV2565" s="28">
        <f>3+1</f>
        <v>4</v>
      </c>
      <c r="AW2565" s="28"/>
      <c r="AX2565" s="28"/>
      <c r="AY2565" s="28"/>
      <c r="AZ2565" s="28"/>
      <c r="BA2565" s="28"/>
      <c r="BB2565" s="28">
        <v>13</v>
      </c>
      <c r="BC2565" s="229">
        <f t="shared" si="1055"/>
        <v>0</v>
      </c>
      <c r="BD2565" s="48">
        <f t="shared" si="1051"/>
        <v>26</v>
      </c>
      <c r="BE2565" s="19">
        <v>28</v>
      </c>
      <c r="BF2565" s="229">
        <f t="shared" si="1056"/>
        <v>0</v>
      </c>
      <c r="BG2565" s="210">
        <f t="shared" si="1052"/>
        <v>26</v>
      </c>
      <c r="BH2565" s="210">
        <f t="shared" si="1053"/>
        <v>28</v>
      </c>
      <c r="BI2565" s="213">
        <f t="shared" si="1049"/>
        <v>92.857142857142861</v>
      </c>
      <c r="BJ2565" s="141"/>
      <c r="BK2565" s="201"/>
    </row>
    <row r="2566" spans="1:63" ht="18" customHeight="1">
      <c r="A2566" s="114">
        <v>44</v>
      </c>
      <c r="B2566" s="24" t="s">
        <v>634</v>
      </c>
      <c r="C2566" s="25" t="s">
        <v>696</v>
      </c>
      <c r="D2566" s="121"/>
      <c r="E2566" s="121"/>
      <c r="F2566" s="121"/>
      <c r="G2566" s="121"/>
      <c r="H2566" s="121"/>
      <c r="I2566" s="121">
        <v>1</v>
      </c>
      <c r="J2566" s="121"/>
      <c r="K2566" s="121"/>
      <c r="L2566" s="121"/>
      <c r="M2566" s="121"/>
      <c r="N2566" s="121"/>
      <c r="O2566" s="121">
        <v>1</v>
      </c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229">
        <f t="shared" si="1054"/>
        <v>0</v>
      </c>
      <c r="AC2566" s="228">
        <f t="shared" si="1050"/>
        <v>2</v>
      </c>
      <c r="AD2566" s="19">
        <v>0</v>
      </c>
      <c r="AE2566" s="28"/>
      <c r="AF2566" s="28"/>
      <c r="AG2566" s="28"/>
      <c r="AH2566" s="28"/>
      <c r="AI2566" s="28"/>
      <c r="AJ2566" s="28">
        <f>100+410+6</f>
        <v>516</v>
      </c>
      <c r="AK2566" s="28"/>
      <c r="AL2566" s="28"/>
      <c r="AM2566" s="28"/>
      <c r="AN2566" s="28"/>
      <c r="AO2566" s="28"/>
      <c r="AP2566" s="28">
        <f>59+349</f>
        <v>408</v>
      </c>
      <c r="AQ2566" s="28"/>
      <c r="AR2566" s="28"/>
      <c r="AS2566" s="28"/>
      <c r="AT2566" s="28"/>
      <c r="AU2566" s="28"/>
      <c r="AV2566" s="28">
        <f>25+413+6</f>
        <v>444</v>
      </c>
      <c r="AW2566" s="28"/>
      <c r="AX2566" s="28"/>
      <c r="AY2566" s="28"/>
      <c r="AZ2566" s="28"/>
      <c r="BA2566" s="28"/>
      <c r="BB2566" s="28">
        <f>60+428+1</f>
        <v>489</v>
      </c>
      <c r="BC2566" s="229">
        <f t="shared" si="1055"/>
        <v>0</v>
      </c>
      <c r="BD2566" s="48">
        <f t="shared" si="1051"/>
        <v>1857</v>
      </c>
      <c r="BE2566" s="19">
        <v>1935</v>
      </c>
      <c r="BF2566" s="229">
        <f t="shared" si="1056"/>
        <v>0</v>
      </c>
      <c r="BG2566" s="210">
        <f t="shared" si="1052"/>
        <v>1859</v>
      </c>
      <c r="BH2566" s="210">
        <f t="shared" si="1053"/>
        <v>1935</v>
      </c>
      <c r="BI2566" s="213">
        <f t="shared" si="1049"/>
        <v>96.072351421188628</v>
      </c>
      <c r="BJ2566" s="141"/>
      <c r="BK2566" s="201"/>
    </row>
    <row r="2567" spans="1:63" ht="18" customHeight="1">
      <c r="A2567" s="114">
        <v>45</v>
      </c>
      <c r="B2567" s="24" t="s">
        <v>1056</v>
      </c>
      <c r="C2567" s="25" t="s">
        <v>1057</v>
      </c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229">
        <f t="shared" si="1054"/>
        <v>0</v>
      </c>
      <c r="AC2567" s="228">
        <f t="shared" si="1050"/>
        <v>0</v>
      </c>
      <c r="AD2567" s="19">
        <v>0</v>
      </c>
      <c r="AE2567" s="28"/>
      <c r="AF2567" s="28"/>
      <c r="AG2567" s="28"/>
      <c r="AH2567" s="28"/>
      <c r="AI2567" s="28"/>
      <c r="AJ2567" s="28">
        <f>10+3</f>
        <v>13</v>
      </c>
      <c r="AK2567" s="28"/>
      <c r="AL2567" s="28"/>
      <c r="AM2567" s="28"/>
      <c r="AN2567" s="28"/>
      <c r="AO2567" s="28"/>
      <c r="AP2567" s="28">
        <f>5+9</f>
        <v>14</v>
      </c>
      <c r="AQ2567" s="28"/>
      <c r="AR2567" s="28"/>
      <c r="AS2567" s="28"/>
      <c r="AT2567" s="28"/>
      <c r="AU2567" s="28"/>
      <c r="AV2567" s="28">
        <v>9</v>
      </c>
      <c r="AW2567" s="28"/>
      <c r="AX2567" s="28"/>
      <c r="AY2567" s="28"/>
      <c r="AZ2567" s="28"/>
      <c r="BA2567" s="28"/>
      <c r="BB2567" s="28">
        <f>11+14</f>
        <v>25</v>
      </c>
      <c r="BC2567" s="229">
        <f t="shared" si="1055"/>
        <v>0</v>
      </c>
      <c r="BD2567" s="48">
        <f t="shared" si="1051"/>
        <v>61</v>
      </c>
      <c r="BE2567" s="19">
        <v>124</v>
      </c>
      <c r="BF2567" s="229">
        <f t="shared" si="1056"/>
        <v>0</v>
      </c>
      <c r="BG2567" s="210">
        <f t="shared" si="1052"/>
        <v>61</v>
      </c>
      <c r="BH2567" s="210">
        <f t="shared" si="1053"/>
        <v>124</v>
      </c>
      <c r="BI2567" s="213">
        <f t="shared" si="1049"/>
        <v>49.193548387096776</v>
      </c>
      <c r="BJ2567" s="141"/>
      <c r="BK2567" s="201"/>
    </row>
    <row r="2568" spans="1:63" ht="18" customHeight="1">
      <c r="A2568" s="114">
        <v>46</v>
      </c>
      <c r="B2568" s="24" t="s">
        <v>636</v>
      </c>
      <c r="C2568" s="25" t="s">
        <v>1058</v>
      </c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>
        <v>1</v>
      </c>
      <c r="V2568" s="121"/>
      <c r="W2568" s="121"/>
      <c r="X2568" s="121"/>
      <c r="Y2568" s="121"/>
      <c r="Z2568" s="121"/>
      <c r="AA2568" s="121"/>
      <c r="AB2568" s="229">
        <f t="shared" si="1054"/>
        <v>0</v>
      </c>
      <c r="AC2568" s="228">
        <f t="shared" si="1050"/>
        <v>1</v>
      </c>
      <c r="AD2568" s="19">
        <v>0</v>
      </c>
      <c r="AE2568" s="28"/>
      <c r="AF2568" s="28"/>
      <c r="AG2568" s="28"/>
      <c r="AH2568" s="28"/>
      <c r="AI2568" s="28"/>
      <c r="AJ2568" s="28">
        <v>2</v>
      </c>
      <c r="AK2568" s="28"/>
      <c r="AL2568" s="28"/>
      <c r="AM2568" s="28"/>
      <c r="AN2568" s="28"/>
      <c r="AO2568" s="28"/>
      <c r="AP2568" s="28">
        <f>2+5</f>
        <v>7</v>
      </c>
      <c r="AQ2568" s="28"/>
      <c r="AR2568" s="28"/>
      <c r="AS2568" s="28"/>
      <c r="AT2568" s="28"/>
      <c r="AU2568" s="28"/>
      <c r="AV2568" s="28">
        <v>6</v>
      </c>
      <c r="AW2568" s="28"/>
      <c r="AX2568" s="28"/>
      <c r="AY2568" s="28"/>
      <c r="AZ2568" s="28"/>
      <c r="BA2568" s="28"/>
      <c r="BB2568" s="28">
        <f>2+5</f>
        <v>7</v>
      </c>
      <c r="BC2568" s="229">
        <f t="shared" si="1055"/>
        <v>0</v>
      </c>
      <c r="BD2568" s="48">
        <f t="shared" si="1051"/>
        <v>22</v>
      </c>
      <c r="BE2568" s="19">
        <v>31</v>
      </c>
      <c r="BF2568" s="229">
        <f t="shared" si="1056"/>
        <v>0</v>
      </c>
      <c r="BG2568" s="210">
        <f t="shared" si="1052"/>
        <v>23</v>
      </c>
      <c r="BH2568" s="210">
        <f t="shared" si="1053"/>
        <v>31</v>
      </c>
      <c r="BI2568" s="213">
        <f t="shared" si="1049"/>
        <v>74.193548387096769</v>
      </c>
      <c r="BJ2568" s="141"/>
      <c r="BK2568" s="201"/>
    </row>
    <row r="2569" spans="1:63" ht="18" customHeight="1">
      <c r="A2569" s="114">
        <v>47</v>
      </c>
      <c r="B2569" s="24" t="s">
        <v>643</v>
      </c>
      <c r="C2569" s="25" t="s">
        <v>722</v>
      </c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>
        <v>1</v>
      </c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229">
        <f t="shared" si="1054"/>
        <v>0</v>
      </c>
      <c r="AC2569" s="228">
        <f t="shared" si="1050"/>
        <v>1</v>
      </c>
      <c r="AD2569" s="19">
        <v>0</v>
      </c>
      <c r="AE2569" s="28"/>
      <c r="AF2569" s="28"/>
      <c r="AG2569" s="28"/>
      <c r="AH2569" s="28"/>
      <c r="AI2569" s="28"/>
      <c r="AJ2569" s="28">
        <f>136+337+7</f>
        <v>480</v>
      </c>
      <c r="AK2569" s="28"/>
      <c r="AL2569" s="28"/>
      <c r="AM2569" s="28"/>
      <c r="AN2569" s="28"/>
      <c r="AO2569" s="28"/>
      <c r="AP2569" s="28">
        <f>73+272</f>
        <v>345</v>
      </c>
      <c r="AQ2569" s="28"/>
      <c r="AR2569" s="28"/>
      <c r="AS2569" s="28"/>
      <c r="AT2569" s="28"/>
      <c r="AU2569" s="28"/>
      <c r="AV2569" s="28">
        <f>58+296+4</f>
        <v>358</v>
      </c>
      <c r="AW2569" s="28"/>
      <c r="AX2569" s="28"/>
      <c r="AY2569" s="28"/>
      <c r="AZ2569" s="28"/>
      <c r="BA2569" s="28"/>
      <c r="BB2569" s="28">
        <f>165+343+1</f>
        <v>509</v>
      </c>
      <c r="BC2569" s="229">
        <f t="shared" si="1055"/>
        <v>0</v>
      </c>
      <c r="BD2569" s="48">
        <f t="shared" si="1051"/>
        <v>1692</v>
      </c>
      <c r="BE2569" s="19">
        <v>1886</v>
      </c>
      <c r="BF2569" s="229">
        <f t="shared" si="1056"/>
        <v>0</v>
      </c>
      <c r="BG2569" s="210">
        <f t="shared" si="1052"/>
        <v>1693</v>
      </c>
      <c r="BH2569" s="210">
        <f t="shared" si="1053"/>
        <v>1886</v>
      </c>
      <c r="BI2569" s="213">
        <f t="shared" si="1049"/>
        <v>89.766702014846231</v>
      </c>
      <c r="BJ2569" s="141"/>
      <c r="BK2569" s="201"/>
    </row>
    <row r="2570" spans="1:63" ht="18" customHeight="1">
      <c r="A2570" s="114">
        <v>48</v>
      </c>
      <c r="B2570" s="24" t="s">
        <v>773</v>
      </c>
      <c r="C2570" s="25" t="s">
        <v>1159</v>
      </c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229">
        <f t="shared" si="1054"/>
        <v>0</v>
      </c>
      <c r="AC2570" s="228">
        <f t="shared" si="1050"/>
        <v>0</v>
      </c>
      <c r="AD2570" s="19">
        <v>0</v>
      </c>
      <c r="AE2570" s="28"/>
      <c r="AF2570" s="28"/>
      <c r="AG2570" s="28"/>
      <c r="AH2570" s="28"/>
      <c r="AI2570" s="28"/>
      <c r="AJ2570" s="28">
        <v>6</v>
      </c>
      <c r="AK2570" s="28"/>
      <c r="AL2570" s="28"/>
      <c r="AM2570" s="28"/>
      <c r="AN2570" s="28"/>
      <c r="AO2570" s="28"/>
      <c r="AP2570" s="28">
        <v>24</v>
      </c>
      <c r="AQ2570" s="28"/>
      <c r="AR2570" s="28"/>
      <c r="AS2570" s="28"/>
      <c r="AT2570" s="28"/>
      <c r="AU2570" s="28"/>
      <c r="AV2570" s="28">
        <v>1</v>
      </c>
      <c r="AW2570" s="28"/>
      <c r="AX2570" s="28"/>
      <c r="AY2570" s="28"/>
      <c r="AZ2570" s="28"/>
      <c r="BA2570" s="28"/>
      <c r="BB2570" s="28"/>
      <c r="BC2570" s="229">
        <f t="shared" si="1055"/>
        <v>0</v>
      </c>
      <c r="BD2570" s="48">
        <f t="shared" si="1051"/>
        <v>31</v>
      </c>
      <c r="BE2570" s="19">
        <v>15</v>
      </c>
      <c r="BF2570" s="229">
        <f t="shared" si="1056"/>
        <v>0</v>
      </c>
      <c r="BG2570" s="210">
        <f t="shared" si="1052"/>
        <v>31</v>
      </c>
      <c r="BH2570" s="210">
        <f t="shared" si="1053"/>
        <v>15</v>
      </c>
      <c r="BI2570" s="213">
        <f t="shared" si="1049"/>
        <v>206.66666666666669</v>
      </c>
      <c r="BJ2570" s="141"/>
      <c r="BK2570" s="201"/>
    </row>
    <row r="2571" spans="1:63" ht="18" customHeight="1">
      <c r="A2571" s="114">
        <v>49</v>
      </c>
      <c r="B2571" s="24" t="s">
        <v>644</v>
      </c>
      <c r="C2571" s="25" t="s">
        <v>645</v>
      </c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229">
        <f t="shared" si="1054"/>
        <v>0</v>
      </c>
      <c r="AC2571" s="228">
        <f t="shared" si="1050"/>
        <v>0</v>
      </c>
      <c r="AD2571" s="19">
        <v>0</v>
      </c>
      <c r="AE2571" s="28"/>
      <c r="AF2571" s="28"/>
      <c r="AG2571" s="28"/>
      <c r="AH2571" s="28"/>
      <c r="AI2571" s="28"/>
      <c r="AJ2571" s="28">
        <f>2+47</f>
        <v>49</v>
      </c>
      <c r="AK2571" s="28"/>
      <c r="AL2571" s="28"/>
      <c r="AM2571" s="28"/>
      <c r="AN2571" s="28"/>
      <c r="AO2571" s="28"/>
      <c r="AP2571" s="28">
        <f>5+41</f>
        <v>46</v>
      </c>
      <c r="AQ2571" s="28"/>
      <c r="AR2571" s="28"/>
      <c r="AS2571" s="28"/>
      <c r="AT2571" s="28"/>
      <c r="AU2571" s="28"/>
      <c r="AV2571" s="28">
        <f>1+36</f>
        <v>37</v>
      </c>
      <c r="AW2571" s="28"/>
      <c r="AX2571" s="28"/>
      <c r="AY2571" s="28"/>
      <c r="AZ2571" s="28"/>
      <c r="BA2571" s="28"/>
      <c r="BB2571" s="28">
        <f>6+22</f>
        <v>28</v>
      </c>
      <c r="BC2571" s="229">
        <f t="shared" si="1055"/>
        <v>0</v>
      </c>
      <c r="BD2571" s="48">
        <f t="shared" si="1051"/>
        <v>160</v>
      </c>
      <c r="BE2571" s="19">
        <v>158</v>
      </c>
      <c r="BF2571" s="229">
        <f t="shared" si="1056"/>
        <v>0</v>
      </c>
      <c r="BG2571" s="210">
        <f t="shared" si="1052"/>
        <v>160</v>
      </c>
      <c r="BH2571" s="210">
        <f t="shared" si="1053"/>
        <v>158</v>
      </c>
      <c r="BI2571" s="213">
        <f t="shared" si="1049"/>
        <v>101.26582278481013</v>
      </c>
      <c r="BJ2571" s="141"/>
      <c r="BK2571" s="201"/>
    </row>
    <row r="2572" spans="1:63" ht="18" customHeight="1">
      <c r="A2572" s="114">
        <v>50</v>
      </c>
      <c r="B2572" s="24" t="s">
        <v>646</v>
      </c>
      <c r="C2572" s="25" t="s">
        <v>647</v>
      </c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229">
        <f t="shared" si="1054"/>
        <v>0</v>
      </c>
      <c r="AC2572" s="228">
        <f t="shared" si="1050"/>
        <v>0</v>
      </c>
      <c r="AD2572" s="19">
        <v>0</v>
      </c>
      <c r="AE2572" s="28"/>
      <c r="AF2572" s="28"/>
      <c r="AG2572" s="28"/>
      <c r="AH2572" s="28"/>
      <c r="AI2572" s="28"/>
      <c r="AJ2572" s="28">
        <f>1+94</f>
        <v>95</v>
      </c>
      <c r="AK2572" s="28"/>
      <c r="AL2572" s="28"/>
      <c r="AM2572" s="28"/>
      <c r="AN2572" s="28"/>
      <c r="AO2572" s="28"/>
      <c r="AP2572" s="28">
        <f>15+113</f>
        <v>128</v>
      </c>
      <c r="AQ2572" s="28"/>
      <c r="AR2572" s="28"/>
      <c r="AS2572" s="28"/>
      <c r="AT2572" s="28"/>
      <c r="AU2572" s="28"/>
      <c r="AV2572" s="28">
        <f>11+88+1</f>
        <v>100</v>
      </c>
      <c r="AW2572" s="28"/>
      <c r="AX2572" s="28"/>
      <c r="AY2572" s="28"/>
      <c r="AZ2572" s="28"/>
      <c r="BA2572" s="28"/>
      <c r="BB2572" s="28">
        <f>12+97</f>
        <v>109</v>
      </c>
      <c r="BC2572" s="229">
        <f t="shared" si="1055"/>
        <v>0</v>
      </c>
      <c r="BD2572" s="48">
        <f t="shared" si="1051"/>
        <v>432</v>
      </c>
      <c r="BE2572" s="19">
        <v>228</v>
      </c>
      <c r="BF2572" s="229">
        <f t="shared" si="1056"/>
        <v>0</v>
      </c>
      <c r="BG2572" s="210">
        <f t="shared" si="1052"/>
        <v>432</v>
      </c>
      <c r="BH2572" s="210">
        <f t="shared" si="1053"/>
        <v>228</v>
      </c>
      <c r="BI2572" s="213">
        <f t="shared" si="1049"/>
        <v>189.4736842105263</v>
      </c>
      <c r="BJ2572" s="141"/>
      <c r="BK2572" s="201"/>
    </row>
    <row r="2573" spans="1:63" ht="18" customHeight="1">
      <c r="A2573" s="114">
        <v>51</v>
      </c>
      <c r="B2573" s="24" t="s">
        <v>698</v>
      </c>
      <c r="C2573" s="25" t="s">
        <v>699</v>
      </c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229">
        <f t="shared" si="1054"/>
        <v>0</v>
      </c>
      <c r="AC2573" s="228">
        <f t="shared" si="1050"/>
        <v>0</v>
      </c>
      <c r="AD2573" s="19">
        <v>0</v>
      </c>
      <c r="AE2573" s="28"/>
      <c r="AF2573" s="28"/>
      <c r="AG2573" s="28"/>
      <c r="AH2573" s="28"/>
      <c r="AI2573" s="28"/>
      <c r="AJ2573" s="28">
        <v>1</v>
      </c>
      <c r="AK2573" s="28"/>
      <c r="AL2573" s="28"/>
      <c r="AM2573" s="28"/>
      <c r="AN2573" s="28"/>
      <c r="AO2573" s="28"/>
      <c r="AP2573" s="28">
        <v>2</v>
      </c>
      <c r="AQ2573" s="28"/>
      <c r="AR2573" s="28"/>
      <c r="AS2573" s="28"/>
      <c r="AT2573" s="28"/>
      <c r="AU2573" s="28"/>
      <c r="AV2573" s="28">
        <v>2</v>
      </c>
      <c r="AW2573" s="28"/>
      <c r="AX2573" s="28"/>
      <c r="AY2573" s="28"/>
      <c r="AZ2573" s="28"/>
      <c r="BA2573" s="28"/>
      <c r="BB2573" s="28">
        <v>4</v>
      </c>
      <c r="BC2573" s="229">
        <f t="shared" si="1055"/>
        <v>0</v>
      </c>
      <c r="BD2573" s="48">
        <f t="shared" si="1051"/>
        <v>9</v>
      </c>
      <c r="BE2573" s="19">
        <v>12</v>
      </c>
      <c r="BF2573" s="229">
        <f t="shared" si="1056"/>
        <v>0</v>
      </c>
      <c r="BG2573" s="210">
        <f t="shared" si="1052"/>
        <v>9</v>
      </c>
      <c r="BH2573" s="210">
        <f t="shared" si="1053"/>
        <v>12</v>
      </c>
      <c r="BI2573" s="213">
        <f t="shared" si="1049"/>
        <v>75</v>
      </c>
      <c r="BJ2573" s="141"/>
      <c r="BK2573" s="201"/>
    </row>
    <row r="2574" spans="1:63" ht="18" customHeight="1">
      <c r="A2574" s="114">
        <v>52</v>
      </c>
      <c r="B2574" s="24" t="s">
        <v>835</v>
      </c>
      <c r="C2574" s="25" t="s">
        <v>1962</v>
      </c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229">
        <f t="shared" si="1054"/>
        <v>0</v>
      </c>
      <c r="AC2574" s="228">
        <f t="shared" si="1050"/>
        <v>0</v>
      </c>
      <c r="AD2574" s="19">
        <v>0</v>
      </c>
      <c r="AE2574" s="28"/>
      <c r="AF2574" s="28"/>
      <c r="AG2574" s="28"/>
      <c r="AH2574" s="28"/>
      <c r="AI2574" s="28"/>
      <c r="AJ2574" s="28">
        <f>18+5</f>
        <v>23</v>
      </c>
      <c r="AK2574" s="28"/>
      <c r="AL2574" s="28"/>
      <c r="AM2574" s="28"/>
      <c r="AN2574" s="28"/>
      <c r="AO2574" s="28"/>
      <c r="AP2574" s="28">
        <f>16+1</f>
        <v>17</v>
      </c>
      <c r="AQ2574" s="28"/>
      <c r="AR2574" s="28"/>
      <c r="AS2574" s="28"/>
      <c r="AT2574" s="28"/>
      <c r="AU2574" s="28"/>
      <c r="AV2574" s="28">
        <f>15+3</f>
        <v>18</v>
      </c>
      <c r="AW2574" s="28"/>
      <c r="AX2574" s="28"/>
      <c r="AY2574" s="28"/>
      <c r="AZ2574" s="28"/>
      <c r="BA2574" s="28"/>
      <c r="BB2574" s="28">
        <f>18+1</f>
        <v>19</v>
      </c>
      <c r="BC2574" s="229">
        <f t="shared" si="1055"/>
        <v>0</v>
      </c>
      <c r="BD2574" s="48">
        <f t="shared" si="1051"/>
        <v>77</v>
      </c>
      <c r="BE2574" s="19">
        <v>117</v>
      </c>
      <c r="BF2574" s="229">
        <f t="shared" si="1056"/>
        <v>0</v>
      </c>
      <c r="BG2574" s="210">
        <f t="shared" si="1052"/>
        <v>77</v>
      </c>
      <c r="BH2574" s="210">
        <f t="shared" si="1053"/>
        <v>117</v>
      </c>
      <c r="BI2574" s="213">
        <f t="shared" si="1049"/>
        <v>65.811965811965806</v>
      </c>
      <c r="BJ2574" s="141"/>
      <c r="BK2574" s="201"/>
    </row>
    <row r="2575" spans="1:63" ht="18" customHeight="1">
      <c r="A2575" s="114">
        <v>53</v>
      </c>
      <c r="B2575" s="24" t="s">
        <v>1395</v>
      </c>
      <c r="C2575" s="25" t="s">
        <v>1404</v>
      </c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229">
        <f t="shared" si="1054"/>
        <v>0</v>
      </c>
      <c r="AC2575" s="228">
        <f t="shared" si="1050"/>
        <v>0</v>
      </c>
      <c r="AD2575" s="19">
        <v>0</v>
      </c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29">
        <f t="shared" si="1055"/>
        <v>0</v>
      </c>
      <c r="BD2575" s="48">
        <f t="shared" si="1051"/>
        <v>0</v>
      </c>
      <c r="BE2575" s="19">
        <v>1</v>
      </c>
      <c r="BF2575" s="229">
        <f t="shared" si="1056"/>
        <v>0</v>
      </c>
      <c r="BG2575" s="210">
        <f t="shared" si="1052"/>
        <v>0</v>
      </c>
      <c r="BH2575" s="210">
        <f t="shared" si="1053"/>
        <v>1</v>
      </c>
      <c r="BI2575" s="213">
        <f t="shared" si="1049"/>
        <v>0</v>
      </c>
      <c r="BJ2575" s="141"/>
      <c r="BK2575" s="201"/>
    </row>
    <row r="2576" spans="1:63" ht="18" customHeight="1">
      <c r="A2576" s="114">
        <v>54</v>
      </c>
      <c r="B2576" s="24" t="s">
        <v>892</v>
      </c>
      <c r="C2576" s="25" t="s">
        <v>893</v>
      </c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229">
        <f t="shared" si="1054"/>
        <v>0</v>
      </c>
      <c r="AC2576" s="228">
        <f t="shared" si="1050"/>
        <v>0</v>
      </c>
      <c r="AD2576" s="19">
        <v>0</v>
      </c>
      <c r="AE2576" s="28"/>
      <c r="AF2576" s="28"/>
      <c r="AG2576" s="28"/>
      <c r="AH2576" s="28"/>
      <c r="AI2576" s="28"/>
      <c r="AJ2576" s="28">
        <f>30+16</f>
        <v>46</v>
      </c>
      <c r="AK2576" s="28"/>
      <c r="AL2576" s="28"/>
      <c r="AM2576" s="28"/>
      <c r="AN2576" s="28"/>
      <c r="AO2576" s="28"/>
      <c r="AP2576" s="28">
        <f>29+11</f>
        <v>40</v>
      </c>
      <c r="AQ2576" s="28"/>
      <c r="AR2576" s="28"/>
      <c r="AS2576" s="28"/>
      <c r="AT2576" s="28"/>
      <c r="AU2576" s="28"/>
      <c r="AV2576" s="28">
        <f>9+14</f>
        <v>23</v>
      </c>
      <c r="AW2576" s="28"/>
      <c r="AX2576" s="28"/>
      <c r="AY2576" s="28"/>
      <c r="AZ2576" s="28"/>
      <c r="BA2576" s="28"/>
      <c r="BB2576" s="28">
        <f>10+9</f>
        <v>19</v>
      </c>
      <c r="BC2576" s="229">
        <f t="shared" si="1055"/>
        <v>0</v>
      </c>
      <c r="BD2576" s="48">
        <f t="shared" si="1051"/>
        <v>128</v>
      </c>
      <c r="BE2576" s="19">
        <v>178</v>
      </c>
      <c r="BF2576" s="229">
        <f t="shared" si="1056"/>
        <v>0</v>
      </c>
      <c r="BG2576" s="210">
        <f t="shared" si="1052"/>
        <v>128</v>
      </c>
      <c r="BH2576" s="210">
        <f t="shared" si="1053"/>
        <v>178</v>
      </c>
      <c r="BI2576" s="213">
        <f t="shared" si="1049"/>
        <v>71.910112359550567</v>
      </c>
      <c r="BJ2576" s="141"/>
      <c r="BK2576" s="201"/>
    </row>
    <row r="2577" spans="1:63" ht="18" customHeight="1">
      <c r="A2577" s="114">
        <v>55</v>
      </c>
      <c r="B2577" s="24" t="s">
        <v>651</v>
      </c>
      <c r="C2577" s="25" t="s">
        <v>1453</v>
      </c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229">
        <f t="shared" si="1054"/>
        <v>0</v>
      </c>
      <c r="AC2577" s="228">
        <f t="shared" si="1050"/>
        <v>0</v>
      </c>
      <c r="AD2577" s="19">
        <v>0</v>
      </c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/>
      <c r="BC2577" s="229">
        <f t="shared" si="1055"/>
        <v>0</v>
      </c>
      <c r="BD2577" s="48">
        <f t="shared" si="1051"/>
        <v>0</v>
      </c>
      <c r="BE2577" s="19">
        <v>1</v>
      </c>
      <c r="BF2577" s="229">
        <f t="shared" si="1056"/>
        <v>0</v>
      </c>
      <c r="BG2577" s="210">
        <f t="shared" si="1052"/>
        <v>0</v>
      </c>
      <c r="BH2577" s="210">
        <f t="shared" si="1053"/>
        <v>1</v>
      </c>
      <c r="BI2577" s="213">
        <f t="shared" si="1049"/>
        <v>0</v>
      </c>
      <c r="BJ2577" s="141"/>
      <c r="BK2577" s="201"/>
    </row>
    <row r="2578" spans="1:63" ht="18" customHeight="1">
      <c r="A2578" s="114">
        <v>56</v>
      </c>
      <c r="B2578" s="24" t="s">
        <v>814</v>
      </c>
      <c r="C2578" s="25" t="s">
        <v>815</v>
      </c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229">
        <f t="shared" si="1054"/>
        <v>0</v>
      </c>
      <c r="AC2578" s="228">
        <f t="shared" si="1050"/>
        <v>0</v>
      </c>
      <c r="AD2578" s="19">
        <v>0</v>
      </c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/>
      <c r="AZ2578" s="28"/>
      <c r="BA2578" s="28"/>
      <c r="BB2578" s="28"/>
      <c r="BC2578" s="229">
        <f t="shared" si="1055"/>
        <v>0</v>
      </c>
      <c r="BD2578" s="48">
        <f t="shared" si="1051"/>
        <v>0</v>
      </c>
      <c r="BE2578" s="19">
        <v>1</v>
      </c>
      <c r="BF2578" s="229">
        <f t="shared" si="1056"/>
        <v>0</v>
      </c>
      <c r="BG2578" s="210">
        <f t="shared" si="1052"/>
        <v>0</v>
      </c>
      <c r="BH2578" s="210">
        <f t="shared" si="1053"/>
        <v>1</v>
      </c>
      <c r="BI2578" s="213">
        <f t="shared" si="1049"/>
        <v>0</v>
      </c>
      <c r="BJ2578" s="141"/>
      <c r="BK2578" s="201"/>
    </row>
    <row r="2579" spans="1:63" ht="18" customHeight="1">
      <c r="A2579" s="114">
        <v>57</v>
      </c>
      <c r="B2579" s="24" t="s">
        <v>926</v>
      </c>
      <c r="C2579" s="25" t="s">
        <v>1749</v>
      </c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229">
        <f t="shared" si="1054"/>
        <v>0</v>
      </c>
      <c r="AC2579" s="228">
        <f t="shared" si="1050"/>
        <v>0</v>
      </c>
      <c r="AD2579" s="19">
        <v>0</v>
      </c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29">
        <f t="shared" si="1055"/>
        <v>0</v>
      </c>
      <c r="BD2579" s="48">
        <f t="shared" si="1051"/>
        <v>0</v>
      </c>
      <c r="BE2579" s="19">
        <v>1</v>
      </c>
      <c r="BF2579" s="229">
        <f t="shared" si="1056"/>
        <v>0</v>
      </c>
      <c r="BG2579" s="210">
        <f t="shared" si="1052"/>
        <v>0</v>
      </c>
      <c r="BH2579" s="210">
        <f t="shared" si="1053"/>
        <v>1</v>
      </c>
      <c r="BI2579" s="213">
        <f t="shared" si="1049"/>
        <v>0</v>
      </c>
      <c r="BJ2579" s="141"/>
      <c r="BK2579" s="201"/>
    </row>
    <row r="2580" spans="1:63" ht="18" customHeight="1">
      <c r="A2580" s="114">
        <v>58</v>
      </c>
      <c r="B2580" s="24" t="s">
        <v>927</v>
      </c>
      <c r="C2580" s="25" t="s">
        <v>1392</v>
      </c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229">
        <f t="shared" si="1054"/>
        <v>0</v>
      </c>
      <c r="AC2580" s="228">
        <f t="shared" si="1050"/>
        <v>0</v>
      </c>
      <c r="AD2580" s="19">
        <v>0</v>
      </c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28"/>
      <c r="BC2580" s="229">
        <f t="shared" si="1055"/>
        <v>0</v>
      </c>
      <c r="BD2580" s="48">
        <f t="shared" si="1051"/>
        <v>0</v>
      </c>
      <c r="BE2580" s="19">
        <v>1</v>
      </c>
      <c r="BF2580" s="229">
        <f t="shared" si="1056"/>
        <v>0</v>
      </c>
      <c r="BG2580" s="210">
        <f t="shared" si="1052"/>
        <v>0</v>
      </c>
      <c r="BH2580" s="210">
        <f t="shared" si="1053"/>
        <v>1</v>
      </c>
      <c r="BI2580" s="213">
        <f t="shared" si="1049"/>
        <v>0</v>
      </c>
      <c r="BJ2580" s="141"/>
      <c r="BK2580" s="201"/>
    </row>
    <row r="2581" spans="1:63" ht="18" customHeight="1">
      <c r="A2581" s="114">
        <v>59</v>
      </c>
      <c r="B2581" s="24" t="s">
        <v>703</v>
      </c>
      <c r="C2581" s="25" t="s">
        <v>774</v>
      </c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229">
        <f t="shared" si="1054"/>
        <v>0</v>
      </c>
      <c r="AC2581" s="228">
        <f t="shared" si="1050"/>
        <v>0</v>
      </c>
      <c r="AD2581" s="19">
        <v>3</v>
      </c>
      <c r="AE2581" s="28"/>
      <c r="AF2581" s="28"/>
      <c r="AG2581" s="28"/>
      <c r="AH2581" s="28"/>
      <c r="AI2581" s="28"/>
      <c r="AJ2581" s="28">
        <v>45</v>
      </c>
      <c r="AK2581" s="28"/>
      <c r="AL2581" s="28"/>
      <c r="AM2581" s="28"/>
      <c r="AN2581" s="28"/>
      <c r="AO2581" s="28"/>
      <c r="AP2581" s="28">
        <v>72</v>
      </c>
      <c r="AQ2581" s="28"/>
      <c r="AR2581" s="28"/>
      <c r="AS2581" s="28"/>
      <c r="AT2581" s="28"/>
      <c r="AU2581" s="28"/>
      <c r="AV2581" s="28">
        <v>41</v>
      </c>
      <c r="AW2581" s="28"/>
      <c r="AX2581" s="28"/>
      <c r="AY2581" s="28"/>
      <c r="AZ2581" s="28"/>
      <c r="BA2581" s="28"/>
      <c r="BB2581" s="28">
        <v>49</v>
      </c>
      <c r="BC2581" s="229">
        <f t="shared" si="1055"/>
        <v>0</v>
      </c>
      <c r="BD2581" s="48">
        <f t="shared" si="1051"/>
        <v>207</v>
      </c>
      <c r="BE2581" s="19">
        <v>194</v>
      </c>
      <c r="BF2581" s="229">
        <f t="shared" si="1056"/>
        <v>0</v>
      </c>
      <c r="BG2581" s="210">
        <f t="shared" si="1052"/>
        <v>207</v>
      </c>
      <c r="BH2581" s="210">
        <f t="shared" si="1053"/>
        <v>197</v>
      </c>
      <c r="BI2581" s="213">
        <f t="shared" si="1049"/>
        <v>105.07614213197969</v>
      </c>
      <c r="BJ2581" s="141"/>
      <c r="BK2581" s="201"/>
    </row>
    <row r="2582" spans="1:63" ht="18" customHeight="1">
      <c r="A2582" s="114">
        <v>60</v>
      </c>
      <c r="B2582" s="24" t="s">
        <v>1503</v>
      </c>
      <c r="C2582" s="25" t="s">
        <v>1504</v>
      </c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229">
        <f t="shared" si="1054"/>
        <v>0</v>
      </c>
      <c r="AC2582" s="228">
        <f t="shared" si="1050"/>
        <v>0</v>
      </c>
      <c r="AD2582" s="19">
        <v>0</v>
      </c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28"/>
      <c r="BA2582" s="28"/>
      <c r="BB2582" s="28"/>
      <c r="BC2582" s="229">
        <f t="shared" si="1055"/>
        <v>0</v>
      </c>
      <c r="BD2582" s="48">
        <f t="shared" si="1051"/>
        <v>0</v>
      </c>
      <c r="BE2582" s="19">
        <v>1</v>
      </c>
      <c r="BF2582" s="229">
        <f t="shared" si="1056"/>
        <v>0</v>
      </c>
      <c r="BG2582" s="210">
        <f t="shared" si="1052"/>
        <v>0</v>
      </c>
      <c r="BH2582" s="210">
        <f t="shared" si="1053"/>
        <v>1</v>
      </c>
      <c r="BI2582" s="213">
        <f t="shared" si="1049"/>
        <v>0</v>
      </c>
      <c r="BJ2582" s="141"/>
      <c r="BK2582" s="201"/>
    </row>
    <row r="2583" spans="1:63" ht="18" customHeight="1">
      <c r="A2583" s="114">
        <v>61</v>
      </c>
      <c r="B2583" s="24" t="s">
        <v>899</v>
      </c>
      <c r="C2583" s="25" t="s">
        <v>1700</v>
      </c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229">
        <f t="shared" si="1054"/>
        <v>0</v>
      </c>
      <c r="AC2583" s="228">
        <f t="shared" si="1050"/>
        <v>0</v>
      </c>
      <c r="AD2583" s="19">
        <v>0</v>
      </c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29">
        <f t="shared" si="1055"/>
        <v>0</v>
      </c>
      <c r="BD2583" s="48">
        <f t="shared" si="1051"/>
        <v>0</v>
      </c>
      <c r="BE2583" s="19">
        <v>1</v>
      </c>
      <c r="BF2583" s="229">
        <f t="shared" si="1056"/>
        <v>0</v>
      </c>
      <c r="BG2583" s="210">
        <f t="shared" si="1052"/>
        <v>0</v>
      </c>
      <c r="BH2583" s="210">
        <f t="shared" si="1053"/>
        <v>1</v>
      </c>
      <c r="BI2583" s="213">
        <f t="shared" si="1049"/>
        <v>0</v>
      </c>
      <c r="BJ2583" s="141"/>
      <c r="BK2583" s="201"/>
    </row>
    <row r="2584" spans="1:63" ht="18" customHeight="1">
      <c r="A2584" s="114">
        <v>62</v>
      </c>
      <c r="B2584" s="24" t="s">
        <v>928</v>
      </c>
      <c r="C2584" s="25" t="s">
        <v>2270</v>
      </c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229">
        <f t="shared" si="1054"/>
        <v>0</v>
      </c>
      <c r="AC2584" s="228">
        <f t="shared" si="1050"/>
        <v>0</v>
      </c>
      <c r="AD2584" s="19">
        <v>0</v>
      </c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  <c r="AZ2584" s="28"/>
      <c r="BA2584" s="28"/>
      <c r="BB2584" s="28"/>
      <c r="BC2584" s="229">
        <f t="shared" si="1055"/>
        <v>0</v>
      </c>
      <c r="BD2584" s="48">
        <f t="shared" si="1051"/>
        <v>0</v>
      </c>
      <c r="BE2584" s="19">
        <v>1</v>
      </c>
      <c r="BF2584" s="229">
        <f t="shared" si="1056"/>
        <v>0</v>
      </c>
      <c r="BG2584" s="210">
        <f t="shared" si="1052"/>
        <v>0</v>
      </c>
      <c r="BH2584" s="210">
        <f t="shared" si="1053"/>
        <v>1</v>
      </c>
      <c r="BI2584" s="213">
        <f t="shared" si="1049"/>
        <v>0</v>
      </c>
      <c r="BJ2584" s="141"/>
      <c r="BK2584" s="201"/>
    </row>
    <row r="2585" spans="1:63" ht="18" customHeight="1">
      <c r="A2585" s="114">
        <v>63</v>
      </c>
      <c r="B2585" s="24" t="s">
        <v>775</v>
      </c>
      <c r="C2585" s="25" t="s">
        <v>1580</v>
      </c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229">
        <f t="shared" si="1054"/>
        <v>0</v>
      </c>
      <c r="AC2585" s="228">
        <f t="shared" si="1050"/>
        <v>0</v>
      </c>
      <c r="AD2585" s="19">
        <v>0</v>
      </c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29">
        <f t="shared" si="1055"/>
        <v>0</v>
      </c>
      <c r="BD2585" s="48">
        <f t="shared" si="1051"/>
        <v>0</v>
      </c>
      <c r="BE2585" s="19">
        <v>1</v>
      </c>
      <c r="BF2585" s="229">
        <f t="shared" si="1056"/>
        <v>0</v>
      </c>
      <c r="BG2585" s="210">
        <f t="shared" si="1052"/>
        <v>0</v>
      </c>
      <c r="BH2585" s="210">
        <f t="shared" si="1053"/>
        <v>1</v>
      </c>
      <c r="BI2585" s="213">
        <f t="shared" si="1049"/>
        <v>0</v>
      </c>
      <c r="BJ2585" s="141"/>
      <c r="BK2585" s="201"/>
    </row>
    <row r="2586" spans="1:63" ht="18" customHeight="1">
      <c r="A2586" s="114">
        <v>64</v>
      </c>
      <c r="B2586" s="24" t="s">
        <v>994</v>
      </c>
      <c r="C2586" s="25" t="s">
        <v>1163</v>
      </c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229">
        <f t="shared" si="1054"/>
        <v>0</v>
      </c>
      <c r="AC2586" s="228">
        <f t="shared" si="1050"/>
        <v>0</v>
      </c>
      <c r="AD2586" s="19">
        <v>0</v>
      </c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  <c r="AY2586" s="28"/>
      <c r="AZ2586" s="28"/>
      <c r="BA2586" s="28"/>
      <c r="BB2586" s="28"/>
      <c r="BC2586" s="229">
        <f t="shared" si="1055"/>
        <v>0</v>
      </c>
      <c r="BD2586" s="48">
        <f t="shared" si="1051"/>
        <v>0</v>
      </c>
      <c r="BE2586" s="19">
        <v>1</v>
      </c>
      <c r="BF2586" s="229">
        <f t="shared" si="1056"/>
        <v>0</v>
      </c>
      <c r="BG2586" s="210">
        <f t="shared" si="1052"/>
        <v>0</v>
      </c>
      <c r="BH2586" s="210">
        <f t="shared" si="1053"/>
        <v>1</v>
      </c>
      <c r="BI2586" s="213">
        <f t="shared" si="1049"/>
        <v>0</v>
      </c>
      <c r="BJ2586" s="141"/>
      <c r="BK2586" s="201"/>
    </row>
    <row r="2587" spans="1:63" ht="18" customHeight="1">
      <c r="A2587" s="114">
        <v>65</v>
      </c>
      <c r="B2587" s="24" t="s">
        <v>724</v>
      </c>
      <c r="C2587" s="25" t="s">
        <v>1093</v>
      </c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229">
        <f t="shared" si="1054"/>
        <v>0</v>
      </c>
      <c r="AC2587" s="228">
        <f t="shared" si="1050"/>
        <v>0</v>
      </c>
      <c r="AD2587" s="19">
        <v>0</v>
      </c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29">
        <f t="shared" si="1055"/>
        <v>0</v>
      </c>
      <c r="BD2587" s="48">
        <f t="shared" si="1051"/>
        <v>0</v>
      </c>
      <c r="BE2587" s="19">
        <v>1</v>
      </c>
      <c r="BF2587" s="229">
        <f t="shared" si="1056"/>
        <v>0</v>
      </c>
      <c r="BG2587" s="210">
        <f t="shared" si="1052"/>
        <v>0</v>
      </c>
      <c r="BH2587" s="210">
        <f t="shared" si="1053"/>
        <v>1</v>
      </c>
      <c r="BI2587" s="213">
        <f t="shared" ref="BI2587:BI2618" si="1057">BG2587/BH2587*100</f>
        <v>0</v>
      </c>
      <c r="BJ2587" s="141"/>
      <c r="BK2587" s="201"/>
    </row>
    <row r="2588" spans="1:63" ht="18" customHeight="1">
      <c r="A2588" s="114">
        <v>66</v>
      </c>
      <c r="B2588" s="24" t="s">
        <v>725</v>
      </c>
      <c r="C2588" s="25" t="s">
        <v>1494</v>
      </c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229">
        <f t="shared" si="1054"/>
        <v>0</v>
      </c>
      <c r="AC2588" s="228">
        <f t="shared" si="1050"/>
        <v>0</v>
      </c>
      <c r="AD2588" s="19">
        <v>0</v>
      </c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  <c r="AZ2588" s="28"/>
      <c r="BA2588" s="28"/>
      <c r="BB2588" s="28"/>
      <c r="BC2588" s="229">
        <f t="shared" si="1055"/>
        <v>0</v>
      </c>
      <c r="BD2588" s="48">
        <f t="shared" si="1051"/>
        <v>0</v>
      </c>
      <c r="BE2588" s="19">
        <v>1</v>
      </c>
      <c r="BF2588" s="229">
        <f t="shared" si="1056"/>
        <v>0</v>
      </c>
      <c r="BG2588" s="210">
        <f t="shared" si="1052"/>
        <v>0</v>
      </c>
      <c r="BH2588" s="210">
        <f t="shared" si="1053"/>
        <v>1</v>
      </c>
      <c r="BI2588" s="213">
        <f t="shared" si="1057"/>
        <v>0</v>
      </c>
      <c r="BJ2588" s="141"/>
      <c r="BK2588" s="201"/>
    </row>
    <row r="2589" spans="1:63" ht="18" customHeight="1">
      <c r="A2589" s="114">
        <v>67</v>
      </c>
      <c r="B2589" s="24" t="s">
        <v>726</v>
      </c>
      <c r="C2589" s="25" t="s">
        <v>1387</v>
      </c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229">
        <f t="shared" si="1054"/>
        <v>0</v>
      </c>
      <c r="AC2589" s="228">
        <f t="shared" ref="AC2589:AC2620" si="1058">E2589+G2589+I2589+K2589+M2589+O2589+Q2589+S2589+U2589+W2589+Y2589+AA2589</f>
        <v>0</v>
      </c>
      <c r="AD2589" s="19">
        <v>0</v>
      </c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29">
        <f t="shared" si="1055"/>
        <v>0</v>
      </c>
      <c r="BD2589" s="48">
        <f t="shared" ref="BD2589:BD2620" si="1059">AF2589+AH2589+AJ2589+AL2589+AN2589+AP2589+AR2589+AT2589+AV2589+AX2589+AZ2589+BB2589</f>
        <v>0</v>
      </c>
      <c r="BE2589" s="19">
        <v>1</v>
      </c>
      <c r="BF2589" s="229">
        <f t="shared" si="1056"/>
        <v>0</v>
      </c>
      <c r="BG2589" s="210">
        <f t="shared" ref="BG2589:BG2620" si="1060">AC2589+BD2589</f>
        <v>0</v>
      </c>
      <c r="BH2589" s="210">
        <f t="shared" ref="BH2589:BH2620" si="1061">AD2589+BE2589</f>
        <v>1</v>
      </c>
      <c r="BI2589" s="213">
        <f t="shared" si="1057"/>
        <v>0</v>
      </c>
      <c r="BJ2589" s="141"/>
      <c r="BK2589" s="201"/>
    </row>
    <row r="2590" spans="1:63" ht="18" customHeight="1">
      <c r="A2590" s="114">
        <v>68</v>
      </c>
      <c r="B2590" s="24" t="s">
        <v>995</v>
      </c>
      <c r="C2590" s="25" t="s">
        <v>1023</v>
      </c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229">
        <f t="shared" ref="AB2590:AB2621" si="1062">D2590+F2590+H2590+J2590+L2590+N2590+P2590+R2590+T2590+V2590+X2590+Z2590</f>
        <v>0</v>
      </c>
      <c r="AC2590" s="228">
        <f t="shared" si="1058"/>
        <v>0</v>
      </c>
      <c r="AD2590" s="19">
        <v>0</v>
      </c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  <c r="AY2590" s="28"/>
      <c r="AZ2590" s="28"/>
      <c r="BA2590" s="28"/>
      <c r="BB2590" s="28"/>
      <c r="BC2590" s="229">
        <f t="shared" ref="BC2590:BC2621" si="1063">AE2590+AG2590+AI2590+AK2590+AM2590+AO2590+AQ2590+AS2590+AU2590+AW2590+AY2590+BA2590</f>
        <v>0</v>
      </c>
      <c r="BD2590" s="48">
        <f t="shared" si="1059"/>
        <v>0</v>
      </c>
      <c r="BE2590" s="19">
        <v>1</v>
      </c>
      <c r="BF2590" s="229">
        <f t="shared" ref="BF2590:BF2621" si="1064">AB2590+BC2590</f>
        <v>0</v>
      </c>
      <c r="BG2590" s="210">
        <f t="shared" si="1060"/>
        <v>0</v>
      </c>
      <c r="BH2590" s="210">
        <f t="shared" si="1061"/>
        <v>1</v>
      </c>
      <c r="BI2590" s="213">
        <f t="shared" si="1057"/>
        <v>0</v>
      </c>
      <c r="BJ2590" s="141"/>
      <c r="BK2590" s="201"/>
    </row>
    <row r="2591" spans="1:63" ht="18" customHeight="1">
      <c r="A2591" s="114">
        <v>69</v>
      </c>
      <c r="B2591" s="24" t="s">
        <v>1024</v>
      </c>
      <c r="C2591" s="25" t="s">
        <v>1025</v>
      </c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229">
        <f t="shared" si="1062"/>
        <v>0</v>
      </c>
      <c r="AC2591" s="228">
        <f t="shared" si="1058"/>
        <v>0</v>
      </c>
      <c r="AD2591" s="19">
        <v>0</v>
      </c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  <c r="AZ2591" s="28"/>
      <c r="BA2591" s="28"/>
      <c r="BB2591" s="28"/>
      <c r="BC2591" s="229">
        <f t="shared" si="1063"/>
        <v>0</v>
      </c>
      <c r="BD2591" s="48">
        <f t="shared" si="1059"/>
        <v>0</v>
      </c>
      <c r="BE2591" s="19">
        <v>1</v>
      </c>
      <c r="BF2591" s="229">
        <f t="shared" si="1064"/>
        <v>0</v>
      </c>
      <c r="BG2591" s="210">
        <f t="shared" si="1060"/>
        <v>0</v>
      </c>
      <c r="BH2591" s="210">
        <f t="shared" si="1061"/>
        <v>1</v>
      </c>
      <c r="BI2591" s="213">
        <f t="shared" si="1057"/>
        <v>0</v>
      </c>
      <c r="BJ2591" s="141"/>
      <c r="BK2591" s="201"/>
    </row>
    <row r="2592" spans="1:63" ht="18" customHeight="1">
      <c r="A2592" s="114">
        <v>70</v>
      </c>
      <c r="B2592" s="24" t="s">
        <v>730</v>
      </c>
      <c r="C2592" s="25" t="s">
        <v>731</v>
      </c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229">
        <f t="shared" si="1062"/>
        <v>0</v>
      </c>
      <c r="AC2592" s="228">
        <f t="shared" si="1058"/>
        <v>0</v>
      </c>
      <c r="AD2592" s="19">
        <v>0</v>
      </c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  <c r="AY2592" s="28"/>
      <c r="AZ2592" s="28"/>
      <c r="BA2592" s="28"/>
      <c r="BB2592" s="28"/>
      <c r="BC2592" s="229">
        <f t="shared" si="1063"/>
        <v>0</v>
      </c>
      <c r="BD2592" s="48">
        <f t="shared" si="1059"/>
        <v>0</v>
      </c>
      <c r="BE2592" s="19">
        <v>1</v>
      </c>
      <c r="BF2592" s="229">
        <f t="shared" si="1064"/>
        <v>0</v>
      </c>
      <c r="BG2592" s="210">
        <f t="shared" si="1060"/>
        <v>0</v>
      </c>
      <c r="BH2592" s="210">
        <f t="shared" si="1061"/>
        <v>1</v>
      </c>
      <c r="BI2592" s="213">
        <f t="shared" si="1057"/>
        <v>0</v>
      </c>
      <c r="BJ2592" s="141"/>
      <c r="BK2592" s="201"/>
    </row>
    <row r="2593" spans="1:65" ht="18" customHeight="1">
      <c r="A2593" s="114">
        <v>71</v>
      </c>
      <c r="B2593" s="24" t="s">
        <v>732</v>
      </c>
      <c r="C2593" s="34" t="s">
        <v>733</v>
      </c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229">
        <f t="shared" si="1062"/>
        <v>0</v>
      </c>
      <c r="AC2593" s="228">
        <f t="shared" si="1058"/>
        <v>0</v>
      </c>
      <c r="AD2593" s="19">
        <v>0</v>
      </c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29">
        <f t="shared" si="1063"/>
        <v>0</v>
      </c>
      <c r="BD2593" s="48">
        <f t="shared" si="1059"/>
        <v>0</v>
      </c>
      <c r="BE2593" s="19">
        <v>1</v>
      </c>
      <c r="BF2593" s="229">
        <f t="shared" si="1064"/>
        <v>0</v>
      </c>
      <c r="BG2593" s="210">
        <f t="shared" si="1060"/>
        <v>0</v>
      </c>
      <c r="BH2593" s="210">
        <f t="shared" si="1061"/>
        <v>1</v>
      </c>
      <c r="BI2593" s="213">
        <f t="shared" si="1057"/>
        <v>0</v>
      </c>
      <c r="BJ2593" s="141"/>
      <c r="BK2593" s="201"/>
    </row>
    <row r="2594" spans="1:65" ht="18" customHeight="1">
      <c r="A2594" s="114">
        <v>72</v>
      </c>
      <c r="B2594" s="24" t="s">
        <v>996</v>
      </c>
      <c r="C2594" s="25" t="s">
        <v>1026</v>
      </c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229">
        <f t="shared" si="1062"/>
        <v>0</v>
      </c>
      <c r="AC2594" s="228">
        <f t="shared" si="1058"/>
        <v>0</v>
      </c>
      <c r="AD2594" s="19">
        <v>0</v>
      </c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  <c r="AZ2594" s="28"/>
      <c r="BA2594" s="28"/>
      <c r="BB2594" s="28"/>
      <c r="BC2594" s="229">
        <f t="shared" si="1063"/>
        <v>0</v>
      </c>
      <c r="BD2594" s="48">
        <f t="shared" si="1059"/>
        <v>0</v>
      </c>
      <c r="BE2594" s="19">
        <v>1</v>
      </c>
      <c r="BF2594" s="229">
        <f t="shared" si="1064"/>
        <v>0</v>
      </c>
      <c r="BG2594" s="210">
        <f t="shared" si="1060"/>
        <v>0</v>
      </c>
      <c r="BH2594" s="210">
        <f t="shared" si="1061"/>
        <v>1</v>
      </c>
      <c r="BI2594" s="213">
        <f t="shared" si="1057"/>
        <v>0</v>
      </c>
      <c r="BJ2594" s="141"/>
      <c r="BK2594" s="201"/>
    </row>
    <row r="2595" spans="1:65" ht="18" customHeight="1">
      <c r="A2595" s="114">
        <v>73</v>
      </c>
      <c r="B2595" s="24" t="s">
        <v>736</v>
      </c>
      <c r="C2595" s="25" t="s">
        <v>737</v>
      </c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229">
        <f t="shared" si="1062"/>
        <v>0</v>
      </c>
      <c r="AC2595" s="228">
        <f t="shared" si="1058"/>
        <v>0</v>
      </c>
      <c r="AD2595" s="19">
        <v>0</v>
      </c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29">
        <f t="shared" si="1063"/>
        <v>0</v>
      </c>
      <c r="BD2595" s="48">
        <f t="shared" si="1059"/>
        <v>0</v>
      </c>
      <c r="BE2595" s="19">
        <v>1</v>
      </c>
      <c r="BF2595" s="229">
        <f t="shared" si="1064"/>
        <v>0</v>
      </c>
      <c r="BG2595" s="210">
        <f t="shared" si="1060"/>
        <v>0</v>
      </c>
      <c r="BH2595" s="210">
        <f t="shared" si="1061"/>
        <v>1</v>
      </c>
      <c r="BI2595" s="213">
        <f t="shared" si="1057"/>
        <v>0</v>
      </c>
      <c r="BJ2595" s="141"/>
      <c r="BK2595" s="201"/>
    </row>
    <row r="2596" spans="1:65" ht="18" customHeight="1">
      <c r="A2596" s="114">
        <v>74</v>
      </c>
      <c r="B2596" s="24" t="s">
        <v>739</v>
      </c>
      <c r="C2596" s="25" t="s">
        <v>820</v>
      </c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229">
        <f t="shared" si="1062"/>
        <v>0</v>
      </c>
      <c r="AC2596" s="228">
        <f t="shared" si="1058"/>
        <v>0</v>
      </c>
      <c r="AD2596" s="19">
        <v>0</v>
      </c>
      <c r="AE2596" s="28"/>
      <c r="AF2596" s="28"/>
      <c r="AG2596" s="28"/>
      <c r="AH2596" s="28"/>
      <c r="AI2596" s="28"/>
      <c r="AJ2596" s="28">
        <f>3+70+4</f>
        <v>77</v>
      </c>
      <c r="AK2596" s="28"/>
      <c r="AL2596" s="28"/>
      <c r="AM2596" s="28"/>
      <c r="AN2596" s="28"/>
      <c r="AO2596" s="28"/>
      <c r="AP2596" s="28">
        <f>5+56</f>
        <v>61</v>
      </c>
      <c r="AQ2596" s="28"/>
      <c r="AR2596" s="28"/>
      <c r="AS2596" s="28"/>
      <c r="AT2596" s="28"/>
      <c r="AU2596" s="28"/>
      <c r="AV2596" s="28">
        <f>7+71+3</f>
        <v>81</v>
      </c>
      <c r="AW2596" s="28"/>
      <c r="AX2596" s="28"/>
      <c r="AY2596" s="28"/>
      <c r="AZ2596" s="28"/>
      <c r="BA2596" s="28"/>
      <c r="BB2596" s="28">
        <f>24+2+93</f>
        <v>119</v>
      </c>
      <c r="BC2596" s="229">
        <f t="shared" si="1063"/>
        <v>0</v>
      </c>
      <c r="BD2596" s="48">
        <f t="shared" si="1059"/>
        <v>338</v>
      </c>
      <c r="BE2596" s="19">
        <v>264</v>
      </c>
      <c r="BF2596" s="229">
        <f t="shared" si="1064"/>
        <v>0</v>
      </c>
      <c r="BG2596" s="210">
        <f t="shared" si="1060"/>
        <v>338</v>
      </c>
      <c r="BH2596" s="210">
        <f t="shared" si="1061"/>
        <v>264</v>
      </c>
      <c r="BI2596" s="213">
        <f t="shared" si="1057"/>
        <v>128.03030303030303</v>
      </c>
      <c r="BJ2596" s="141"/>
      <c r="BK2596" s="201"/>
    </row>
    <row r="2597" spans="1:65" ht="18" customHeight="1">
      <c r="A2597" s="114">
        <v>75</v>
      </c>
      <c r="B2597" s="24" t="s">
        <v>1454</v>
      </c>
      <c r="C2597" s="25" t="s">
        <v>1455</v>
      </c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229">
        <f t="shared" si="1062"/>
        <v>0</v>
      </c>
      <c r="AC2597" s="228">
        <f t="shared" si="1058"/>
        <v>0</v>
      </c>
      <c r="AD2597" s="19">
        <v>0</v>
      </c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  <c r="AZ2597" s="28"/>
      <c r="BA2597" s="28"/>
      <c r="BB2597" s="28"/>
      <c r="BC2597" s="229">
        <f t="shared" si="1063"/>
        <v>0</v>
      </c>
      <c r="BD2597" s="48">
        <f t="shared" si="1059"/>
        <v>0</v>
      </c>
      <c r="BE2597" s="19">
        <v>0</v>
      </c>
      <c r="BF2597" s="229">
        <f t="shared" si="1064"/>
        <v>0</v>
      </c>
      <c r="BG2597" s="210">
        <f t="shared" si="1060"/>
        <v>0</v>
      </c>
      <c r="BH2597" s="210">
        <f t="shared" si="1061"/>
        <v>0</v>
      </c>
      <c r="BI2597" s="213" t="e">
        <f t="shared" si="1057"/>
        <v>#DIV/0!</v>
      </c>
      <c r="BJ2597" s="141"/>
      <c r="BK2597" s="201"/>
    </row>
    <row r="2598" spans="1:65" ht="18" customHeight="1">
      <c r="A2598" s="114">
        <v>76</v>
      </c>
      <c r="B2598" s="24" t="s">
        <v>797</v>
      </c>
      <c r="C2598" s="25" t="s">
        <v>798</v>
      </c>
      <c r="D2598" s="121"/>
      <c r="E2598" s="121"/>
      <c r="F2598" s="121"/>
      <c r="G2598" s="121"/>
      <c r="H2598" s="121"/>
      <c r="I2598" s="121">
        <v>1</v>
      </c>
      <c r="J2598" s="121"/>
      <c r="K2598" s="121"/>
      <c r="L2598" s="121"/>
      <c r="M2598" s="121"/>
      <c r="N2598" s="121"/>
      <c r="O2598" s="121">
        <v>1</v>
      </c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229">
        <f t="shared" si="1062"/>
        <v>0</v>
      </c>
      <c r="AC2598" s="228">
        <f t="shared" si="1058"/>
        <v>2</v>
      </c>
      <c r="AD2598" s="19">
        <v>0</v>
      </c>
      <c r="AE2598" s="28"/>
      <c r="AF2598" s="28"/>
      <c r="AG2598" s="28"/>
      <c r="AH2598" s="28"/>
      <c r="AI2598" s="28"/>
      <c r="AJ2598" s="28">
        <f>96+125+1</f>
        <v>222</v>
      </c>
      <c r="AK2598" s="28"/>
      <c r="AL2598" s="28"/>
      <c r="AM2598" s="28"/>
      <c r="AN2598" s="28"/>
      <c r="AO2598" s="28"/>
      <c r="AP2598" s="28">
        <f>80+83</f>
        <v>163</v>
      </c>
      <c r="AQ2598" s="28"/>
      <c r="AR2598" s="28"/>
      <c r="AS2598" s="28"/>
      <c r="AT2598" s="28"/>
      <c r="AU2598" s="28"/>
      <c r="AV2598" s="28">
        <f>99+88+1</f>
        <v>188</v>
      </c>
      <c r="AW2598" s="28"/>
      <c r="AX2598" s="28"/>
      <c r="AY2598" s="28"/>
      <c r="AZ2598" s="28"/>
      <c r="BA2598" s="28"/>
      <c r="BB2598" s="28">
        <f>107+79</f>
        <v>186</v>
      </c>
      <c r="BC2598" s="229">
        <f t="shared" si="1063"/>
        <v>0</v>
      </c>
      <c r="BD2598" s="48">
        <f t="shared" si="1059"/>
        <v>759</v>
      </c>
      <c r="BE2598" s="19">
        <v>414</v>
      </c>
      <c r="BF2598" s="229">
        <f t="shared" si="1064"/>
        <v>0</v>
      </c>
      <c r="BG2598" s="210">
        <f t="shared" si="1060"/>
        <v>761</v>
      </c>
      <c r="BH2598" s="210">
        <f t="shared" si="1061"/>
        <v>414</v>
      </c>
      <c r="BI2598" s="213">
        <f t="shared" si="1057"/>
        <v>183.81642512077295</v>
      </c>
      <c r="BJ2598" s="141"/>
      <c r="BK2598" s="201"/>
    </row>
    <row r="2599" spans="1:65" ht="18" customHeight="1">
      <c r="A2599" s="114">
        <v>77</v>
      </c>
      <c r="B2599" s="24" t="s">
        <v>653</v>
      </c>
      <c r="C2599" s="25" t="s">
        <v>654</v>
      </c>
      <c r="D2599" s="121"/>
      <c r="E2599" s="121"/>
      <c r="F2599" s="121"/>
      <c r="G2599" s="121"/>
      <c r="H2599" s="121"/>
      <c r="I2599" s="121">
        <v>6</v>
      </c>
      <c r="J2599" s="121"/>
      <c r="K2599" s="121"/>
      <c r="L2599" s="121"/>
      <c r="M2599" s="121"/>
      <c r="N2599" s="121"/>
      <c r="O2599" s="121">
        <v>3</v>
      </c>
      <c r="P2599" s="121"/>
      <c r="Q2599" s="121"/>
      <c r="R2599" s="121"/>
      <c r="S2599" s="121"/>
      <c r="T2599" s="121"/>
      <c r="U2599" s="121">
        <v>1</v>
      </c>
      <c r="V2599" s="121"/>
      <c r="W2599" s="121"/>
      <c r="X2599" s="121"/>
      <c r="Y2599" s="121"/>
      <c r="Z2599" s="121"/>
      <c r="AA2599" s="121">
        <v>7</v>
      </c>
      <c r="AB2599" s="229">
        <f t="shared" si="1062"/>
        <v>0</v>
      </c>
      <c r="AC2599" s="228">
        <f t="shared" si="1058"/>
        <v>17</v>
      </c>
      <c r="AD2599" s="19">
        <v>6</v>
      </c>
      <c r="AE2599" s="28"/>
      <c r="AF2599" s="28"/>
      <c r="AG2599" s="28"/>
      <c r="AH2599" s="28"/>
      <c r="AI2599" s="28"/>
      <c r="AJ2599" s="28">
        <v>34</v>
      </c>
      <c r="AK2599" s="28"/>
      <c r="AL2599" s="28"/>
      <c r="AM2599" s="28"/>
      <c r="AN2599" s="28"/>
      <c r="AO2599" s="28"/>
      <c r="AP2599" s="28">
        <v>45</v>
      </c>
      <c r="AQ2599" s="28"/>
      <c r="AR2599" s="28"/>
      <c r="AS2599" s="28"/>
      <c r="AT2599" s="28"/>
      <c r="AU2599" s="28"/>
      <c r="AV2599" s="28">
        <v>60</v>
      </c>
      <c r="AW2599" s="28"/>
      <c r="AX2599" s="28"/>
      <c r="AY2599" s="28"/>
      <c r="AZ2599" s="28"/>
      <c r="BA2599" s="28"/>
      <c r="BB2599" s="28">
        <v>51</v>
      </c>
      <c r="BC2599" s="229">
        <f t="shared" si="1063"/>
        <v>0</v>
      </c>
      <c r="BD2599" s="48">
        <f t="shared" si="1059"/>
        <v>190</v>
      </c>
      <c r="BE2599" s="19">
        <v>211</v>
      </c>
      <c r="BF2599" s="229">
        <f t="shared" si="1064"/>
        <v>0</v>
      </c>
      <c r="BG2599" s="210">
        <f t="shared" si="1060"/>
        <v>207</v>
      </c>
      <c r="BH2599" s="210">
        <f t="shared" si="1061"/>
        <v>217</v>
      </c>
      <c r="BI2599" s="213">
        <f t="shared" si="1057"/>
        <v>95.391705069124427</v>
      </c>
      <c r="BJ2599" s="141"/>
      <c r="BK2599" s="201"/>
    </row>
    <row r="2600" spans="1:65" ht="18" customHeight="1">
      <c r="A2600" s="114">
        <v>78</v>
      </c>
      <c r="B2600" s="24" t="s">
        <v>655</v>
      </c>
      <c r="C2600" s="29" t="s">
        <v>997</v>
      </c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229">
        <f t="shared" si="1062"/>
        <v>0</v>
      </c>
      <c r="AC2600" s="228">
        <f t="shared" si="1058"/>
        <v>0</v>
      </c>
      <c r="AD2600" s="19">
        <v>0</v>
      </c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  <c r="AZ2600" s="28"/>
      <c r="BA2600" s="28"/>
      <c r="BB2600" s="28"/>
      <c r="BC2600" s="229">
        <f t="shared" si="1063"/>
        <v>0</v>
      </c>
      <c r="BD2600" s="48">
        <f t="shared" si="1059"/>
        <v>0</v>
      </c>
      <c r="BE2600" s="19">
        <v>1</v>
      </c>
      <c r="BF2600" s="229">
        <f t="shared" si="1064"/>
        <v>0</v>
      </c>
      <c r="BG2600" s="210">
        <f t="shared" si="1060"/>
        <v>0</v>
      </c>
      <c r="BH2600" s="210">
        <f t="shared" si="1061"/>
        <v>1</v>
      </c>
      <c r="BI2600" s="213">
        <f t="shared" si="1057"/>
        <v>0</v>
      </c>
      <c r="BJ2600" s="141"/>
      <c r="BK2600" s="201"/>
    </row>
    <row r="2601" spans="1:65" ht="18" customHeight="1">
      <c r="A2601" s="114">
        <v>79</v>
      </c>
      <c r="B2601" s="24" t="s">
        <v>822</v>
      </c>
      <c r="C2601" s="25" t="s">
        <v>1424</v>
      </c>
      <c r="D2601" s="121"/>
      <c r="E2601" s="121"/>
      <c r="F2601" s="121"/>
      <c r="G2601" s="121"/>
      <c r="H2601" s="121"/>
      <c r="I2601" s="121">
        <v>12</v>
      </c>
      <c r="J2601" s="121"/>
      <c r="K2601" s="121"/>
      <c r="L2601" s="121"/>
      <c r="M2601" s="121"/>
      <c r="N2601" s="121"/>
      <c r="O2601" s="121">
        <v>12</v>
      </c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229">
        <f t="shared" si="1062"/>
        <v>0</v>
      </c>
      <c r="AC2601" s="228">
        <f t="shared" si="1058"/>
        <v>24</v>
      </c>
      <c r="AD2601" s="19">
        <v>0</v>
      </c>
      <c r="AE2601" s="28"/>
      <c r="AF2601" s="28"/>
      <c r="AG2601" s="28"/>
      <c r="AH2601" s="28"/>
      <c r="AI2601" s="28"/>
      <c r="AJ2601" s="28">
        <f>183+2189+50</f>
        <v>2422</v>
      </c>
      <c r="AK2601" s="28"/>
      <c r="AL2601" s="28"/>
      <c r="AM2601" s="28"/>
      <c r="AN2601" s="28"/>
      <c r="AO2601" s="28"/>
      <c r="AP2601" s="28">
        <f>271+2230</f>
        <v>2501</v>
      </c>
      <c r="AQ2601" s="28"/>
      <c r="AR2601" s="28"/>
      <c r="AS2601" s="28"/>
      <c r="AT2601" s="28"/>
      <c r="AU2601" s="28"/>
      <c r="AV2601" s="28">
        <f>113+2443+50</f>
        <v>2606</v>
      </c>
      <c r="AW2601" s="28"/>
      <c r="AX2601" s="28"/>
      <c r="AY2601" s="28"/>
      <c r="AZ2601" s="28"/>
      <c r="BA2601" s="28"/>
      <c r="BB2601" s="28">
        <f>358+2536+12</f>
        <v>2906</v>
      </c>
      <c r="BC2601" s="229">
        <f t="shared" si="1063"/>
        <v>0</v>
      </c>
      <c r="BD2601" s="48">
        <f t="shared" si="1059"/>
        <v>10435</v>
      </c>
      <c r="BE2601" s="19">
        <v>12998</v>
      </c>
      <c r="BF2601" s="229">
        <f t="shared" si="1064"/>
        <v>0</v>
      </c>
      <c r="BG2601" s="210">
        <f t="shared" si="1060"/>
        <v>10459</v>
      </c>
      <c r="BH2601" s="210">
        <f t="shared" si="1061"/>
        <v>12998</v>
      </c>
      <c r="BI2601" s="213">
        <f t="shared" si="1057"/>
        <v>80.466225573165104</v>
      </c>
      <c r="BJ2601" s="141"/>
      <c r="BK2601" s="201"/>
    </row>
    <row r="2602" spans="1:65" ht="18" customHeight="1">
      <c r="A2602" s="114">
        <v>80</v>
      </c>
      <c r="B2602" s="24" t="s">
        <v>1250</v>
      </c>
      <c r="C2602" s="25" t="s">
        <v>1583</v>
      </c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229">
        <f t="shared" si="1062"/>
        <v>0</v>
      </c>
      <c r="AC2602" s="228">
        <f t="shared" si="1058"/>
        <v>0</v>
      </c>
      <c r="AD2602" s="19">
        <v>0</v>
      </c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  <c r="AZ2602" s="28"/>
      <c r="BA2602" s="28"/>
      <c r="BB2602" s="28"/>
      <c r="BC2602" s="229">
        <f t="shared" si="1063"/>
        <v>0</v>
      </c>
      <c r="BD2602" s="48">
        <f t="shared" si="1059"/>
        <v>0</v>
      </c>
      <c r="BE2602" s="19">
        <v>1</v>
      </c>
      <c r="BF2602" s="229">
        <f t="shared" si="1064"/>
        <v>0</v>
      </c>
      <c r="BG2602" s="210">
        <f t="shared" si="1060"/>
        <v>0</v>
      </c>
      <c r="BH2602" s="210">
        <f t="shared" si="1061"/>
        <v>1</v>
      </c>
      <c r="BI2602" s="213">
        <f t="shared" si="1057"/>
        <v>0</v>
      </c>
      <c r="BJ2602" s="141"/>
      <c r="BK2602" s="201"/>
    </row>
    <row r="2603" spans="1:65" ht="18" customHeight="1">
      <c r="A2603" s="114">
        <v>81</v>
      </c>
      <c r="B2603" s="24" t="s">
        <v>776</v>
      </c>
      <c r="C2603" s="25" t="s">
        <v>777</v>
      </c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229">
        <f t="shared" si="1062"/>
        <v>0</v>
      </c>
      <c r="AC2603" s="228">
        <f t="shared" si="1058"/>
        <v>0</v>
      </c>
      <c r="AD2603" s="19">
        <v>0</v>
      </c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29">
        <f t="shared" si="1063"/>
        <v>0</v>
      </c>
      <c r="BD2603" s="48">
        <f t="shared" si="1059"/>
        <v>0</v>
      </c>
      <c r="BE2603" s="19">
        <v>1</v>
      </c>
      <c r="BF2603" s="229">
        <f t="shared" si="1064"/>
        <v>0</v>
      </c>
      <c r="BG2603" s="210">
        <f t="shared" si="1060"/>
        <v>0</v>
      </c>
      <c r="BH2603" s="210">
        <f t="shared" si="1061"/>
        <v>1</v>
      </c>
      <c r="BI2603" s="213">
        <f t="shared" si="1057"/>
        <v>0</v>
      </c>
      <c r="BJ2603" s="141"/>
      <c r="BK2603" s="201"/>
    </row>
    <row r="2604" spans="1:65" ht="18" customHeight="1">
      <c r="A2604" s="114">
        <v>82</v>
      </c>
      <c r="B2604" s="24" t="s">
        <v>1368</v>
      </c>
      <c r="C2604" s="25" t="s">
        <v>1739</v>
      </c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229">
        <f t="shared" si="1062"/>
        <v>0</v>
      </c>
      <c r="AC2604" s="228">
        <f t="shared" si="1058"/>
        <v>0</v>
      </c>
      <c r="AD2604" s="19">
        <v>0</v>
      </c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  <c r="AZ2604" s="28"/>
      <c r="BA2604" s="28"/>
      <c r="BB2604" s="28"/>
      <c r="BC2604" s="229">
        <f t="shared" si="1063"/>
        <v>0</v>
      </c>
      <c r="BD2604" s="48">
        <f t="shared" si="1059"/>
        <v>0</v>
      </c>
      <c r="BE2604" s="19">
        <v>1</v>
      </c>
      <c r="BF2604" s="229">
        <f t="shared" si="1064"/>
        <v>0</v>
      </c>
      <c r="BG2604" s="210">
        <f t="shared" si="1060"/>
        <v>0</v>
      </c>
      <c r="BH2604" s="210">
        <f t="shared" si="1061"/>
        <v>1</v>
      </c>
      <c r="BI2604" s="213">
        <f t="shared" si="1057"/>
        <v>0</v>
      </c>
      <c r="BJ2604" s="141"/>
      <c r="BK2604" s="201"/>
    </row>
    <row r="2605" spans="1:65" s="38" customFormat="1" ht="21.95" customHeight="1">
      <c r="A2605" s="114">
        <v>83</v>
      </c>
      <c r="B2605" s="24" t="s">
        <v>657</v>
      </c>
      <c r="C2605" s="27" t="s">
        <v>1401</v>
      </c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229">
        <f t="shared" si="1062"/>
        <v>0</v>
      </c>
      <c r="AC2605" s="228">
        <f t="shared" si="1058"/>
        <v>0</v>
      </c>
      <c r="AD2605" s="19">
        <v>0</v>
      </c>
      <c r="AE2605" s="28"/>
      <c r="AF2605" s="28"/>
      <c r="AG2605" s="28"/>
      <c r="AH2605" s="28"/>
      <c r="AI2605" s="28"/>
      <c r="AJ2605" s="28">
        <f>292+3+26</f>
        <v>321</v>
      </c>
      <c r="AK2605" s="28"/>
      <c r="AL2605" s="28"/>
      <c r="AM2605" s="28"/>
      <c r="AN2605" s="28"/>
      <c r="AO2605" s="28"/>
      <c r="AP2605" s="28">
        <f>235+1+28</f>
        <v>264</v>
      </c>
      <c r="AQ2605" s="28"/>
      <c r="AR2605" s="28"/>
      <c r="AS2605" s="28"/>
      <c r="AT2605" s="28"/>
      <c r="AU2605" s="28"/>
      <c r="AV2605" s="28">
        <f>290+3+34</f>
        <v>327</v>
      </c>
      <c r="AW2605" s="28"/>
      <c r="AX2605" s="28"/>
      <c r="AY2605" s="28"/>
      <c r="AZ2605" s="28"/>
      <c r="BA2605" s="28"/>
      <c r="BB2605" s="28">
        <f>276+24</f>
        <v>300</v>
      </c>
      <c r="BC2605" s="229">
        <f t="shared" si="1063"/>
        <v>0</v>
      </c>
      <c r="BD2605" s="48">
        <f t="shared" si="1059"/>
        <v>1212</v>
      </c>
      <c r="BE2605" s="19">
        <v>1452</v>
      </c>
      <c r="BF2605" s="229">
        <f t="shared" si="1064"/>
        <v>0</v>
      </c>
      <c r="BG2605" s="210">
        <f t="shared" si="1060"/>
        <v>1212</v>
      </c>
      <c r="BH2605" s="210">
        <f t="shared" si="1061"/>
        <v>1452</v>
      </c>
      <c r="BI2605" s="213">
        <f t="shared" si="1057"/>
        <v>83.471074380165291</v>
      </c>
      <c r="BJ2605" s="141"/>
      <c r="BK2605" s="201"/>
      <c r="BL2605" s="4"/>
      <c r="BM2605" s="4"/>
    </row>
    <row r="2606" spans="1:65" s="38" customFormat="1" ht="21.95" customHeight="1">
      <c r="A2606" s="114">
        <v>84</v>
      </c>
      <c r="B2606" s="24" t="s">
        <v>1505</v>
      </c>
      <c r="C2606" s="27" t="s">
        <v>1740</v>
      </c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229">
        <f t="shared" si="1062"/>
        <v>0</v>
      </c>
      <c r="AC2606" s="228">
        <f t="shared" si="1058"/>
        <v>0</v>
      </c>
      <c r="AD2606" s="19">
        <v>0</v>
      </c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  <c r="AY2606" s="28"/>
      <c r="AZ2606" s="28"/>
      <c r="BA2606" s="28"/>
      <c r="BB2606" s="28"/>
      <c r="BC2606" s="229">
        <f t="shared" si="1063"/>
        <v>0</v>
      </c>
      <c r="BD2606" s="48">
        <f t="shared" si="1059"/>
        <v>0</v>
      </c>
      <c r="BE2606" s="19">
        <v>1</v>
      </c>
      <c r="BF2606" s="229">
        <f t="shared" si="1064"/>
        <v>0</v>
      </c>
      <c r="BG2606" s="210">
        <f t="shared" si="1060"/>
        <v>0</v>
      </c>
      <c r="BH2606" s="210">
        <f t="shared" si="1061"/>
        <v>1</v>
      </c>
      <c r="BI2606" s="213">
        <f t="shared" si="1057"/>
        <v>0</v>
      </c>
      <c r="BJ2606" s="141"/>
      <c r="BK2606" s="201"/>
      <c r="BL2606" s="4"/>
      <c r="BM2606" s="4"/>
    </row>
    <row r="2607" spans="1:65" s="38" customFormat="1" ht="21.95" customHeight="1">
      <c r="A2607" s="114">
        <v>85</v>
      </c>
      <c r="B2607" s="24" t="s">
        <v>742</v>
      </c>
      <c r="C2607" s="27" t="s">
        <v>778</v>
      </c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229">
        <f t="shared" si="1062"/>
        <v>0</v>
      </c>
      <c r="AC2607" s="228">
        <f t="shared" si="1058"/>
        <v>0</v>
      </c>
      <c r="AD2607" s="19">
        <v>0</v>
      </c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  <c r="AZ2607" s="28"/>
      <c r="BA2607" s="28"/>
      <c r="BB2607" s="28"/>
      <c r="BC2607" s="229">
        <f t="shared" si="1063"/>
        <v>0</v>
      </c>
      <c r="BD2607" s="48">
        <f t="shared" si="1059"/>
        <v>0</v>
      </c>
      <c r="BE2607" s="19">
        <v>2</v>
      </c>
      <c r="BF2607" s="229">
        <f t="shared" si="1064"/>
        <v>0</v>
      </c>
      <c r="BG2607" s="210">
        <f t="shared" si="1060"/>
        <v>0</v>
      </c>
      <c r="BH2607" s="210">
        <f t="shared" si="1061"/>
        <v>2</v>
      </c>
      <c r="BI2607" s="213">
        <f t="shared" si="1057"/>
        <v>0</v>
      </c>
      <c r="BJ2607" s="141"/>
      <c r="BK2607" s="201"/>
      <c r="BL2607" s="4"/>
      <c r="BM2607" s="4"/>
    </row>
    <row r="2608" spans="1:65" s="38" customFormat="1" ht="21.95" customHeight="1">
      <c r="A2608" s="114">
        <v>86</v>
      </c>
      <c r="B2608" s="24" t="s">
        <v>658</v>
      </c>
      <c r="C2608" s="25" t="s">
        <v>779</v>
      </c>
      <c r="D2608" s="121"/>
      <c r="E2608" s="121"/>
      <c r="F2608" s="121"/>
      <c r="G2608" s="121"/>
      <c r="H2608" s="121"/>
      <c r="I2608" s="121">
        <v>1</v>
      </c>
      <c r="J2608" s="121"/>
      <c r="K2608" s="121"/>
      <c r="L2608" s="121"/>
      <c r="M2608" s="121"/>
      <c r="N2608" s="121"/>
      <c r="O2608" s="121">
        <v>2</v>
      </c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229">
        <f t="shared" si="1062"/>
        <v>0</v>
      </c>
      <c r="AC2608" s="228">
        <f t="shared" si="1058"/>
        <v>3</v>
      </c>
      <c r="AD2608" s="19">
        <v>0</v>
      </c>
      <c r="AE2608" s="28"/>
      <c r="AF2608" s="28"/>
      <c r="AG2608" s="28"/>
      <c r="AH2608" s="28"/>
      <c r="AI2608" s="28"/>
      <c r="AJ2608" s="28">
        <f>840+7+435+7+1</f>
        <v>1290</v>
      </c>
      <c r="AK2608" s="28"/>
      <c r="AL2608" s="28"/>
      <c r="AM2608" s="28"/>
      <c r="AN2608" s="28"/>
      <c r="AO2608" s="28"/>
      <c r="AP2608" s="28">
        <f>621+21+375</f>
        <v>1017</v>
      </c>
      <c r="AQ2608" s="28"/>
      <c r="AR2608" s="28"/>
      <c r="AS2608" s="28"/>
      <c r="AT2608" s="28"/>
      <c r="AU2608" s="28"/>
      <c r="AV2608" s="28">
        <f>645+23+459+7</f>
        <v>1134</v>
      </c>
      <c r="AW2608" s="28"/>
      <c r="AX2608" s="28"/>
      <c r="AY2608" s="28"/>
      <c r="AZ2608" s="28"/>
      <c r="BA2608" s="28"/>
      <c r="BB2608" s="28">
        <f>920+38+539+1</f>
        <v>1498</v>
      </c>
      <c r="BC2608" s="229">
        <f t="shared" si="1063"/>
        <v>0</v>
      </c>
      <c r="BD2608" s="48">
        <f t="shared" si="1059"/>
        <v>4939</v>
      </c>
      <c r="BE2608" s="19">
        <v>6097</v>
      </c>
      <c r="BF2608" s="229">
        <f t="shared" si="1064"/>
        <v>0</v>
      </c>
      <c r="BG2608" s="210">
        <f t="shared" si="1060"/>
        <v>4942</v>
      </c>
      <c r="BH2608" s="210">
        <f t="shared" si="1061"/>
        <v>6097</v>
      </c>
      <c r="BI2608" s="213">
        <f t="shared" si="1057"/>
        <v>81.056257175660164</v>
      </c>
      <c r="BJ2608" s="141"/>
      <c r="BK2608" s="201"/>
      <c r="BL2608" s="4"/>
      <c r="BM2608" s="4"/>
    </row>
    <row r="2609" spans="1:65" s="38" customFormat="1" ht="18" customHeight="1">
      <c r="A2609" s="114">
        <v>87</v>
      </c>
      <c r="B2609" s="24" t="s">
        <v>780</v>
      </c>
      <c r="C2609" s="25" t="s">
        <v>781</v>
      </c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>
        <v>1</v>
      </c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229">
        <f t="shared" si="1062"/>
        <v>0</v>
      </c>
      <c r="AC2609" s="228">
        <f t="shared" si="1058"/>
        <v>1</v>
      </c>
      <c r="AD2609" s="19">
        <v>0</v>
      </c>
      <c r="AE2609" s="28"/>
      <c r="AF2609" s="28"/>
      <c r="AG2609" s="28"/>
      <c r="AH2609" s="28"/>
      <c r="AI2609" s="28"/>
      <c r="AJ2609" s="28">
        <f>291+2+63+6+10</f>
        <v>372</v>
      </c>
      <c r="AK2609" s="28"/>
      <c r="AL2609" s="28"/>
      <c r="AM2609" s="28"/>
      <c r="AN2609" s="28"/>
      <c r="AO2609" s="28"/>
      <c r="AP2609" s="28">
        <f>164+2+69</f>
        <v>235</v>
      </c>
      <c r="AQ2609" s="28"/>
      <c r="AR2609" s="28"/>
      <c r="AS2609" s="28"/>
      <c r="AT2609" s="28"/>
      <c r="AU2609" s="28"/>
      <c r="AV2609" s="28">
        <f>152+6+90+2</f>
        <v>250</v>
      </c>
      <c r="AW2609" s="28"/>
      <c r="AX2609" s="28"/>
      <c r="AY2609" s="28"/>
      <c r="AZ2609" s="28"/>
      <c r="BA2609" s="28"/>
      <c r="BB2609" s="28">
        <f>229+7+73</f>
        <v>309</v>
      </c>
      <c r="BC2609" s="229">
        <f t="shared" si="1063"/>
        <v>0</v>
      </c>
      <c r="BD2609" s="48">
        <f t="shared" si="1059"/>
        <v>1166</v>
      </c>
      <c r="BE2609" s="19">
        <v>1280</v>
      </c>
      <c r="BF2609" s="229">
        <f t="shared" si="1064"/>
        <v>0</v>
      </c>
      <c r="BG2609" s="210">
        <f t="shared" si="1060"/>
        <v>1167</v>
      </c>
      <c r="BH2609" s="210">
        <f t="shared" si="1061"/>
        <v>1280</v>
      </c>
      <c r="BI2609" s="213">
        <f t="shared" si="1057"/>
        <v>91.171875</v>
      </c>
      <c r="BJ2609" s="141"/>
      <c r="BK2609" s="201"/>
      <c r="BL2609" s="4"/>
      <c r="BM2609" s="4"/>
    </row>
    <row r="2610" spans="1:65" s="38" customFormat="1" ht="18" customHeight="1">
      <c r="A2610" s="114">
        <v>88</v>
      </c>
      <c r="B2610" s="24" t="s">
        <v>782</v>
      </c>
      <c r="C2610" s="25" t="s">
        <v>783</v>
      </c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229">
        <f t="shared" si="1062"/>
        <v>0</v>
      </c>
      <c r="AC2610" s="228">
        <f t="shared" si="1058"/>
        <v>0</v>
      </c>
      <c r="AD2610" s="19">
        <v>0</v>
      </c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  <c r="AZ2610" s="28"/>
      <c r="BA2610" s="28"/>
      <c r="BB2610" s="28"/>
      <c r="BC2610" s="229">
        <f t="shared" si="1063"/>
        <v>0</v>
      </c>
      <c r="BD2610" s="48">
        <f t="shared" si="1059"/>
        <v>0</v>
      </c>
      <c r="BE2610" s="19">
        <v>1</v>
      </c>
      <c r="BF2610" s="229">
        <f t="shared" si="1064"/>
        <v>0</v>
      </c>
      <c r="BG2610" s="210">
        <f t="shared" si="1060"/>
        <v>0</v>
      </c>
      <c r="BH2610" s="210">
        <f t="shared" si="1061"/>
        <v>1</v>
      </c>
      <c r="BI2610" s="213">
        <f t="shared" si="1057"/>
        <v>0</v>
      </c>
      <c r="BJ2610" s="141"/>
      <c r="BK2610" s="201"/>
      <c r="BL2610" s="4"/>
      <c r="BM2610" s="4"/>
    </row>
    <row r="2611" spans="1:65" s="38" customFormat="1" ht="18" customHeight="1">
      <c r="A2611" s="114">
        <v>89</v>
      </c>
      <c r="B2611" s="24" t="s">
        <v>804</v>
      </c>
      <c r="C2611" s="25" t="s">
        <v>1386</v>
      </c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229">
        <f t="shared" si="1062"/>
        <v>0</v>
      </c>
      <c r="AC2611" s="228">
        <f t="shared" si="1058"/>
        <v>0</v>
      </c>
      <c r="AD2611" s="19">
        <v>0</v>
      </c>
      <c r="AE2611" s="28"/>
      <c r="AF2611" s="28"/>
      <c r="AG2611" s="28"/>
      <c r="AH2611" s="28"/>
      <c r="AI2611" s="28"/>
      <c r="AJ2611" s="28">
        <f>1+62+2</f>
        <v>65</v>
      </c>
      <c r="AK2611" s="28"/>
      <c r="AL2611" s="28"/>
      <c r="AM2611" s="28"/>
      <c r="AN2611" s="28"/>
      <c r="AO2611" s="28"/>
      <c r="AP2611" s="28">
        <f>3+78</f>
        <v>81</v>
      </c>
      <c r="AQ2611" s="28"/>
      <c r="AR2611" s="28"/>
      <c r="AS2611" s="28"/>
      <c r="AT2611" s="28"/>
      <c r="AU2611" s="28"/>
      <c r="AV2611" s="28">
        <f>1+58</f>
        <v>59</v>
      </c>
      <c r="AW2611" s="28"/>
      <c r="AX2611" s="28"/>
      <c r="AY2611" s="28"/>
      <c r="AZ2611" s="28"/>
      <c r="BA2611" s="28"/>
      <c r="BB2611" s="28">
        <f>10+105</f>
        <v>115</v>
      </c>
      <c r="BC2611" s="229">
        <f t="shared" si="1063"/>
        <v>0</v>
      </c>
      <c r="BD2611" s="48">
        <f t="shared" si="1059"/>
        <v>320</v>
      </c>
      <c r="BE2611" s="19">
        <v>228</v>
      </c>
      <c r="BF2611" s="229">
        <f t="shared" si="1064"/>
        <v>0</v>
      </c>
      <c r="BG2611" s="210">
        <f t="shared" si="1060"/>
        <v>320</v>
      </c>
      <c r="BH2611" s="210">
        <f t="shared" si="1061"/>
        <v>228</v>
      </c>
      <c r="BI2611" s="213">
        <f t="shared" si="1057"/>
        <v>140.35087719298244</v>
      </c>
      <c r="BJ2611" s="141"/>
      <c r="BK2611" s="201"/>
      <c r="BL2611" s="4"/>
      <c r="BM2611" s="4"/>
    </row>
    <row r="2612" spans="1:65" s="38" customFormat="1" ht="18" customHeight="1">
      <c r="A2612" s="114">
        <v>90</v>
      </c>
      <c r="B2612" s="24" t="s">
        <v>903</v>
      </c>
      <c r="C2612" s="25" t="s">
        <v>1165</v>
      </c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229">
        <f t="shared" si="1062"/>
        <v>0</v>
      </c>
      <c r="AC2612" s="228">
        <f t="shared" si="1058"/>
        <v>0</v>
      </c>
      <c r="AD2612" s="19">
        <v>0</v>
      </c>
      <c r="AE2612" s="28"/>
      <c r="AF2612" s="28"/>
      <c r="AG2612" s="28"/>
      <c r="AH2612" s="28"/>
      <c r="AI2612" s="28"/>
      <c r="AJ2612" s="28">
        <v>1</v>
      </c>
      <c r="AK2612" s="28"/>
      <c r="AL2612" s="28"/>
      <c r="AM2612" s="28"/>
      <c r="AN2612" s="28"/>
      <c r="AO2612" s="28"/>
      <c r="AP2612" s="28">
        <f>5+3</f>
        <v>8</v>
      </c>
      <c r="AQ2612" s="28"/>
      <c r="AR2612" s="28"/>
      <c r="AS2612" s="28"/>
      <c r="AT2612" s="28"/>
      <c r="AU2612" s="28"/>
      <c r="AV2612" s="28"/>
      <c r="AW2612" s="28"/>
      <c r="AX2612" s="28"/>
      <c r="AY2612" s="28"/>
      <c r="AZ2612" s="28"/>
      <c r="BA2612" s="28"/>
      <c r="BB2612" s="28"/>
      <c r="BC2612" s="229">
        <f t="shared" si="1063"/>
        <v>0</v>
      </c>
      <c r="BD2612" s="48">
        <f t="shared" si="1059"/>
        <v>9</v>
      </c>
      <c r="BE2612" s="19">
        <v>7</v>
      </c>
      <c r="BF2612" s="229">
        <f t="shared" si="1064"/>
        <v>0</v>
      </c>
      <c r="BG2612" s="210">
        <f t="shared" si="1060"/>
        <v>9</v>
      </c>
      <c r="BH2612" s="210">
        <f t="shared" si="1061"/>
        <v>7</v>
      </c>
      <c r="BI2612" s="213">
        <f t="shared" si="1057"/>
        <v>128.57142857142858</v>
      </c>
      <c r="BJ2612" s="141"/>
      <c r="BK2612" s="201"/>
      <c r="BL2612" s="4"/>
      <c r="BM2612" s="4"/>
    </row>
    <row r="2613" spans="1:65" s="38" customFormat="1" ht="18" customHeight="1">
      <c r="A2613" s="114">
        <v>91</v>
      </c>
      <c r="B2613" s="24" t="s">
        <v>659</v>
      </c>
      <c r="C2613" s="25" t="s">
        <v>660</v>
      </c>
      <c r="D2613" s="121"/>
      <c r="E2613" s="121"/>
      <c r="F2613" s="121"/>
      <c r="G2613" s="121"/>
      <c r="H2613" s="121"/>
      <c r="I2613" s="121">
        <v>1</v>
      </c>
      <c r="J2613" s="121"/>
      <c r="K2613" s="121"/>
      <c r="L2613" s="121"/>
      <c r="M2613" s="121"/>
      <c r="N2613" s="121"/>
      <c r="O2613" s="121">
        <v>1</v>
      </c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229">
        <f t="shared" si="1062"/>
        <v>0</v>
      </c>
      <c r="AC2613" s="228">
        <f t="shared" si="1058"/>
        <v>2</v>
      </c>
      <c r="AD2613" s="19">
        <v>9</v>
      </c>
      <c r="AE2613" s="28"/>
      <c r="AF2613" s="28"/>
      <c r="AG2613" s="28"/>
      <c r="AH2613" s="28"/>
      <c r="AI2613" s="28"/>
      <c r="AJ2613" s="28">
        <f>786+4+435+8+15</f>
        <v>1248</v>
      </c>
      <c r="AK2613" s="28"/>
      <c r="AL2613" s="28"/>
      <c r="AM2613" s="28"/>
      <c r="AN2613" s="28"/>
      <c r="AO2613" s="28"/>
      <c r="AP2613" s="28">
        <f>516+4+353</f>
        <v>873</v>
      </c>
      <c r="AQ2613" s="28"/>
      <c r="AR2613" s="28"/>
      <c r="AS2613" s="28"/>
      <c r="AT2613" s="28"/>
      <c r="AU2613" s="28"/>
      <c r="AV2613" s="28">
        <f>529+7+399+7</f>
        <v>942</v>
      </c>
      <c r="AW2613" s="28"/>
      <c r="AX2613" s="28"/>
      <c r="AY2613" s="28"/>
      <c r="AZ2613" s="28"/>
      <c r="BA2613" s="28"/>
      <c r="BB2613" s="28">
        <f>754+8+435+1</f>
        <v>1198</v>
      </c>
      <c r="BC2613" s="229">
        <f t="shared" si="1063"/>
        <v>0</v>
      </c>
      <c r="BD2613" s="48">
        <f t="shared" si="1059"/>
        <v>4261</v>
      </c>
      <c r="BE2613" s="19">
        <v>7064</v>
      </c>
      <c r="BF2613" s="229">
        <f t="shared" si="1064"/>
        <v>0</v>
      </c>
      <c r="BG2613" s="210">
        <f t="shared" si="1060"/>
        <v>4263</v>
      </c>
      <c r="BH2613" s="210">
        <f t="shared" si="1061"/>
        <v>7073</v>
      </c>
      <c r="BI2613" s="213">
        <f t="shared" si="1057"/>
        <v>60.271454828219994</v>
      </c>
      <c r="BJ2613" s="141"/>
      <c r="BK2613" s="201"/>
      <c r="BL2613" s="4"/>
      <c r="BM2613" s="4"/>
    </row>
    <row r="2614" spans="1:65" s="38" customFormat="1" ht="21.95" customHeight="1">
      <c r="A2614" s="114">
        <v>92</v>
      </c>
      <c r="B2614" s="24" t="s">
        <v>661</v>
      </c>
      <c r="C2614" s="27" t="s">
        <v>743</v>
      </c>
      <c r="D2614" s="121"/>
      <c r="E2614" s="121"/>
      <c r="F2614" s="121"/>
      <c r="G2614" s="121"/>
      <c r="H2614" s="121"/>
      <c r="I2614" s="121">
        <v>1</v>
      </c>
      <c r="J2614" s="121"/>
      <c r="K2614" s="121"/>
      <c r="L2614" s="121"/>
      <c r="M2614" s="121"/>
      <c r="N2614" s="121"/>
      <c r="O2614" s="121">
        <v>2</v>
      </c>
      <c r="P2614" s="121"/>
      <c r="Q2614" s="121"/>
      <c r="R2614" s="121"/>
      <c r="S2614" s="121"/>
      <c r="T2614" s="121"/>
      <c r="U2614" s="121">
        <v>1</v>
      </c>
      <c r="V2614" s="121"/>
      <c r="W2614" s="121"/>
      <c r="X2614" s="121"/>
      <c r="Y2614" s="121"/>
      <c r="Z2614" s="121"/>
      <c r="AA2614" s="121"/>
      <c r="AB2614" s="229">
        <f t="shared" si="1062"/>
        <v>0</v>
      </c>
      <c r="AC2614" s="228">
        <f t="shared" si="1058"/>
        <v>4</v>
      </c>
      <c r="AD2614" s="19">
        <v>0</v>
      </c>
      <c r="AE2614" s="28"/>
      <c r="AF2614" s="28"/>
      <c r="AG2614" s="28"/>
      <c r="AH2614" s="28"/>
      <c r="AI2614" s="28"/>
      <c r="AJ2614" s="28">
        <f>472+2+472+10</f>
        <v>956</v>
      </c>
      <c r="AK2614" s="28"/>
      <c r="AL2614" s="28"/>
      <c r="AM2614" s="28"/>
      <c r="AN2614" s="28"/>
      <c r="AO2614" s="28"/>
      <c r="AP2614" s="28">
        <f>360+2+405</f>
        <v>767</v>
      </c>
      <c r="AQ2614" s="28"/>
      <c r="AR2614" s="28"/>
      <c r="AS2614" s="28"/>
      <c r="AT2614" s="28"/>
      <c r="AU2614" s="28"/>
      <c r="AV2614" s="28">
        <f>348+465+13</f>
        <v>826</v>
      </c>
      <c r="AW2614" s="28"/>
      <c r="AX2614" s="28"/>
      <c r="AY2614" s="28"/>
      <c r="AZ2614" s="28"/>
      <c r="BA2614" s="28"/>
      <c r="BB2614" s="28">
        <f>505+2+459+1</f>
        <v>967</v>
      </c>
      <c r="BC2614" s="229">
        <f t="shared" si="1063"/>
        <v>0</v>
      </c>
      <c r="BD2614" s="48">
        <f t="shared" si="1059"/>
        <v>3516</v>
      </c>
      <c r="BE2614" s="19">
        <v>4896</v>
      </c>
      <c r="BF2614" s="229">
        <f t="shared" si="1064"/>
        <v>0</v>
      </c>
      <c r="BG2614" s="210">
        <f t="shared" si="1060"/>
        <v>3520</v>
      </c>
      <c r="BH2614" s="210">
        <f t="shared" si="1061"/>
        <v>4896</v>
      </c>
      <c r="BI2614" s="213">
        <f t="shared" si="1057"/>
        <v>71.895424836601308</v>
      </c>
      <c r="BJ2614" s="141"/>
      <c r="BK2614" s="201"/>
      <c r="BL2614" s="4"/>
      <c r="BM2614" s="4"/>
    </row>
    <row r="2615" spans="1:65" s="38" customFormat="1" ht="21.95" customHeight="1">
      <c r="A2615" s="114">
        <v>93</v>
      </c>
      <c r="B2615" s="24" t="s">
        <v>784</v>
      </c>
      <c r="C2615" s="27" t="s">
        <v>1369</v>
      </c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229">
        <f t="shared" si="1062"/>
        <v>0</v>
      </c>
      <c r="AC2615" s="228">
        <f t="shared" si="1058"/>
        <v>0</v>
      </c>
      <c r="AD2615" s="19">
        <v>0</v>
      </c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  <c r="AZ2615" s="28"/>
      <c r="BA2615" s="28"/>
      <c r="BB2615" s="28"/>
      <c r="BC2615" s="229">
        <f t="shared" si="1063"/>
        <v>0</v>
      </c>
      <c r="BD2615" s="48">
        <f t="shared" si="1059"/>
        <v>0</v>
      </c>
      <c r="BE2615" s="19">
        <v>0</v>
      </c>
      <c r="BF2615" s="229">
        <f t="shared" si="1064"/>
        <v>0</v>
      </c>
      <c r="BG2615" s="210">
        <f t="shared" si="1060"/>
        <v>0</v>
      </c>
      <c r="BH2615" s="210">
        <f t="shared" si="1061"/>
        <v>0</v>
      </c>
      <c r="BI2615" s="213" t="e">
        <f t="shared" si="1057"/>
        <v>#DIV/0!</v>
      </c>
      <c r="BJ2615" s="141"/>
      <c r="BK2615" s="201"/>
      <c r="BL2615" s="4"/>
      <c r="BM2615" s="4"/>
    </row>
    <row r="2616" spans="1:65" s="38" customFormat="1" ht="18" customHeight="1">
      <c r="A2616" s="114">
        <v>94</v>
      </c>
      <c r="B2616" s="24" t="s">
        <v>662</v>
      </c>
      <c r="C2616" s="25" t="s">
        <v>1096</v>
      </c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>
        <v>1</v>
      </c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229">
        <f t="shared" si="1062"/>
        <v>0</v>
      </c>
      <c r="AC2616" s="228">
        <f t="shared" si="1058"/>
        <v>1</v>
      </c>
      <c r="AD2616" s="19">
        <v>0</v>
      </c>
      <c r="AE2616" s="28"/>
      <c r="AF2616" s="28"/>
      <c r="AG2616" s="28"/>
      <c r="AH2616" s="28"/>
      <c r="AI2616" s="28"/>
      <c r="AJ2616" s="28">
        <f>666+198+5+20</f>
        <v>889</v>
      </c>
      <c r="AK2616" s="28"/>
      <c r="AL2616" s="28"/>
      <c r="AM2616" s="28"/>
      <c r="AN2616" s="28"/>
      <c r="AO2616" s="28"/>
      <c r="AP2616" s="28">
        <f>472+171</f>
        <v>643</v>
      </c>
      <c r="AQ2616" s="28"/>
      <c r="AR2616" s="28"/>
      <c r="AS2616" s="28"/>
      <c r="AT2616" s="28"/>
      <c r="AU2616" s="28"/>
      <c r="AV2616" s="28">
        <f>497+206+3</f>
        <v>706</v>
      </c>
      <c r="AW2616" s="28"/>
      <c r="AX2616" s="28"/>
      <c r="AY2616" s="28"/>
      <c r="AZ2616" s="28"/>
      <c r="BA2616" s="28"/>
      <c r="BB2616" s="28">
        <f>667+265</f>
        <v>932</v>
      </c>
      <c r="BC2616" s="229">
        <f t="shared" si="1063"/>
        <v>0</v>
      </c>
      <c r="BD2616" s="48">
        <f t="shared" si="1059"/>
        <v>3170</v>
      </c>
      <c r="BE2616" s="19">
        <v>3594</v>
      </c>
      <c r="BF2616" s="229">
        <f t="shared" si="1064"/>
        <v>0</v>
      </c>
      <c r="BG2616" s="210">
        <f t="shared" si="1060"/>
        <v>3171</v>
      </c>
      <c r="BH2616" s="210">
        <f t="shared" si="1061"/>
        <v>3594</v>
      </c>
      <c r="BI2616" s="213">
        <f t="shared" si="1057"/>
        <v>88.230383973288824</v>
      </c>
      <c r="BJ2616" s="141"/>
      <c r="BK2616" s="201"/>
      <c r="BL2616" s="4"/>
      <c r="BM2616" s="4"/>
    </row>
    <row r="2617" spans="1:65" s="38" customFormat="1" ht="18" customHeight="1">
      <c r="A2617" s="114">
        <v>95</v>
      </c>
      <c r="B2617" s="24" t="s">
        <v>663</v>
      </c>
      <c r="C2617" s="25" t="s">
        <v>1097</v>
      </c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229">
        <f t="shared" si="1062"/>
        <v>0</v>
      </c>
      <c r="AC2617" s="228">
        <f t="shared" si="1058"/>
        <v>0</v>
      </c>
      <c r="AD2617" s="19">
        <v>0</v>
      </c>
      <c r="AE2617" s="28"/>
      <c r="AF2617" s="28"/>
      <c r="AG2617" s="28"/>
      <c r="AH2617" s="28"/>
      <c r="AI2617" s="28"/>
      <c r="AJ2617" s="28">
        <f>34+2</f>
        <v>36</v>
      </c>
      <c r="AK2617" s="28"/>
      <c r="AL2617" s="28"/>
      <c r="AM2617" s="28"/>
      <c r="AN2617" s="28"/>
      <c r="AO2617" s="28"/>
      <c r="AP2617" s="28">
        <f>100+8</f>
        <v>108</v>
      </c>
      <c r="AQ2617" s="28"/>
      <c r="AR2617" s="28"/>
      <c r="AS2617" s="28"/>
      <c r="AT2617" s="28"/>
      <c r="AU2617" s="28"/>
      <c r="AV2617" s="28">
        <f>17+2</f>
        <v>19</v>
      </c>
      <c r="AW2617" s="28"/>
      <c r="AX2617" s="28"/>
      <c r="AY2617" s="28"/>
      <c r="AZ2617" s="28"/>
      <c r="BA2617" s="28"/>
      <c r="BB2617" s="28">
        <f>45+4</f>
        <v>49</v>
      </c>
      <c r="BC2617" s="229">
        <f t="shared" si="1063"/>
        <v>0</v>
      </c>
      <c r="BD2617" s="48">
        <f t="shared" si="1059"/>
        <v>212</v>
      </c>
      <c r="BE2617" s="19">
        <v>235</v>
      </c>
      <c r="BF2617" s="229">
        <f t="shared" si="1064"/>
        <v>0</v>
      </c>
      <c r="BG2617" s="210">
        <f t="shared" si="1060"/>
        <v>212</v>
      </c>
      <c r="BH2617" s="210">
        <f t="shared" si="1061"/>
        <v>235</v>
      </c>
      <c r="BI2617" s="213">
        <f t="shared" si="1057"/>
        <v>90.212765957446805</v>
      </c>
      <c r="BJ2617" s="141"/>
      <c r="BK2617" s="201"/>
      <c r="BL2617" s="4"/>
      <c r="BM2617" s="4"/>
    </row>
    <row r="2618" spans="1:65" s="38" customFormat="1" ht="18" customHeight="1">
      <c r="A2618" s="114">
        <v>96</v>
      </c>
      <c r="B2618" s="24" t="s">
        <v>1682</v>
      </c>
      <c r="C2618" s="25" t="s">
        <v>1683</v>
      </c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229">
        <f t="shared" si="1062"/>
        <v>0</v>
      </c>
      <c r="AC2618" s="228">
        <f t="shared" si="1058"/>
        <v>0</v>
      </c>
      <c r="AD2618" s="19">
        <v>0</v>
      </c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  <c r="AZ2618" s="28"/>
      <c r="BA2618" s="28"/>
      <c r="BB2618" s="28"/>
      <c r="BC2618" s="229">
        <f t="shared" si="1063"/>
        <v>0</v>
      </c>
      <c r="BD2618" s="48">
        <f t="shared" si="1059"/>
        <v>0</v>
      </c>
      <c r="BE2618" s="19">
        <v>1</v>
      </c>
      <c r="BF2618" s="229">
        <f t="shared" si="1064"/>
        <v>0</v>
      </c>
      <c r="BG2618" s="210">
        <f t="shared" si="1060"/>
        <v>0</v>
      </c>
      <c r="BH2618" s="210">
        <f t="shared" si="1061"/>
        <v>1</v>
      </c>
      <c r="BI2618" s="213">
        <f t="shared" si="1057"/>
        <v>0</v>
      </c>
      <c r="BJ2618" s="141"/>
      <c r="BK2618" s="201"/>
      <c r="BL2618" s="4"/>
      <c r="BM2618" s="4"/>
    </row>
    <row r="2619" spans="1:65" s="38" customFormat="1" ht="21.95" customHeight="1">
      <c r="A2619" s="114">
        <v>97</v>
      </c>
      <c r="B2619" s="24" t="s">
        <v>785</v>
      </c>
      <c r="C2619" s="25" t="s">
        <v>1859</v>
      </c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229">
        <f t="shared" si="1062"/>
        <v>0</v>
      </c>
      <c r="AC2619" s="228">
        <f t="shared" si="1058"/>
        <v>0</v>
      </c>
      <c r="AD2619" s="19">
        <v>0</v>
      </c>
      <c r="AE2619" s="28"/>
      <c r="AF2619" s="28"/>
      <c r="AG2619" s="28"/>
      <c r="AH2619" s="28"/>
      <c r="AI2619" s="28"/>
      <c r="AJ2619" s="28">
        <f>7+9</f>
        <v>16</v>
      </c>
      <c r="AK2619" s="28"/>
      <c r="AL2619" s="28"/>
      <c r="AM2619" s="28"/>
      <c r="AN2619" s="28"/>
      <c r="AO2619" s="28"/>
      <c r="AP2619" s="28">
        <f>4+2</f>
        <v>6</v>
      </c>
      <c r="AQ2619" s="28"/>
      <c r="AR2619" s="28"/>
      <c r="AS2619" s="28"/>
      <c r="AT2619" s="28"/>
      <c r="AU2619" s="28"/>
      <c r="AV2619" s="28">
        <v>1</v>
      </c>
      <c r="AW2619" s="28"/>
      <c r="AX2619" s="28"/>
      <c r="AY2619" s="28"/>
      <c r="AZ2619" s="28"/>
      <c r="BA2619" s="28"/>
      <c r="BB2619" s="28">
        <v>1</v>
      </c>
      <c r="BC2619" s="229">
        <f t="shared" si="1063"/>
        <v>0</v>
      </c>
      <c r="BD2619" s="48">
        <f t="shared" si="1059"/>
        <v>24</v>
      </c>
      <c r="BE2619" s="19">
        <v>18</v>
      </c>
      <c r="BF2619" s="229">
        <f t="shared" si="1064"/>
        <v>0</v>
      </c>
      <c r="BG2619" s="210">
        <f t="shared" si="1060"/>
        <v>24</v>
      </c>
      <c r="BH2619" s="210">
        <f t="shared" si="1061"/>
        <v>18</v>
      </c>
      <c r="BI2619" s="213">
        <f t="shared" ref="BI2619:BI2631" si="1065">BG2619/BH2619*100</f>
        <v>133.33333333333331</v>
      </c>
      <c r="BJ2619" s="141"/>
      <c r="BK2619" s="201"/>
      <c r="BL2619" s="4"/>
      <c r="BM2619" s="4"/>
    </row>
    <row r="2620" spans="1:65" s="38" customFormat="1" ht="18" customHeight="1">
      <c r="A2620" s="114">
        <v>98</v>
      </c>
      <c r="B2620" s="24" t="s">
        <v>1170</v>
      </c>
      <c r="C2620" s="25" t="s">
        <v>1452</v>
      </c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229">
        <f t="shared" si="1062"/>
        <v>0</v>
      </c>
      <c r="AC2620" s="228">
        <f t="shared" si="1058"/>
        <v>0</v>
      </c>
      <c r="AD2620" s="19">
        <v>0</v>
      </c>
      <c r="AE2620" s="28"/>
      <c r="AF2620" s="28"/>
      <c r="AG2620" s="28"/>
      <c r="AH2620" s="28"/>
      <c r="AI2620" s="28"/>
      <c r="AJ2620" s="28">
        <v>39</v>
      </c>
      <c r="AK2620" s="28"/>
      <c r="AL2620" s="28"/>
      <c r="AM2620" s="28"/>
      <c r="AN2620" s="28"/>
      <c r="AO2620" s="28"/>
      <c r="AP2620" s="28">
        <v>18</v>
      </c>
      <c r="AQ2620" s="28"/>
      <c r="AR2620" s="28"/>
      <c r="AS2620" s="28"/>
      <c r="AT2620" s="28"/>
      <c r="AU2620" s="28"/>
      <c r="AV2620" s="28">
        <v>6</v>
      </c>
      <c r="AW2620" s="28"/>
      <c r="AX2620" s="28"/>
      <c r="AY2620" s="28"/>
      <c r="AZ2620" s="28"/>
      <c r="BA2620" s="28"/>
      <c r="BB2620" s="28">
        <f>7+36</f>
        <v>43</v>
      </c>
      <c r="BC2620" s="229">
        <f t="shared" si="1063"/>
        <v>0</v>
      </c>
      <c r="BD2620" s="48">
        <f t="shared" si="1059"/>
        <v>106</v>
      </c>
      <c r="BE2620" s="19">
        <v>8</v>
      </c>
      <c r="BF2620" s="229">
        <f t="shared" si="1064"/>
        <v>0</v>
      </c>
      <c r="BG2620" s="210">
        <f t="shared" si="1060"/>
        <v>106</v>
      </c>
      <c r="BH2620" s="210">
        <f t="shared" si="1061"/>
        <v>8</v>
      </c>
      <c r="BI2620" s="213">
        <f t="shared" si="1065"/>
        <v>1325</v>
      </c>
      <c r="BJ2620" s="141"/>
      <c r="BK2620" s="201"/>
      <c r="BL2620" s="4"/>
      <c r="BM2620" s="4"/>
    </row>
    <row r="2621" spans="1:65" s="38" customFormat="1" ht="18" customHeight="1">
      <c r="A2621" s="114">
        <v>99</v>
      </c>
      <c r="B2621" s="24" t="s">
        <v>1558</v>
      </c>
      <c r="C2621" s="25" t="s">
        <v>1559</v>
      </c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229">
        <f t="shared" si="1062"/>
        <v>0</v>
      </c>
      <c r="AC2621" s="228">
        <f t="shared" ref="AC2621:AC2631" si="1066">E2621+G2621+I2621+K2621+M2621+O2621+Q2621+S2621+U2621+W2621+Y2621+AA2621</f>
        <v>0</v>
      </c>
      <c r="AD2621" s="19">
        <v>0</v>
      </c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29">
        <f t="shared" si="1063"/>
        <v>0</v>
      </c>
      <c r="BD2621" s="48">
        <f t="shared" ref="BD2621:BD2631" si="1067">AF2621+AH2621+AJ2621+AL2621+AN2621+AP2621+AR2621+AT2621+AV2621+AX2621+AZ2621+BB2621</f>
        <v>0</v>
      </c>
      <c r="BE2621" s="19">
        <v>1</v>
      </c>
      <c r="BF2621" s="229">
        <f t="shared" si="1064"/>
        <v>0</v>
      </c>
      <c r="BG2621" s="210">
        <f t="shared" ref="BG2621:BG2631" si="1068">AC2621+BD2621</f>
        <v>0</v>
      </c>
      <c r="BH2621" s="210">
        <f t="shared" ref="BH2621:BH2631" si="1069">AD2621+BE2621</f>
        <v>1</v>
      </c>
      <c r="BI2621" s="213">
        <f t="shared" si="1065"/>
        <v>0</v>
      </c>
      <c r="BJ2621" s="141"/>
      <c r="BK2621" s="201"/>
      <c r="BL2621" s="4"/>
      <c r="BM2621" s="4"/>
    </row>
    <row r="2622" spans="1:65" s="38" customFormat="1" ht="21.95" customHeight="1">
      <c r="A2622" s="114">
        <v>100</v>
      </c>
      <c r="B2622" s="24" t="s">
        <v>786</v>
      </c>
      <c r="C2622" s="27" t="s">
        <v>2250</v>
      </c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229">
        <f t="shared" ref="AB2622:AB2631" si="1070">D2622+F2622+H2622+J2622+L2622+N2622+P2622+R2622+T2622+V2622+X2622+Z2622</f>
        <v>0</v>
      </c>
      <c r="AC2622" s="228">
        <f t="shared" si="1066"/>
        <v>0</v>
      </c>
      <c r="AD2622" s="19">
        <v>0</v>
      </c>
      <c r="AE2622" s="28"/>
      <c r="AF2622" s="28"/>
      <c r="AG2622" s="28"/>
      <c r="AH2622" s="28"/>
      <c r="AI2622" s="28"/>
      <c r="AJ2622" s="28">
        <f>62+158+5</f>
        <v>225</v>
      </c>
      <c r="AK2622" s="28"/>
      <c r="AL2622" s="28"/>
      <c r="AM2622" s="28"/>
      <c r="AN2622" s="28"/>
      <c r="AO2622" s="28"/>
      <c r="AP2622" s="28">
        <f>27+130</f>
        <v>157</v>
      </c>
      <c r="AQ2622" s="28"/>
      <c r="AR2622" s="28"/>
      <c r="AS2622" s="28"/>
      <c r="AT2622" s="28"/>
      <c r="AU2622" s="28"/>
      <c r="AV2622" s="28">
        <f>8+152+4</f>
        <v>164</v>
      </c>
      <c r="AW2622" s="28"/>
      <c r="AX2622" s="28"/>
      <c r="AY2622" s="28"/>
      <c r="AZ2622" s="28"/>
      <c r="BA2622" s="28"/>
      <c r="BB2622" s="28">
        <f>67+195+1</f>
        <v>263</v>
      </c>
      <c r="BC2622" s="229">
        <f t="shared" ref="BC2622:BC2631" si="1071">AE2622+AG2622+AI2622+AK2622+AM2622+AO2622+AQ2622+AS2622+AU2622+AW2622+AY2622+BA2622</f>
        <v>0</v>
      </c>
      <c r="BD2622" s="48">
        <f t="shared" si="1067"/>
        <v>809</v>
      </c>
      <c r="BE2622" s="19">
        <v>898</v>
      </c>
      <c r="BF2622" s="229">
        <f t="shared" ref="BF2622:BF2631" si="1072">AB2622+BC2622</f>
        <v>0</v>
      </c>
      <c r="BG2622" s="210">
        <f t="shared" si="1068"/>
        <v>809</v>
      </c>
      <c r="BH2622" s="210">
        <f t="shared" si="1069"/>
        <v>898</v>
      </c>
      <c r="BI2622" s="213">
        <f t="shared" si="1065"/>
        <v>90.089086859688194</v>
      </c>
      <c r="BJ2622" s="141"/>
      <c r="BK2622" s="201"/>
      <c r="BL2622" s="4"/>
      <c r="BM2622" s="4"/>
    </row>
    <row r="2623" spans="1:65" s="38" customFormat="1" ht="18" customHeight="1">
      <c r="A2623" s="114">
        <v>101</v>
      </c>
      <c r="B2623" s="24" t="s">
        <v>788</v>
      </c>
      <c r="C2623" s="25" t="s">
        <v>1172</v>
      </c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229">
        <f t="shared" si="1070"/>
        <v>0</v>
      </c>
      <c r="AC2623" s="228">
        <f t="shared" si="1066"/>
        <v>0</v>
      </c>
      <c r="AD2623" s="19">
        <v>0</v>
      </c>
      <c r="AE2623" s="28"/>
      <c r="AF2623" s="28"/>
      <c r="AG2623" s="28"/>
      <c r="AH2623" s="28"/>
      <c r="AI2623" s="28"/>
      <c r="AJ2623" s="28">
        <f>30+2</f>
        <v>32</v>
      </c>
      <c r="AK2623" s="28"/>
      <c r="AL2623" s="28"/>
      <c r="AM2623" s="28"/>
      <c r="AN2623" s="28"/>
      <c r="AO2623" s="28"/>
      <c r="AP2623" s="28">
        <v>6</v>
      </c>
      <c r="AQ2623" s="28"/>
      <c r="AR2623" s="28"/>
      <c r="AS2623" s="28"/>
      <c r="AT2623" s="28"/>
      <c r="AU2623" s="28"/>
      <c r="AV2623" s="28">
        <v>8</v>
      </c>
      <c r="AW2623" s="28"/>
      <c r="AX2623" s="28"/>
      <c r="AY2623" s="28"/>
      <c r="AZ2623" s="28"/>
      <c r="BA2623" s="28"/>
      <c r="BB2623" s="28"/>
      <c r="BC2623" s="229">
        <f t="shared" si="1071"/>
        <v>0</v>
      </c>
      <c r="BD2623" s="48">
        <f t="shared" si="1067"/>
        <v>46</v>
      </c>
      <c r="BE2623" s="19">
        <v>88</v>
      </c>
      <c r="BF2623" s="229">
        <f t="shared" si="1072"/>
        <v>0</v>
      </c>
      <c r="BG2623" s="210">
        <f t="shared" si="1068"/>
        <v>46</v>
      </c>
      <c r="BH2623" s="210">
        <f t="shared" si="1069"/>
        <v>88</v>
      </c>
      <c r="BI2623" s="213">
        <f t="shared" si="1065"/>
        <v>52.272727272727273</v>
      </c>
      <c r="BJ2623" s="141"/>
      <c r="BK2623" s="201"/>
      <c r="BL2623" s="4"/>
      <c r="BM2623" s="4"/>
    </row>
    <row r="2624" spans="1:65" s="38" customFormat="1" ht="18" customHeight="1">
      <c r="A2624" s="114">
        <v>102</v>
      </c>
      <c r="B2624" s="24" t="s">
        <v>1173</v>
      </c>
      <c r="C2624" s="25" t="s">
        <v>1371</v>
      </c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229">
        <f t="shared" si="1070"/>
        <v>0</v>
      </c>
      <c r="AC2624" s="228">
        <f t="shared" si="1066"/>
        <v>0</v>
      </c>
      <c r="AD2624" s="19">
        <v>0</v>
      </c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  <c r="AY2624" s="28"/>
      <c r="AZ2624" s="28"/>
      <c r="BA2624" s="28"/>
      <c r="BB2624" s="28">
        <f>27+1</f>
        <v>28</v>
      </c>
      <c r="BC2624" s="229">
        <f t="shared" si="1071"/>
        <v>0</v>
      </c>
      <c r="BD2624" s="48">
        <f t="shared" si="1067"/>
        <v>28</v>
      </c>
      <c r="BE2624" s="19">
        <v>6</v>
      </c>
      <c r="BF2624" s="229">
        <f t="shared" si="1072"/>
        <v>0</v>
      </c>
      <c r="BG2624" s="210">
        <f t="shared" si="1068"/>
        <v>28</v>
      </c>
      <c r="BH2624" s="210">
        <f t="shared" si="1069"/>
        <v>6</v>
      </c>
      <c r="BI2624" s="213">
        <f t="shared" si="1065"/>
        <v>466.66666666666669</v>
      </c>
      <c r="BJ2624" s="141"/>
      <c r="BK2624" s="201"/>
      <c r="BL2624" s="4"/>
      <c r="BM2624" s="4"/>
    </row>
    <row r="2625" spans="1:65" s="38" customFormat="1" ht="18" customHeight="1">
      <c r="A2625" s="114">
        <v>103</v>
      </c>
      <c r="B2625" s="24" t="s">
        <v>1174</v>
      </c>
      <c r="C2625" s="25" t="s">
        <v>1175</v>
      </c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229">
        <f t="shared" si="1070"/>
        <v>0</v>
      </c>
      <c r="AC2625" s="228">
        <f t="shared" si="1066"/>
        <v>0</v>
      </c>
      <c r="AD2625" s="19">
        <v>0</v>
      </c>
      <c r="AE2625" s="28"/>
      <c r="AF2625" s="28"/>
      <c r="AG2625" s="28"/>
      <c r="AH2625" s="28"/>
      <c r="AI2625" s="28"/>
      <c r="AJ2625" s="28">
        <f>4+25</f>
        <v>29</v>
      </c>
      <c r="AK2625" s="28"/>
      <c r="AL2625" s="28"/>
      <c r="AM2625" s="28"/>
      <c r="AN2625" s="28"/>
      <c r="AO2625" s="28"/>
      <c r="AP2625" s="28">
        <f>1+1</f>
        <v>2</v>
      </c>
      <c r="AQ2625" s="28"/>
      <c r="AR2625" s="28"/>
      <c r="AS2625" s="28"/>
      <c r="AT2625" s="28"/>
      <c r="AU2625" s="28"/>
      <c r="AV2625" s="28">
        <f>3+5</f>
        <v>8</v>
      </c>
      <c r="AW2625" s="28"/>
      <c r="AX2625" s="28"/>
      <c r="AY2625" s="28"/>
      <c r="AZ2625" s="28"/>
      <c r="BA2625" s="28"/>
      <c r="BB2625" s="28">
        <f>3+16</f>
        <v>19</v>
      </c>
      <c r="BC2625" s="229">
        <f t="shared" si="1071"/>
        <v>0</v>
      </c>
      <c r="BD2625" s="48">
        <f t="shared" si="1067"/>
        <v>58</v>
      </c>
      <c r="BE2625" s="19">
        <v>8</v>
      </c>
      <c r="BF2625" s="229">
        <f t="shared" si="1072"/>
        <v>0</v>
      </c>
      <c r="BG2625" s="210">
        <f t="shared" si="1068"/>
        <v>58</v>
      </c>
      <c r="BH2625" s="210">
        <f t="shared" si="1069"/>
        <v>8</v>
      </c>
      <c r="BI2625" s="213">
        <f t="shared" si="1065"/>
        <v>725</v>
      </c>
      <c r="BJ2625" s="141"/>
      <c r="BK2625" s="201"/>
      <c r="BL2625" s="4"/>
      <c r="BM2625" s="4"/>
    </row>
    <row r="2626" spans="1:65" s="38" customFormat="1" ht="18" customHeight="1">
      <c r="A2626" s="114">
        <v>104</v>
      </c>
      <c r="B2626" s="24" t="s">
        <v>1176</v>
      </c>
      <c r="C2626" s="25" t="s">
        <v>1388</v>
      </c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229">
        <f t="shared" si="1070"/>
        <v>0</v>
      </c>
      <c r="AC2626" s="228">
        <f t="shared" si="1066"/>
        <v>0</v>
      </c>
      <c r="AD2626" s="19">
        <v>0</v>
      </c>
      <c r="AE2626" s="28"/>
      <c r="AF2626" s="28"/>
      <c r="AG2626" s="28"/>
      <c r="AH2626" s="28"/>
      <c r="AI2626" s="28"/>
      <c r="AJ2626" s="28">
        <v>1</v>
      </c>
      <c r="AK2626" s="28"/>
      <c r="AL2626" s="28"/>
      <c r="AM2626" s="28"/>
      <c r="AN2626" s="28"/>
      <c r="AO2626" s="28"/>
      <c r="AP2626" s="28">
        <f>7+1</f>
        <v>8</v>
      </c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29">
        <f t="shared" si="1071"/>
        <v>0</v>
      </c>
      <c r="BD2626" s="48">
        <f t="shared" si="1067"/>
        <v>9</v>
      </c>
      <c r="BE2626" s="19">
        <v>1</v>
      </c>
      <c r="BF2626" s="229">
        <f t="shared" si="1072"/>
        <v>0</v>
      </c>
      <c r="BG2626" s="210">
        <f t="shared" si="1068"/>
        <v>9</v>
      </c>
      <c r="BH2626" s="210">
        <f t="shared" si="1069"/>
        <v>1</v>
      </c>
      <c r="BI2626" s="213">
        <f t="shared" si="1065"/>
        <v>900</v>
      </c>
      <c r="BJ2626" s="141"/>
      <c r="BK2626" s="201"/>
      <c r="BL2626" s="4"/>
      <c r="BM2626" s="4"/>
    </row>
    <row r="2627" spans="1:65" s="38" customFormat="1" ht="21.95" customHeight="1">
      <c r="A2627" s="114">
        <v>105</v>
      </c>
      <c r="B2627" s="24" t="s">
        <v>790</v>
      </c>
      <c r="C2627" s="27" t="s">
        <v>2431</v>
      </c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229">
        <f t="shared" si="1070"/>
        <v>0</v>
      </c>
      <c r="AC2627" s="228">
        <f t="shared" si="1066"/>
        <v>0</v>
      </c>
      <c r="AD2627" s="19">
        <v>0</v>
      </c>
      <c r="AE2627" s="28"/>
      <c r="AF2627" s="28"/>
      <c r="AG2627" s="28"/>
      <c r="AH2627" s="28"/>
      <c r="AI2627" s="28"/>
      <c r="AJ2627" s="28">
        <f>953+3+152+16</f>
        <v>1124</v>
      </c>
      <c r="AK2627" s="28"/>
      <c r="AL2627" s="28"/>
      <c r="AM2627" s="28"/>
      <c r="AN2627" s="28"/>
      <c r="AO2627" s="28"/>
      <c r="AP2627" s="28">
        <f>733+2+95</f>
        <v>830</v>
      </c>
      <c r="AQ2627" s="28"/>
      <c r="AR2627" s="28"/>
      <c r="AS2627" s="28"/>
      <c r="AT2627" s="28"/>
      <c r="AU2627" s="28"/>
      <c r="AV2627" s="28">
        <f>824+5+148</f>
        <v>977</v>
      </c>
      <c r="AW2627" s="28"/>
      <c r="AX2627" s="28"/>
      <c r="AY2627" s="28"/>
      <c r="AZ2627" s="28"/>
      <c r="BA2627" s="28"/>
      <c r="BB2627" s="28">
        <f>1037+5+140</f>
        <v>1182</v>
      </c>
      <c r="BC2627" s="229">
        <f t="shared" si="1071"/>
        <v>0</v>
      </c>
      <c r="BD2627" s="48">
        <f t="shared" si="1067"/>
        <v>4113</v>
      </c>
      <c r="BE2627" s="19">
        <v>4034</v>
      </c>
      <c r="BF2627" s="229">
        <f t="shared" si="1072"/>
        <v>0</v>
      </c>
      <c r="BG2627" s="210">
        <f t="shared" si="1068"/>
        <v>4113</v>
      </c>
      <c r="BH2627" s="210">
        <f t="shared" si="1069"/>
        <v>4034</v>
      </c>
      <c r="BI2627" s="213">
        <f t="shared" si="1065"/>
        <v>101.95835399107584</v>
      </c>
      <c r="BJ2627" s="141"/>
      <c r="BK2627" s="201"/>
      <c r="BL2627" s="4"/>
      <c r="BM2627" s="4"/>
    </row>
    <row r="2628" spans="1:65" s="38" customFormat="1" ht="21.95" customHeight="1">
      <c r="A2628" s="114">
        <v>106</v>
      </c>
      <c r="B2628" s="24" t="s">
        <v>1553</v>
      </c>
      <c r="C2628" s="27" t="s">
        <v>1555</v>
      </c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229">
        <f t="shared" si="1070"/>
        <v>0</v>
      </c>
      <c r="AC2628" s="228">
        <f t="shared" si="1066"/>
        <v>0</v>
      </c>
      <c r="AD2628" s="19">
        <v>0</v>
      </c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29">
        <f t="shared" si="1071"/>
        <v>0</v>
      </c>
      <c r="BD2628" s="48">
        <f t="shared" si="1067"/>
        <v>0</v>
      </c>
      <c r="BE2628" s="19">
        <v>9</v>
      </c>
      <c r="BF2628" s="229">
        <f t="shared" si="1072"/>
        <v>0</v>
      </c>
      <c r="BG2628" s="210">
        <f t="shared" si="1068"/>
        <v>0</v>
      </c>
      <c r="BH2628" s="210">
        <f t="shared" si="1069"/>
        <v>9</v>
      </c>
      <c r="BI2628" s="213">
        <f t="shared" si="1065"/>
        <v>0</v>
      </c>
      <c r="BJ2628" s="141"/>
      <c r="BK2628" s="201"/>
      <c r="BL2628" s="4"/>
      <c r="BM2628" s="4"/>
    </row>
    <row r="2629" spans="1:65" s="38" customFormat="1" ht="21.95" customHeight="1">
      <c r="A2629" s="114">
        <v>107</v>
      </c>
      <c r="B2629" s="24" t="s">
        <v>744</v>
      </c>
      <c r="C2629" s="27" t="s">
        <v>745</v>
      </c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229">
        <f t="shared" si="1070"/>
        <v>0</v>
      </c>
      <c r="AC2629" s="228">
        <f t="shared" si="1066"/>
        <v>0</v>
      </c>
      <c r="AD2629" s="19">
        <v>0</v>
      </c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  <c r="AZ2629" s="28"/>
      <c r="BA2629" s="28"/>
      <c r="BB2629" s="28"/>
      <c r="BC2629" s="229">
        <f t="shared" si="1071"/>
        <v>0</v>
      </c>
      <c r="BD2629" s="48">
        <f t="shared" si="1067"/>
        <v>0</v>
      </c>
      <c r="BE2629" s="19">
        <v>1</v>
      </c>
      <c r="BF2629" s="229">
        <f t="shared" si="1072"/>
        <v>0</v>
      </c>
      <c r="BG2629" s="210">
        <f t="shared" si="1068"/>
        <v>0</v>
      </c>
      <c r="BH2629" s="210">
        <f t="shared" si="1069"/>
        <v>1</v>
      </c>
      <c r="BI2629" s="213">
        <f t="shared" si="1065"/>
        <v>0</v>
      </c>
      <c r="BJ2629" s="141"/>
      <c r="BK2629" s="201"/>
      <c r="BL2629" s="4"/>
      <c r="BM2629" s="4"/>
    </row>
    <row r="2630" spans="1:65" s="38" customFormat="1" ht="18" customHeight="1">
      <c r="A2630" s="114">
        <v>108</v>
      </c>
      <c r="B2630" s="24" t="s">
        <v>998</v>
      </c>
      <c r="C2630" s="25" t="s">
        <v>999</v>
      </c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229">
        <f t="shared" si="1070"/>
        <v>0</v>
      </c>
      <c r="AC2630" s="228">
        <f t="shared" si="1066"/>
        <v>0</v>
      </c>
      <c r="AD2630" s="19">
        <v>0</v>
      </c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28"/>
      <c r="BC2630" s="229">
        <f t="shared" si="1071"/>
        <v>0</v>
      </c>
      <c r="BD2630" s="48">
        <f t="shared" si="1067"/>
        <v>0</v>
      </c>
      <c r="BE2630" s="19">
        <v>6</v>
      </c>
      <c r="BF2630" s="229">
        <f t="shared" si="1072"/>
        <v>0</v>
      </c>
      <c r="BG2630" s="210">
        <f t="shared" si="1068"/>
        <v>0</v>
      </c>
      <c r="BH2630" s="210">
        <f t="shared" si="1069"/>
        <v>6</v>
      </c>
      <c r="BI2630" s="213">
        <f t="shared" si="1065"/>
        <v>0</v>
      </c>
      <c r="BJ2630" s="141"/>
      <c r="BK2630" s="201"/>
      <c r="BL2630" s="4"/>
      <c r="BM2630" s="4"/>
    </row>
    <row r="2631" spans="1:65" s="38" customFormat="1" ht="18" customHeight="1">
      <c r="A2631" s="114">
        <v>109</v>
      </c>
      <c r="B2631" s="156" t="s">
        <v>1788</v>
      </c>
      <c r="C2631" s="159" t="s">
        <v>1789</v>
      </c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229">
        <f t="shared" si="1070"/>
        <v>0</v>
      </c>
      <c r="AC2631" s="228">
        <f t="shared" si="1066"/>
        <v>0</v>
      </c>
      <c r="AD2631" s="19">
        <v>1</v>
      </c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  <c r="AZ2631" s="28"/>
      <c r="BA2631" s="28"/>
      <c r="BB2631" s="28"/>
      <c r="BC2631" s="229">
        <f t="shared" si="1071"/>
        <v>0</v>
      </c>
      <c r="BD2631" s="48">
        <f t="shared" si="1067"/>
        <v>0</v>
      </c>
      <c r="BE2631" s="19">
        <v>0</v>
      </c>
      <c r="BF2631" s="229">
        <f t="shared" si="1072"/>
        <v>0</v>
      </c>
      <c r="BG2631" s="210">
        <f t="shared" si="1068"/>
        <v>0</v>
      </c>
      <c r="BH2631" s="210">
        <f t="shared" si="1069"/>
        <v>1</v>
      </c>
      <c r="BI2631" s="213">
        <f t="shared" si="1065"/>
        <v>0</v>
      </c>
      <c r="BJ2631" s="269" t="s">
        <v>2856</v>
      </c>
      <c r="BK2631" s="201"/>
      <c r="BL2631" s="4"/>
      <c r="BM2631" s="4"/>
    </row>
    <row r="2632" spans="1:65" s="38" customFormat="1" ht="21.95" customHeight="1">
      <c r="A2632" s="372" t="s">
        <v>2774</v>
      </c>
      <c r="B2632" s="372"/>
      <c r="C2632" s="372"/>
      <c r="D2632" s="220">
        <f t="shared" ref="D2632:AA2632" si="1073">SUM(D2633:D2785)</f>
        <v>0</v>
      </c>
      <c r="E2632" s="220">
        <f t="shared" si="1073"/>
        <v>0</v>
      </c>
      <c r="F2632" s="220">
        <f t="shared" si="1073"/>
        <v>0</v>
      </c>
      <c r="G2632" s="220">
        <f t="shared" si="1073"/>
        <v>0</v>
      </c>
      <c r="H2632" s="220">
        <f t="shared" si="1073"/>
        <v>0</v>
      </c>
      <c r="I2632" s="220">
        <f t="shared" si="1073"/>
        <v>4641</v>
      </c>
      <c r="J2632" s="220">
        <f t="shared" si="1073"/>
        <v>0</v>
      </c>
      <c r="K2632" s="220">
        <f t="shared" si="1073"/>
        <v>0</v>
      </c>
      <c r="L2632" s="220">
        <f t="shared" si="1073"/>
        <v>0</v>
      </c>
      <c r="M2632" s="220">
        <f t="shared" si="1073"/>
        <v>0</v>
      </c>
      <c r="N2632" s="220">
        <f t="shared" si="1073"/>
        <v>0</v>
      </c>
      <c r="O2632" s="220">
        <f t="shared" si="1073"/>
        <v>5232</v>
      </c>
      <c r="P2632" s="220">
        <f t="shared" si="1073"/>
        <v>0</v>
      </c>
      <c r="Q2632" s="220">
        <f t="shared" si="1073"/>
        <v>0</v>
      </c>
      <c r="R2632" s="220">
        <f t="shared" si="1073"/>
        <v>0</v>
      </c>
      <c r="S2632" s="220">
        <f t="shared" si="1073"/>
        <v>0</v>
      </c>
      <c r="T2632" s="220">
        <f t="shared" si="1073"/>
        <v>0</v>
      </c>
      <c r="U2632" s="220">
        <f t="shared" si="1073"/>
        <v>7609</v>
      </c>
      <c r="V2632" s="220">
        <f t="shared" si="1073"/>
        <v>0</v>
      </c>
      <c r="W2632" s="220">
        <f t="shared" si="1073"/>
        <v>0</v>
      </c>
      <c r="X2632" s="220">
        <f t="shared" si="1073"/>
        <v>0</v>
      </c>
      <c r="Y2632" s="220">
        <f t="shared" si="1073"/>
        <v>0</v>
      </c>
      <c r="Z2632" s="220">
        <f t="shared" si="1073"/>
        <v>0</v>
      </c>
      <c r="AA2632" s="220">
        <f t="shared" si="1073"/>
        <v>2980</v>
      </c>
      <c r="AB2632" s="220">
        <f t="shared" ref="AB2632" si="1074">D2632+F2632+H2632+J2632+L2632+N2632+P2632+R2632+T2632+V2632+X2632+Z2632</f>
        <v>0</v>
      </c>
      <c r="AC2632" s="220">
        <f t="shared" ref="AC2632" si="1075">E2632+G2632+I2632+K2632+M2632+O2632+Q2632+S2632+U2632+W2632+Y2632+AA2632</f>
        <v>20462</v>
      </c>
      <c r="AD2632" s="274">
        <f t="shared" ref="AD2632:BB2632" si="1076">SUM(AD2633:AD2785)</f>
        <v>18594</v>
      </c>
      <c r="AE2632" s="210">
        <f t="shared" si="1076"/>
        <v>0</v>
      </c>
      <c r="AF2632" s="210">
        <f t="shared" si="1076"/>
        <v>0</v>
      </c>
      <c r="AG2632" s="210">
        <f t="shared" si="1076"/>
        <v>0</v>
      </c>
      <c r="AH2632" s="210">
        <f t="shared" si="1076"/>
        <v>0</v>
      </c>
      <c r="AI2632" s="210">
        <f t="shared" si="1076"/>
        <v>0</v>
      </c>
      <c r="AJ2632" s="210">
        <f t="shared" si="1076"/>
        <v>20046</v>
      </c>
      <c r="AK2632" s="210">
        <f t="shared" si="1076"/>
        <v>0</v>
      </c>
      <c r="AL2632" s="210">
        <f t="shared" si="1076"/>
        <v>0</v>
      </c>
      <c r="AM2632" s="210">
        <f t="shared" si="1076"/>
        <v>0</v>
      </c>
      <c r="AN2632" s="210">
        <f t="shared" si="1076"/>
        <v>0</v>
      </c>
      <c r="AO2632" s="210">
        <f t="shared" si="1076"/>
        <v>0</v>
      </c>
      <c r="AP2632" s="210">
        <f t="shared" si="1076"/>
        <v>26835</v>
      </c>
      <c r="AQ2632" s="210">
        <f t="shared" si="1076"/>
        <v>0</v>
      </c>
      <c r="AR2632" s="210">
        <f t="shared" si="1076"/>
        <v>0</v>
      </c>
      <c r="AS2632" s="210">
        <f t="shared" si="1076"/>
        <v>0</v>
      </c>
      <c r="AT2632" s="210">
        <f t="shared" si="1076"/>
        <v>0</v>
      </c>
      <c r="AU2632" s="210">
        <f t="shared" si="1076"/>
        <v>0</v>
      </c>
      <c r="AV2632" s="210">
        <f t="shared" si="1076"/>
        <v>13671</v>
      </c>
      <c r="AW2632" s="210">
        <f t="shared" si="1076"/>
        <v>0</v>
      </c>
      <c r="AX2632" s="210">
        <f t="shared" si="1076"/>
        <v>0</v>
      </c>
      <c r="AY2632" s="210">
        <f t="shared" si="1076"/>
        <v>0</v>
      </c>
      <c r="AZ2632" s="210">
        <f t="shared" si="1076"/>
        <v>0</v>
      </c>
      <c r="BA2632" s="210">
        <f t="shared" si="1076"/>
        <v>0</v>
      </c>
      <c r="BB2632" s="210">
        <f t="shared" si="1076"/>
        <v>19230</v>
      </c>
      <c r="BC2632" s="220">
        <f t="shared" ref="BC2632" si="1077">AE2632+AG2632+AI2632+AK2632+AM2632+AO2632+AQ2632+AS2632+AU2632+AW2632+AY2632+BA2632</f>
        <v>0</v>
      </c>
      <c r="BD2632" s="210">
        <f t="shared" ref="BD2632" si="1078">AF2632+AH2632+AJ2632+AL2632+AN2632+AP2632+AR2632+AT2632+AV2632+AX2632+AZ2632+BB2632</f>
        <v>79782</v>
      </c>
      <c r="BE2632" s="210">
        <f>SUM(BE2633:BE2785)</f>
        <v>62101</v>
      </c>
      <c r="BF2632" s="220">
        <f t="shared" ref="BF2632" si="1079">AB2632+BC2632</f>
        <v>0</v>
      </c>
      <c r="BG2632" s="210">
        <f t="shared" ref="BG2632" si="1080">AC2632+BD2632</f>
        <v>100244</v>
      </c>
      <c r="BH2632" s="210">
        <f t="shared" ref="BH2632" si="1081">AD2632+BE2632</f>
        <v>80695</v>
      </c>
      <c r="BI2632" s="213">
        <f t="shared" ref="BI2632" si="1082">BG2632/BH2632*100</f>
        <v>124.22578846273002</v>
      </c>
      <c r="BJ2632" s="140">
        <v>80695</v>
      </c>
      <c r="BK2632" s="203">
        <f>BH2632-BJ2632</f>
        <v>0</v>
      </c>
      <c r="BL2632" s="198">
        <v>112465</v>
      </c>
      <c r="BM2632" s="199">
        <f>BG2632-BL2632</f>
        <v>-12221</v>
      </c>
    </row>
    <row r="2633" spans="1:65" s="38" customFormat="1" ht="18" customHeight="1">
      <c r="A2633" s="114">
        <v>1</v>
      </c>
      <c r="B2633" s="24" t="s">
        <v>2122</v>
      </c>
      <c r="C2633" s="25" t="s">
        <v>2123</v>
      </c>
      <c r="D2633" s="121"/>
      <c r="E2633" s="121"/>
      <c r="F2633" s="121"/>
      <c r="G2633" s="121"/>
      <c r="H2633" s="121"/>
      <c r="I2633" s="121">
        <v>1</v>
      </c>
      <c r="J2633" s="121"/>
      <c r="K2633" s="121"/>
      <c r="L2633" s="121"/>
      <c r="M2633" s="121"/>
      <c r="N2633" s="121"/>
      <c r="O2633" s="121">
        <v>3</v>
      </c>
      <c r="P2633" s="121"/>
      <c r="Q2633" s="121"/>
      <c r="R2633" s="121"/>
      <c r="S2633" s="121"/>
      <c r="T2633" s="121"/>
      <c r="U2633" s="121">
        <v>1</v>
      </c>
      <c r="V2633" s="121"/>
      <c r="W2633" s="121"/>
      <c r="X2633" s="121"/>
      <c r="Y2633" s="121"/>
      <c r="Z2633" s="121"/>
      <c r="AA2633" s="121"/>
      <c r="AB2633" s="229">
        <f t="shared" ref="AB2633:AB2658" si="1083">D2633+F2633+H2633+J2633+L2633+N2633+P2633+R2633+T2633+V2633+X2633+Z2633</f>
        <v>0</v>
      </c>
      <c r="AC2633" s="228">
        <f t="shared" ref="AC2633:AC2658" si="1084">E2633+G2633+I2633+K2633+M2633+O2633+Q2633+S2633+U2633+W2633+Y2633+AA2633</f>
        <v>5</v>
      </c>
      <c r="AD2633" s="19">
        <v>0</v>
      </c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  <c r="AZ2633" s="28"/>
      <c r="BA2633" s="28"/>
      <c r="BB2633" s="28"/>
      <c r="BC2633" s="229">
        <f t="shared" ref="BC2633:BC2658" si="1085">AE2633+AG2633+AI2633+AK2633+AM2633+AO2633+AQ2633+AS2633+AU2633+AW2633+AY2633+BA2633</f>
        <v>0</v>
      </c>
      <c r="BD2633" s="48">
        <f t="shared" ref="BD2633:BD2658" si="1086">AF2633+AH2633+AJ2633+AL2633+AN2633+AP2633+AR2633+AT2633+AV2633+AX2633+AZ2633+BB2633</f>
        <v>0</v>
      </c>
      <c r="BE2633" s="19">
        <v>15</v>
      </c>
      <c r="BF2633" s="229">
        <f t="shared" ref="BF2633:BF2658" si="1087">AB2633+BC2633</f>
        <v>0</v>
      </c>
      <c r="BG2633" s="210">
        <f t="shared" ref="BG2633:BG2658" si="1088">AC2633+BD2633</f>
        <v>5</v>
      </c>
      <c r="BH2633" s="210">
        <f t="shared" ref="BH2633:BH2658" si="1089">AD2633+BE2633</f>
        <v>15</v>
      </c>
      <c r="BI2633" s="213">
        <f t="shared" ref="BI2633:BI2665" si="1090">BG2633/BH2633*100</f>
        <v>33.333333333333329</v>
      </c>
      <c r="BJ2633" s="270" t="s">
        <v>2857</v>
      </c>
      <c r="BK2633" s="201"/>
      <c r="BL2633" s="4"/>
      <c r="BM2633" s="4"/>
    </row>
    <row r="2634" spans="1:65" s="38" customFormat="1" ht="21.95" customHeight="1">
      <c r="A2634" s="114">
        <v>2</v>
      </c>
      <c r="B2634" s="24" t="s">
        <v>705</v>
      </c>
      <c r="C2634" s="27" t="s">
        <v>706</v>
      </c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229">
        <f t="shared" si="1083"/>
        <v>0</v>
      </c>
      <c r="AC2634" s="228">
        <f t="shared" si="1084"/>
        <v>0</v>
      </c>
      <c r="AD2634" s="19">
        <v>1</v>
      </c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  <c r="AZ2634" s="28"/>
      <c r="BA2634" s="28"/>
      <c r="BB2634" s="28"/>
      <c r="BC2634" s="229">
        <f t="shared" si="1085"/>
        <v>0</v>
      </c>
      <c r="BD2634" s="48">
        <f t="shared" si="1086"/>
        <v>0</v>
      </c>
      <c r="BE2634" s="19">
        <v>0</v>
      </c>
      <c r="BF2634" s="229">
        <f t="shared" si="1087"/>
        <v>0</v>
      </c>
      <c r="BG2634" s="210">
        <f t="shared" si="1088"/>
        <v>0</v>
      </c>
      <c r="BH2634" s="210">
        <f t="shared" si="1089"/>
        <v>1</v>
      </c>
      <c r="BI2634" s="213">
        <f t="shared" si="1090"/>
        <v>0</v>
      </c>
      <c r="BJ2634" s="270" t="s">
        <v>2857</v>
      </c>
      <c r="BK2634" s="201"/>
      <c r="BL2634" s="4"/>
      <c r="BM2634" s="4"/>
    </row>
    <row r="2635" spans="1:65" ht="18" customHeight="1">
      <c r="A2635" s="114">
        <v>3</v>
      </c>
      <c r="B2635" s="24" t="s">
        <v>937</v>
      </c>
      <c r="C2635" s="25" t="s">
        <v>938</v>
      </c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229">
        <f t="shared" si="1083"/>
        <v>0</v>
      </c>
      <c r="AC2635" s="228">
        <f t="shared" si="1084"/>
        <v>0</v>
      </c>
      <c r="AD2635" s="19">
        <v>1</v>
      </c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29">
        <f t="shared" si="1085"/>
        <v>0</v>
      </c>
      <c r="BD2635" s="48">
        <f t="shared" si="1086"/>
        <v>0</v>
      </c>
      <c r="BE2635" s="19">
        <v>0</v>
      </c>
      <c r="BF2635" s="229">
        <f t="shared" si="1087"/>
        <v>0</v>
      </c>
      <c r="BG2635" s="210">
        <f t="shared" si="1088"/>
        <v>0</v>
      </c>
      <c r="BH2635" s="210">
        <f t="shared" si="1089"/>
        <v>1</v>
      </c>
      <c r="BI2635" s="213">
        <f t="shared" si="1090"/>
        <v>0</v>
      </c>
      <c r="BJ2635" s="270" t="s">
        <v>2857</v>
      </c>
      <c r="BK2635" s="201"/>
    </row>
    <row r="2636" spans="1:65" ht="18" customHeight="1">
      <c r="A2636" s="114">
        <v>4</v>
      </c>
      <c r="B2636" s="24" t="s">
        <v>1468</v>
      </c>
      <c r="C2636" s="25" t="s">
        <v>1471</v>
      </c>
      <c r="D2636" s="121"/>
      <c r="E2636" s="121"/>
      <c r="F2636" s="121"/>
      <c r="G2636" s="121"/>
      <c r="H2636" s="121"/>
      <c r="I2636" s="121">
        <v>1949</v>
      </c>
      <c r="J2636" s="121"/>
      <c r="K2636" s="121"/>
      <c r="L2636" s="121"/>
      <c r="M2636" s="121"/>
      <c r="N2636" s="121"/>
      <c r="O2636" s="121">
        <v>2513</v>
      </c>
      <c r="P2636" s="121"/>
      <c r="Q2636" s="121"/>
      <c r="R2636" s="121"/>
      <c r="S2636" s="121"/>
      <c r="T2636" s="121"/>
      <c r="U2636" s="121">
        <f>1252+2695</f>
        <v>3947</v>
      </c>
      <c r="V2636" s="121"/>
      <c r="W2636" s="121"/>
      <c r="X2636" s="121"/>
      <c r="Y2636" s="121"/>
      <c r="Z2636" s="121"/>
      <c r="AA2636" s="121"/>
      <c r="AB2636" s="229">
        <f t="shared" si="1083"/>
        <v>0</v>
      </c>
      <c r="AC2636" s="228">
        <f t="shared" si="1084"/>
        <v>8409</v>
      </c>
      <c r="AD2636" s="19">
        <v>6520</v>
      </c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  <c r="AZ2636" s="28"/>
      <c r="BA2636" s="28"/>
      <c r="BB2636" s="28"/>
      <c r="BC2636" s="229">
        <f t="shared" si="1085"/>
        <v>0</v>
      </c>
      <c r="BD2636" s="48">
        <f t="shared" si="1086"/>
        <v>0</v>
      </c>
      <c r="BE2636" s="19">
        <v>0</v>
      </c>
      <c r="BF2636" s="229">
        <f t="shared" si="1087"/>
        <v>0</v>
      </c>
      <c r="BG2636" s="210">
        <f t="shared" si="1088"/>
        <v>8409</v>
      </c>
      <c r="BH2636" s="210">
        <f t="shared" si="1089"/>
        <v>6520</v>
      </c>
      <c r="BI2636" s="213">
        <f t="shared" si="1090"/>
        <v>128.97239263803681</v>
      </c>
      <c r="BJ2636" s="270" t="s">
        <v>2857</v>
      </c>
      <c r="BK2636" s="201"/>
    </row>
    <row r="2637" spans="1:65" ht="18" customHeight="1">
      <c r="A2637" s="114">
        <v>5</v>
      </c>
      <c r="B2637" s="24" t="s">
        <v>1482</v>
      </c>
      <c r="C2637" s="25" t="s">
        <v>1483</v>
      </c>
      <c r="D2637" s="121"/>
      <c r="E2637" s="121"/>
      <c r="F2637" s="121"/>
      <c r="G2637" s="121"/>
      <c r="H2637" s="121"/>
      <c r="I2637" s="121">
        <f>1941+46</f>
        <v>1987</v>
      </c>
      <c r="J2637" s="121"/>
      <c r="K2637" s="121"/>
      <c r="L2637" s="121"/>
      <c r="M2637" s="121"/>
      <c r="N2637" s="121"/>
      <c r="O2637" s="121">
        <f>2331+45</f>
        <v>2376</v>
      </c>
      <c r="P2637" s="121"/>
      <c r="Q2637" s="121"/>
      <c r="R2637" s="121"/>
      <c r="S2637" s="121"/>
      <c r="T2637" s="121"/>
      <c r="U2637" s="121">
        <f>2471+216+35</f>
        <v>2722</v>
      </c>
      <c r="V2637" s="121"/>
      <c r="W2637" s="121"/>
      <c r="X2637" s="121"/>
      <c r="Y2637" s="121"/>
      <c r="Z2637" s="121"/>
      <c r="AA2637" s="121">
        <v>2304</v>
      </c>
      <c r="AB2637" s="229">
        <f t="shared" si="1083"/>
        <v>0</v>
      </c>
      <c r="AC2637" s="228">
        <f t="shared" si="1084"/>
        <v>9389</v>
      </c>
      <c r="AD2637" s="19">
        <v>9695</v>
      </c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29">
        <f t="shared" si="1085"/>
        <v>0</v>
      </c>
      <c r="BD2637" s="48">
        <f t="shared" si="1086"/>
        <v>0</v>
      </c>
      <c r="BE2637" s="19">
        <v>0</v>
      </c>
      <c r="BF2637" s="229">
        <f t="shared" si="1087"/>
        <v>0</v>
      </c>
      <c r="BG2637" s="210">
        <f t="shared" si="1088"/>
        <v>9389</v>
      </c>
      <c r="BH2637" s="210">
        <f t="shared" si="1089"/>
        <v>9695</v>
      </c>
      <c r="BI2637" s="213">
        <f t="shared" si="1090"/>
        <v>96.843733883445068</v>
      </c>
      <c r="BJ2637" s="270" t="s">
        <v>2857</v>
      </c>
      <c r="BK2637" s="201"/>
    </row>
    <row r="2638" spans="1:65" ht="18" customHeight="1">
      <c r="A2638" s="330"/>
      <c r="B2638" s="24" t="s">
        <v>2715</v>
      </c>
      <c r="C2638" s="332" t="s">
        <v>2716</v>
      </c>
      <c r="D2638" s="333"/>
      <c r="E2638" s="333"/>
      <c r="F2638" s="333"/>
      <c r="G2638" s="333"/>
      <c r="H2638" s="333"/>
      <c r="I2638" s="333"/>
      <c r="J2638" s="333"/>
      <c r="K2638" s="333"/>
      <c r="L2638" s="333"/>
      <c r="M2638" s="333"/>
      <c r="N2638" s="333"/>
      <c r="O2638" s="333"/>
      <c r="P2638" s="333"/>
      <c r="Q2638" s="333"/>
      <c r="R2638" s="333"/>
      <c r="S2638" s="333"/>
      <c r="T2638" s="333"/>
      <c r="U2638" s="333"/>
      <c r="V2638" s="333"/>
      <c r="W2638" s="333"/>
      <c r="X2638" s="333"/>
      <c r="Y2638" s="333"/>
      <c r="Z2638" s="333"/>
      <c r="AA2638" s="333"/>
      <c r="AB2638" s="323"/>
      <c r="AC2638" s="228">
        <f t="shared" si="1084"/>
        <v>0</v>
      </c>
      <c r="AD2638" s="326">
        <v>0</v>
      </c>
      <c r="AE2638" s="334"/>
      <c r="AF2638" s="334"/>
      <c r="AG2638" s="334"/>
      <c r="AH2638" s="334"/>
      <c r="AI2638" s="334"/>
      <c r="AJ2638" s="334"/>
      <c r="AK2638" s="334"/>
      <c r="AL2638" s="334"/>
      <c r="AM2638" s="334"/>
      <c r="AN2638" s="334"/>
      <c r="AO2638" s="334"/>
      <c r="AP2638" s="334"/>
      <c r="AQ2638" s="334"/>
      <c r="AR2638" s="334"/>
      <c r="AS2638" s="334"/>
      <c r="AT2638" s="334"/>
      <c r="AU2638" s="334"/>
      <c r="AV2638" s="334"/>
      <c r="AW2638" s="334"/>
      <c r="AX2638" s="334"/>
      <c r="AY2638" s="334"/>
      <c r="AZ2638" s="334"/>
      <c r="BA2638" s="334"/>
      <c r="BB2638" s="334">
        <v>1</v>
      </c>
      <c r="BC2638" s="323"/>
      <c r="BD2638" s="48">
        <f t="shared" si="1086"/>
        <v>1</v>
      </c>
      <c r="BE2638" s="326">
        <v>0</v>
      </c>
      <c r="BF2638" s="323"/>
      <c r="BG2638" s="210">
        <f t="shared" ref="BG2638" si="1091">AC2638+BD2638</f>
        <v>1</v>
      </c>
      <c r="BH2638" s="210">
        <f t="shared" ref="BH2638" si="1092">AD2638+BE2638</f>
        <v>0</v>
      </c>
      <c r="BI2638" s="213" t="e">
        <f t="shared" ref="BI2638" si="1093">BG2638/BH2638*100</f>
        <v>#DIV/0!</v>
      </c>
      <c r="BJ2638" s="270"/>
      <c r="BK2638" s="201"/>
    </row>
    <row r="2639" spans="1:65" ht="18" customHeight="1">
      <c r="A2639" s="114">
        <v>6</v>
      </c>
      <c r="B2639" s="24" t="s">
        <v>2694</v>
      </c>
      <c r="C2639" s="25" t="s">
        <v>2695</v>
      </c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229">
        <f t="shared" si="1083"/>
        <v>0</v>
      </c>
      <c r="AC2639" s="228">
        <f t="shared" si="1084"/>
        <v>0</v>
      </c>
      <c r="AD2639" s="19">
        <v>0</v>
      </c>
      <c r="AE2639" s="28"/>
      <c r="AF2639" s="28"/>
      <c r="AG2639" s="28"/>
      <c r="AH2639" s="28"/>
      <c r="AI2639" s="28"/>
      <c r="AJ2639" s="28">
        <v>2</v>
      </c>
      <c r="AK2639" s="28"/>
      <c r="AL2639" s="28"/>
      <c r="AM2639" s="28"/>
      <c r="AN2639" s="28"/>
      <c r="AO2639" s="28"/>
      <c r="AP2639" s="28">
        <v>2</v>
      </c>
      <c r="AQ2639" s="28"/>
      <c r="AR2639" s="28"/>
      <c r="AS2639" s="28"/>
      <c r="AT2639" s="28"/>
      <c r="AU2639" s="28"/>
      <c r="AV2639" s="28">
        <v>7</v>
      </c>
      <c r="AW2639" s="28"/>
      <c r="AX2639" s="28"/>
      <c r="AY2639" s="28"/>
      <c r="AZ2639" s="28"/>
      <c r="BA2639" s="28"/>
      <c r="BB2639" s="28">
        <v>1</v>
      </c>
      <c r="BC2639" s="229">
        <f t="shared" si="1085"/>
        <v>0</v>
      </c>
      <c r="BD2639" s="48">
        <f t="shared" si="1086"/>
        <v>12</v>
      </c>
      <c r="BE2639" s="19">
        <v>0</v>
      </c>
      <c r="BF2639" s="229">
        <f t="shared" si="1087"/>
        <v>0</v>
      </c>
      <c r="BG2639" s="210">
        <f t="shared" si="1088"/>
        <v>12</v>
      </c>
      <c r="BH2639" s="210">
        <f t="shared" si="1089"/>
        <v>0</v>
      </c>
      <c r="BI2639" s="213" t="e">
        <f t="shared" si="1090"/>
        <v>#DIV/0!</v>
      </c>
      <c r="BJ2639" s="165"/>
      <c r="BK2639" s="201"/>
    </row>
    <row r="2640" spans="1:65" ht="18" customHeight="1">
      <c r="A2640" s="114">
        <v>7</v>
      </c>
      <c r="B2640" s="24" t="s">
        <v>2289</v>
      </c>
      <c r="C2640" s="25" t="s">
        <v>2290</v>
      </c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229">
        <f t="shared" si="1083"/>
        <v>0</v>
      </c>
      <c r="AC2640" s="228">
        <f t="shared" si="1084"/>
        <v>0</v>
      </c>
      <c r="AD2640" s="19">
        <v>0</v>
      </c>
      <c r="AE2640" s="28"/>
      <c r="AF2640" s="28"/>
      <c r="AG2640" s="28"/>
      <c r="AH2640" s="28"/>
      <c r="AI2640" s="28"/>
      <c r="AJ2640" s="28">
        <v>2</v>
      </c>
      <c r="AK2640" s="28"/>
      <c r="AL2640" s="28"/>
      <c r="AM2640" s="28"/>
      <c r="AN2640" s="28"/>
      <c r="AO2640" s="28"/>
      <c r="AP2640" s="28">
        <v>6</v>
      </c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8">
        <v>2</v>
      </c>
      <c r="BC2640" s="229">
        <f t="shared" si="1085"/>
        <v>0</v>
      </c>
      <c r="BD2640" s="48">
        <f t="shared" si="1086"/>
        <v>10</v>
      </c>
      <c r="BE2640" s="19">
        <v>0</v>
      </c>
      <c r="BF2640" s="229">
        <f t="shared" si="1087"/>
        <v>0</v>
      </c>
      <c r="BG2640" s="210">
        <f t="shared" si="1088"/>
        <v>10</v>
      </c>
      <c r="BH2640" s="210">
        <f t="shared" si="1089"/>
        <v>0</v>
      </c>
      <c r="BI2640" s="213" t="e">
        <f t="shared" si="1090"/>
        <v>#DIV/0!</v>
      </c>
      <c r="BJ2640" s="165"/>
      <c r="BK2640" s="201"/>
    </row>
    <row r="2641" spans="1:63" ht="18" customHeight="1">
      <c r="A2641" s="114">
        <v>8</v>
      </c>
      <c r="B2641" s="24" t="s">
        <v>2313</v>
      </c>
      <c r="C2641" s="25" t="s">
        <v>2315</v>
      </c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229">
        <f t="shared" si="1083"/>
        <v>0</v>
      </c>
      <c r="AC2641" s="228">
        <f t="shared" si="1084"/>
        <v>0</v>
      </c>
      <c r="AD2641" s="19">
        <v>0</v>
      </c>
      <c r="AE2641" s="28"/>
      <c r="AF2641" s="28"/>
      <c r="AG2641" s="28"/>
      <c r="AH2641" s="28"/>
      <c r="AI2641" s="28"/>
      <c r="AJ2641" s="28">
        <v>5</v>
      </c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>
        <v>3</v>
      </c>
      <c r="BC2641" s="229">
        <f t="shared" si="1085"/>
        <v>0</v>
      </c>
      <c r="BD2641" s="48">
        <f t="shared" si="1086"/>
        <v>8</v>
      </c>
      <c r="BE2641" s="19">
        <v>0</v>
      </c>
      <c r="BF2641" s="229">
        <f t="shared" si="1087"/>
        <v>0</v>
      </c>
      <c r="BG2641" s="210">
        <f t="shared" si="1088"/>
        <v>8</v>
      </c>
      <c r="BH2641" s="210">
        <f t="shared" si="1089"/>
        <v>0</v>
      </c>
      <c r="BI2641" s="213" t="e">
        <f t="shared" si="1090"/>
        <v>#DIV/0!</v>
      </c>
      <c r="BJ2641" s="165"/>
      <c r="BK2641" s="201"/>
    </row>
    <row r="2642" spans="1:63" ht="18" customHeight="1">
      <c r="A2642" s="114">
        <v>9</v>
      </c>
      <c r="B2642" s="24" t="s">
        <v>551</v>
      </c>
      <c r="C2642" s="25" t="s">
        <v>552</v>
      </c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229">
        <f t="shared" si="1083"/>
        <v>0</v>
      </c>
      <c r="AC2642" s="228">
        <f t="shared" si="1084"/>
        <v>0</v>
      </c>
      <c r="AD2642" s="19">
        <v>0</v>
      </c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  <c r="AZ2642" s="28"/>
      <c r="BA2642" s="28"/>
      <c r="BB2642" s="28"/>
      <c r="BC2642" s="229">
        <f t="shared" si="1085"/>
        <v>0</v>
      </c>
      <c r="BD2642" s="48">
        <f t="shared" si="1086"/>
        <v>0</v>
      </c>
      <c r="BE2642" s="19">
        <v>1</v>
      </c>
      <c r="BF2642" s="229">
        <f t="shared" si="1087"/>
        <v>0</v>
      </c>
      <c r="BG2642" s="210">
        <f t="shared" si="1088"/>
        <v>0</v>
      </c>
      <c r="BH2642" s="210">
        <f t="shared" si="1089"/>
        <v>1</v>
      </c>
      <c r="BI2642" s="213">
        <f t="shared" si="1090"/>
        <v>0</v>
      </c>
      <c r="BJ2642" s="141"/>
      <c r="BK2642" s="201"/>
    </row>
    <row r="2643" spans="1:63" ht="18" customHeight="1">
      <c r="A2643" s="114">
        <v>10</v>
      </c>
      <c r="B2643" s="24" t="s">
        <v>553</v>
      </c>
      <c r="C2643" s="25" t="s">
        <v>554</v>
      </c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229">
        <f t="shared" si="1083"/>
        <v>0</v>
      </c>
      <c r="AC2643" s="228">
        <f t="shared" si="1084"/>
        <v>0</v>
      </c>
      <c r="AD2643" s="19">
        <v>0</v>
      </c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29">
        <f t="shared" si="1085"/>
        <v>0</v>
      </c>
      <c r="BD2643" s="48">
        <f t="shared" si="1086"/>
        <v>0</v>
      </c>
      <c r="BE2643" s="19">
        <v>5</v>
      </c>
      <c r="BF2643" s="229">
        <f t="shared" si="1087"/>
        <v>0</v>
      </c>
      <c r="BG2643" s="210">
        <f t="shared" si="1088"/>
        <v>0</v>
      </c>
      <c r="BH2643" s="210">
        <f t="shared" si="1089"/>
        <v>5</v>
      </c>
      <c r="BI2643" s="213">
        <f t="shared" si="1090"/>
        <v>0</v>
      </c>
      <c r="BJ2643" s="141"/>
      <c r="BK2643" s="201"/>
    </row>
    <row r="2644" spans="1:63" ht="18" customHeight="1">
      <c r="A2644" s="114">
        <v>11</v>
      </c>
      <c r="B2644" s="24" t="s">
        <v>561</v>
      </c>
      <c r="C2644" s="25" t="s">
        <v>562</v>
      </c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229">
        <f t="shared" si="1083"/>
        <v>0</v>
      </c>
      <c r="AC2644" s="228">
        <f t="shared" si="1084"/>
        <v>0</v>
      </c>
      <c r="AD2644" s="19">
        <v>0</v>
      </c>
      <c r="AE2644" s="28"/>
      <c r="AF2644" s="28"/>
      <c r="AG2644" s="28"/>
      <c r="AH2644" s="28"/>
      <c r="AI2644" s="28"/>
      <c r="AJ2644" s="28">
        <f>83+57</f>
        <v>140</v>
      </c>
      <c r="AK2644" s="28"/>
      <c r="AL2644" s="28"/>
      <c r="AM2644" s="28"/>
      <c r="AN2644" s="28"/>
      <c r="AO2644" s="28"/>
      <c r="AP2644" s="28">
        <f>2+58+11</f>
        <v>71</v>
      </c>
      <c r="AQ2644" s="28"/>
      <c r="AR2644" s="28"/>
      <c r="AS2644" s="28"/>
      <c r="AT2644" s="28"/>
      <c r="AU2644" s="28"/>
      <c r="AV2644" s="28">
        <f>79+6</f>
        <v>85</v>
      </c>
      <c r="AW2644" s="28"/>
      <c r="AX2644" s="28"/>
      <c r="AY2644" s="28"/>
      <c r="AZ2644" s="28"/>
      <c r="BA2644" s="28"/>
      <c r="BB2644" s="28">
        <f>68+33</f>
        <v>101</v>
      </c>
      <c r="BC2644" s="229">
        <f t="shared" si="1085"/>
        <v>0</v>
      </c>
      <c r="BD2644" s="48">
        <f t="shared" si="1086"/>
        <v>397</v>
      </c>
      <c r="BE2644" s="19">
        <v>38</v>
      </c>
      <c r="BF2644" s="229">
        <f t="shared" si="1087"/>
        <v>0</v>
      </c>
      <c r="BG2644" s="210">
        <f t="shared" si="1088"/>
        <v>397</v>
      </c>
      <c r="BH2644" s="210">
        <f t="shared" si="1089"/>
        <v>38</v>
      </c>
      <c r="BI2644" s="213">
        <f t="shared" si="1090"/>
        <v>1044.7368421052631</v>
      </c>
      <c r="BJ2644" s="141"/>
      <c r="BK2644" s="201"/>
    </row>
    <row r="2645" spans="1:63" ht="18" customHeight="1">
      <c r="A2645" s="114">
        <v>12</v>
      </c>
      <c r="B2645" s="24" t="s">
        <v>672</v>
      </c>
      <c r="C2645" s="25" t="s">
        <v>1028</v>
      </c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229">
        <f t="shared" si="1083"/>
        <v>0</v>
      </c>
      <c r="AC2645" s="228">
        <f t="shared" si="1084"/>
        <v>0</v>
      </c>
      <c r="AD2645" s="19">
        <v>0</v>
      </c>
      <c r="AE2645" s="28"/>
      <c r="AF2645" s="28"/>
      <c r="AG2645" s="28"/>
      <c r="AH2645" s="28"/>
      <c r="AI2645" s="28"/>
      <c r="AJ2645" s="28">
        <f>2452+44</f>
        <v>2496</v>
      </c>
      <c r="AK2645" s="28"/>
      <c r="AL2645" s="28"/>
      <c r="AM2645" s="28"/>
      <c r="AN2645" s="28"/>
      <c r="AO2645" s="28"/>
      <c r="AP2645" s="28">
        <f>3491+45+33</f>
        <v>3569</v>
      </c>
      <c r="AQ2645" s="28"/>
      <c r="AR2645" s="28"/>
      <c r="AS2645" s="28"/>
      <c r="AT2645" s="28"/>
      <c r="AU2645" s="28"/>
      <c r="AV2645" s="28">
        <f>2311+6</f>
        <v>2317</v>
      </c>
      <c r="AW2645" s="28"/>
      <c r="AX2645" s="28"/>
      <c r="AY2645" s="28"/>
      <c r="AZ2645" s="28"/>
      <c r="BA2645" s="28"/>
      <c r="BB2645" s="28">
        <f>2607+32</f>
        <v>2639</v>
      </c>
      <c r="BC2645" s="229">
        <f t="shared" si="1085"/>
        <v>0</v>
      </c>
      <c r="BD2645" s="48">
        <f t="shared" si="1086"/>
        <v>11021</v>
      </c>
      <c r="BE2645" s="19">
        <v>7984</v>
      </c>
      <c r="BF2645" s="229">
        <f t="shared" si="1087"/>
        <v>0</v>
      </c>
      <c r="BG2645" s="210">
        <f t="shared" si="1088"/>
        <v>11021</v>
      </c>
      <c r="BH2645" s="210">
        <f t="shared" si="1089"/>
        <v>7984</v>
      </c>
      <c r="BI2645" s="213">
        <f t="shared" si="1090"/>
        <v>138.03857715430863</v>
      </c>
      <c r="BJ2645" s="141"/>
      <c r="BK2645" s="201"/>
    </row>
    <row r="2646" spans="1:63" ht="18" customHeight="1">
      <c r="A2646" s="114">
        <v>13</v>
      </c>
      <c r="B2646" s="24" t="s">
        <v>563</v>
      </c>
      <c r="C2646" s="25" t="s">
        <v>564</v>
      </c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229">
        <f t="shared" si="1083"/>
        <v>0</v>
      </c>
      <c r="AC2646" s="228">
        <f t="shared" si="1084"/>
        <v>0</v>
      </c>
      <c r="AD2646" s="19">
        <v>0</v>
      </c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  <c r="AZ2646" s="28"/>
      <c r="BA2646" s="28"/>
      <c r="BB2646" s="28"/>
      <c r="BC2646" s="229">
        <f t="shared" si="1085"/>
        <v>0</v>
      </c>
      <c r="BD2646" s="48">
        <f t="shared" si="1086"/>
        <v>0</v>
      </c>
      <c r="BE2646" s="19">
        <v>1</v>
      </c>
      <c r="BF2646" s="229">
        <f t="shared" si="1087"/>
        <v>0</v>
      </c>
      <c r="BG2646" s="210">
        <f t="shared" si="1088"/>
        <v>0</v>
      </c>
      <c r="BH2646" s="210">
        <f t="shared" si="1089"/>
        <v>1</v>
      </c>
      <c r="BI2646" s="213">
        <f t="shared" si="1090"/>
        <v>0</v>
      </c>
      <c r="BJ2646" s="141"/>
      <c r="BK2646" s="201"/>
    </row>
    <row r="2647" spans="1:63" ht="18" customHeight="1">
      <c r="A2647" s="114">
        <v>14</v>
      </c>
      <c r="B2647" s="24" t="s">
        <v>565</v>
      </c>
      <c r="C2647" s="25" t="s">
        <v>566</v>
      </c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229">
        <f t="shared" si="1083"/>
        <v>0</v>
      </c>
      <c r="AC2647" s="228">
        <f t="shared" si="1084"/>
        <v>0</v>
      </c>
      <c r="AD2647" s="19">
        <v>0</v>
      </c>
      <c r="AE2647" s="28"/>
      <c r="AF2647" s="28"/>
      <c r="AG2647" s="28"/>
      <c r="AH2647" s="28"/>
      <c r="AI2647" s="28"/>
      <c r="AJ2647" s="28">
        <f>86+19+4</f>
        <v>109</v>
      </c>
      <c r="AK2647" s="28"/>
      <c r="AL2647" s="28"/>
      <c r="AM2647" s="28"/>
      <c r="AN2647" s="28"/>
      <c r="AO2647" s="28"/>
      <c r="AP2647" s="28">
        <f>170+15</f>
        <v>185</v>
      </c>
      <c r="AQ2647" s="28"/>
      <c r="AR2647" s="28"/>
      <c r="AS2647" s="28"/>
      <c r="AT2647" s="28"/>
      <c r="AU2647" s="28"/>
      <c r="AV2647" s="28">
        <v>105</v>
      </c>
      <c r="AW2647" s="28"/>
      <c r="AX2647" s="28"/>
      <c r="AY2647" s="28"/>
      <c r="AZ2647" s="28"/>
      <c r="BA2647" s="28"/>
      <c r="BB2647" s="28">
        <f>140+16</f>
        <v>156</v>
      </c>
      <c r="BC2647" s="229">
        <f t="shared" si="1085"/>
        <v>0</v>
      </c>
      <c r="BD2647" s="48">
        <f t="shared" si="1086"/>
        <v>555</v>
      </c>
      <c r="BE2647" s="19">
        <v>287</v>
      </c>
      <c r="BF2647" s="229">
        <f t="shared" si="1087"/>
        <v>0</v>
      </c>
      <c r="BG2647" s="210">
        <f t="shared" si="1088"/>
        <v>555</v>
      </c>
      <c r="BH2647" s="210">
        <f t="shared" si="1089"/>
        <v>287</v>
      </c>
      <c r="BI2647" s="213">
        <f t="shared" si="1090"/>
        <v>193.37979094076655</v>
      </c>
      <c r="BJ2647" s="141"/>
      <c r="BK2647" s="201"/>
    </row>
    <row r="2648" spans="1:63" ht="18" customHeight="1">
      <c r="A2648" s="114">
        <v>15</v>
      </c>
      <c r="B2648" s="24" t="s">
        <v>707</v>
      </c>
      <c r="C2648" s="25" t="s">
        <v>708</v>
      </c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229">
        <f t="shared" si="1083"/>
        <v>0</v>
      </c>
      <c r="AC2648" s="228">
        <f t="shared" si="1084"/>
        <v>0</v>
      </c>
      <c r="AD2648" s="19">
        <v>0</v>
      </c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  <c r="AZ2648" s="28"/>
      <c r="BA2648" s="28"/>
      <c r="BB2648" s="28"/>
      <c r="BC2648" s="229">
        <f t="shared" si="1085"/>
        <v>0</v>
      </c>
      <c r="BD2648" s="48">
        <f t="shared" si="1086"/>
        <v>0</v>
      </c>
      <c r="BE2648" s="19">
        <v>1</v>
      </c>
      <c r="BF2648" s="229">
        <f t="shared" si="1087"/>
        <v>0</v>
      </c>
      <c r="BG2648" s="210">
        <f t="shared" si="1088"/>
        <v>0</v>
      </c>
      <c r="BH2648" s="210">
        <f t="shared" si="1089"/>
        <v>1</v>
      </c>
      <c r="BI2648" s="213">
        <f t="shared" si="1090"/>
        <v>0</v>
      </c>
      <c r="BJ2648" s="141"/>
      <c r="BK2648" s="201"/>
    </row>
    <row r="2649" spans="1:63" ht="18" customHeight="1">
      <c r="A2649" s="114">
        <v>16</v>
      </c>
      <c r="B2649" s="24" t="s">
        <v>678</v>
      </c>
      <c r="C2649" s="25" t="s">
        <v>1156</v>
      </c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229">
        <f t="shared" si="1083"/>
        <v>0</v>
      </c>
      <c r="AC2649" s="228">
        <f t="shared" si="1084"/>
        <v>0</v>
      </c>
      <c r="AD2649" s="19">
        <v>0</v>
      </c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29">
        <f t="shared" si="1085"/>
        <v>0</v>
      </c>
      <c r="BD2649" s="48">
        <f t="shared" si="1086"/>
        <v>0</v>
      </c>
      <c r="BE2649" s="19">
        <v>141</v>
      </c>
      <c r="BF2649" s="229">
        <f t="shared" si="1087"/>
        <v>0</v>
      </c>
      <c r="BG2649" s="210">
        <f t="shared" si="1088"/>
        <v>0</v>
      </c>
      <c r="BH2649" s="210">
        <f t="shared" si="1089"/>
        <v>141</v>
      </c>
      <c r="BI2649" s="213">
        <f t="shared" si="1090"/>
        <v>0</v>
      </c>
      <c r="BJ2649" s="141"/>
      <c r="BK2649" s="201"/>
    </row>
    <row r="2650" spans="1:63" ht="18" customHeight="1">
      <c r="A2650" s="114">
        <v>17</v>
      </c>
      <c r="B2650" s="24" t="s">
        <v>569</v>
      </c>
      <c r="C2650" s="25" t="s">
        <v>680</v>
      </c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229">
        <f t="shared" si="1083"/>
        <v>0</v>
      </c>
      <c r="AC2650" s="228">
        <f t="shared" si="1084"/>
        <v>0</v>
      </c>
      <c r="AD2650" s="19">
        <v>0</v>
      </c>
      <c r="AE2650" s="28"/>
      <c r="AF2650" s="28"/>
      <c r="AG2650" s="28"/>
      <c r="AH2650" s="28"/>
      <c r="AI2650" s="28"/>
      <c r="AJ2650" s="28">
        <v>4</v>
      </c>
      <c r="AK2650" s="28"/>
      <c r="AL2650" s="28"/>
      <c r="AM2650" s="28"/>
      <c r="AN2650" s="28"/>
      <c r="AO2650" s="28"/>
      <c r="AP2650" s="28">
        <v>2</v>
      </c>
      <c r="AQ2650" s="28"/>
      <c r="AR2650" s="28"/>
      <c r="AS2650" s="28"/>
      <c r="AT2650" s="28"/>
      <c r="AU2650" s="28"/>
      <c r="AV2650" s="28">
        <v>2</v>
      </c>
      <c r="AW2650" s="28"/>
      <c r="AX2650" s="28"/>
      <c r="AY2650" s="28"/>
      <c r="AZ2650" s="28"/>
      <c r="BA2650" s="28"/>
      <c r="BB2650" s="28">
        <v>5</v>
      </c>
      <c r="BC2650" s="229">
        <f t="shared" si="1085"/>
        <v>0</v>
      </c>
      <c r="BD2650" s="48">
        <f t="shared" si="1086"/>
        <v>13</v>
      </c>
      <c r="BE2650" s="19">
        <v>1</v>
      </c>
      <c r="BF2650" s="229">
        <f t="shared" si="1087"/>
        <v>0</v>
      </c>
      <c r="BG2650" s="210">
        <f t="shared" si="1088"/>
        <v>13</v>
      </c>
      <c r="BH2650" s="210">
        <f t="shared" si="1089"/>
        <v>1</v>
      </c>
      <c r="BI2650" s="213">
        <f t="shared" si="1090"/>
        <v>1300</v>
      </c>
      <c r="BJ2650" s="141"/>
      <c r="BK2650" s="201"/>
    </row>
    <row r="2651" spans="1:63" ht="18" customHeight="1">
      <c r="A2651" s="114">
        <v>18</v>
      </c>
      <c r="B2651" s="24" t="s">
        <v>571</v>
      </c>
      <c r="C2651" s="25" t="s">
        <v>572</v>
      </c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229">
        <f t="shared" si="1083"/>
        <v>0</v>
      </c>
      <c r="AC2651" s="228">
        <f t="shared" si="1084"/>
        <v>0</v>
      </c>
      <c r="AD2651" s="19">
        <v>0</v>
      </c>
      <c r="AE2651" s="28"/>
      <c r="AF2651" s="28"/>
      <c r="AG2651" s="28"/>
      <c r="AH2651" s="28"/>
      <c r="AI2651" s="28"/>
      <c r="AJ2651" s="28">
        <f>738+62+145</f>
        <v>945</v>
      </c>
      <c r="AK2651" s="28"/>
      <c r="AL2651" s="28"/>
      <c r="AM2651" s="28"/>
      <c r="AN2651" s="28"/>
      <c r="AO2651" s="28"/>
      <c r="AP2651" s="28">
        <f>941+60+20</f>
        <v>1021</v>
      </c>
      <c r="AQ2651" s="28"/>
      <c r="AR2651" s="28"/>
      <c r="AS2651" s="28"/>
      <c r="AT2651" s="28"/>
      <c r="AU2651" s="28"/>
      <c r="AV2651" s="28">
        <f>680+4</f>
        <v>684</v>
      </c>
      <c r="AW2651" s="28"/>
      <c r="AX2651" s="28"/>
      <c r="AY2651" s="28"/>
      <c r="AZ2651" s="28"/>
      <c r="BA2651" s="28"/>
      <c r="BB2651" s="28">
        <f>974+56</f>
        <v>1030</v>
      </c>
      <c r="BC2651" s="229">
        <f t="shared" si="1085"/>
        <v>0</v>
      </c>
      <c r="BD2651" s="48">
        <f t="shared" si="1086"/>
        <v>3680</v>
      </c>
      <c r="BE2651" s="19">
        <v>5698</v>
      </c>
      <c r="BF2651" s="229">
        <f t="shared" si="1087"/>
        <v>0</v>
      </c>
      <c r="BG2651" s="210">
        <f t="shared" si="1088"/>
        <v>3680</v>
      </c>
      <c r="BH2651" s="210">
        <f t="shared" si="1089"/>
        <v>5698</v>
      </c>
      <c r="BI2651" s="213">
        <f t="shared" si="1090"/>
        <v>64.584064584064578</v>
      </c>
      <c r="BJ2651" s="141"/>
      <c r="BK2651" s="201"/>
    </row>
    <row r="2652" spans="1:63" ht="18" customHeight="1">
      <c r="A2652" s="114">
        <v>19</v>
      </c>
      <c r="B2652" s="24" t="s">
        <v>573</v>
      </c>
      <c r="C2652" s="25" t="s">
        <v>574</v>
      </c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229">
        <f t="shared" si="1083"/>
        <v>0</v>
      </c>
      <c r="AC2652" s="228">
        <f t="shared" si="1084"/>
        <v>0</v>
      </c>
      <c r="AD2652" s="19">
        <v>0</v>
      </c>
      <c r="AE2652" s="28"/>
      <c r="AF2652" s="28"/>
      <c r="AG2652" s="28"/>
      <c r="AH2652" s="28"/>
      <c r="AI2652" s="28"/>
      <c r="AJ2652" s="28">
        <v>16</v>
      </c>
      <c r="AK2652" s="28"/>
      <c r="AL2652" s="28"/>
      <c r="AM2652" s="28"/>
      <c r="AN2652" s="28"/>
      <c r="AO2652" s="28"/>
      <c r="AP2652" s="28">
        <v>11</v>
      </c>
      <c r="AQ2652" s="28"/>
      <c r="AR2652" s="28"/>
      <c r="AS2652" s="28"/>
      <c r="AT2652" s="28"/>
      <c r="AU2652" s="28"/>
      <c r="AV2652" s="28">
        <v>1</v>
      </c>
      <c r="AW2652" s="28"/>
      <c r="AX2652" s="28"/>
      <c r="AY2652" s="28"/>
      <c r="AZ2652" s="28"/>
      <c r="BA2652" s="28"/>
      <c r="BB2652" s="28">
        <v>3</v>
      </c>
      <c r="BC2652" s="229">
        <f t="shared" si="1085"/>
        <v>0</v>
      </c>
      <c r="BD2652" s="48">
        <f t="shared" si="1086"/>
        <v>31</v>
      </c>
      <c r="BE2652" s="19">
        <v>1</v>
      </c>
      <c r="BF2652" s="229">
        <f t="shared" si="1087"/>
        <v>0</v>
      </c>
      <c r="BG2652" s="210">
        <f t="shared" si="1088"/>
        <v>31</v>
      </c>
      <c r="BH2652" s="210">
        <f t="shared" si="1089"/>
        <v>1</v>
      </c>
      <c r="BI2652" s="213">
        <f t="shared" si="1090"/>
        <v>3100</v>
      </c>
      <c r="BJ2652" s="141"/>
      <c r="BK2652" s="201"/>
    </row>
    <row r="2653" spans="1:63" ht="18" customHeight="1">
      <c r="A2653" s="114">
        <v>20</v>
      </c>
      <c r="B2653" s="24" t="s">
        <v>575</v>
      </c>
      <c r="C2653" s="25" t="s">
        <v>711</v>
      </c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229">
        <f t="shared" si="1083"/>
        <v>0</v>
      </c>
      <c r="AC2653" s="228">
        <f t="shared" si="1084"/>
        <v>0</v>
      </c>
      <c r="AD2653" s="19">
        <v>0</v>
      </c>
      <c r="AE2653" s="28"/>
      <c r="AF2653" s="28"/>
      <c r="AG2653" s="28"/>
      <c r="AH2653" s="28"/>
      <c r="AI2653" s="28"/>
      <c r="AJ2653" s="28">
        <v>4</v>
      </c>
      <c r="AK2653" s="28"/>
      <c r="AL2653" s="28"/>
      <c r="AM2653" s="28"/>
      <c r="AN2653" s="28"/>
      <c r="AO2653" s="28"/>
      <c r="AP2653" s="28">
        <v>3</v>
      </c>
      <c r="AQ2653" s="28"/>
      <c r="AR2653" s="28"/>
      <c r="AS2653" s="28"/>
      <c r="AT2653" s="28"/>
      <c r="AU2653" s="28"/>
      <c r="AV2653" s="28">
        <v>1</v>
      </c>
      <c r="AW2653" s="28"/>
      <c r="AX2653" s="28"/>
      <c r="AY2653" s="28"/>
      <c r="AZ2653" s="28"/>
      <c r="BA2653" s="28"/>
      <c r="BB2653" s="28">
        <v>2</v>
      </c>
      <c r="BC2653" s="229">
        <f t="shared" si="1085"/>
        <v>0</v>
      </c>
      <c r="BD2653" s="48">
        <f t="shared" si="1086"/>
        <v>10</v>
      </c>
      <c r="BE2653" s="19">
        <v>1</v>
      </c>
      <c r="BF2653" s="229">
        <f t="shared" si="1087"/>
        <v>0</v>
      </c>
      <c r="BG2653" s="210">
        <f t="shared" si="1088"/>
        <v>10</v>
      </c>
      <c r="BH2653" s="210">
        <f t="shared" si="1089"/>
        <v>1</v>
      </c>
      <c r="BI2653" s="213">
        <f t="shared" si="1090"/>
        <v>1000</v>
      </c>
      <c r="BJ2653" s="141"/>
      <c r="BK2653" s="201"/>
    </row>
    <row r="2654" spans="1:63" ht="18" customHeight="1">
      <c r="A2654" s="114">
        <v>21</v>
      </c>
      <c r="B2654" s="24" t="s">
        <v>578</v>
      </c>
      <c r="C2654" s="25" t="s">
        <v>1587</v>
      </c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229">
        <f t="shared" si="1083"/>
        <v>0</v>
      </c>
      <c r="AC2654" s="228">
        <f t="shared" si="1084"/>
        <v>0</v>
      </c>
      <c r="AD2654" s="19">
        <v>0</v>
      </c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  <c r="AZ2654" s="28"/>
      <c r="BA2654" s="28"/>
      <c r="BB2654" s="28"/>
      <c r="BC2654" s="229">
        <f t="shared" si="1085"/>
        <v>0</v>
      </c>
      <c r="BD2654" s="48">
        <f t="shared" si="1086"/>
        <v>0</v>
      </c>
      <c r="BE2654" s="19">
        <v>1</v>
      </c>
      <c r="BF2654" s="229">
        <f t="shared" si="1087"/>
        <v>0</v>
      </c>
      <c r="BG2654" s="210">
        <f t="shared" si="1088"/>
        <v>0</v>
      </c>
      <c r="BH2654" s="210">
        <f t="shared" si="1089"/>
        <v>1</v>
      </c>
      <c r="BI2654" s="213">
        <f t="shared" si="1090"/>
        <v>0</v>
      </c>
      <c r="BJ2654" s="141"/>
      <c r="BK2654" s="201"/>
    </row>
    <row r="2655" spans="1:63" ht="18" customHeight="1">
      <c r="A2655" s="114">
        <v>22</v>
      </c>
      <c r="B2655" s="24" t="s">
        <v>579</v>
      </c>
      <c r="C2655" s="25" t="s">
        <v>580</v>
      </c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229">
        <f t="shared" si="1083"/>
        <v>0</v>
      </c>
      <c r="AC2655" s="228">
        <f t="shared" si="1084"/>
        <v>0</v>
      </c>
      <c r="AD2655" s="19">
        <v>0</v>
      </c>
      <c r="AE2655" s="28"/>
      <c r="AF2655" s="28"/>
      <c r="AG2655" s="28"/>
      <c r="AH2655" s="28"/>
      <c r="AI2655" s="28"/>
      <c r="AJ2655" s="28">
        <v>25</v>
      </c>
      <c r="AK2655" s="28"/>
      <c r="AL2655" s="28"/>
      <c r="AM2655" s="28"/>
      <c r="AN2655" s="28"/>
      <c r="AO2655" s="28"/>
      <c r="AP2655" s="28">
        <v>11</v>
      </c>
      <c r="AQ2655" s="28"/>
      <c r="AR2655" s="28"/>
      <c r="AS2655" s="28"/>
      <c r="AT2655" s="28"/>
      <c r="AU2655" s="28"/>
      <c r="AV2655" s="28"/>
      <c r="AW2655" s="28"/>
      <c r="AX2655" s="28"/>
      <c r="AY2655" s="28"/>
      <c r="AZ2655" s="28"/>
      <c r="BA2655" s="28"/>
      <c r="BB2655" s="28">
        <v>4</v>
      </c>
      <c r="BC2655" s="229">
        <f t="shared" si="1085"/>
        <v>0</v>
      </c>
      <c r="BD2655" s="48">
        <f t="shared" si="1086"/>
        <v>40</v>
      </c>
      <c r="BE2655" s="19">
        <v>1</v>
      </c>
      <c r="BF2655" s="229">
        <f t="shared" si="1087"/>
        <v>0</v>
      </c>
      <c r="BG2655" s="210">
        <f t="shared" si="1088"/>
        <v>40</v>
      </c>
      <c r="BH2655" s="210">
        <f t="shared" si="1089"/>
        <v>1</v>
      </c>
      <c r="BI2655" s="213">
        <f t="shared" si="1090"/>
        <v>4000</v>
      </c>
      <c r="BJ2655" s="141"/>
      <c r="BK2655" s="201"/>
    </row>
    <row r="2656" spans="1:63" ht="18" customHeight="1">
      <c r="A2656" s="114">
        <v>23</v>
      </c>
      <c r="B2656" s="24" t="s">
        <v>1002</v>
      </c>
      <c r="C2656" s="25" t="s">
        <v>1003</v>
      </c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229">
        <f t="shared" si="1083"/>
        <v>0</v>
      </c>
      <c r="AC2656" s="228">
        <f t="shared" si="1084"/>
        <v>0</v>
      </c>
      <c r="AD2656" s="19">
        <v>0</v>
      </c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>
        <v>2</v>
      </c>
      <c r="AQ2656" s="28"/>
      <c r="AR2656" s="28"/>
      <c r="AS2656" s="28"/>
      <c r="AT2656" s="28"/>
      <c r="AU2656" s="28"/>
      <c r="AV2656" s="28"/>
      <c r="AW2656" s="28"/>
      <c r="AX2656" s="28"/>
      <c r="AY2656" s="28"/>
      <c r="AZ2656" s="28"/>
      <c r="BA2656" s="28"/>
      <c r="BB2656" s="28"/>
      <c r="BC2656" s="229">
        <f t="shared" si="1085"/>
        <v>0</v>
      </c>
      <c r="BD2656" s="48">
        <f t="shared" si="1086"/>
        <v>2</v>
      </c>
      <c r="BE2656" s="19">
        <v>1</v>
      </c>
      <c r="BF2656" s="229">
        <f t="shared" si="1087"/>
        <v>0</v>
      </c>
      <c r="BG2656" s="210">
        <f t="shared" si="1088"/>
        <v>2</v>
      </c>
      <c r="BH2656" s="210">
        <f t="shared" si="1089"/>
        <v>1</v>
      </c>
      <c r="BI2656" s="213">
        <f t="shared" si="1090"/>
        <v>200</v>
      </c>
      <c r="BJ2656" s="141"/>
      <c r="BK2656" s="201"/>
    </row>
    <row r="2657" spans="1:63" ht="18" customHeight="1">
      <c r="A2657" s="114">
        <v>24</v>
      </c>
      <c r="B2657" s="24" t="s">
        <v>582</v>
      </c>
      <c r="C2657" s="25" t="s">
        <v>583</v>
      </c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229">
        <f t="shared" si="1083"/>
        <v>0</v>
      </c>
      <c r="AC2657" s="228">
        <f t="shared" si="1084"/>
        <v>0</v>
      </c>
      <c r="AD2657" s="19">
        <v>0</v>
      </c>
      <c r="AE2657" s="28"/>
      <c r="AF2657" s="28"/>
      <c r="AG2657" s="28"/>
      <c r="AH2657" s="28"/>
      <c r="AI2657" s="28"/>
      <c r="AJ2657" s="28">
        <v>2</v>
      </c>
      <c r="AK2657" s="28"/>
      <c r="AL2657" s="28"/>
      <c r="AM2657" s="28"/>
      <c r="AN2657" s="28"/>
      <c r="AO2657" s="28"/>
      <c r="AP2657" s="28">
        <v>1</v>
      </c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>
        <v>1</v>
      </c>
      <c r="BC2657" s="229">
        <f t="shared" si="1085"/>
        <v>0</v>
      </c>
      <c r="BD2657" s="48">
        <f t="shared" si="1086"/>
        <v>4</v>
      </c>
      <c r="BE2657" s="19">
        <v>1</v>
      </c>
      <c r="BF2657" s="229">
        <f t="shared" si="1087"/>
        <v>0</v>
      </c>
      <c r="BG2657" s="210">
        <f t="shared" si="1088"/>
        <v>4</v>
      </c>
      <c r="BH2657" s="210">
        <f t="shared" si="1089"/>
        <v>1</v>
      </c>
      <c r="BI2657" s="213">
        <f t="shared" si="1090"/>
        <v>400</v>
      </c>
      <c r="BJ2657" s="141"/>
      <c r="BK2657" s="201"/>
    </row>
    <row r="2658" spans="1:63" ht="18" customHeight="1">
      <c r="A2658" s="114">
        <v>25</v>
      </c>
      <c r="B2658" s="24" t="s">
        <v>584</v>
      </c>
      <c r="C2658" s="25" t="s">
        <v>2603</v>
      </c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229">
        <f t="shared" si="1083"/>
        <v>0</v>
      </c>
      <c r="AC2658" s="228">
        <f t="shared" si="1084"/>
        <v>0</v>
      </c>
      <c r="AD2658" s="19">
        <v>0</v>
      </c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  <c r="AZ2658" s="28"/>
      <c r="BA2658" s="28"/>
      <c r="BB2658" s="28"/>
      <c r="BC2658" s="229">
        <f t="shared" si="1085"/>
        <v>0</v>
      </c>
      <c r="BD2658" s="48">
        <f t="shared" si="1086"/>
        <v>0</v>
      </c>
      <c r="BE2658" s="19">
        <v>1</v>
      </c>
      <c r="BF2658" s="229">
        <f t="shared" si="1087"/>
        <v>0</v>
      </c>
      <c r="BG2658" s="210">
        <f t="shared" si="1088"/>
        <v>0</v>
      </c>
      <c r="BH2658" s="210">
        <f t="shared" si="1089"/>
        <v>1</v>
      </c>
      <c r="BI2658" s="213">
        <f t="shared" si="1090"/>
        <v>0</v>
      </c>
      <c r="BJ2658" s="141"/>
      <c r="BK2658" s="201"/>
    </row>
    <row r="2659" spans="1:63" ht="18" customHeight="1">
      <c r="A2659" s="114">
        <v>26</v>
      </c>
      <c r="B2659" s="9" t="s">
        <v>109</v>
      </c>
      <c r="C2659" s="11" t="s">
        <v>3036</v>
      </c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229"/>
      <c r="AC2659" s="228">
        <f t="shared" ref="AC2659:AC2693" si="1094">E2659+G2659+I2659+K2659+M2659+O2659+Q2659+S2659+U2659+W2659+Y2659+AA2659</f>
        <v>0</v>
      </c>
      <c r="AD2659" s="19">
        <v>0</v>
      </c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>
        <v>117</v>
      </c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29"/>
      <c r="BD2659" s="48">
        <f t="shared" ref="BD2659:BD2693" si="1095">AF2659+AH2659+AJ2659+AL2659+AN2659+AP2659+AR2659+AT2659+AV2659+AX2659+AZ2659+BB2659</f>
        <v>117</v>
      </c>
      <c r="BE2659" s="19">
        <v>0</v>
      </c>
      <c r="BF2659" s="229"/>
      <c r="BG2659" s="210">
        <f t="shared" ref="BG2659:BG2693" si="1096">AC2659+BD2659</f>
        <v>117</v>
      </c>
      <c r="BH2659" s="210">
        <f t="shared" ref="BH2659:BH2693" si="1097">AD2659+BE2659</f>
        <v>0</v>
      </c>
      <c r="BI2659" s="213" t="e">
        <f t="shared" si="1090"/>
        <v>#DIV/0!</v>
      </c>
      <c r="BJ2659" s="141"/>
      <c r="BK2659" s="201"/>
    </row>
    <row r="2660" spans="1:63" ht="18" customHeight="1">
      <c r="A2660" s="114">
        <v>27</v>
      </c>
      <c r="B2660" s="24" t="s">
        <v>585</v>
      </c>
      <c r="C2660" s="25" t="s">
        <v>586</v>
      </c>
      <c r="D2660" s="121"/>
      <c r="E2660" s="121"/>
      <c r="F2660" s="121"/>
      <c r="G2660" s="121"/>
      <c r="H2660" s="121"/>
      <c r="I2660" s="121">
        <v>156</v>
      </c>
      <c r="J2660" s="121"/>
      <c r="K2660" s="121"/>
      <c r="L2660" s="121"/>
      <c r="M2660" s="121"/>
      <c r="N2660" s="121"/>
      <c r="O2660" s="121">
        <v>253</v>
      </c>
      <c r="P2660" s="121"/>
      <c r="Q2660" s="121"/>
      <c r="R2660" s="121"/>
      <c r="S2660" s="121"/>
      <c r="T2660" s="121"/>
      <c r="U2660" s="121">
        <v>319</v>
      </c>
      <c r="V2660" s="121"/>
      <c r="W2660" s="121"/>
      <c r="X2660" s="121"/>
      <c r="Y2660" s="121"/>
      <c r="Z2660" s="121"/>
      <c r="AA2660" s="121">
        <v>169</v>
      </c>
      <c r="AB2660" s="229">
        <f>D2660+F2660+H2660+J2660+L2660+N2660+P2660+R2660+T2660+V2660+X2660+Z2660</f>
        <v>0</v>
      </c>
      <c r="AC2660" s="228">
        <f t="shared" si="1094"/>
        <v>897</v>
      </c>
      <c r="AD2660" s="19">
        <v>1710</v>
      </c>
      <c r="AE2660" s="28"/>
      <c r="AF2660" s="28"/>
      <c r="AG2660" s="28"/>
      <c r="AH2660" s="28"/>
      <c r="AI2660" s="28"/>
      <c r="AJ2660" s="28">
        <f>249+39+3</f>
        <v>291</v>
      </c>
      <c r="AK2660" s="28"/>
      <c r="AL2660" s="28"/>
      <c r="AM2660" s="28"/>
      <c r="AN2660" s="28"/>
      <c r="AO2660" s="28"/>
      <c r="AP2660" s="28">
        <f>321+73+21</f>
        <v>415</v>
      </c>
      <c r="AQ2660" s="28"/>
      <c r="AR2660" s="28"/>
      <c r="AS2660" s="28"/>
      <c r="AT2660" s="28"/>
      <c r="AU2660" s="28"/>
      <c r="AV2660" s="28">
        <f>172+5</f>
        <v>177</v>
      </c>
      <c r="AW2660" s="28"/>
      <c r="AX2660" s="28"/>
      <c r="AY2660" s="28"/>
      <c r="AZ2660" s="28"/>
      <c r="BA2660" s="28"/>
      <c r="BB2660" s="28">
        <f>265+44</f>
        <v>309</v>
      </c>
      <c r="BC2660" s="229">
        <f>AE2660+AG2660+AI2660+AK2660+AM2660+AO2660+AQ2660+AS2660+AU2660+AW2660+AY2660+BA2660</f>
        <v>0</v>
      </c>
      <c r="BD2660" s="48">
        <f t="shared" si="1095"/>
        <v>1192</v>
      </c>
      <c r="BE2660" s="19">
        <v>712</v>
      </c>
      <c r="BF2660" s="229">
        <f>AB2660+BC2660</f>
        <v>0</v>
      </c>
      <c r="BG2660" s="210">
        <f t="shared" si="1096"/>
        <v>2089</v>
      </c>
      <c r="BH2660" s="210">
        <f t="shared" si="1097"/>
        <v>2422</v>
      </c>
      <c r="BI2660" s="213">
        <f t="shared" si="1090"/>
        <v>86.251032204789439</v>
      </c>
      <c r="BJ2660" s="141"/>
      <c r="BK2660" s="201"/>
    </row>
    <row r="2661" spans="1:63" ht="18" customHeight="1">
      <c r="A2661" s="114">
        <v>28</v>
      </c>
      <c r="B2661" s="9" t="s">
        <v>952</v>
      </c>
      <c r="C2661" s="11" t="s">
        <v>953</v>
      </c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229"/>
      <c r="AC2661" s="228">
        <f t="shared" si="1094"/>
        <v>0</v>
      </c>
      <c r="AD2661" s="19">
        <v>0</v>
      </c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>
        <v>10</v>
      </c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29"/>
      <c r="BD2661" s="48">
        <f t="shared" si="1095"/>
        <v>10</v>
      </c>
      <c r="BE2661" s="19">
        <v>0</v>
      </c>
      <c r="BF2661" s="229"/>
      <c r="BG2661" s="210">
        <f t="shared" si="1096"/>
        <v>10</v>
      </c>
      <c r="BH2661" s="210">
        <f t="shared" si="1097"/>
        <v>0</v>
      </c>
      <c r="BI2661" s="213" t="e">
        <f t="shared" si="1090"/>
        <v>#DIV/0!</v>
      </c>
      <c r="BJ2661" s="141"/>
      <c r="BK2661" s="201"/>
    </row>
    <row r="2662" spans="1:63" ht="18" customHeight="1">
      <c r="A2662" s="114">
        <v>29</v>
      </c>
      <c r="B2662" s="9" t="s">
        <v>351</v>
      </c>
      <c r="C2662" s="11" t="s">
        <v>3167</v>
      </c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229"/>
      <c r="AC2662" s="228">
        <f t="shared" si="1094"/>
        <v>0</v>
      </c>
      <c r="AD2662" s="19">
        <v>0</v>
      </c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>
        <v>11</v>
      </c>
      <c r="AQ2662" s="28"/>
      <c r="AR2662" s="28"/>
      <c r="AS2662" s="28"/>
      <c r="AT2662" s="28"/>
      <c r="AU2662" s="28"/>
      <c r="AV2662" s="28"/>
      <c r="AW2662" s="28"/>
      <c r="AX2662" s="28"/>
      <c r="AY2662" s="28"/>
      <c r="AZ2662" s="28"/>
      <c r="BA2662" s="28"/>
      <c r="BB2662" s="28"/>
      <c r="BC2662" s="229"/>
      <c r="BD2662" s="48">
        <f t="shared" si="1095"/>
        <v>11</v>
      </c>
      <c r="BE2662" s="19">
        <v>0</v>
      </c>
      <c r="BF2662" s="229"/>
      <c r="BG2662" s="210">
        <f t="shared" si="1096"/>
        <v>11</v>
      </c>
      <c r="BH2662" s="210">
        <f t="shared" si="1097"/>
        <v>0</v>
      </c>
      <c r="BI2662" s="213" t="e">
        <f t="shared" si="1090"/>
        <v>#DIV/0!</v>
      </c>
      <c r="BJ2662" s="141"/>
      <c r="BK2662" s="201"/>
    </row>
    <row r="2663" spans="1:63" ht="18" customHeight="1">
      <c r="A2663" s="114">
        <v>30</v>
      </c>
      <c r="B2663" s="24" t="s">
        <v>3056</v>
      </c>
      <c r="C2663" s="25" t="s">
        <v>3057</v>
      </c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229"/>
      <c r="AC2663" s="228">
        <f t="shared" si="1094"/>
        <v>0</v>
      </c>
      <c r="AD2663" s="19">
        <v>0</v>
      </c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>
        <v>1</v>
      </c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29"/>
      <c r="BD2663" s="48">
        <f t="shared" si="1095"/>
        <v>1</v>
      </c>
      <c r="BE2663" s="19">
        <v>0</v>
      </c>
      <c r="BF2663" s="229"/>
      <c r="BG2663" s="210">
        <f t="shared" si="1096"/>
        <v>1</v>
      </c>
      <c r="BH2663" s="210">
        <f t="shared" si="1097"/>
        <v>0</v>
      </c>
      <c r="BI2663" s="213" t="e">
        <f t="shared" si="1090"/>
        <v>#DIV/0!</v>
      </c>
      <c r="BJ2663" s="141"/>
      <c r="BK2663" s="201"/>
    </row>
    <row r="2664" spans="1:63" ht="18" customHeight="1">
      <c r="A2664" s="114">
        <v>31</v>
      </c>
      <c r="B2664" s="24" t="s">
        <v>593</v>
      </c>
      <c r="C2664" s="25" t="s">
        <v>755</v>
      </c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229">
        <f t="shared" ref="AB2664:AB2672" si="1098">D2664+F2664+H2664+J2664+L2664+N2664+P2664+R2664+T2664+V2664+X2664+Z2664</f>
        <v>0</v>
      </c>
      <c r="AC2664" s="228">
        <f t="shared" si="1094"/>
        <v>0</v>
      </c>
      <c r="AD2664" s="19">
        <v>1</v>
      </c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  <c r="AZ2664" s="28"/>
      <c r="BA2664" s="28"/>
      <c r="BB2664" s="28"/>
      <c r="BC2664" s="229">
        <f t="shared" ref="BC2664:BC2672" si="1099">AE2664+AG2664+AI2664+AK2664+AM2664+AO2664+AQ2664+AS2664+AU2664+AW2664+AY2664+BA2664</f>
        <v>0</v>
      </c>
      <c r="BD2664" s="48">
        <f t="shared" si="1095"/>
        <v>0</v>
      </c>
      <c r="BE2664" s="19">
        <v>0</v>
      </c>
      <c r="BF2664" s="229">
        <f t="shared" ref="BF2664:BF2672" si="1100">AB2664+BC2664</f>
        <v>0</v>
      </c>
      <c r="BG2664" s="210">
        <f t="shared" si="1096"/>
        <v>0</v>
      </c>
      <c r="BH2664" s="210">
        <f t="shared" si="1097"/>
        <v>1</v>
      </c>
      <c r="BI2664" s="213">
        <f t="shared" si="1090"/>
        <v>0</v>
      </c>
      <c r="BJ2664" s="141"/>
      <c r="BK2664" s="201"/>
    </row>
    <row r="2665" spans="1:63" ht="18" customHeight="1">
      <c r="A2665" s="114">
        <v>32</v>
      </c>
      <c r="B2665" s="24" t="s">
        <v>826</v>
      </c>
      <c r="C2665" s="25" t="s">
        <v>827</v>
      </c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229">
        <f t="shared" si="1098"/>
        <v>0</v>
      </c>
      <c r="AC2665" s="228">
        <f t="shared" si="1094"/>
        <v>0</v>
      </c>
      <c r="AD2665" s="19">
        <v>0</v>
      </c>
      <c r="AE2665" s="28"/>
      <c r="AF2665" s="28"/>
      <c r="AG2665" s="28"/>
      <c r="AH2665" s="28"/>
      <c r="AI2665" s="28"/>
      <c r="AJ2665" s="28">
        <v>1</v>
      </c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>
        <v>1</v>
      </c>
      <c r="BC2665" s="229">
        <f t="shared" si="1099"/>
        <v>0</v>
      </c>
      <c r="BD2665" s="48">
        <f t="shared" si="1095"/>
        <v>2</v>
      </c>
      <c r="BE2665" s="19">
        <v>1</v>
      </c>
      <c r="BF2665" s="229">
        <f t="shared" si="1100"/>
        <v>0</v>
      </c>
      <c r="BG2665" s="210">
        <f t="shared" si="1096"/>
        <v>2</v>
      </c>
      <c r="BH2665" s="210">
        <f t="shared" si="1097"/>
        <v>1</v>
      </c>
      <c r="BI2665" s="213">
        <f t="shared" si="1090"/>
        <v>200</v>
      </c>
      <c r="BJ2665" s="141"/>
      <c r="BK2665" s="201"/>
    </row>
    <row r="2666" spans="1:63" ht="18" customHeight="1">
      <c r="A2666" s="114">
        <v>33</v>
      </c>
      <c r="B2666" s="24" t="s">
        <v>596</v>
      </c>
      <c r="C2666" s="25" t="s">
        <v>597</v>
      </c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229">
        <f t="shared" si="1098"/>
        <v>0</v>
      </c>
      <c r="AC2666" s="228">
        <f t="shared" si="1094"/>
        <v>0</v>
      </c>
      <c r="AD2666" s="19">
        <v>6</v>
      </c>
      <c r="AE2666" s="28"/>
      <c r="AF2666" s="28"/>
      <c r="AG2666" s="28"/>
      <c r="AH2666" s="28"/>
      <c r="AI2666" s="28"/>
      <c r="AJ2666" s="28">
        <f>230+1</f>
        <v>231</v>
      </c>
      <c r="AK2666" s="28"/>
      <c r="AL2666" s="28"/>
      <c r="AM2666" s="28"/>
      <c r="AN2666" s="28"/>
      <c r="AO2666" s="28"/>
      <c r="AP2666" s="28">
        <f>295+13</f>
        <v>308</v>
      </c>
      <c r="AQ2666" s="28"/>
      <c r="AR2666" s="28"/>
      <c r="AS2666" s="28"/>
      <c r="AT2666" s="28"/>
      <c r="AU2666" s="28"/>
      <c r="AV2666" s="28">
        <v>135</v>
      </c>
      <c r="AW2666" s="28"/>
      <c r="AX2666" s="28"/>
      <c r="AY2666" s="28"/>
      <c r="AZ2666" s="28"/>
      <c r="BA2666" s="28"/>
      <c r="BB2666" s="28">
        <f>261+1</f>
        <v>262</v>
      </c>
      <c r="BC2666" s="229">
        <f t="shared" si="1099"/>
        <v>0</v>
      </c>
      <c r="BD2666" s="48">
        <f t="shared" si="1095"/>
        <v>936</v>
      </c>
      <c r="BE2666" s="19">
        <v>910</v>
      </c>
      <c r="BF2666" s="229">
        <f t="shared" si="1100"/>
        <v>0</v>
      </c>
      <c r="BG2666" s="210">
        <f t="shared" si="1096"/>
        <v>936</v>
      </c>
      <c r="BH2666" s="210">
        <f t="shared" si="1097"/>
        <v>916</v>
      </c>
      <c r="BI2666" s="213">
        <f t="shared" ref="BI2666:BI2700" si="1101">BG2666/BH2666*100</f>
        <v>102.18340611353712</v>
      </c>
      <c r="BJ2666" s="141"/>
      <c r="BK2666" s="201"/>
    </row>
    <row r="2667" spans="1:63" ht="18" customHeight="1">
      <c r="A2667" s="330"/>
      <c r="B2667" s="331" t="s">
        <v>2145</v>
      </c>
      <c r="C2667" s="332" t="s">
        <v>2146</v>
      </c>
      <c r="D2667" s="333"/>
      <c r="E2667" s="333"/>
      <c r="F2667" s="333"/>
      <c r="G2667" s="333"/>
      <c r="H2667" s="333"/>
      <c r="I2667" s="333"/>
      <c r="J2667" s="333"/>
      <c r="K2667" s="333"/>
      <c r="L2667" s="333"/>
      <c r="M2667" s="333"/>
      <c r="N2667" s="333"/>
      <c r="O2667" s="333"/>
      <c r="P2667" s="333"/>
      <c r="Q2667" s="333"/>
      <c r="R2667" s="333"/>
      <c r="S2667" s="333"/>
      <c r="T2667" s="333"/>
      <c r="U2667" s="333"/>
      <c r="V2667" s="333"/>
      <c r="W2667" s="333"/>
      <c r="X2667" s="333"/>
      <c r="Y2667" s="333"/>
      <c r="Z2667" s="333"/>
      <c r="AA2667" s="333"/>
      <c r="AB2667" s="323"/>
      <c r="AC2667" s="228">
        <f t="shared" si="1094"/>
        <v>0</v>
      </c>
      <c r="AD2667" s="326">
        <v>0</v>
      </c>
      <c r="AE2667" s="334"/>
      <c r="AF2667" s="334"/>
      <c r="AG2667" s="334"/>
      <c r="AH2667" s="334"/>
      <c r="AI2667" s="334"/>
      <c r="AJ2667" s="334"/>
      <c r="AK2667" s="334"/>
      <c r="AL2667" s="334"/>
      <c r="AM2667" s="334"/>
      <c r="AN2667" s="334"/>
      <c r="AO2667" s="334"/>
      <c r="AP2667" s="334"/>
      <c r="AQ2667" s="334"/>
      <c r="AR2667" s="334"/>
      <c r="AS2667" s="334"/>
      <c r="AT2667" s="334"/>
      <c r="AU2667" s="334"/>
      <c r="AV2667" s="334"/>
      <c r="AW2667" s="334"/>
      <c r="AX2667" s="334"/>
      <c r="AY2667" s="334"/>
      <c r="AZ2667" s="334"/>
      <c r="BA2667" s="334"/>
      <c r="BB2667" s="334">
        <v>1</v>
      </c>
      <c r="BC2667" s="323"/>
      <c r="BD2667" s="48">
        <f t="shared" si="1095"/>
        <v>1</v>
      </c>
      <c r="BE2667" s="326">
        <v>0</v>
      </c>
      <c r="BF2667" s="323"/>
      <c r="BG2667" s="210">
        <f t="shared" ref="BG2667" si="1102">AC2667+BD2667</f>
        <v>1</v>
      </c>
      <c r="BH2667" s="210">
        <f t="shared" ref="BH2667" si="1103">AD2667+BE2667</f>
        <v>0</v>
      </c>
      <c r="BI2667" s="213" t="e">
        <f t="shared" ref="BI2667" si="1104">BG2667/BH2667*100</f>
        <v>#DIV/0!</v>
      </c>
      <c r="BJ2667" s="141"/>
      <c r="BK2667" s="201"/>
    </row>
    <row r="2668" spans="1:63" ht="18" customHeight="1">
      <c r="A2668" s="114">
        <v>34</v>
      </c>
      <c r="B2668" s="24" t="s">
        <v>1061</v>
      </c>
      <c r="C2668" s="25" t="s">
        <v>1062</v>
      </c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>
        <v>1</v>
      </c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>
        <v>1</v>
      </c>
      <c r="AB2668" s="229">
        <f t="shared" si="1098"/>
        <v>0</v>
      </c>
      <c r="AC2668" s="228">
        <f t="shared" si="1094"/>
        <v>2</v>
      </c>
      <c r="AD2668" s="19">
        <v>0</v>
      </c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>
        <v>1</v>
      </c>
      <c r="AW2668" s="28"/>
      <c r="AX2668" s="28"/>
      <c r="AY2668" s="28"/>
      <c r="AZ2668" s="28"/>
      <c r="BA2668" s="28"/>
      <c r="BB2668" s="28"/>
      <c r="BC2668" s="229">
        <f t="shared" si="1099"/>
        <v>0</v>
      </c>
      <c r="BD2668" s="48">
        <f t="shared" si="1095"/>
        <v>1</v>
      </c>
      <c r="BE2668" s="19">
        <v>4</v>
      </c>
      <c r="BF2668" s="229">
        <f t="shared" si="1100"/>
        <v>0</v>
      </c>
      <c r="BG2668" s="210">
        <f t="shared" si="1096"/>
        <v>3</v>
      </c>
      <c r="BH2668" s="210">
        <f t="shared" si="1097"/>
        <v>4</v>
      </c>
      <c r="BI2668" s="213">
        <f t="shared" si="1101"/>
        <v>75</v>
      </c>
      <c r="BJ2668" s="141"/>
      <c r="BK2668" s="201"/>
    </row>
    <row r="2669" spans="1:63" ht="18" customHeight="1">
      <c r="A2669" s="114">
        <v>35</v>
      </c>
      <c r="B2669" s="24" t="s">
        <v>2055</v>
      </c>
      <c r="C2669" s="25" t="s">
        <v>2056</v>
      </c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229">
        <f t="shared" si="1098"/>
        <v>0</v>
      </c>
      <c r="AC2669" s="228">
        <f t="shared" si="1094"/>
        <v>0</v>
      </c>
      <c r="AD2669" s="19">
        <v>4</v>
      </c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29">
        <f t="shared" si="1099"/>
        <v>0</v>
      </c>
      <c r="BD2669" s="48">
        <f t="shared" si="1095"/>
        <v>0</v>
      </c>
      <c r="BE2669" s="19">
        <v>0</v>
      </c>
      <c r="BF2669" s="229">
        <f t="shared" si="1100"/>
        <v>0</v>
      </c>
      <c r="BG2669" s="210">
        <f t="shared" si="1096"/>
        <v>0</v>
      </c>
      <c r="BH2669" s="210">
        <f t="shared" si="1097"/>
        <v>4</v>
      </c>
      <c r="BI2669" s="213">
        <f t="shared" si="1101"/>
        <v>0</v>
      </c>
      <c r="BJ2669" s="141"/>
      <c r="BK2669" s="201"/>
    </row>
    <row r="2670" spans="1:63" ht="18" customHeight="1">
      <c r="A2670" s="114">
        <v>36</v>
      </c>
      <c r="B2670" s="24" t="s">
        <v>2057</v>
      </c>
      <c r="C2670" s="25" t="s">
        <v>2058</v>
      </c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>
        <v>1</v>
      </c>
      <c r="V2670" s="121"/>
      <c r="W2670" s="121"/>
      <c r="X2670" s="121"/>
      <c r="Y2670" s="121"/>
      <c r="Z2670" s="121"/>
      <c r="AA2670" s="121"/>
      <c r="AB2670" s="229">
        <f t="shared" si="1098"/>
        <v>0</v>
      </c>
      <c r="AC2670" s="228">
        <f t="shared" si="1094"/>
        <v>1</v>
      </c>
      <c r="AD2670" s="19">
        <v>4</v>
      </c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  <c r="AY2670" s="28"/>
      <c r="AZ2670" s="28"/>
      <c r="BA2670" s="28"/>
      <c r="BB2670" s="28"/>
      <c r="BC2670" s="229">
        <f t="shared" si="1099"/>
        <v>0</v>
      </c>
      <c r="BD2670" s="48">
        <f t="shared" si="1095"/>
        <v>0</v>
      </c>
      <c r="BE2670" s="19">
        <v>0</v>
      </c>
      <c r="BF2670" s="229">
        <f t="shared" si="1100"/>
        <v>0</v>
      </c>
      <c r="BG2670" s="210">
        <f t="shared" si="1096"/>
        <v>1</v>
      </c>
      <c r="BH2670" s="210">
        <f t="shared" si="1097"/>
        <v>4</v>
      </c>
      <c r="BI2670" s="213">
        <f t="shared" si="1101"/>
        <v>25</v>
      </c>
      <c r="BJ2670" s="141"/>
      <c r="BK2670" s="201"/>
    </row>
    <row r="2671" spans="1:63" ht="18" customHeight="1">
      <c r="A2671" s="114">
        <v>37</v>
      </c>
      <c r="B2671" s="24" t="s">
        <v>2059</v>
      </c>
      <c r="C2671" s="25" t="s">
        <v>2060</v>
      </c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>
        <v>5</v>
      </c>
      <c r="V2671" s="121"/>
      <c r="W2671" s="121"/>
      <c r="X2671" s="121"/>
      <c r="Y2671" s="121"/>
      <c r="Z2671" s="121"/>
      <c r="AA2671" s="121">
        <v>2</v>
      </c>
      <c r="AB2671" s="229">
        <f t="shared" si="1098"/>
        <v>0</v>
      </c>
      <c r="AC2671" s="228">
        <f t="shared" si="1094"/>
        <v>7</v>
      </c>
      <c r="AD2671" s="19">
        <v>5</v>
      </c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29">
        <f t="shared" si="1099"/>
        <v>0</v>
      </c>
      <c r="BD2671" s="48">
        <f t="shared" si="1095"/>
        <v>0</v>
      </c>
      <c r="BE2671" s="19">
        <v>0</v>
      </c>
      <c r="BF2671" s="229">
        <f t="shared" si="1100"/>
        <v>0</v>
      </c>
      <c r="BG2671" s="210">
        <f t="shared" si="1096"/>
        <v>7</v>
      </c>
      <c r="BH2671" s="210">
        <f t="shared" si="1097"/>
        <v>5</v>
      </c>
      <c r="BI2671" s="213">
        <f t="shared" si="1101"/>
        <v>140</v>
      </c>
      <c r="BJ2671" s="141"/>
      <c r="BK2671" s="201"/>
    </row>
    <row r="2672" spans="1:63" ht="18" customHeight="1">
      <c r="A2672" s="114">
        <v>38</v>
      </c>
      <c r="B2672" s="24" t="s">
        <v>1006</v>
      </c>
      <c r="C2672" s="25" t="s">
        <v>1063</v>
      </c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>
        <v>1</v>
      </c>
      <c r="P2672" s="121"/>
      <c r="Q2672" s="121"/>
      <c r="R2672" s="121"/>
      <c r="S2672" s="121"/>
      <c r="T2672" s="121"/>
      <c r="U2672" s="121">
        <v>1</v>
      </c>
      <c r="V2672" s="121"/>
      <c r="W2672" s="121"/>
      <c r="X2672" s="121"/>
      <c r="Y2672" s="121"/>
      <c r="Z2672" s="121"/>
      <c r="AA2672" s="121"/>
      <c r="AB2672" s="229">
        <f t="shared" si="1098"/>
        <v>0</v>
      </c>
      <c r="AC2672" s="228">
        <f t="shared" si="1094"/>
        <v>2</v>
      </c>
      <c r="AD2672" s="19">
        <v>0</v>
      </c>
      <c r="AE2672" s="28"/>
      <c r="AF2672" s="28"/>
      <c r="AG2672" s="28"/>
      <c r="AH2672" s="28"/>
      <c r="AI2672" s="28"/>
      <c r="AJ2672" s="28">
        <v>2</v>
      </c>
      <c r="AK2672" s="28"/>
      <c r="AL2672" s="28"/>
      <c r="AM2672" s="28"/>
      <c r="AN2672" s="28"/>
      <c r="AO2672" s="28"/>
      <c r="AP2672" s="28">
        <v>4</v>
      </c>
      <c r="AQ2672" s="28"/>
      <c r="AR2672" s="28"/>
      <c r="AS2672" s="28"/>
      <c r="AT2672" s="28"/>
      <c r="AU2672" s="28"/>
      <c r="AV2672" s="28">
        <f>2+2</f>
        <v>4</v>
      </c>
      <c r="AW2672" s="28"/>
      <c r="AX2672" s="28"/>
      <c r="AY2672" s="28"/>
      <c r="AZ2672" s="28"/>
      <c r="BA2672" s="28"/>
      <c r="BB2672" s="28">
        <v>6</v>
      </c>
      <c r="BC2672" s="229">
        <f t="shared" si="1099"/>
        <v>0</v>
      </c>
      <c r="BD2672" s="48">
        <f t="shared" si="1095"/>
        <v>16</v>
      </c>
      <c r="BE2672" s="19">
        <v>23</v>
      </c>
      <c r="BF2672" s="229">
        <f t="shared" si="1100"/>
        <v>0</v>
      </c>
      <c r="BG2672" s="210">
        <f t="shared" si="1096"/>
        <v>18</v>
      </c>
      <c r="BH2672" s="210">
        <f t="shared" si="1097"/>
        <v>23</v>
      </c>
      <c r="BI2672" s="213">
        <f t="shared" si="1101"/>
        <v>78.260869565217391</v>
      </c>
      <c r="BJ2672" s="141"/>
      <c r="BK2672" s="201"/>
    </row>
    <row r="2673" spans="1:63" ht="18" customHeight="1">
      <c r="A2673" s="114">
        <v>39</v>
      </c>
      <c r="B2673" s="24" t="s">
        <v>1064</v>
      </c>
      <c r="C2673" s="25" t="s">
        <v>3049</v>
      </c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>
        <v>2</v>
      </c>
      <c r="V2673" s="121"/>
      <c r="W2673" s="121"/>
      <c r="X2673" s="121"/>
      <c r="Y2673" s="121"/>
      <c r="Z2673" s="121"/>
      <c r="AA2673" s="121"/>
      <c r="AB2673" s="229"/>
      <c r="AC2673" s="228">
        <f t="shared" si="1094"/>
        <v>2</v>
      </c>
      <c r="AD2673" s="19">
        <v>0</v>
      </c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>
        <v>1</v>
      </c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29"/>
      <c r="BD2673" s="48">
        <f t="shared" si="1095"/>
        <v>1</v>
      </c>
      <c r="BE2673" s="19">
        <v>0</v>
      </c>
      <c r="BF2673" s="229"/>
      <c r="BG2673" s="210">
        <f t="shared" si="1096"/>
        <v>3</v>
      </c>
      <c r="BH2673" s="210">
        <f t="shared" si="1097"/>
        <v>0</v>
      </c>
      <c r="BI2673" s="213" t="e">
        <f t="shared" si="1101"/>
        <v>#DIV/0!</v>
      </c>
      <c r="BJ2673" s="141"/>
      <c r="BK2673" s="201"/>
    </row>
    <row r="2674" spans="1:63" ht="18" customHeight="1">
      <c r="A2674" s="114">
        <v>40</v>
      </c>
      <c r="B2674" s="24" t="s">
        <v>1065</v>
      </c>
      <c r="C2674" s="25" t="s">
        <v>1871</v>
      </c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>
        <v>1</v>
      </c>
      <c r="P2674" s="121"/>
      <c r="Q2674" s="121"/>
      <c r="R2674" s="121"/>
      <c r="S2674" s="121"/>
      <c r="T2674" s="121"/>
      <c r="U2674" s="121">
        <v>1</v>
      </c>
      <c r="V2674" s="121"/>
      <c r="W2674" s="121"/>
      <c r="X2674" s="121"/>
      <c r="Y2674" s="121"/>
      <c r="Z2674" s="121"/>
      <c r="AA2674" s="121"/>
      <c r="AB2674" s="229">
        <f t="shared" ref="AB2674:AB2700" si="1105">D2674+F2674+H2674+J2674+L2674+N2674+P2674+R2674+T2674+V2674+X2674+Z2674</f>
        <v>0</v>
      </c>
      <c r="AC2674" s="228">
        <f t="shared" si="1094"/>
        <v>2</v>
      </c>
      <c r="AD2674" s="19">
        <v>3</v>
      </c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  <c r="AZ2674" s="28"/>
      <c r="BA2674" s="28"/>
      <c r="BB2674" s="28"/>
      <c r="BC2674" s="229">
        <f t="shared" ref="BC2674:BC2700" si="1106">AE2674+AG2674+AI2674+AK2674+AM2674+AO2674+AQ2674+AS2674+AU2674+AW2674+AY2674+BA2674</f>
        <v>0</v>
      </c>
      <c r="BD2674" s="48">
        <f t="shared" si="1095"/>
        <v>0</v>
      </c>
      <c r="BE2674" s="19">
        <v>0</v>
      </c>
      <c r="BF2674" s="229">
        <f t="shared" ref="BF2674:BF2691" si="1107">AB2674+BC2674</f>
        <v>0</v>
      </c>
      <c r="BG2674" s="210">
        <f t="shared" si="1096"/>
        <v>2</v>
      </c>
      <c r="BH2674" s="210">
        <f t="shared" si="1097"/>
        <v>3</v>
      </c>
      <c r="BI2674" s="213">
        <f t="shared" si="1101"/>
        <v>66.666666666666657</v>
      </c>
      <c r="BJ2674" s="141"/>
      <c r="BK2674" s="201"/>
    </row>
    <row r="2675" spans="1:63" ht="18" customHeight="1">
      <c r="A2675" s="114">
        <v>41</v>
      </c>
      <c r="B2675" s="24" t="s">
        <v>1066</v>
      </c>
      <c r="C2675" s="25" t="s">
        <v>2061</v>
      </c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>
        <v>5</v>
      </c>
      <c r="V2675" s="121"/>
      <c r="W2675" s="121"/>
      <c r="X2675" s="121"/>
      <c r="Y2675" s="121"/>
      <c r="Z2675" s="121"/>
      <c r="AA2675" s="121">
        <v>4</v>
      </c>
      <c r="AB2675" s="229">
        <f t="shared" si="1105"/>
        <v>0</v>
      </c>
      <c r="AC2675" s="228">
        <f t="shared" si="1094"/>
        <v>9</v>
      </c>
      <c r="AD2675" s="19">
        <v>15</v>
      </c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29">
        <f t="shared" si="1106"/>
        <v>0</v>
      </c>
      <c r="BD2675" s="48">
        <f t="shared" si="1095"/>
        <v>0</v>
      </c>
      <c r="BE2675" s="19">
        <v>2</v>
      </c>
      <c r="BF2675" s="229">
        <f t="shared" si="1107"/>
        <v>0</v>
      </c>
      <c r="BG2675" s="210">
        <f t="shared" si="1096"/>
        <v>9</v>
      </c>
      <c r="BH2675" s="210">
        <f t="shared" si="1097"/>
        <v>17</v>
      </c>
      <c r="BI2675" s="213">
        <f t="shared" si="1101"/>
        <v>52.941176470588239</v>
      </c>
      <c r="BJ2675" s="141"/>
      <c r="BK2675" s="201"/>
    </row>
    <row r="2676" spans="1:63" ht="18" customHeight="1">
      <c r="A2676" s="114">
        <v>42</v>
      </c>
      <c r="B2676" s="24" t="s">
        <v>1069</v>
      </c>
      <c r="C2676" s="25" t="s">
        <v>2279</v>
      </c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229">
        <f t="shared" si="1105"/>
        <v>0</v>
      </c>
      <c r="AC2676" s="228">
        <f t="shared" si="1094"/>
        <v>0</v>
      </c>
      <c r="AD2676" s="19">
        <v>5</v>
      </c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28"/>
      <c r="BC2676" s="229">
        <f t="shared" si="1106"/>
        <v>0</v>
      </c>
      <c r="BD2676" s="48">
        <f t="shared" si="1095"/>
        <v>0</v>
      </c>
      <c r="BE2676" s="19">
        <v>0</v>
      </c>
      <c r="BF2676" s="229">
        <f t="shared" si="1107"/>
        <v>0</v>
      </c>
      <c r="BG2676" s="210">
        <f t="shared" si="1096"/>
        <v>0</v>
      </c>
      <c r="BH2676" s="210">
        <f t="shared" si="1097"/>
        <v>5</v>
      </c>
      <c r="BI2676" s="213">
        <f t="shared" si="1101"/>
        <v>0</v>
      </c>
      <c r="BJ2676" s="141"/>
      <c r="BK2676" s="201"/>
    </row>
    <row r="2677" spans="1:63" ht="18" customHeight="1">
      <c r="A2677" s="114">
        <v>43</v>
      </c>
      <c r="B2677" s="24" t="s">
        <v>2094</v>
      </c>
      <c r="C2677" s="25" t="s">
        <v>2095</v>
      </c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229">
        <f t="shared" si="1105"/>
        <v>0</v>
      </c>
      <c r="AC2677" s="228">
        <f t="shared" si="1094"/>
        <v>0</v>
      </c>
      <c r="AD2677" s="19">
        <v>0</v>
      </c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29">
        <f t="shared" si="1106"/>
        <v>0</v>
      </c>
      <c r="BD2677" s="48">
        <f t="shared" si="1095"/>
        <v>0</v>
      </c>
      <c r="BE2677" s="19">
        <v>6</v>
      </c>
      <c r="BF2677" s="229">
        <f t="shared" si="1107"/>
        <v>0</v>
      </c>
      <c r="BG2677" s="210">
        <f t="shared" si="1096"/>
        <v>0</v>
      </c>
      <c r="BH2677" s="210">
        <f t="shared" si="1097"/>
        <v>6</v>
      </c>
      <c r="BI2677" s="213">
        <f t="shared" si="1101"/>
        <v>0</v>
      </c>
      <c r="BJ2677" s="141"/>
      <c r="BK2677" s="201"/>
    </row>
    <row r="2678" spans="1:63" ht="18" customHeight="1">
      <c r="A2678" s="114">
        <v>44</v>
      </c>
      <c r="B2678" s="24" t="s">
        <v>1074</v>
      </c>
      <c r="C2678" s="25" t="s">
        <v>1605</v>
      </c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>
        <v>4</v>
      </c>
      <c r="V2678" s="121"/>
      <c r="W2678" s="121"/>
      <c r="X2678" s="121"/>
      <c r="Y2678" s="121"/>
      <c r="Z2678" s="121"/>
      <c r="AA2678" s="121">
        <v>6</v>
      </c>
      <c r="AB2678" s="229">
        <f t="shared" si="1105"/>
        <v>0</v>
      </c>
      <c r="AC2678" s="228">
        <f t="shared" si="1094"/>
        <v>10</v>
      </c>
      <c r="AD2678" s="19">
        <v>9</v>
      </c>
      <c r="AE2678" s="28"/>
      <c r="AF2678" s="28"/>
      <c r="AG2678" s="28"/>
      <c r="AH2678" s="28"/>
      <c r="AI2678" s="28"/>
      <c r="AJ2678" s="28">
        <v>4</v>
      </c>
      <c r="AK2678" s="28"/>
      <c r="AL2678" s="28"/>
      <c r="AM2678" s="28"/>
      <c r="AN2678" s="28"/>
      <c r="AO2678" s="28"/>
      <c r="AP2678" s="28">
        <v>3</v>
      </c>
      <c r="AQ2678" s="28"/>
      <c r="AR2678" s="28"/>
      <c r="AS2678" s="28"/>
      <c r="AT2678" s="28"/>
      <c r="AU2678" s="28"/>
      <c r="AV2678" s="28">
        <v>2</v>
      </c>
      <c r="AW2678" s="28"/>
      <c r="AX2678" s="28"/>
      <c r="AY2678" s="28"/>
      <c r="AZ2678" s="28"/>
      <c r="BA2678" s="28"/>
      <c r="BB2678" s="28"/>
      <c r="BC2678" s="229">
        <f t="shared" si="1106"/>
        <v>0</v>
      </c>
      <c r="BD2678" s="48">
        <f t="shared" si="1095"/>
        <v>9</v>
      </c>
      <c r="BE2678" s="19">
        <v>1</v>
      </c>
      <c r="BF2678" s="229">
        <f t="shared" si="1107"/>
        <v>0</v>
      </c>
      <c r="BG2678" s="210">
        <f t="shared" si="1096"/>
        <v>19</v>
      </c>
      <c r="BH2678" s="210">
        <f t="shared" si="1097"/>
        <v>10</v>
      </c>
      <c r="BI2678" s="213">
        <f t="shared" si="1101"/>
        <v>190</v>
      </c>
      <c r="BJ2678" s="141"/>
      <c r="BK2678" s="201"/>
    </row>
    <row r="2679" spans="1:63" ht="18" customHeight="1">
      <c r="A2679" s="330"/>
      <c r="B2679" s="331" t="s">
        <v>1075</v>
      </c>
      <c r="C2679" s="332" t="s">
        <v>3190</v>
      </c>
      <c r="D2679" s="333"/>
      <c r="E2679" s="333"/>
      <c r="F2679" s="333"/>
      <c r="G2679" s="333"/>
      <c r="H2679" s="333"/>
      <c r="I2679" s="333"/>
      <c r="J2679" s="333"/>
      <c r="K2679" s="333"/>
      <c r="L2679" s="333"/>
      <c r="M2679" s="333"/>
      <c r="N2679" s="333"/>
      <c r="O2679" s="333"/>
      <c r="P2679" s="333"/>
      <c r="Q2679" s="333"/>
      <c r="R2679" s="333"/>
      <c r="S2679" s="333"/>
      <c r="T2679" s="333"/>
      <c r="U2679" s="333"/>
      <c r="V2679" s="333"/>
      <c r="W2679" s="333"/>
      <c r="X2679" s="333"/>
      <c r="Y2679" s="333"/>
      <c r="Z2679" s="333"/>
      <c r="AA2679" s="333">
        <v>1</v>
      </c>
      <c r="AB2679" s="323"/>
      <c r="AC2679" s="228">
        <f t="shared" si="1094"/>
        <v>1</v>
      </c>
      <c r="AD2679" s="326">
        <v>0</v>
      </c>
      <c r="AE2679" s="334"/>
      <c r="AF2679" s="334"/>
      <c r="AG2679" s="334"/>
      <c r="AH2679" s="334"/>
      <c r="AI2679" s="334"/>
      <c r="AJ2679" s="334"/>
      <c r="AK2679" s="334"/>
      <c r="AL2679" s="334"/>
      <c r="AM2679" s="334"/>
      <c r="AN2679" s="334"/>
      <c r="AO2679" s="334"/>
      <c r="AP2679" s="334"/>
      <c r="AQ2679" s="334"/>
      <c r="AR2679" s="334"/>
      <c r="AS2679" s="334"/>
      <c r="AT2679" s="334"/>
      <c r="AU2679" s="334"/>
      <c r="AV2679" s="334"/>
      <c r="AW2679" s="334"/>
      <c r="AX2679" s="334"/>
      <c r="AY2679" s="334"/>
      <c r="AZ2679" s="334"/>
      <c r="BA2679" s="334"/>
      <c r="BB2679" s="334"/>
      <c r="BC2679" s="323"/>
      <c r="BD2679" s="48">
        <f t="shared" si="1095"/>
        <v>0</v>
      </c>
      <c r="BE2679" s="326">
        <v>0</v>
      </c>
      <c r="BF2679" s="323"/>
      <c r="BG2679" s="210">
        <f t="shared" ref="BG2679" si="1108">AC2679+BD2679</f>
        <v>1</v>
      </c>
      <c r="BH2679" s="210">
        <f t="shared" ref="BH2679" si="1109">AD2679+BE2679</f>
        <v>0</v>
      </c>
      <c r="BI2679" s="213" t="e">
        <f t="shared" ref="BI2679" si="1110">BG2679/BH2679*100</f>
        <v>#DIV/0!</v>
      </c>
      <c r="BJ2679" s="141"/>
      <c r="BK2679" s="201"/>
    </row>
    <row r="2680" spans="1:63" ht="18" customHeight="1">
      <c r="A2680" s="114">
        <v>45</v>
      </c>
      <c r="B2680" s="24" t="s">
        <v>2096</v>
      </c>
      <c r="C2680" s="25" t="s">
        <v>2097</v>
      </c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229">
        <f t="shared" si="1105"/>
        <v>0</v>
      </c>
      <c r="AC2680" s="228">
        <f t="shared" si="1094"/>
        <v>0</v>
      </c>
      <c r="AD2680" s="19">
        <v>0</v>
      </c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29">
        <f t="shared" si="1106"/>
        <v>0</v>
      </c>
      <c r="BD2680" s="48">
        <f t="shared" si="1095"/>
        <v>0</v>
      </c>
      <c r="BE2680" s="19">
        <v>4</v>
      </c>
      <c r="BF2680" s="229">
        <f t="shared" si="1107"/>
        <v>0</v>
      </c>
      <c r="BG2680" s="210">
        <f t="shared" si="1096"/>
        <v>0</v>
      </c>
      <c r="BH2680" s="210">
        <f t="shared" si="1097"/>
        <v>4</v>
      </c>
      <c r="BI2680" s="213">
        <f t="shared" si="1101"/>
        <v>0</v>
      </c>
      <c r="BJ2680" s="141"/>
      <c r="BK2680" s="201"/>
    </row>
    <row r="2681" spans="1:63" ht="18" customHeight="1">
      <c r="A2681" s="114">
        <v>46</v>
      </c>
      <c r="B2681" s="24" t="s">
        <v>1077</v>
      </c>
      <c r="C2681" s="25" t="s">
        <v>1078</v>
      </c>
      <c r="D2681" s="121"/>
      <c r="E2681" s="121"/>
      <c r="F2681" s="121"/>
      <c r="G2681" s="121"/>
      <c r="H2681" s="121"/>
      <c r="I2681" s="121">
        <v>2</v>
      </c>
      <c r="J2681" s="121"/>
      <c r="K2681" s="121"/>
      <c r="L2681" s="121"/>
      <c r="M2681" s="121"/>
      <c r="N2681" s="121"/>
      <c r="O2681" s="121">
        <v>1</v>
      </c>
      <c r="P2681" s="121"/>
      <c r="Q2681" s="121"/>
      <c r="R2681" s="121"/>
      <c r="S2681" s="121"/>
      <c r="T2681" s="121"/>
      <c r="U2681" s="121">
        <v>3</v>
      </c>
      <c r="V2681" s="121"/>
      <c r="W2681" s="121"/>
      <c r="X2681" s="121"/>
      <c r="Y2681" s="121"/>
      <c r="Z2681" s="121"/>
      <c r="AA2681" s="121">
        <v>4</v>
      </c>
      <c r="AB2681" s="229">
        <f t="shared" si="1105"/>
        <v>0</v>
      </c>
      <c r="AC2681" s="228">
        <f t="shared" si="1094"/>
        <v>10</v>
      </c>
      <c r="AD2681" s="19">
        <v>5</v>
      </c>
      <c r="AE2681" s="28"/>
      <c r="AF2681" s="28"/>
      <c r="AG2681" s="28"/>
      <c r="AH2681" s="28"/>
      <c r="AI2681" s="28"/>
      <c r="AJ2681" s="28">
        <v>8</v>
      </c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>
        <v>3</v>
      </c>
      <c r="AW2681" s="28"/>
      <c r="AX2681" s="28"/>
      <c r="AY2681" s="28"/>
      <c r="AZ2681" s="28"/>
      <c r="BA2681" s="28"/>
      <c r="BB2681" s="28">
        <v>3</v>
      </c>
      <c r="BC2681" s="229">
        <f t="shared" si="1106"/>
        <v>0</v>
      </c>
      <c r="BD2681" s="48">
        <f t="shared" si="1095"/>
        <v>14</v>
      </c>
      <c r="BE2681" s="19">
        <v>40</v>
      </c>
      <c r="BF2681" s="229">
        <f t="shared" si="1107"/>
        <v>0</v>
      </c>
      <c r="BG2681" s="210">
        <f t="shared" si="1096"/>
        <v>24</v>
      </c>
      <c r="BH2681" s="210">
        <f t="shared" si="1097"/>
        <v>45</v>
      </c>
      <c r="BI2681" s="213">
        <f t="shared" si="1101"/>
        <v>53.333333333333336</v>
      </c>
      <c r="BJ2681" s="141"/>
      <c r="BK2681" s="201"/>
    </row>
    <row r="2682" spans="1:63" ht="18" customHeight="1">
      <c r="A2682" s="114">
        <v>47</v>
      </c>
      <c r="B2682" s="24" t="s">
        <v>2273</v>
      </c>
      <c r="C2682" s="25" t="s">
        <v>2274</v>
      </c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229">
        <f t="shared" si="1105"/>
        <v>0</v>
      </c>
      <c r="AC2682" s="228">
        <f t="shared" si="1094"/>
        <v>0</v>
      </c>
      <c r="AD2682" s="19">
        <v>28</v>
      </c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29">
        <f t="shared" si="1106"/>
        <v>0</v>
      </c>
      <c r="BD2682" s="48">
        <f t="shared" si="1095"/>
        <v>0</v>
      </c>
      <c r="BE2682" s="19">
        <v>0</v>
      </c>
      <c r="BF2682" s="229">
        <f t="shared" si="1107"/>
        <v>0</v>
      </c>
      <c r="BG2682" s="210">
        <f t="shared" si="1096"/>
        <v>0</v>
      </c>
      <c r="BH2682" s="210">
        <f t="shared" si="1097"/>
        <v>28</v>
      </c>
      <c r="BI2682" s="213">
        <f t="shared" si="1101"/>
        <v>0</v>
      </c>
      <c r="BJ2682" s="141"/>
      <c r="BK2682" s="201"/>
    </row>
    <row r="2683" spans="1:63" ht="18" customHeight="1">
      <c r="A2683" s="114">
        <v>48</v>
      </c>
      <c r="B2683" s="24" t="s">
        <v>2293</v>
      </c>
      <c r="C2683" s="25" t="s">
        <v>2294</v>
      </c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229">
        <f t="shared" si="1105"/>
        <v>0</v>
      </c>
      <c r="AC2683" s="228">
        <f t="shared" si="1094"/>
        <v>0</v>
      </c>
      <c r="AD2683" s="19">
        <v>0</v>
      </c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28"/>
      <c r="BC2683" s="229">
        <f t="shared" si="1106"/>
        <v>0</v>
      </c>
      <c r="BD2683" s="48">
        <f t="shared" si="1095"/>
        <v>0</v>
      </c>
      <c r="BE2683" s="19">
        <v>3</v>
      </c>
      <c r="BF2683" s="229">
        <f t="shared" si="1107"/>
        <v>0</v>
      </c>
      <c r="BG2683" s="210">
        <f t="shared" si="1096"/>
        <v>0</v>
      </c>
      <c r="BH2683" s="210">
        <f t="shared" si="1097"/>
        <v>3</v>
      </c>
      <c r="BI2683" s="213">
        <f t="shared" si="1101"/>
        <v>0</v>
      </c>
      <c r="BJ2683" s="141"/>
      <c r="BK2683" s="201"/>
    </row>
    <row r="2684" spans="1:63" ht="18" customHeight="1">
      <c r="A2684" s="330"/>
      <c r="B2684" s="331" t="s">
        <v>3193</v>
      </c>
      <c r="C2684" s="332" t="s">
        <v>3194</v>
      </c>
      <c r="D2684" s="333"/>
      <c r="E2684" s="333"/>
      <c r="F2684" s="333"/>
      <c r="G2684" s="333"/>
      <c r="H2684" s="333"/>
      <c r="I2684" s="333"/>
      <c r="J2684" s="333"/>
      <c r="K2684" s="333"/>
      <c r="L2684" s="333"/>
      <c r="M2684" s="333"/>
      <c r="N2684" s="333"/>
      <c r="O2684" s="333"/>
      <c r="P2684" s="333"/>
      <c r="Q2684" s="333"/>
      <c r="R2684" s="333"/>
      <c r="S2684" s="333"/>
      <c r="T2684" s="333"/>
      <c r="U2684" s="333"/>
      <c r="V2684" s="333"/>
      <c r="W2684" s="333"/>
      <c r="X2684" s="333"/>
      <c r="Y2684" s="333"/>
      <c r="Z2684" s="333"/>
      <c r="AA2684" s="333"/>
      <c r="AB2684" s="323"/>
      <c r="AC2684" s="228">
        <f t="shared" si="1094"/>
        <v>0</v>
      </c>
      <c r="AD2684" s="326">
        <v>0</v>
      </c>
      <c r="AE2684" s="334"/>
      <c r="AF2684" s="334"/>
      <c r="AG2684" s="334"/>
      <c r="AH2684" s="334"/>
      <c r="AI2684" s="334"/>
      <c r="AJ2684" s="334"/>
      <c r="AK2684" s="334"/>
      <c r="AL2684" s="334"/>
      <c r="AM2684" s="334"/>
      <c r="AN2684" s="334"/>
      <c r="AO2684" s="334"/>
      <c r="AP2684" s="334"/>
      <c r="AQ2684" s="334"/>
      <c r="AR2684" s="334"/>
      <c r="AS2684" s="334"/>
      <c r="AT2684" s="334"/>
      <c r="AU2684" s="334"/>
      <c r="AV2684" s="334"/>
      <c r="AW2684" s="334"/>
      <c r="AX2684" s="334"/>
      <c r="AY2684" s="334"/>
      <c r="AZ2684" s="334"/>
      <c r="BA2684" s="334"/>
      <c r="BB2684" s="334">
        <v>1</v>
      </c>
      <c r="BC2684" s="323"/>
      <c r="BD2684" s="48">
        <f t="shared" si="1095"/>
        <v>1</v>
      </c>
      <c r="BE2684" s="326">
        <v>0</v>
      </c>
      <c r="BF2684" s="323"/>
      <c r="BG2684" s="210">
        <f t="shared" ref="BG2684" si="1111">AC2684+BD2684</f>
        <v>1</v>
      </c>
      <c r="BH2684" s="210">
        <f t="shared" ref="BH2684" si="1112">AD2684+BE2684</f>
        <v>0</v>
      </c>
      <c r="BI2684" s="213" t="e">
        <f t="shared" ref="BI2684" si="1113">BG2684/BH2684*100</f>
        <v>#DIV/0!</v>
      </c>
      <c r="BJ2684" s="141"/>
      <c r="BK2684" s="201"/>
    </row>
    <row r="2685" spans="1:63" ht="18" customHeight="1">
      <c r="A2685" s="114">
        <v>49</v>
      </c>
      <c r="B2685" s="24" t="s">
        <v>361</v>
      </c>
      <c r="C2685" s="25" t="s">
        <v>2471</v>
      </c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229">
        <f t="shared" si="1105"/>
        <v>0</v>
      </c>
      <c r="AC2685" s="228">
        <f t="shared" si="1094"/>
        <v>0</v>
      </c>
      <c r="AD2685" s="19">
        <v>0</v>
      </c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29">
        <f t="shared" si="1106"/>
        <v>0</v>
      </c>
      <c r="BD2685" s="48">
        <f t="shared" si="1095"/>
        <v>0</v>
      </c>
      <c r="BE2685" s="19">
        <v>4</v>
      </c>
      <c r="BF2685" s="229">
        <f t="shared" si="1107"/>
        <v>0</v>
      </c>
      <c r="BG2685" s="210">
        <f t="shared" si="1096"/>
        <v>0</v>
      </c>
      <c r="BH2685" s="210">
        <f t="shared" si="1097"/>
        <v>4</v>
      </c>
      <c r="BI2685" s="213">
        <f t="shared" si="1101"/>
        <v>0</v>
      </c>
      <c r="BJ2685" s="141"/>
      <c r="BK2685" s="201"/>
    </row>
    <row r="2686" spans="1:63" ht="18" customHeight="1">
      <c r="A2686" s="114">
        <v>50</v>
      </c>
      <c r="B2686" s="24" t="s">
        <v>1419</v>
      </c>
      <c r="C2686" s="25" t="s">
        <v>1420</v>
      </c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229">
        <f t="shared" si="1105"/>
        <v>0</v>
      </c>
      <c r="AC2686" s="228">
        <f t="shared" si="1094"/>
        <v>0</v>
      </c>
      <c r="AD2686" s="19">
        <v>0</v>
      </c>
      <c r="AE2686" s="28"/>
      <c r="AF2686" s="28"/>
      <c r="AG2686" s="28"/>
      <c r="AH2686" s="28"/>
      <c r="AI2686" s="28"/>
      <c r="AJ2686" s="28">
        <v>426</v>
      </c>
      <c r="AK2686" s="28"/>
      <c r="AL2686" s="28"/>
      <c r="AM2686" s="28"/>
      <c r="AN2686" s="28"/>
      <c r="AO2686" s="28"/>
      <c r="AP2686" s="28">
        <v>722</v>
      </c>
      <c r="AQ2686" s="28"/>
      <c r="AR2686" s="28"/>
      <c r="AS2686" s="28"/>
      <c r="AT2686" s="28"/>
      <c r="AU2686" s="28"/>
      <c r="AV2686" s="28">
        <v>376</v>
      </c>
      <c r="AW2686" s="28"/>
      <c r="AX2686" s="28"/>
      <c r="AY2686" s="28"/>
      <c r="AZ2686" s="28"/>
      <c r="BA2686" s="28"/>
      <c r="BB2686" s="28">
        <v>869</v>
      </c>
      <c r="BC2686" s="229">
        <f t="shared" si="1106"/>
        <v>0</v>
      </c>
      <c r="BD2686" s="48">
        <f t="shared" si="1095"/>
        <v>2393</v>
      </c>
      <c r="BE2686" s="19">
        <v>1100</v>
      </c>
      <c r="BF2686" s="229">
        <f t="shared" si="1107"/>
        <v>0</v>
      </c>
      <c r="BG2686" s="210">
        <f t="shared" si="1096"/>
        <v>2393</v>
      </c>
      <c r="BH2686" s="210">
        <f t="shared" si="1097"/>
        <v>1100</v>
      </c>
      <c r="BI2686" s="213">
        <f t="shared" si="1101"/>
        <v>217.54545454545453</v>
      </c>
      <c r="BJ2686" s="141"/>
      <c r="BK2686" s="201"/>
    </row>
    <row r="2687" spans="1:63" ht="18" customHeight="1">
      <c r="A2687" s="114">
        <v>51</v>
      </c>
      <c r="B2687" s="24" t="s">
        <v>1349</v>
      </c>
      <c r="C2687" s="25" t="s">
        <v>1354</v>
      </c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229">
        <f t="shared" si="1105"/>
        <v>0</v>
      </c>
      <c r="AC2687" s="228">
        <f t="shared" si="1094"/>
        <v>0</v>
      </c>
      <c r="AD2687" s="21">
        <v>0</v>
      </c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>
        <v>6</v>
      </c>
      <c r="AW2687" s="28"/>
      <c r="AX2687" s="28"/>
      <c r="AY2687" s="28"/>
      <c r="AZ2687" s="28"/>
      <c r="BA2687" s="28"/>
      <c r="BB2687" s="20"/>
      <c r="BC2687" s="229">
        <f t="shared" si="1106"/>
        <v>0</v>
      </c>
      <c r="BD2687" s="48">
        <f t="shared" si="1095"/>
        <v>6</v>
      </c>
      <c r="BE2687" s="19">
        <v>1</v>
      </c>
      <c r="BF2687" s="229">
        <f t="shared" si="1107"/>
        <v>0</v>
      </c>
      <c r="BG2687" s="210">
        <f t="shared" si="1096"/>
        <v>6</v>
      </c>
      <c r="BH2687" s="210">
        <f t="shared" si="1097"/>
        <v>1</v>
      </c>
      <c r="BI2687" s="213">
        <f t="shared" si="1101"/>
        <v>600</v>
      </c>
      <c r="BJ2687" s="165"/>
      <c r="BK2687" s="201"/>
    </row>
    <row r="2688" spans="1:63" ht="18" customHeight="1">
      <c r="A2688" s="114">
        <v>52</v>
      </c>
      <c r="B2688" s="24" t="s">
        <v>1349</v>
      </c>
      <c r="C2688" s="25" t="s">
        <v>1354</v>
      </c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229">
        <f t="shared" si="1105"/>
        <v>0</v>
      </c>
      <c r="AC2688" s="228">
        <f t="shared" si="1094"/>
        <v>0</v>
      </c>
      <c r="AD2688" s="19">
        <v>0</v>
      </c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8"/>
      <c r="BC2688" s="229">
        <f t="shared" si="1106"/>
        <v>0</v>
      </c>
      <c r="BD2688" s="48">
        <f t="shared" si="1095"/>
        <v>0</v>
      </c>
      <c r="BE2688" s="19">
        <v>20</v>
      </c>
      <c r="BF2688" s="229">
        <f t="shared" si="1107"/>
        <v>0</v>
      </c>
      <c r="BG2688" s="210">
        <f t="shared" si="1096"/>
        <v>0</v>
      </c>
      <c r="BH2688" s="210">
        <f t="shared" si="1097"/>
        <v>20</v>
      </c>
      <c r="BI2688" s="213">
        <f t="shared" si="1101"/>
        <v>0</v>
      </c>
      <c r="BJ2688" s="141"/>
      <c r="BK2688" s="201"/>
    </row>
    <row r="2689" spans="1:65" ht="18" customHeight="1">
      <c r="A2689" s="114">
        <v>53</v>
      </c>
      <c r="B2689" s="24" t="s">
        <v>1045</v>
      </c>
      <c r="C2689" s="25" t="s">
        <v>1046</v>
      </c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>
        <v>1</v>
      </c>
      <c r="V2689" s="121"/>
      <c r="W2689" s="121"/>
      <c r="X2689" s="121"/>
      <c r="Y2689" s="121"/>
      <c r="Z2689" s="121"/>
      <c r="AA2689" s="121"/>
      <c r="AB2689" s="229">
        <f t="shared" si="1105"/>
        <v>0</v>
      </c>
      <c r="AC2689" s="228">
        <f t="shared" si="1094"/>
        <v>1</v>
      </c>
      <c r="AD2689" s="19">
        <v>62</v>
      </c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>
        <v>2</v>
      </c>
      <c r="AW2689" s="28"/>
      <c r="AX2689" s="28"/>
      <c r="AY2689" s="28"/>
      <c r="AZ2689" s="28"/>
      <c r="BA2689" s="28"/>
      <c r="BB2689" s="28"/>
      <c r="BC2689" s="229">
        <f t="shared" si="1106"/>
        <v>0</v>
      </c>
      <c r="BD2689" s="48">
        <f t="shared" si="1095"/>
        <v>2</v>
      </c>
      <c r="BE2689" s="19">
        <v>8</v>
      </c>
      <c r="BF2689" s="229">
        <f t="shared" si="1107"/>
        <v>0</v>
      </c>
      <c r="BG2689" s="210">
        <f t="shared" si="1096"/>
        <v>3</v>
      </c>
      <c r="BH2689" s="210">
        <f t="shared" si="1097"/>
        <v>70</v>
      </c>
      <c r="BI2689" s="213">
        <f t="shared" si="1101"/>
        <v>4.2857142857142856</v>
      </c>
      <c r="BJ2689" s="141"/>
      <c r="BK2689" s="201"/>
    </row>
    <row r="2690" spans="1:65" s="38" customFormat="1" ht="22.5" customHeight="1">
      <c r="A2690" s="114">
        <v>54</v>
      </c>
      <c r="B2690" s="24" t="s">
        <v>1421</v>
      </c>
      <c r="C2690" s="25" t="s">
        <v>1422</v>
      </c>
      <c r="D2690" s="121"/>
      <c r="E2690" s="121"/>
      <c r="F2690" s="121"/>
      <c r="G2690" s="121"/>
      <c r="H2690" s="121"/>
      <c r="I2690" s="121">
        <v>31</v>
      </c>
      <c r="J2690" s="121"/>
      <c r="K2690" s="121"/>
      <c r="L2690" s="121"/>
      <c r="M2690" s="121"/>
      <c r="N2690" s="121"/>
      <c r="O2690" s="121">
        <v>30</v>
      </c>
      <c r="P2690" s="121"/>
      <c r="Q2690" s="121"/>
      <c r="R2690" s="121"/>
      <c r="S2690" s="121"/>
      <c r="T2690" s="121"/>
      <c r="U2690" s="121">
        <v>31</v>
      </c>
      <c r="V2690" s="121"/>
      <c r="W2690" s="121"/>
      <c r="X2690" s="121"/>
      <c r="Y2690" s="121"/>
      <c r="Z2690" s="121"/>
      <c r="AA2690" s="121">
        <v>22</v>
      </c>
      <c r="AB2690" s="229">
        <f t="shared" si="1105"/>
        <v>0</v>
      </c>
      <c r="AC2690" s="228">
        <f t="shared" si="1094"/>
        <v>114</v>
      </c>
      <c r="AD2690" s="19">
        <v>101</v>
      </c>
      <c r="AE2690" s="28"/>
      <c r="AF2690" s="28"/>
      <c r="AG2690" s="28"/>
      <c r="AH2690" s="28"/>
      <c r="AI2690" s="28"/>
      <c r="AJ2690" s="28">
        <v>1</v>
      </c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  <c r="AY2690" s="28"/>
      <c r="AZ2690" s="28"/>
      <c r="BA2690" s="28"/>
      <c r="BB2690" s="28"/>
      <c r="BC2690" s="229">
        <f t="shared" si="1106"/>
        <v>0</v>
      </c>
      <c r="BD2690" s="48">
        <f t="shared" si="1095"/>
        <v>1</v>
      </c>
      <c r="BE2690" s="19">
        <v>1</v>
      </c>
      <c r="BF2690" s="229">
        <f t="shared" si="1107"/>
        <v>0</v>
      </c>
      <c r="BG2690" s="210">
        <f t="shared" si="1096"/>
        <v>115</v>
      </c>
      <c r="BH2690" s="210">
        <f t="shared" si="1097"/>
        <v>102</v>
      </c>
      <c r="BI2690" s="213">
        <f t="shared" si="1101"/>
        <v>112.74509803921569</v>
      </c>
      <c r="BJ2690" s="141"/>
      <c r="BK2690" s="201"/>
      <c r="BL2690" s="4"/>
      <c r="BM2690" s="4"/>
    </row>
    <row r="2691" spans="1:65" s="38" customFormat="1" ht="18" customHeight="1">
      <c r="A2691" s="114">
        <v>55</v>
      </c>
      <c r="B2691" s="24" t="s">
        <v>974</v>
      </c>
      <c r="C2691" s="25" t="s">
        <v>1083</v>
      </c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>
        <v>5</v>
      </c>
      <c r="V2691" s="121"/>
      <c r="W2691" s="121"/>
      <c r="X2691" s="121"/>
      <c r="Y2691" s="121"/>
      <c r="Z2691" s="121"/>
      <c r="AA2691" s="121">
        <v>1</v>
      </c>
      <c r="AB2691" s="229">
        <f t="shared" si="1105"/>
        <v>0</v>
      </c>
      <c r="AC2691" s="228">
        <f t="shared" si="1094"/>
        <v>6</v>
      </c>
      <c r="AD2691" s="19">
        <v>215</v>
      </c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29">
        <f t="shared" si="1106"/>
        <v>0</v>
      </c>
      <c r="BD2691" s="48">
        <f t="shared" si="1095"/>
        <v>0</v>
      </c>
      <c r="BE2691" s="19">
        <v>0</v>
      </c>
      <c r="BF2691" s="229">
        <f t="shared" si="1107"/>
        <v>0</v>
      </c>
      <c r="BG2691" s="210">
        <f t="shared" si="1096"/>
        <v>6</v>
      </c>
      <c r="BH2691" s="210">
        <f t="shared" si="1097"/>
        <v>215</v>
      </c>
      <c r="BI2691" s="213">
        <f t="shared" si="1101"/>
        <v>2.7906976744186047</v>
      </c>
      <c r="BJ2691" s="141"/>
      <c r="BK2691" s="201"/>
      <c r="BL2691" s="4"/>
      <c r="BM2691" s="4"/>
    </row>
    <row r="2692" spans="1:65" s="38" customFormat="1" ht="18" customHeight="1">
      <c r="A2692" s="114">
        <v>56</v>
      </c>
      <c r="B2692" s="24" t="s">
        <v>975</v>
      </c>
      <c r="C2692" s="25" t="s">
        <v>976</v>
      </c>
      <c r="D2692" s="129"/>
      <c r="E2692" s="129"/>
      <c r="F2692" s="129"/>
      <c r="G2692" s="129"/>
      <c r="H2692" s="129"/>
      <c r="I2692" s="129">
        <v>420</v>
      </c>
      <c r="J2692" s="129"/>
      <c r="K2692" s="129"/>
      <c r="L2692" s="129"/>
      <c r="M2692" s="129"/>
      <c r="N2692" s="129"/>
      <c r="O2692" s="129"/>
      <c r="P2692" s="129"/>
      <c r="Q2692" s="129"/>
      <c r="R2692" s="129"/>
      <c r="S2692" s="129"/>
      <c r="T2692" s="129"/>
      <c r="U2692" s="129">
        <v>514</v>
      </c>
      <c r="V2692" s="129"/>
      <c r="W2692" s="129"/>
      <c r="X2692" s="129"/>
      <c r="Y2692" s="129"/>
      <c r="Z2692" s="129"/>
      <c r="AA2692" s="121">
        <v>400</v>
      </c>
      <c r="AB2692" s="129">
        <f t="shared" si="1105"/>
        <v>0</v>
      </c>
      <c r="AC2692" s="228">
        <f t="shared" si="1094"/>
        <v>1334</v>
      </c>
      <c r="AD2692" s="19">
        <v>0</v>
      </c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>
        <v>496</v>
      </c>
      <c r="AQ2692" s="28"/>
      <c r="AR2692" s="28"/>
      <c r="AS2692" s="28"/>
      <c r="AT2692" s="28"/>
      <c r="AU2692" s="28"/>
      <c r="AV2692" s="28"/>
      <c r="AW2692" s="28"/>
      <c r="AX2692" s="28"/>
      <c r="AY2692" s="28"/>
      <c r="AZ2692" s="28"/>
      <c r="BA2692" s="28"/>
      <c r="BB2692" s="28"/>
      <c r="BC2692" s="229">
        <f t="shared" si="1106"/>
        <v>0</v>
      </c>
      <c r="BD2692" s="48">
        <f t="shared" si="1095"/>
        <v>496</v>
      </c>
      <c r="BE2692" s="19">
        <v>0</v>
      </c>
      <c r="BF2692" s="229"/>
      <c r="BG2692" s="210">
        <f t="shared" si="1096"/>
        <v>1830</v>
      </c>
      <c r="BH2692" s="210">
        <f t="shared" si="1097"/>
        <v>0</v>
      </c>
      <c r="BI2692" s="213" t="e">
        <f t="shared" si="1101"/>
        <v>#DIV/0!</v>
      </c>
      <c r="BJ2692" s="141"/>
      <c r="BK2692" s="201"/>
      <c r="BL2692" s="4"/>
      <c r="BM2692" s="4"/>
    </row>
    <row r="2693" spans="1:65" s="38" customFormat="1" ht="18" customHeight="1">
      <c r="A2693" s="114">
        <v>57</v>
      </c>
      <c r="B2693" s="24" t="s">
        <v>1084</v>
      </c>
      <c r="C2693" s="25" t="s">
        <v>2462</v>
      </c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229">
        <f t="shared" si="1105"/>
        <v>0</v>
      </c>
      <c r="AC2693" s="228">
        <f t="shared" si="1094"/>
        <v>0</v>
      </c>
      <c r="AD2693" s="19">
        <v>0</v>
      </c>
      <c r="AE2693" s="28"/>
      <c r="AF2693" s="28"/>
      <c r="AG2693" s="28"/>
      <c r="AH2693" s="28"/>
      <c r="AI2693" s="28"/>
      <c r="AJ2693" s="28">
        <v>6</v>
      </c>
      <c r="AK2693" s="28"/>
      <c r="AL2693" s="28"/>
      <c r="AM2693" s="28"/>
      <c r="AN2693" s="28"/>
      <c r="AO2693" s="28"/>
      <c r="AP2693" s="28">
        <f>1+2</f>
        <v>3</v>
      </c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>
        <v>2</v>
      </c>
      <c r="BC2693" s="229">
        <f t="shared" si="1106"/>
        <v>0</v>
      </c>
      <c r="BD2693" s="48">
        <f t="shared" si="1095"/>
        <v>11</v>
      </c>
      <c r="BE2693" s="19">
        <v>8</v>
      </c>
      <c r="BF2693" s="229">
        <f>AB2693+BC2693</f>
        <v>0</v>
      </c>
      <c r="BG2693" s="210">
        <f t="shared" si="1096"/>
        <v>11</v>
      </c>
      <c r="BH2693" s="210">
        <f t="shared" si="1097"/>
        <v>8</v>
      </c>
      <c r="BI2693" s="213">
        <f t="shared" si="1101"/>
        <v>137.5</v>
      </c>
      <c r="BJ2693" s="141"/>
      <c r="BK2693" s="201"/>
      <c r="BL2693" s="4"/>
      <c r="BM2693" s="4"/>
    </row>
    <row r="2694" spans="1:65" s="38" customFormat="1" ht="22.5" customHeight="1">
      <c r="A2694" s="114">
        <v>58</v>
      </c>
      <c r="B2694" s="24" t="s">
        <v>626</v>
      </c>
      <c r="C2694" s="25" t="s">
        <v>627</v>
      </c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229">
        <f t="shared" si="1105"/>
        <v>0</v>
      </c>
      <c r="AC2694" s="228">
        <f t="shared" ref="AC2694:AC2725" si="1114">E2694+G2694+I2694+K2694+M2694+O2694+Q2694+S2694+U2694+W2694+Y2694+AA2694</f>
        <v>0</v>
      </c>
      <c r="AD2694" s="19">
        <v>0</v>
      </c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  <c r="AZ2694" s="28"/>
      <c r="BA2694" s="28"/>
      <c r="BB2694" s="28"/>
      <c r="BC2694" s="229">
        <f t="shared" si="1106"/>
        <v>0</v>
      </c>
      <c r="BD2694" s="48">
        <f t="shared" ref="BD2694:BD2725" si="1115">AF2694+AH2694+AJ2694+AL2694+AN2694+AP2694+AR2694+AT2694+AV2694+AX2694+AZ2694+BB2694</f>
        <v>0</v>
      </c>
      <c r="BE2694" s="19">
        <v>1</v>
      </c>
      <c r="BF2694" s="229">
        <f>AB2694+BC2694</f>
        <v>0</v>
      </c>
      <c r="BG2694" s="210">
        <f t="shared" ref="BG2694:BG2725" si="1116">AC2694+BD2694</f>
        <v>0</v>
      </c>
      <c r="BH2694" s="210">
        <f t="shared" ref="BH2694:BH2725" si="1117">AD2694+BE2694</f>
        <v>1</v>
      </c>
      <c r="BI2694" s="213">
        <f t="shared" si="1101"/>
        <v>0</v>
      </c>
      <c r="BJ2694" s="141"/>
      <c r="BK2694" s="201"/>
      <c r="BL2694" s="4"/>
      <c r="BM2694" s="4"/>
    </row>
    <row r="2695" spans="1:65" s="38" customFormat="1" ht="21.95" customHeight="1">
      <c r="A2695" s="114">
        <v>59</v>
      </c>
      <c r="B2695" s="9" t="s">
        <v>978</v>
      </c>
      <c r="C2695" s="10" t="s">
        <v>3035</v>
      </c>
      <c r="D2695" s="121"/>
      <c r="E2695" s="121"/>
      <c r="F2695" s="121"/>
      <c r="G2695" s="121"/>
      <c r="H2695" s="121"/>
      <c r="I2695" s="121">
        <v>62</v>
      </c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229">
        <f t="shared" si="1105"/>
        <v>0</v>
      </c>
      <c r="AC2695" s="228">
        <f t="shared" si="1114"/>
        <v>62</v>
      </c>
      <c r="AD2695" s="19">
        <v>0</v>
      </c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>
        <v>48</v>
      </c>
      <c r="AQ2695" s="28"/>
      <c r="AR2695" s="28"/>
      <c r="AS2695" s="28"/>
      <c r="AT2695" s="28"/>
      <c r="AU2695" s="28"/>
      <c r="AV2695" s="28">
        <v>2</v>
      </c>
      <c r="AW2695" s="28"/>
      <c r="AX2695" s="28"/>
      <c r="AY2695" s="28"/>
      <c r="AZ2695" s="28"/>
      <c r="BA2695" s="28"/>
      <c r="BB2695" s="28"/>
      <c r="BC2695" s="229">
        <f t="shared" si="1106"/>
        <v>0</v>
      </c>
      <c r="BD2695" s="48">
        <f t="shared" si="1115"/>
        <v>50</v>
      </c>
      <c r="BE2695" s="19">
        <v>0</v>
      </c>
      <c r="BF2695" s="229"/>
      <c r="BG2695" s="210">
        <f t="shared" si="1116"/>
        <v>112</v>
      </c>
      <c r="BH2695" s="210">
        <f t="shared" si="1117"/>
        <v>0</v>
      </c>
      <c r="BI2695" s="213" t="e">
        <f t="shared" si="1101"/>
        <v>#DIV/0!</v>
      </c>
      <c r="BJ2695" s="141"/>
      <c r="BK2695" s="201"/>
      <c r="BL2695" s="4"/>
      <c r="BM2695" s="4"/>
    </row>
    <row r="2696" spans="1:65" s="38" customFormat="1" ht="18" customHeight="1">
      <c r="A2696" s="114">
        <v>60</v>
      </c>
      <c r="B2696" s="24" t="s">
        <v>1086</v>
      </c>
      <c r="C2696" s="25" t="s">
        <v>1087</v>
      </c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229">
        <f t="shared" si="1105"/>
        <v>0</v>
      </c>
      <c r="AC2696" s="228">
        <f t="shared" si="1114"/>
        <v>0</v>
      </c>
      <c r="AD2696" s="19">
        <v>0</v>
      </c>
      <c r="AE2696" s="28"/>
      <c r="AF2696" s="28"/>
      <c r="AG2696" s="28"/>
      <c r="AH2696" s="28"/>
      <c r="AI2696" s="28"/>
      <c r="AJ2696" s="28">
        <v>3</v>
      </c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>
        <v>1</v>
      </c>
      <c r="AW2696" s="28"/>
      <c r="AX2696" s="28"/>
      <c r="AY2696" s="28"/>
      <c r="AZ2696" s="28"/>
      <c r="BA2696" s="28"/>
      <c r="BB2696" s="28"/>
      <c r="BC2696" s="229">
        <f t="shared" si="1106"/>
        <v>0</v>
      </c>
      <c r="BD2696" s="48">
        <f t="shared" si="1115"/>
        <v>4</v>
      </c>
      <c r="BE2696" s="19">
        <v>28</v>
      </c>
      <c r="BF2696" s="229">
        <f>AB2696+BC2696</f>
        <v>0</v>
      </c>
      <c r="BG2696" s="210">
        <f t="shared" si="1116"/>
        <v>4</v>
      </c>
      <c r="BH2696" s="210">
        <f t="shared" si="1117"/>
        <v>28</v>
      </c>
      <c r="BI2696" s="213">
        <f t="shared" si="1101"/>
        <v>14.285714285714285</v>
      </c>
      <c r="BJ2696" s="141"/>
      <c r="BK2696" s="201"/>
      <c r="BL2696" s="4"/>
      <c r="BM2696" s="4"/>
    </row>
    <row r="2697" spans="1:65" s="38" customFormat="1" ht="18" customHeight="1">
      <c r="A2697" s="114">
        <v>61</v>
      </c>
      <c r="B2697" s="24" t="s">
        <v>628</v>
      </c>
      <c r="C2697" s="25" t="s">
        <v>629</v>
      </c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229">
        <f t="shared" si="1105"/>
        <v>0</v>
      </c>
      <c r="AC2697" s="228">
        <f t="shared" si="1114"/>
        <v>0</v>
      </c>
      <c r="AD2697" s="19">
        <v>0</v>
      </c>
      <c r="AE2697" s="28"/>
      <c r="AF2697" s="28"/>
      <c r="AG2697" s="28"/>
      <c r="AH2697" s="28"/>
      <c r="AI2697" s="28"/>
      <c r="AJ2697" s="28">
        <f>552+13+10</f>
        <v>575</v>
      </c>
      <c r="AK2697" s="28"/>
      <c r="AL2697" s="28"/>
      <c r="AM2697" s="28"/>
      <c r="AN2697" s="28"/>
      <c r="AO2697" s="28"/>
      <c r="AP2697" s="28">
        <f>1325+12+23</f>
        <v>1360</v>
      </c>
      <c r="AQ2697" s="28"/>
      <c r="AR2697" s="28"/>
      <c r="AS2697" s="28"/>
      <c r="AT2697" s="28"/>
      <c r="AU2697" s="28"/>
      <c r="AV2697" s="28">
        <f>468+1</f>
        <v>469</v>
      </c>
      <c r="AW2697" s="28"/>
      <c r="AX2697" s="28"/>
      <c r="AY2697" s="28"/>
      <c r="AZ2697" s="28"/>
      <c r="BA2697" s="28"/>
      <c r="BB2697" s="28">
        <f>670+2</f>
        <v>672</v>
      </c>
      <c r="BC2697" s="229">
        <f t="shared" si="1106"/>
        <v>0</v>
      </c>
      <c r="BD2697" s="48">
        <f t="shared" si="1115"/>
        <v>3076</v>
      </c>
      <c r="BE2697" s="19">
        <v>3504</v>
      </c>
      <c r="BF2697" s="229">
        <f>AB2697+BC2697</f>
        <v>0</v>
      </c>
      <c r="BG2697" s="210">
        <f t="shared" si="1116"/>
        <v>3076</v>
      </c>
      <c r="BH2697" s="210">
        <f t="shared" si="1117"/>
        <v>3504</v>
      </c>
      <c r="BI2697" s="213">
        <f t="shared" si="1101"/>
        <v>87.785388127853878</v>
      </c>
      <c r="BJ2697" s="141"/>
      <c r="BK2697" s="201"/>
      <c r="BL2697" s="4"/>
      <c r="BM2697" s="4"/>
    </row>
    <row r="2698" spans="1:65" s="38" customFormat="1" ht="18" customHeight="1">
      <c r="A2698" s="114">
        <v>62</v>
      </c>
      <c r="B2698" s="24" t="s">
        <v>525</v>
      </c>
      <c r="C2698" s="25" t="s">
        <v>526</v>
      </c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229">
        <f t="shared" si="1105"/>
        <v>0</v>
      </c>
      <c r="AC2698" s="228">
        <f t="shared" si="1114"/>
        <v>0</v>
      </c>
      <c r="AD2698" s="21">
        <v>0</v>
      </c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>
        <v>1</v>
      </c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28"/>
      <c r="BA2698" s="28"/>
      <c r="BB2698" s="28">
        <v>2</v>
      </c>
      <c r="BC2698" s="229">
        <f t="shared" si="1106"/>
        <v>0</v>
      </c>
      <c r="BD2698" s="48">
        <f t="shared" si="1115"/>
        <v>3</v>
      </c>
      <c r="BE2698" s="19">
        <v>4</v>
      </c>
      <c r="BF2698" s="229">
        <f>AB2698+BC2698</f>
        <v>0</v>
      </c>
      <c r="BG2698" s="210">
        <f t="shared" si="1116"/>
        <v>3</v>
      </c>
      <c r="BH2698" s="210">
        <f t="shared" si="1117"/>
        <v>4</v>
      </c>
      <c r="BI2698" s="213">
        <f t="shared" si="1101"/>
        <v>75</v>
      </c>
      <c r="BJ2698" s="165"/>
      <c r="BK2698" s="201"/>
      <c r="BL2698" s="4"/>
      <c r="BM2698" s="4"/>
    </row>
    <row r="2699" spans="1:65" s="38" customFormat="1" ht="18" customHeight="1">
      <c r="A2699" s="114">
        <v>63</v>
      </c>
      <c r="B2699" s="24" t="s">
        <v>795</v>
      </c>
      <c r="C2699" s="25" t="s">
        <v>982</v>
      </c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229">
        <f t="shared" si="1105"/>
        <v>0</v>
      </c>
      <c r="AC2699" s="228">
        <f t="shared" si="1114"/>
        <v>0</v>
      </c>
      <c r="AD2699" s="19">
        <v>1</v>
      </c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29">
        <f t="shared" si="1106"/>
        <v>0</v>
      </c>
      <c r="BD2699" s="48">
        <f t="shared" si="1115"/>
        <v>0</v>
      </c>
      <c r="BE2699" s="19">
        <v>1</v>
      </c>
      <c r="BF2699" s="229">
        <f>AB2699+BC2699</f>
        <v>0</v>
      </c>
      <c r="BG2699" s="210">
        <f t="shared" si="1116"/>
        <v>0</v>
      </c>
      <c r="BH2699" s="210">
        <f t="shared" si="1117"/>
        <v>2</v>
      </c>
      <c r="BI2699" s="213">
        <f t="shared" si="1101"/>
        <v>0</v>
      </c>
      <c r="BJ2699" s="141"/>
      <c r="BK2699" s="201"/>
      <c r="BL2699" s="4"/>
      <c r="BM2699" s="4"/>
    </row>
    <row r="2700" spans="1:65" s="38" customFormat="1" ht="18" customHeight="1">
      <c r="A2700" s="114">
        <v>64</v>
      </c>
      <c r="B2700" s="24" t="s">
        <v>983</v>
      </c>
      <c r="C2700" s="25" t="s">
        <v>984</v>
      </c>
      <c r="D2700" s="121"/>
      <c r="E2700" s="121"/>
      <c r="F2700" s="121"/>
      <c r="G2700" s="121"/>
      <c r="H2700" s="121"/>
      <c r="I2700" s="121">
        <v>2</v>
      </c>
      <c r="J2700" s="121"/>
      <c r="K2700" s="121"/>
      <c r="L2700" s="121"/>
      <c r="M2700" s="121"/>
      <c r="N2700" s="121"/>
      <c r="O2700" s="121">
        <v>6</v>
      </c>
      <c r="P2700" s="121"/>
      <c r="Q2700" s="121"/>
      <c r="R2700" s="121"/>
      <c r="S2700" s="121"/>
      <c r="T2700" s="121"/>
      <c r="U2700" s="121">
        <v>5</v>
      </c>
      <c r="V2700" s="121"/>
      <c r="W2700" s="121"/>
      <c r="X2700" s="121"/>
      <c r="Y2700" s="121"/>
      <c r="Z2700" s="121"/>
      <c r="AA2700" s="121">
        <v>8</v>
      </c>
      <c r="AB2700" s="229">
        <f t="shared" si="1105"/>
        <v>0</v>
      </c>
      <c r="AC2700" s="228">
        <f t="shared" si="1114"/>
        <v>21</v>
      </c>
      <c r="AD2700" s="19">
        <v>9</v>
      </c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  <c r="AZ2700" s="28"/>
      <c r="BA2700" s="28"/>
      <c r="BB2700" s="28"/>
      <c r="BC2700" s="229">
        <f t="shared" si="1106"/>
        <v>0</v>
      </c>
      <c r="BD2700" s="48">
        <f t="shared" si="1115"/>
        <v>0</v>
      </c>
      <c r="BE2700" s="19">
        <v>0</v>
      </c>
      <c r="BF2700" s="229">
        <f>AB2700+BC2700</f>
        <v>0</v>
      </c>
      <c r="BG2700" s="210">
        <f t="shared" si="1116"/>
        <v>21</v>
      </c>
      <c r="BH2700" s="210">
        <f t="shared" si="1117"/>
        <v>9</v>
      </c>
      <c r="BI2700" s="213">
        <f t="shared" si="1101"/>
        <v>233.33333333333334</v>
      </c>
      <c r="BJ2700" s="141"/>
      <c r="BK2700" s="201"/>
      <c r="BL2700" s="4"/>
      <c r="BM2700" s="4"/>
    </row>
    <row r="2701" spans="1:65" s="38" customFormat="1" ht="18" customHeight="1">
      <c r="A2701" s="114">
        <v>65</v>
      </c>
      <c r="B2701" s="9" t="s">
        <v>1898</v>
      </c>
      <c r="C2701" s="11" t="s">
        <v>1899</v>
      </c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229"/>
      <c r="AC2701" s="228">
        <f t="shared" si="1114"/>
        <v>0</v>
      </c>
      <c r="AD2701" s="19">
        <v>0</v>
      </c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>
        <v>280</v>
      </c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29"/>
      <c r="BD2701" s="48">
        <f t="shared" si="1115"/>
        <v>280</v>
      </c>
      <c r="BE2701" s="19">
        <v>0</v>
      </c>
      <c r="BF2701" s="229"/>
      <c r="BG2701" s="210">
        <f t="shared" si="1116"/>
        <v>280</v>
      </c>
      <c r="BH2701" s="210">
        <f t="shared" si="1117"/>
        <v>0</v>
      </c>
      <c r="BI2701" s="213" t="e">
        <f t="shared" ref="BI2701:BI2732" si="1118">BG2701/BH2701*100</f>
        <v>#DIV/0!</v>
      </c>
      <c r="BJ2701" s="141"/>
      <c r="BK2701" s="201"/>
      <c r="BL2701" s="4"/>
      <c r="BM2701" s="4"/>
    </row>
    <row r="2702" spans="1:65" s="38" customFormat="1" ht="18" customHeight="1">
      <c r="A2702" s="114">
        <v>66</v>
      </c>
      <c r="B2702" s="24" t="s">
        <v>720</v>
      </c>
      <c r="C2702" s="25" t="s">
        <v>721</v>
      </c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229"/>
      <c r="AC2702" s="228">
        <f t="shared" si="1114"/>
        <v>0</v>
      </c>
      <c r="AD2702" s="19">
        <v>0</v>
      </c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>
        <v>1</v>
      </c>
      <c r="AQ2702" s="28"/>
      <c r="AR2702" s="28"/>
      <c r="AS2702" s="28"/>
      <c r="AT2702" s="28"/>
      <c r="AU2702" s="28"/>
      <c r="AV2702" s="28"/>
      <c r="AW2702" s="28"/>
      <c r="AX2702" s="28"/>
      <c r="AY2702" s="28"/>
      <c r="AZ2702" s="28"/>
      <c r="BA2702" s="28"/>
      <c r="BB2702" s="28">
        <v>1</v>
      </c>
      <c r="BC2702" s="229"/>
      <c r="BD2702" s="48">
        <f t="shared" si="1115"/>
        <v>2</v>
      </c>
      <c r="BE2702" s="19">
        <v>0</v>
      </c>
      <c r="BF2702" s="229"/>
      <c r="BG2702" s="210">
        <f t="shared" si="1116"/>
        <v>2</v>
      </c>
      <c r="BH2702" s="210">
        <f t="shared" si="1117"/>
        <v>0</v>
      </c>
      <c r="BI2702" s="213" t="e">
        <f t="shared" si="1118"/>
        <v>#DIV/0!</v>
      </c>
      <c r="BJ2702" s="141"/>
      <c r="BK2702" s="201"/>
      <c r="BL2702" s="4"/>
      <c r="BM2702" s="4"/>
    </row>
    <row r="2703" spans="1:65" s="38" customFormat="1" ht="18" customHeight="1">
      <c r="A2703" s="114">
        <v>67</v>
      </c>
      <c r="B2703" s="24" t="s">
        <v>1007</v>
      </c>
      <c r="C2703" s="25" t="s">
        <v>1868</v>
      </c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229">
        <f t="shared" ref="AB2703:AB2734" si="1119">D2703+F2703+H2703+J2703+L2703+N2703+P2703+R2703+T2703+V2703+X2703+Z2703</f>
        <v>0</v>
      </c>
      <c r="AC2703" s="228">
        <f t="shared" si="1114"/>
        <v>0</v>
      </c>
      <c r="AD2703" s="19">
        <v>0</v>
      </c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29">
        <f t="shared" ref="BC2703:BC2734" si="1120">AE2703+AG2703+AI2703+AK2703+AM2703+AO2703+AQ2703+AS2703+AU2703+AW2703+AY2703+BA2703</f>
        <v>0</v>
      </c>
      <c r="BD2703" s="48">
        <f t="shared" si="1115"/>
        <v>0</v>
      </c>
      <c r="BE2703" s="19">
        <v>1</v>
      </c>
      <c r="BF2703" s="229">
        <f t="shared" ref="BF2703:BF2734" si="1121">AB2703+BC2703</f>
        <v>0</v>
      </c>
      <c r="BG2703" s="210">
        <f t="shared" si="1116"/>
        <v>0</v>
      </c>
      <c r="BH2703" s="210">
        <f t="shared" si="1117"/>
        <v>1</v>
      </c>
      <c r="BI2703" s="213">
        <f t="shared" si="1118"/>
        <v>0</v>
      </c>
      <c r="BJ2703" s="141"/>
      <c r="BK2703" s="201"/>
      <c r="BL2703" s="4"/>
      <c r="BM2703" s="4"/>
    </row>
    <row r="2704" spans="1:65" s="38" customFormat="1" ht="18" customHeight="1">
      <c r="A2704" s="114">
        <v>68</v>
      </c>
      <c r="B2704" s="24" t="s">
        <v>829</v>
      </c>
      <c r="C2704" s="25" t="s">
        <v>830</v>
      </c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229">
        <f t="shared" si="1119"/>
        <v>0</v>
      </c>
      <c r="AC2704" s="228">
        <f t="shared" si="1114"/>
        <v>0</v>
      </c>
      <c r="AD2704" s="19">
        <v>0</v>
      </c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  <c r="AZ2704" s="28"/>
      <c r="BA2704" s="28"/>
      <c r="BB2704" s="28"/>
      <c r="BC2704" s="229">
        <f t="shared" si="1120"/>
        <v>0</v>
      </c>
      <c r="BD2704" s="48">
        <f t="shared" si="1115"/>
        <v>0</v>
      </c>
      <c r="BE2704" s="19">
        <v>1</v>
      </c>
      <c r="BF2704" s="229">
        <f t="shared" si="1121"/>
        <v>0</v>
      </c>
      <c r="BG2704" s="210">
        <f t="shared" si="1116"/>
        <v>0</v>
      </c>
      <c r="BH2704" s="210">
        <f t="shared" si="1117"/>
        <v>1</v>
      </c>
      <c r="BI2704" s="213">
        <f t="shared" si="1118"/>
        <v>0</v>
      </c>
      <c r="BJ2704" s="141"/>
      <c r="BK2704" s="201"/>
      <c r="BL2704" s="4"/>
      <c r="BM2704" s="4"/>
    </row>
    <row r="2705" spans="1:65" s="38" customFormat="1" ht="18" customHeight="1">
      <c r="A2705" s="114">
        <v>69</v>
      </c>
      <c r="B2705" s="24" t="s">
        <v>630</v>
      </c>
      <c r="C2705" s="25" t="s">
        <v>631</v>
      </c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229">
        <f t="shared" si="1119"/>
        <v>0</v>
      </c>
      <c r="AC2705" s="228">
        <f t="shared" si="1114"/>
        <v>0</v>
      </c>
      <c r="AD2705" s="19">
        <v>0</v>
      </c>
      <c r="AE2705" s="28"/>
      <c r="AF2705" s="28"/>
      <c r="AG2705" s="28"/>
      <c r="AH2705" s="28"/>
      <c r="AI2705" s="28"/>
      <c r="AJ2705" s="28">
        <v>3</v>
      </c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>
        <v>1</v>
      </c>
      <c r="BC2705" s="229">
        <f t="shared" si="1120"/>
        <v>0</v>
      </c>
      <c r="BD2705" s="48">
        <f t="shared" si="1115"/>
        <v>4</v>
      </c>
      <c r="BE2705" s="19">
        <v>1</v>
      </c>
      <c r="BF2705" s="229">
        <f t="shared" si="1121"/>
        <v>0</v>
      </c>
      <c r="BG2705" s="210">
        <f t="shared" si="1116"/>
        <v>4</v>
      </c>
      <c r="BH2705" s="210">
        <f t="shared" si="1117"/>
        <v>1</v>
      </c>
      <c r="BI2705" s="213">
        <f t="shared" si="1118"/>
        <v>400</v>
      </c>
      <c r="BJ2705" s="141"/>
      <c r="BK2705" s="201"/>
      <c r="BL2705" s="4"/>
      <c r="BM2705" s="4"/>
    </row>
    <row r="2706" spans="1:65" s="38" customFormat="1" ht="18" customHeight="1">
      <c r="A2706" s="114">
        <v>70</v>
      </c>
      <c r="B2706" s="24" t="s">
        <v>1009</v>
      </c>
      <c r="C2706" s="190" t="s">
        <v>2423</v>
      </c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229">
        <f t="shared" si="1119"/>
        <v>0</v>
      </c>
      <c r="AC2706" s="228">
        <f t="shared" si="1114"/>
        <v>0</v>
      </c>
      <c r="AD2706" s="19">
        <v>0</v>
      </c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  <c r="AZ2706" s="28"/>
      <c r="BA2706" s="28"/>
      <c r="BB2706" s="28"/>
      <c r="BC2706" s="229">
        <f t="shared" si="1120"/>
        <v>0</v>
      </c>
      <c r="BD2706" s="48">
        <f t="shared" si="1115"/>
        <v>0</v>
      </c>
      <c r="BE2706" s="19">
        <v>1</v>
      </c>
      <c r="BF2706" s="229">
        <f t="shared" si="1121"/>
        <v>0</v>
      </c>
      <c r="BG2706" s="210">
        <f t="shared" si="1116"/>
        <v>0</v>
      </c>
      <c r="BH2706" s="210">
        <f t="shared" si="1117"/>
        <v>1</v>
      </c>
      <c r="BI2706" s="213">
        <f t="shared" si="1118"/>
        <v>0</v>
      </c>
      <c r="BJ2706" s="141"/>
      <c r="BK2706" s="201"/>
      <c r="BL2706" s="4"/>
      <c r="BM2706" s="4"/>
    </row>
    <row r="2707" spans="1:65" s="38" customFormat="1" ht="18" customHeight="1">
      <c r="A2707" s="114">
        <v>71</v>
      </c>
      <c r="B2707" s="24" t="s">
        <v>632</v>
      </c>
      <c r="C2707" s="25" t="s">
        <v>633</v>
      </c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229">
        <f t="shared" si="1119"/>
        <v>0</v>
      </c>
      <c r="AC2707" s="228">
        <f t="shared" si="1114"/>
        <v>0</v>
      </c>
      <c r="AD2707" s="19">
        <v>0</v>
      </c>
      <c r="AE2707" s="28"/>
      <c r="AF2707" s="28"/>
      <c r="AG2707" s="28"/>
      <c r="AH2707" s="28"/>
      <c r="AI2707" s="28"/>
      <c r="AJ2707" s="28">
        <v>6</v>
      </c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29">
        <f t="shared" si="1120"/>
        <v>0</v>
      </c>
      <c r="BD2707" s="48">
        <f t="shared" si="1115"/>
        <v>6</v>
      </c>
      <c r="BE2707" s="19">
        <v>1</v>
      </c>
      <c r="BF2707" s="229">
        <f t="shared" si="1121"/>
        <v>0</v>
      </c>
      <c r="BG2707" s="210">
        <f t="shared" si="1116"/>
        <v>6</v>
      </c>
      <c r="BH2707" s="210">
        <f t="shared" si="1117"/>
        <v>1</v>
      </c>
      <c r="BI2707" s="213">
        <f t="shared" si="1118"/>
        <v>600</v>
      </c>
      <c r="BJ2707" s="141"/>
      <c r="BK2707" s="201"/>
      <c r="BL2707" s="4"/>
      <c r="BM2707" s="4"/>
    </row>
    <row r="2708" spans="1:65" s="38" customFormat="1" ht="18" customHeight="1">
      <c r="A2708" s="114">
        <v>72</v>
      </c>
      <c r="B2708" s="24" t="s">
        <v>634</v>
      </c>
      <c r="C2708" s="25" t="s">
        <v>696</v>
      </c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229">
        <f t="shared" si="1119"/>
        <v>0</v>
      </c>
      <c r="AC2708" s="228">
        <f t="shared" si="1114"/>
        <v>0</v>
      </c>
      <c r="AD2708" s="19">
        <v>0</v>
      </c>
      <c r="AE2708" s="28"/>
      <c r="AF2708" s="28"/>
      <c r="AG2708" s="28"/>
      <c r="AH2708" s="28"/>
      <c r="AI2708" s="28"/>
      <c r="AJ2708" s="28">
        <f>18+44</f>
        <v>62</v>
      </c>
      <c r="AK2708" s="28"/>
      <c r="AL2708" s="28"/>
      <c r="AM2708" s="28"/>
      <c r="AN2708" s="28"/>
      <c r="AO2708" s="28"/>
      <c r="AP2708" s="28">
        <f>60+45</f>
        <v>105</v>
      </c>
      <c r="AQ2708" s="28"/>
      <c r="AR2708" s="28"/>
      <c r="AS2708" s="28"/>
      <c r="AT2708" s="28"/>
      <c r="AU2708" s="28"/>
      <c r="AV2708" s="28">
        <v>6</v>
      </c>
      <c r="AW2708" s="28"/>
      <c r="AX2708" s="28"/>
      <c r="AY2708" s="28"/>
      <c r="AZ2708" s="28"/>
      <c r="BA2708" s="28"/>
      <c r="BB2708" s="28">
        <f>1+32</f>
        <v>33</v>
      </c>
      <c r="BC2708" s="229">
        <f t="shared" si="1120"/>
        <v>0</v>
      </c>
      <c r="BD2708" s="48">
        <f t="shared" si="1115"/>
        <v>206</v>
      </c>
      <c r="BE2708" s="19">
        <v>55</v>
      </c>
      <c r="BF2708" s="229">
        <f t="shared" si="1121"/>
        <v>0</v>
      </c>
      <c r="BG2708" s="210">
        <f t="shared" si="1116"/>
        <v>206</v>
      </c>
      <c r="BH2708" s="210">
        <f t="shared" si="1117"/>
        <v>55</v>
      </c>
      <c r="BI2708" s="213">
        <f t="shared" si="1118"/>
        <v>374.54545454545456</v>
      </c>
      <c r="BJ2708" s="141"/>
      <c r="BK2708" s="201"/>
      <c r="BL2708" s="4"/>
      <c r="BM2708" s="4"/>
    </row>
    <row r="2709" spans="1:65" s="38" customFormat="1" ht="18" customHeight="1">
      <c r="A2709" s="114">
        <v>73</v>
      </c>
      <c r="B2709" s="24" t="s">
        <v>636</v>
      </c>
      <c r="C2709" s="25" t="s">
        <v>637</v>
      </c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229">
        <f t="shared" si="1119"/>
        <v>0</v>
      </c>
      <c r="AC2709" s="228">
        <f t="shared" si="1114"/>
        <v>0</v>
      </c>
      <c r="AD2709" s="19">
        <v>0</v>
      </c>
      <c r="AE2709" s="28"/>
      <c r="AF2709" s="28"/>
      <c r="AG2709" s="28"/>
      <c r="AH2709" s="28"/>
      <c r="AI2709" s="28"/>
      <c r="AJ2709" s="28">
        <v>1</v>
      </c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>
        <v>1</v>
      </c>
      <c r="AW2709" s="28"/>
      <c r="AX2709" s="28"/>
      <c r="AY2709" s="28"/>
      <c r="AZ2709" s="28"/>
      <c r="BA2709" s="28"/>
      <c r="BB2709" s="28"/>
      <c r="BC2709" s="229">
        <f t="shared" si="1120"/>
        <v>0</v>
      </c>
      <c r="BD2709" s="48">
        <f t="shared" si="1115"/>
        <v>2</v>
      </c>
      <c r="BE2709" s="19">
        <v>1</v>
      </c>
      <c r="BF2709" s="229">
        <f t="shared" si="1121"/>
        <v>0</v>
      </c>
      <c r="BG2709" s="210">
        <f t="shared" si="1116"/>
        <v>2</v>
      </c>
      <c r="BH2709" s="210">
        <f t="shared" si="1117"/>
        <v>1</v>
      </c>
      <c r="BI2709" s="213">
        <f t="shared" si="1118"/>
        <v>200</v>
      </c>
      <c r="BJ2709" s="141"/>
      <c r="BK2709" s="201"/>
      <c r="BL2709" s="4"/>
      <c r="BM2709" s="4"/>
    </row>
    <row r="2710" spans="1:65" s="38" customFormat="1" ht="18" customHeight="1">
      <c r="A2710" s="114">
        <v>74</v>
      </c>
      <c r="B2710" s="24" t="s">
        <v>638</v>
      </c>
      <c r="C2710" s="25" t="s">
        <v>639</v>
      </c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229">
        <f t="shared" si="1119"/>
        <v>0</v>
      </c>
      <c r="AC2710" s="228">
        <f t="shared" si="1114"/>
        <v>0</v>
      </c>
      <c r="AD2710" s="19">
        <v>0</v>
      </c>
      <c r="AE2710" s="28"/>
      <c r="AF2710" s="28"/>
      <c r="AG2710" s="28"/>
      <c r="AH2710" s="28"/>
      <c r="AI2710" s="28"/>
      <c r="AJ2710" s="28">
        <v>1</v>
      </c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>
        <v>1</v>
      </c>
      <c r="AW2710" s="28"/>
      <c r="AX2710" s="28"/>
      <c r="AY2710" s="28"/>
      <c r="AZ2710" s="28"/>
      <c r="BA2710" s="28"/>
      <c r="BB2710" s="28"/>
      <c r="BC2710" s="229">
        <f t="shared" si="1120"/>
        <v>0</v>
      </c>
      <c r="BD2710" s="48">
        <f t="shared" si="1115"/>
        <v>2</v>
      </c>
      <c r="BE2710" s="19">
        <v>1</v>
      </c>
      <c r="BF2710" s="229">
        <f t="shared" si="1121"/>
        <v>0</v>
      </c>
      <c r="BG2710" s="210">
        <f t="shared" si="1116"/>
        <v>2</v>
      </c>
      <c r="BH2710" s="210">
        <f t="shared" si="1117"/>
        <v>1</v>
      </c>
      <c r="BI2710" s="213">
        <f t="shared" si="1118"/>
        <v>200</v>
      </c>
      <c r="BJ2710" s="141"/>
      <c r="BK2710" s="201"/>
      <c r="BL2710" s="4"/>
      <c r="BM2710" s="4"/>
    </row>
    <row r="2711" spans="1:65" s="38" customFormat="1" ht="18" customHeight="1">
      <c r="A2711" s="114">
        <v>75</v>
      </c>
      <c r="B2711" s="24" t="s">
        <v>643</v>
      </c>
      <c r="C2711" s="183" t="s">
        <v>1391</v>
      </c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229">
        <f t="shared" si="1119"/>
        <v>0</v>
      </c>
      <c r="AC2711" s="228">
        <f t="shared" si="1114"/>
        <v>0</v>
      </c>
      <c r="AD2711" s="19">
        <v>0</v>
      </c>
      <c r="AE2711" s="28"/>
      <c r="AF2711" s="28"/>
      <c r="AG2711" s="28"/>
      <c r="AH2711" s="28"/>
      <c r="AI2711" s="28"/>
      <c r="AJ2711" s="28">
        <v>24</v>
      </c>
      <c r="AK2711" s="28"/>
      <c r="AL2711" s="28"/>
      <c r="AM2711" s="28"/>
      <c r="AN2711" s="28"/>
      <c r="AO2711" s="28"/>
      <c r="AP2711" s="28">
        <v>19</v>
      </c>
      <c r="AQ2711" s="28"/>
      <c r="AR2711" s="28"/>
      <c r="AS2711" s="28"/>
      <c r="AT2711" s="28"/>
      <c r="AU2711" s="28"/>
      <c r="AV2711" s="28">
        <f>19+3</f>
        <v>22</v>
      </c>
      <c r="AW2711" s="28"/>
      <c r="AX2711" s="28"/>
      <c r="AY2711" s="28"/>
      <c r="AZ2711" s="28"/>
      <c r="BA2711" s="28"/>
      <c r="BB2711" s="28">
        <v>22</v>
      </c>
      <c r="BC2711" s="229">
        <f t="shared" si="1120"/>
        <v>0</v>
      </c>
      <c r="BD2711" s="48">
        <f t="shared" si="1115"/>
        <v>87</v>
      </c>
      <c r="BE2711" s="19">
        <v>4</v>
      </c>
      <c r="BF2711" s="229">
        <f t="shared" si="1121"/>
        <v>0</v>
      </c>
      <c r="BG2711" s="210">
        <f t="shared" si="1116"/>
        <v>87</v>
      </c>
      <c r="BH2711" s="210">
        <f t="shared" si="1117"/>
        <v>4</v>
      </c>
      <c r="BI2711" s="213">
        <f t="shared" si="1118"/>
        <v>2175</v>
      </c>
      <c r="BJ2711" s="141"/>
      <c r="BK2711" s="201"/>
      <c r="BL2711" s="4"/>
      <c r="BM2711" s="4"/>
    </row>
    <row r="2712" spans="1:65" s="38" customFormat="1" ht="18" customHeight="1">
      <c r="A2712" s="114">
        <v>76</v>
      </c>
      <c r="B2712" s="24" t="s">
        <v>1010</v>
      </c>
      <c r="C2712" s="25" t="s">
        <v>1375</v>
      </c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229">
        <f t="shared" si="1119"/>
        <v>0</v>
      </c>
      <c r="AC2712" s="228">
        <f t="shared" si="1114"/>
        <v>0</v>
      </c>
      <c r="AD2712" s="19">
        <v>0</v>
      </c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  <c r="AZ2712" s="28"/>
      <c r="BA2712" s="28"/>
      <c r="BB2712" s="28"/>
      <c r="BC2712" s="229">
        <f t="shared" si="1120"/>
        <v>0</v>
      </c>
      <c r="BD2712" s="48">
        <f t="shared" si="1115"/>
        <v>0</v>
      </c>
      <c r="BE2712" s="19">
        <v>1</v>
      </c>
      <c r="BF2712" s="229">
        <f t="shared" si="1121"/>
        <v>0</v>
      </c>
      <c r="BG2712" s="210">
        <f t="shared" si="1116"/>
        <v>0</v>
      </c>
      <c r="BH2712" s="210">
        <f t="shared" si="1117"/>
        <v>1</v>
      </c>
      <c r="BI2712" s="213">
        <f t="shared" si="1118"/>
        <v>0</v>
      </c>
      <c r="BJ2712" s="141"/>
      <c r="BK2712" s="201"/>
      <c r="BL2712" s="4"/>
      <c r="BM2712" s="4"/>
    </row>
    <row r="2713" spans="1:65" s="38" customFormat="1" ht="18" customHeight="1">
      <c r="A2713" s="114">
        <v>77</v>
      </c>
      <c r="B2713" s="24" t="s">
        <v>773</v>
      </c>
      <c r="C2713" s="25" t="s">
        <v>1159</v>
      </c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229">
        <f t="shared" si="1119"/>
        <v>0</v>
      </c>
      <c r="AC2713" s="228">
        <f t="shared" si="1114"/>
        <v>0</v>
      </c>
      <c r="AD2713" s="19">
        <v>0</v>
      </c>
      <c r="AE2713" s="28"/>
      <c r="AF2713" s="28"/>
      <c r="AG2713" s="28"/>
      <c r="AH2713" s="28"/>
      <c r="AI2713" s="28"/>
      <c r="AJ2713" s="28">
        <v>7</v>
      </c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  <c r="AZ2713" s="28"/>
      <c r="BA2713" s="28"/>
      <c r="BB2713" s="28"/>
      <c r="BC2713" s="229">
        <f t="shared" si="1120"/>
        <v>0</v>
      </c>
      <c r="BD2713" s="48">
        <f t="shared" si="1115"/>
        <v>7</v>
      </c>
      <c r="BE2713" s="19">
        <v>1</v>
      </c>
      <c r="BF2713" s="229">
        <f t="shared" si="1121"/>
        <v>0</v>
      </c>
      <c r="BG2713" s="210">
        <f t="shared" si="1116"/>
        <v>7</v>
      </c>
      <c r="BH2713" s="210">
        <f t="shared" si="1117"/>
        <v>1</v>
      </c>
      <c r="BI2713" s="213">
        <f t="shared" si="1118"/>
        <v>700</v>
      </c>
      <c r="BJ2713" s="141"/>
      <c r="BK2713" s="201"/>
      <c r="BL2713" s="4"/>
      <c r="BM2713" s="4"/>
    </row>
    <row r="2714" spans="1:65" s="38" customFormat="1" ht="18" customHeight="1">
      <c r="A2714" s="114">
        <v>78</v>
      </c>
      <c r="B2714" s="24" t="s">
        <v>644</v>
      </c>
      <c r="C2714" s="25" t="s">
        <v>645</v>
      </c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229">
        <f t="shared" si="1119"/>
        <v>0</v>
      </c>
      <c r="AC2714" s="228">
        <f t="shared" si="1114"/>
        <v>0</v>
      </c>
      <c r="AD2714" s="19">
        <v>0</v>
      </c>
      <c r="AE2714" s="28"/>
      <c r="AF2714" s="28"/>
      <c r="AG2714" s="28"/>
      <c r="AH2714" s="28"/>
      <c r="AI2714" s="28"/>
      <c r="AJ2714" s="28">
        <f>42+17</f>
        <v>59</v>
      </c>
      <c r="AK2714" s="28"/>
      <c r="AL2714" s="28"/>
      <c r="AM2714" s="28"/>
      <c r="AN2714" s="28"/>
      <c r="AO2714" s="28"/>
      <c r="AP2714" s="28">
        <f>9+3</f>
        <v>12</v>
      </c>
      <c r="AQ2714" s="28"/>
      <c r="AR2714" s="28"/>
      <c r="AS2714" s="28"/>
      <c r="AT2714" s="28"/>
      <c r="AU2714" s="28"/>
      <c r="AV2714" s="28">
        <v>2</v>
      </c>
      <c r="AW2714" s="28"/>
      <c r="AX2714" s="28"/>
      <c r="AY2714" s="28"/>
      <c r="AZ2714" s="28"/>
      <c r="BA2714" s="28"/>
      <c r="BB2714" s="28">
        <f>7+2</f>
        <v>9</v>
      </c>
      <c r="BC2714" s="229">
        <f t="shared" si="1120"/>
        <v>0</v>
      </c>
      <c r="BD2714" s="48">
        <f t="shared" si="1115"/>
        <v>82</v>
      </c>
      <c r="BE2714" s="19">
        <v>53</v>
      </c>
      <c r="BF2714" s="229">
        <f t="shared" si="1121"/>
        <v>0</v>
      </c>
      <c r="BG2714" s="210">
        <f t="shared" si="1116"/>
        <v>82</v>
      </c>
      <c r="BH2714" s="210">
        <f t="shared" si="1117"/>
        <v>53</v>
      </c>
      <c r="BI2714" s="213">
        <f t="shared" si="1118"/>
        <v>154.71698113207549</v>
      </c>
      <c r="BJ2714" s="141"/>
      <c r="BK2714" s="201"/>
      <c r="BL2714" s="4"/>
      <c r="BM2714" s="4"/>
    </row>
    <row r="2715" spans="1:65" s="38" customFormat="1" ht="18" customHeight="1">
      <c r="A2715" s="114">
        <v>79</v>
      </c>
      <c r="B2715" s="24" t="s">
        <v>646</v>
      </c>
      <c r="C2715" s="25" t="s">
        <v>647</v>
      </c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229">
        <f t="shared" si="1119"/>
        <v>0</v>
      </c>
      <c r="AC2715" s="228">
        <f t="shared" si="1114"/>
        <v>0</v>
      </c>
      <c r="AD2715" s="19">
        <v>0</v>
      </c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29">
        <f t="shared" si="1120"/>
        <v>0</v>
      </c>
      <c r="BD2715" s="48">
        <f t="shared" si="1115"/>
        <v>0</v>
      </c>
      <c r="BE2715" s="19">
        <v>1</v>
      </c>
      <c r="BF2715" s="229">
        <f t="shared" si="1121"/>
        <v>0</v>
      </c>
      <c r="BG2715" s="210">
        <f t="shared" si="1116"/>
        <v>0</v>
      </c>
      <c r="BH2715" s="210">
        <f t="shared" si="1117"/>
        <v>1</v>
      </c>
      <c r="BI2715" s="213">
        <f t="shared" si="1118"/>
        <v>0</v>
      </c>
      <c r="BJ2715" s="141"/>
      <c r="BK2715" s="201"/>
      <c r="BL2715" s="4"/>
      <c r="BM2715" s="4"/>
    </row>
    <row r="2716" spans="1:65" s="38" customFormat="1" ht="18" customHeight="1">
      <c r="A2716" s="114">
        <v>80</v>
      </c>
      <c r="B2716" s="24" t="s">
        <v>698</v>
      </c>
      <c r="C2716" s="25" t="s">
        <v>699</v>
      </c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229">
        <f t="shared" si="1119"/>
        <v>0</v>
      </c>
      <c r="AC2716" s="228">
        <f t="shared" si="1114"/>
        <v>0</v>
      </c>
      <c r="AD2716" s="19">
        <v>0</v>
      </c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>
        <v>3</v>
      </c>
      <c r="AQ2716" s="28"/>
      <c r="AR2716" s="28"/>
      <c r="AS2716" s="28"/>
      <c r="AT2716" s="28"/>
      <c r="AU2716" s="28"/>
      <c r="AV2716" s="28">
        <v>1</v>
      </c>
      <c r="AW2716" s="28"/>
      <c r="AX2716" s="28"/>
      <c r="AY2716" s="28"/>
      <c r="AZ2716" s="28"/>
      <c r="BA2716" s="28"/>
      <c r="BB2716" s="28">
        <v>1</v>
      </c>
      <c r="BC2716" s="229">
        <f t="shared" si="1120"/>
        <v>0</v>
      </c>
      <c r="BD2716" s="48">
        <f t="shared" si="1115"/>
        <v>5</v>
      </c>
      <c r="BE2716" s="19">
        <v>23</v>
      </c>
      <c r="BF2716" s="229">
        <f t="shared" si="1121"/>
        <v>0</v>
      </c>
      <c r="BG2716" s="210">
        <f t="shared" si="1116"/>
        <v>5</v>
      </c>
      <c r="BH2716" s="210">
        <f t="shared" si="1117"/>
        <v>23</v>
      </c>
      <c r="BI2716" s="213">
        <f t="shared" si="1118"/>
        <v>21.739130434782609</v>
      </c>
      <c r="BJ2716" s="141"/>
      <c r="BK2716" s="201"/>
      <c r="BL2716" s="4"/>
      <c r="BM2716" s="4"/>
    </row>
    <row r="2717" spans="1:65" s="38" customFormat="1" ht="18" customHeight="1">
      <c r="A2717" s="114">
        <v>81</v>
      </c>
      <c r="B2717" s="24" t="s">
        <v>648</v>
      </c>
      <c r="C2717" s="25" t="s">
        <v>649</v>
      </c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229">
        <f t="shared" si="1119"/>
        <v>0</v>
      </c>
      <c r="AC2717" s="228">
        <f t="shared" si="1114"/>
        <v>0</v>
      </c>
      <c r="AD2717" s="19">
        <v>0</v>
      </c>
      <c r="AE2717" s="28"/>
      <c r="AF2717" s="28"/>
      <c r="AG2717" s="28"/>
      <c r="AH2717" s="28"/>
      <c r="AI2717" s="28"/>
      <c r="AJ2717" s="28">
        <v>4</v>
      </c>
      <c r="AK2717" s="28"/>
      <c r="AL2717" s="28"/>
      <c r="AM2717" s="28"/>
      <c r="AN2717" s="28"/>
      <c r="AO2717" s="28"/>
      <c r="AP2717" s="28">
        <v>1</v>
      </c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29">
        <f t="shared" si="1120"/>
        <v>0</v>
      </c>
      <c r="BD2717" s="48">
        <f t="shared" si="1115"/>
        <v>5</v>
      </c>
      <c r="BE2717" s="19">
        <v>1</v>
      </c>
      <c r="BF2717" s="229">
        <f t="shared" si="1121"/>
        <v>0</v>
      </c>
      <c r="BG2717" s="210">
        <f t="shared" si="1116"/>
        <v>5</v>
      </c>
      <c r="BH2717" s="210">
        <f t="shared" si="1117"/>
        <v>1</v>
      </c>
      <c r="BI2717" s="213">
        <f t="shared" si="1118"/>
        <v>500</v>
      </c>
      <c r="BJ2717" s="141"/>
      <c r="BK2717" s="201"/>
      <c r="BL2717" s="4"/>
      <c r="BM2717" s="4"/>
    </row>
    <row r="2718" spans="1:65" s="38" customFormat="1" ht="18" customHeight="1">
      <c r="A2718" s="114">
        <v>82</v>
      </c>
      <c r="B2718" s="24" t="s">
        <v>835</v>
      </c>
      <c r="C2718" s="25" t="s">
        <v>1962</v>
      </c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229">
        <f t="shared" si="1119"/>
        <v>0</v>
      </c>
      <c r="AC2718" s="228">
        <f t="shared" si="1114"/>
        <v>0</v>
      </c>
      <c r="AD2718" s="19">
        <v>0</v>
      </c>
      <c r="AE2718" s="28"/>
      <c r="AF2718" s="28"/>
      <c r="AG2718" s="28"/>
      <c r="AH2718" s="28"/>
      <c r="AI2718" s="28"/>
      <c r="AJ2718" s="28">
        <v>1</v>
      </c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>
        <v>1</v>
      </c>
      <c r="AW2718" s="28"/>
      <c r="AX2718" s="28"/>
      <c r="AY2718" s="28"/>
      <c r="AZ2718" s="28"/>
      <c r="BA2718" s="28"/>
      <c r="BB2718" s="28"/>
      <c r="BC2718" s="229">
        <f t="shared" si="1120"/>
        <v>0</v>
      </c>
      <c r="BD2718" s="48">
        <f t="shared" si="1115"/>
        <v>2</v>
      </c>
      <c r="BE2718" s="19">
        <v>1</v>
      </c>
      <c r="BF2718" s="229">
        <f t="shared" si="1121"/>
        <v>0</v>
      </c>
      <c r="BG2718" s="210">
        <f t="shared" si="1116"/>
        <v>2</v>
      </c>
      <c r="BH2718" s="210">
        <f t="shared" si="1117"/>
        <v>1</v>
      </c>
      <c r="BI2718" s="213">
        <f t="shared" si="1118"/>
        <v>200</v>
      </c>
      <c r="BJ2718" s="141"/>
      <c r="BK2718" s="201"/>
      <c r="BL2718" s="4"/>
      <c r="BM2718" s="4"/>
    </row>
    <row r="2719" spans="1:65" s="38" customFormat="1" ht="18" customHeight="1">
      <c r="A2719" s="114">
        <v>83</v>
      </c>
      <c r="B2719" s="24" t="s">
        <v>1395</v>
      </c>
      <c r="C2719" s="25" t="s">
        <v>1404</v>
      </c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229">
        <f t="shared" si="1119"/>
        <v>0</v>
      </c>
      <c r="AC2719" s="228">
        <f t="shared" si="1114"/>
        <v>0</v>
      </c>
      <c r="AD2719" s="19">
        <v>0</v>
      </c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/>
      <c r="BB2719" s="28"/>
      <c r="BC2719" s="229">
        <f t="shared" si="1120"/>
        <v>0</v>
      </c>
      <c r="BD2719" s="48">
        <f t="shared" si="1115"/>
        <v>0</v>
      </c>
      <c r="BE2719" s="19">
        <v>1</v>
      </c>
      <c r="BF2719" s="229">
        <f t="shared" si="1121"/>
        <v>0</v>
      </c>
      <c r="BG2719" s="210">
        <f t="shared" si="1116"/>
        <v>0</v>
      </c>
      <c r="BH2719" s="210">
        <f t="shared" si="1117"/>
        <v>1</v>
      </c>
      <c r="BI2719" s="213">
        <f t="shared" si="1118"/>
        <v>0</v>
      </c>
      <c r="BJ2719" s="141"/>
      <c r="BK2719" s="201"/>
      <c r="BL2719" s="4"/>
      <c r="BM2719" s="4"/>
    </row>
    <row r="2720" spans="1:65" s="38" customFormat="1" ht="18" customHeight="1">
      <c r="A2720" s="114">
        <v>84</v>
      </c>
      <c r="B2720" s="24" t="s">
        <v>892</v>
      </c>
      <c r="C2720" s="25" t="s">
        <v>893</v>
      </c>
      <c r="D2720" s="121"/>
      <c r="E2720" s="121"/>
      <c r="F2720" s="121"/>
      <c r="G2720" s="121"/>
      <c r="H2720" s="121"/>
      <c r="I2720" s="121">
        <v>27</v>
      </c>
      <c r="J2720" s="121"/>
      <c r="K2720" s="121"/>
      <c r="L2720" s="121"/>
      <c r="M2720" s="121"/>
      <c r="N2720" s="121"/>
      <c r="O2720" s="121">
        <v>44</v>
      </c>
      <c r="P2720" s="121"/>
      <c r="Q2720" s="121"/>
      <c r="R2720" s="121"/>
      <c r="S2720" s="121"/>
      <c r="T2720" s="121"/>
      <c r="U2720" s="121">
        <v>41</v>
      </c>
      <c r="V2720" s="121"/>
      <c r="W2720" s="121"/>
      <c r="X2720" s="121"/>
      <c r="Y2720" s="121"/>
      <c r="Z2720" s="121"/>
      <c r="AA2720" s="121">
        <v>55</v>
      </c>
      <c r="AB2720" s="229">
        <f t="shared" si="1119"/>
        <v>0</v>
      </c>
      <c r="AC2720" s="228">
        <f t="shared" si="1114"/>
        <v>167</v>
      </c>
      <c r="AD2720" s="19">
        <v>178</v>
      </c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  <c r="AZ2720" s="28"/>
      <c r="BA2720" s="28"/>
      <c r="BB2720" s="28"/>
      <c r="BC2720" s="229">
        <f t="shared" si="1120"/>
        <v>0</v>
      </c>
      <c r="BD2720" s="48">
        <f t="shared" si="1115"/>
        <v>0</v>
      </c>
      <c r="BE2720" s="19">
        <v>0</v>
      </c>
      <c r="BF2720" s="229">
        <f t="shared" si="1121"/>
        <v>0</v>
      </c>
      <c r="BG2720" s="210">
        <f t="shared" si="1116"/>
        <v>167</v>
      </c>
      <c r="BH2720" s="210">
        <f t="shared" si="1117"/>
        <v>178</v>
      </c>
      <c r="BI2720" s="213">
        <f t="shared" si="1118"/>
        <v>93.82022471910112</v>
      </c>
      <c r="BJ2720" s="141"/>
      <c r="BK2720" s="201"/>
      <c r="BL2720" s="4"/>
      <c r="BM2720" s="4"/>
    </row>
    <row r="2721" spans="1:65" s="38" customFormat="1" ht="18" customHeight="1">
      <c r="A2721" s="114">
        <v>85</v>
      </c>
      <c r="B2721" s="24" t="s">
        <v>651</v>
      </c>
      <c r="C2721" s="25" t="s">
        <v>1453</v>
      </c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229">
        <f t="shared" si="1119"/>
        <v>0</v>
      </c>
      <c r="AC2721" s="228">
        <f t="shared" si="1114"/>
        <v>0</v>
      </c>
      <c r="AD2721" s="19">
        <v>0</v>
      </c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29">
        <f t="shared" si="1120"/>
        <v>0</v>
      </c>
      <c r="BD2721" s="48">
        <f t="shared" si="1115"/>
        <v>0</v>
      </c>
      <c r="BE2721" s="19">
        <v>1</v>
      </c>
      <c r="BF2721" s="229">
        <f t="shared" si="1121"/>
        <v>0</v>
      </c>
      <c r="BG2721" s="210">
        <f t="shared" si="1116"/>
        <v>0</v>
      </c>
      <c r="BH2721" s="210">
        <f t="shared" si="1117"/>
        <v>1</v>
      </c>
      <c r="BI2721" s="213">
        <f t="shared" si="1118"/>
        <v>0</v>
      </c>
      <c r="BJ2721" s="141"/>
      <c r="BK2721" s="201"/>
      <c r="BL2721" s="4"/>
      <c r="BM2721" s="4"/>
    </row>
    <row r="2722" spans="1:65" s="38" customFormat="1" ht="18" customHeight="1">
      <c r="A2722" s="114">
        <v>86</v>
      </c>
      <c r="B2722" s="24" t="s">
        <v>814</v>
      </c>
      <c r="C2722" s="25" t="s">
        <v>815</v>
      </c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229">
        <f t="shared" si="1119"/>
        <v>0</v>
      </c>
      <c r="AC2722" s="228">
        <f t="shared" si="1114"/>
        <v>0</v>
      </c>
      <c r="AD2722" s="19">
        <v>0</v>
      </c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229">
        <f t="shared" si="1120"/>
        <v>0</v>
      </c>
      <c r="BD2722" s="48">
        <f t="shared" si="1115"/>
        <v>0</v>
      </c>
      <c r="BE2722" s="19">
        <v>1</v>
      </c>
      <c r="BF2722" s="229">
        <f t="shared" si="1121"/>
        <v>0</v>
      </c>
      <c r="BG2722" s="210">
        <f t="shared" si="1116"/>
        <v>0</v>
      </c>
      <c r="BH2722" s="210">
        <f t="shared" si="1117"/>
        <v>1</v>
      </c>
      <c r="BI2722" s="213">
        <f t="shared" si="1118"/>
        <v>0</v>
      </c>
      <c r="BJ2722" s="141"/>
      <c r="BK2722" s="201"/>
      <c r="BL2722" s="4"/>
      <c r="BM2722" s="4"/>
    </row>
    <row r="2723" spans="1:65" s="38" customFormat="1" ht="18" customHeight="1">
      <c r="A2723" s="114">
        <v>87</v>
      </c>
      <c r="B2723" s="24" t="s">
        <v>1397</v>
      </c>
      <c r="C2723" s="25" t="s">
        <v>1472</v>
      </c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229">
        <f t="shared" si="1119"/>
        <v>0</v>
      </c>
      <c r="AC2723" s="228">
        <f t="shared" si="1114"/>
        <v>0</v>
      </c>
      <c r="AD2723" s="19">
        <v>0</v>
      </c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29">
        <f t="shared" si="1120"/>
        <v>0</v>
      </c>
      <c r="BD2723" s="48">
        <f t="shared" si="1115"/>
        <v>0</v>
      </c>
      <c r="BE2723" s="19">
        <v>1</v>
      </c>
      <c r="BF2723" s="229">
        <f t="shared" si="1121"/>
        <v>0</v>
      </c>
      <c r="BG2723" s="210">
        <f t="shared" si="1116"/>
        <v>0</v>
      </c>
      <c r="BH2723" s="210">
        <f t="shared" si="1117"/>
        <v>1</v>
      </c>
      <c r="BI2723" s="213">
        <f t="shared" si="1118"/>
        <v>0</v>
      </c>
      <c r="BJ2723" s="141"/>
      <c r="BK2723" s="201"/>
      <c r="BL2723" s="4"/>
      <c r="BM2723" s="4"/>
    </row>
    <row r="2724" spans="1:65" s="38" customFormat="1" ht="18" customHeight="1">
      <c r="A2724" s="114">
        <v>88</v>
      </c>
      <c r="B2724" s="24" t="s">
        <v>1014</v>
      </c>
      <c r="C2724" s="25" t="s">
        <v>1376</v>
      </c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229">
        <f t="shared" si="1119"/>
        <v>0</v>
      </c>
      <c r="AC2724" s="228">
        <f t="shared" si="1114"/>
        <v>0</v>
      </c>
      <c r="AD2724" s="19">
        <v>0</v>
      </c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29">
        <f t="shared" si="1120"/>
        <v>0</v>
      </c>
      <c r="BD2724" s="48">
        <f t="shared" si="1115"/>
        <v>0</v>
      </c>
      <c r="BE2724" s="19">
        <v>1</v>
      </c>
      <c r="BF2724" s="229">
        <f t="shared" si="1121"/>
        <v>0</v>
      </c>
      <c r="BG2724" s="210">
        <f t="shared" si="1116"/>
        <v>0</v>
      </c>
      <c r="BH2724" s="210">
        <f t="shared" si="1117"/>
        <v>1</v>
      </c>
      <c r="BI2724" s="213">
        <f t="shared" si="1118"/>
        <v>0</v>
      </c>
      <c r="BJ2724" s="141"/>
      <c r="BK2724" s="201"/>
      <c r="BL2724" s="4"/>
      <c r="BM2724" s="4"/>
    </row>
    <row r="2725" spans="1:65" s="38" customFormat="1" ht="18" customHeight="1">
      <c r="A2725" s="114">
        <v>89</v>
      </c>
      <c r="B2725" s="24" t="s">
        <v>926</v>
      </c>
      <c r="C2725" s="25" t="s">
        <v>1749</v>
      </c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229">
        <f t="shared" si="1119"/>
        <v>0</v>
      </c>
      <c r="AC2725" s="228">
        <f t="shared" si="1114"/>
        <v>0</v>
      </c>
      <c r="AD2725" s="19">
        <v>0</v>
      </c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  <c r="AZ2725" s="28"/>
      <c r="BA2725" s="28"/>
      <c r="BB2725" s="28"/>
      <c r="BC2725" s="229">
        <f t="shared" si="1120"/>
        <v>0</v>
      </c>
      <c r="BD2725" s="48">
        <f t="shared" si="1115"/>
        <v>0</v>
      </c>
      <c r="BE2725" s="19">
        <v>1</v>
      </c>
      <c r="BF2725" s="229">
        <f t="shared" si="1121"/>
        <v>0</v>
      </c>
      <c r="BG2725" s="210">
        <f t="shared" si="1116"/>
        <v>0</v>
      </c>
      <c r="BH2725" s="210">
        <f t="shared" si="1117"/>
        <v>1</v>
      </c>
      <c r="BI2725" s="213">
        <f t="shared" si="1118"/>
        <v>0</v>
      </c>
      <c r="BJ2725" s="141"/>
      <c r="BK2725" s="201"/>
      <c r="BL2725" s="4"/>
      <c r="BM2725" s="4"/>
    </row>
    <row r="2726" spans="1:65" s="38" customFormat="1" ht="18" customHeight="1">
      <c r="A2726" s="114">
        <v>90</v>
      </c>
      <c r="B2726" s="24" t="s">
        <v>927</v>
      </c>
      <c r="C2726" s="25" t="s">
        <v>1392</v>
      </c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229">
        <f t="shared" si="1119"/>
        <v>0</v>
      </c>
      <c r="AC2726" s="228">
        <f t="shared" ref="AC2726:AC2757" si="1122">E2726+G2726+I2726+K2726+M2726+O2726+Q2726+S2726+U2726+W2726+Y2726+AA2726</f>
        <v>0</v>
      </c>
      <c r="AD2726" s="19">
        <v>0</v>
      </c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29">
        <f t="shared" si="1120"/>
        <v>0</v>
      </c>
      <c r="BD2726" s="48">
        <f t="shared" ref="BD2726:BD2757" si="1123">AF2726+AH2726+AJ2726+AL2726+AN2726+AP2726+AR2726+AT2726+AV2726+AX2726+AZ2726+BB2726</f>
        <v>0</v>
      </c>
      <c r="BE2726" s="19">
        <v>1</v>
      </c>
      <c r="BF2726" s="229">
        <f t="shared" si="1121"/>
        <v>0</v>
      </c>
      <c r="BG2726" s="210">
        <f t="shared" ref="BG2726:BG2757" si="1124">AC2726+BD2726</f>
        <v>0</v>
      </c>
      <c r="BH2726" s="210">
        <f t="shared" ref="BH2726:BH2757" si="1125">AD2726+BE2726</f>
        <v>1</v>
      </c>
      <c r="BI2726" s="213">
        <f t="shared" si="1118"/>
        <v>0</v>
      </c>
      <c r="BJ2726" s="141"/>
      <c r="BK2726" s="201"/>
      <c r="BL2726" s="4"/>
      <c r="BM2726" s="4"/>
    </row>
    <row r="2727" spans="1:65" s="38" customFormat="1" ht="18" customHeight="1">
      <c r="A2727" s="114">
        <v>91</v>
      </c>
      <c r="B2727" s="24" t="s">
        <v>1015</v>
      </c>
      <c r="C2727" s="25" t="s">
        <v>1467</v>
      </c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229">
        <f t="shared" si="1119"/>
        <v>0</v>
      </c>
      <c r="AC2727" s="228">
        <f t="shared" si="1122"/>
        <v>0</v>
      </c>
      <c r="AD2727" s="19">
        <v>0</v>
      </c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29">
        <f t="shared" si="1120"/>
        <v>0</v>
      </c>
      <c r="BD2727" s="48">
        <f t="shared" si="1123"/>
        <v>0</v>
      </c>
      <c r="BE2727" s="19">
        <v>12</v>
      </c>
      <c r="BF2727" s="229">
        <f t="shared" si="1121"/>
        <v>0</v>
      </c>
      <c r="BG2727" s="210">
        <f t="shared" si="1124"/>
        <v>0</v>
      </c>
      <c r="BH2727" s="210">
        <f t="shared" si="1125"/>
        <v>12</v>
      </c>
      <c r="BI2727" s="213">
        <f t="shared" si="1118"/>
        <v>0</v>
      </c>
      <c r="BJ2727" s="141"/>
      <c r="BK2727" s="201"/>
      <c r="BL2727" s="4"/>
      <c r="BM2727" s="4"/>
    </row>
    <row r="2728" spans="1:65" s="38" customFormat="1" ht="18" customHeight="1">
      <c r="A2728" s="114">
        <v>92</v>
      </c>
      <c r="B2728" s="24" t="s">
        <v>987</v>
      </c>
      <c r="C2728" s="25" t="s">
        <v>1394</v>
      </c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229">
        <f t="shared" si="1119"/>
        <v>0</v>
      </c>
      <c r="AC2728" s="228">
        <f t="shared" si="1122"/>
        <v>0</v>
      </c>
      <c r="AD2728" s="19">
        <v>0</v>
      </c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8"/>
      <c r="BC2728" s="229">
        <f t="shared" si="1120"/>
        <v>0</v>
      </c>
      <c r="BD2728" s="48">
        <f t="shared" si="1123"/>
        <v>0</v>
      </c>
      <c r="BE2728" s="19">
        <v>48</v>
      </c>
      <c r="BF2728" s="229">
        <f t="shared" si="1121"/>
        <v>0</v>
      </c>
      <c r="BG2728" s="210">
        <f t="shared" si="1124"/>
        <v>0</v>
      </c>
      <c r="BH2728" s="210">
        <f t="shared" si="1125"/>
        <v>48</v>
      </c>
      <c r="BI2728" s="213">
        <f t="shared" si="1118"/>
        <v>0</v>
      </c>
      <c r="BJ2728" s="141"/>
      <c r="BK2728" s="201"/>
      <c r="BL2728" s="4"/>
      <c r="BM2728" s="4"/>
    </row>
    <row r="2729" spans="1:65" s="38" customFormat="1" ht="18" customHeight="1">
      <c r="A2729" s="114">
        <v>93</v>
      </c>
      <c r="B2729" s="24" t="s">
        <v>1017</v>
      </c>
      <c r="C2729" s="25" t="s">
        <v>1451</v>
      </c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229">
        <f t="shared" si="1119"/>
        <v>0</v>
      </c>
      <c r="AC2729" s="228">
        <f t="shared" si="1122"/>
        <v>0</v>
      </c>
      <c r="AD2729" s="19">
        <v>0</v>
      </c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29">
        <f t="shared" si="1120"/>
        <v>0</v>
      </c>
      <c r="BD2729" s="48">
        <f t="shared" si="1123"/>
        <v>0</v>
      </c>
      <c r="BE2729" s="19">
        <v>1</v>
      </c>
      <c r="BF2729" s="229">
        <f t="shared" si="1121"/>
        <v>0</v>
      </c>
      <c r="BG2729" s="210">
        <f t="shared" si="1124"/>
        <v>0</v>
      </c>
      <c r="BH2729" s="210">
        <f t="shared" si="1125"/>
        <v>1</v>
      </c>
      <c r="BI2729" s="213">
        <f t="shared" si="1118"/>
        <v>0</v>
      </c>
      <c r="BJ2729" s="141"/>
      <c r="BK2729" s="201"/>
      <c r="BL2729" s="4"/>
      <c r="BM2729" s="4"/>
    </row>
    <row r="2730" spans="1:65" s="38" customFormat="1" ht="18" customHeight="1">
      <c r="A2730" s="114">
        <v>94</v>
      </c>
      <c r="B2730" s="24" t="s">
        <v>1136</v>
      </c>
      <c r="C2730" s="25" t="s">
        <v>2169</v>
      </c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229">
        <f t="shared" si="1119"/>
        <v>0</v>
      </c>
      <c r="AC2730" s="228">
        <f t="shared" si="1122"/>
        <v>0</v>
      </c>
      <c r="AD2730" s="19">
        <v>0</v>
      </c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229">
        <f t="shared" si="1120"/>
        <v>0</v>
      </c>
      <c r="BD2730" s="48">
        <f t="shared" si="1123"/>
        <v>0</v>
      </c>
      <c r="BE2730" s="19">
        <v>1</v>
      </c>
      <c r="BF2730" s="229">
        <f t="shared" si="1121"/>
        <v>0</v>
      </c>
      <c r="BG2730" s="210">
        <f t="shared" si="1124"/>
        <v>0</v>
      </c>
      <c r="BH2730" s="210">
        <f t="shared" si="1125"/>
        <v>1</v>
      </c>
      <c r="BI2730" s="213">
        <f t="shared" si="1118"/>
        <v>0</v>
      </c>
      <c r="BJ2730" s="141"/>
      <c r="BK2730" s="201"/>
      <c r="BL2730" s="4"/>
      <c r="BM2730" s="4"/>
    </row>
    <row r="2731" spans="1:65" s="38" customFormat="1" ht="18" customHeight="1">
      <c r="A2731" s="114">
        <v>95</v>
      </c>
      <c r="B2731" s="24" t="s">
        <v>1018</v>
      </c>
      <c r="C2731" s="25" t="s">
        <v>2439</v>
      </c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229">
        <f t="shared" si="1119"/>
        <v>0</v>
      </c>
      <c r="AC2731" s="228">
        <f t="shared" si="1122"/>
        <v>0</v>
      </c>
      <c r="AD2731" s="19">
        <v>0</v>
      </c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29">
        <f t="shared" si="1120"/>
        <v>0</v>
      </c>
      <c r="BD2731" s="48">
        <f t="shared" si="1123"/>
        <v>0</v>
      </c>
      <c r="BE2731" s="19">
        <v>1</v>
      </c>
      <c r="BF2731" s="229">
        <f t="shared" si="1121"/>
        <v>0</v>
      </c>
      <c r="BG2731" s="210">
        <f t="shared" si="1124"/>
        <v>0</v>
      </c>
      <c r="BH2731" s="210">
        <f t="shared" si="1125"/>
        <v>1</v>
      </c>
      <c r="BI2731" s="213">
        <f t="shared" si="1118"/>
        <v>0</v>
      </c>
      <c r="BJ2731" s="141"/>
      <c r="BK2731" s="201"/>
      <c r="BL2731" s="4"/>
      <c r="BM2731" s="4"/>
    </row>
    <row r="2732" spans="1:65" s="38" customFormat="1" ht="18" customHeight="1">
      <c r="A2732" s="114">
        <v>96</v>
      </c>
      <c r="B2732" s="24" t="s">
        <v>1090</v>
      </c>
      <c r="C2732" s="25" t="s">
        <v>2437</v>
      </c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229">
        <f t="shared" si="1119"/>
        <v>0</v>
      </c>
      <c r="AC2732" s="228">
        <f t="shared" si="1122"/>
        <v>0</v>
      </c>
      <c r="AD2732" s="19">
        <v>0</v>
      </c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  <c r="AZ2732" s="28"/>
      <c r="BA2732" s="28"/>
      <c r="BB2732" s="28"/>
      <c r="BC2732" s="229">
        <f t="shared" si="1120"/>
        <v>0</v>
      </c>
      <c r="BD2732" s="48">
        <f t="shared" si="1123"/>
        <v>0</v>
      </c>
      <c r="BE2732" s="19">
        <v>1</v>
      </c>
      <c r="BF2732" s="229">
        <f t="shared" si="1121"/>
        <v>0</v>
      </c>
      <c r="BG2732" s="210">
        <f t="shared" si="1124"/>
        <v>0</v>
      </c>
      <c r="BH2732" s="210">
        <f t="shared" si="1125"/>
        <v>1</v>
      </c>
      <c r="BI2732" s="213">
        <f t="shared" si="1118"/>
        <v>0</v>
      </c>
      <c r="BJ2732" s="141"/>
      <c r="BK2732" s="201"/>
      <c r="BL2732" s="4"/>
      <c r="BM2732" s="4"/>
    </row>
    <row r="2733" spans="1:65" s="38" customFormat="1" ht="18" customHeight="1">
      <c r="A2733" s="114">
        <v>97</v>
      </c>
      <c r="B2733" s="24" t="s">
        <v>1020</v>
      </c>
      <c r="C2733" s="25" t="s">
        <v>1707</v>
      </c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229">
        <f t="shared" si="1119"/>
        <v>0</v>
      </c>
      <c r="AC2733" s="228">
        <f t="shared" si="1122"/>
        <v>0</v>
      </c>
      <c r="AD2733" s="19">
        <v>0</v>
      </c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29">
        <f t="shared" si="1120"/>
        <v>0</v>
      </c>
      <c r="BD2733" s="48">
        <f t="shared" si="1123"/>
        <v>0</v>
      </c>
      <c r="BE2733" s="19">
        <v>1</v>
      </c>
      <c r="BF2733" s="229">
        <f t="shared" si="1121"/>
        <v>0</v>
      </c>
      <c r="BG2733" s="210">
        <f t="shared" si="1124"/>
        <v>0</v>
      </c>
      <c r="BH2733" s="210">
        <f t="shared" si="1125"/>
        <v>1</v>
      </c>
      <c r="BI2733" s="213">
        <f t="shared" ref="BI2733:BI2764" si="1126">BG2733/BH2733*100</f>
        <v>0</v>
      </c>
      <c r="BJ2733" s="141"/>
      <c r="BK2733" s="201"/>
      <c r="BL2733" s="4"/>
      <c r="BM2733" s="4"/>
    </row>
    <row r="2734" spans="1:65" s="38" customFormat="1" ht="18" customHeight="1">
      <c r="A2734" s="114">
        <v>98</v>
      </c>
      <c r="B2734" s="24" t="s">
        <v>816</v>
      </c>
      <c r="C2734" s="25" t="s">
        <v>1633</v>
      </c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229">
        <f t="shared" si="1119"/>
        <v>0</v>
      </c>
      <c r="AC2734" s="228">
        <f t="shared" si="1122"/>
        <v>0</v>
      </c>
      <c r="AD2734" s="19">
        <v>0</v>
      </c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229">
        <f t="shared" si="1120"/>
        <v>0</v>
      </c>
      <c r="BD2734" s="48">
        <f t="shared" si="1123"/>
        <v>0</v>
      </c>
      <c r="BE2734" s="19">
        <v>1</v>
      </c>
      <c r="BF2734" s="229">
        <f t="shared" si="1121"/>
        <v>0</v>
      </c>
      <c r="BG2734" s="210">
        <f t="shared" si="1124"/>
        <v>0</v>
      </c>
      <c r="BH2734" s="210">
        <f t="shared" si="1125"/>
        <v>1</v>
      </c>
      <c r="BI2734" s="213">
        <f t="shared" si="1126"/>
        <v>0</v>
      </c>
      <c r="BJ2734" s="141"/>
      <c r="BK2734" s="201"/>
      <c r="BL2734" s="4"/>
      <c r="BM2734" s="4"/>
    </row>
    <row r="2735" spans="1:65" s="38" customFormat="1" ht="18" customHeight="1">
      <c r="A2735" s="114">
        <v>99</v>
      </c>
      <c r="B2735" s="24" t="s">
        <v>990</v>
      </c>
      <c r="C2735" s="25" t="s">
        <v>2358</v>
      </c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229">
        <f t="shared" ref="AB2735:AB2766" si="1127">D2735+F2735+H2735+J2735+L2735+N2735+P2735+R2735+T2735+V2735+X2735+Z2735</f>
        <v>0</v>
      </c>
      <c r="AC2735" s="228">
        <f t="shared" si="1122"/>
        <v>0</v>
      </c>
      <c r="AD2735" s="19">
        <v>0</v>
      </c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  <c r="AZ2735" s="28"/>
      <c r="BA2735" s="28"/>
      <c r="BB2735" s="28"/>
      <c r="BC2735" s="229">
        <f t="shared" ref="BC2735:BC2766" si="1128">AE2735+AG2735+AI2735+AK2735+AM2735+AO2735+AQ2735+AS2735+AU2735+AW2735+AY2735+BA2735</f>
        <v>0</v>
      </c>
      <c r="BD2735" s="48">
        <f t="shared" si="1123"/>
        <v>0</v>
      </c>
      <c r="BE2735" s="19">
        <v>1</v>
      </c>
      <c r="BF2735" s="229">
        <f t="shared" ref="BF2735:BF2766" si="1129">AB2735+BC2735</f>
        <v>0</v>
      </c>
      <c r="BG2735" s="210">
        <f t="shared" si="1124"/>
        <v>0</v>
      </c>
      <c r="BH2735" s="210">
        <f t="shared" si="1125"/>
        <v>1</v>
      </c>
      <c r="BI2735" s="213">
        <f t="shared" si="1126"/>
        <v>0</v>
      </c>
      <c r="BJ2735" s="141"/>
      <c r="BK2735" s="201"/>
      <c r="BL2735" s="4"/>
      <c r="BM2735" s="4"/>
    </row>
    <row r="2736" spans="1:65" s="38" customFormat="1" ht="18" customHeight="1">
      <c r="A2736" s="114">
        <v>100</v>
      </c>
      <c r="B2736" s="24" t="s">
        <v>1021</v>
      </c>
      <c r="C2736" s="25" t="s">
        <v>2436</v>
      </c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229">
        <f t="shared" si="1127"/>
        <v>0</v>
      </c>
      <c r="AC2736" s="228">
        <f t="shared" si="1122"/>
        <v>0</v>
      </c>
      <c r="AD2736" s="19">
        <v>0</v>
      </c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29">
        <f t="shared" si="1128"/>
        <v>0</v>
      </c>
      <c r="BD2736" s="48">
        <f t="shared" si="1123"/>
        <v>0</v>
      </c>
      <c r="BE2736" s="19">
        <v>1</v>
      </c>
      <c r="BF2736" s="229">
        <f t="shared" si="1129"/>
        <v>0</v>
      </c>
      <c r="BG2736" s="210">
        <f t="shared" si="1124"/>
        <v>0</v>
      </c>
      <c r="BH2736" s="210">
        <f t="shared" si="1125"/>
        <v>1</v>
      </c>
      <c r="BI2736" s="213">
        <f t="shared" si="1126"/>
        <v>0</v>
      </c>
      <c r="BJ2736" s="141"/>
      <c r="BK2736" s="201"/>
      <c r="BL2736" s="4"/>
      <c r="BM2736" s="4"/>
    </row>
    <row r="2737" spans="1:65" s="38" customFormat="1" ht="18" customHeight="1">
      <c r="A2737" s="114">
        <v>101</v>
      </c>
      <c r="B2737" s="24" t="s">
        <v>1022</v>
      </c>
      <c r="C2737" s="25" t="s">
        <v>2172</v>
      </c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229">
        <f t="shared" si="1127"/>
        <v>0</v>
      </c>
      <c r="AC2737" s="228">
        <f t="shared" si="1122"/>
        <v>0</v>
      </c>
      <c r="AD2737" s="19">
        <v>0</v>
      </c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29">
        <f t="shared" si="1128"/>
        <v>0</v>
      </c>
      <c r="BD2737" s="48">
        <f t="shared" si="1123"/>
        <v>0</v>
      </c>
      <c r="BE2737" s="19">
        <v>1</v>
      </c>
      <c r="BF2737" s="229">
        <f t="shared" si="1129"/>
        <v>0</v>
      </c>
      <c r="BG2737" s="210">
        <f t="shared" si="1124"/>
        <v>0</v>
      </c>
      <c r="BH2737" s="210">
        <f t="shared" si="1125"/>
        <v>1</v>
      </c>
      <c r="BI2737" s="213">
        <f t="shared" si="1126"/>
        <v>0</v>
      </c>
      <c r="BJ2737" s="141"/>
      <c r="BK2737" s="201"/>
      <c r="BL2737" s="4"/>
      <c r="BM2737" s="4"/>
    </row>
    <row r="2738" spans="1:65" s="38" customFormat="1" ht="18" customHeight="1">
      <c r="A2738" s="114">
        <v>102</v>
      </c>
      <c r="B2738" s="24" t="s">
        <v>991</v>
      </c>
      <c r="C2738" s="25" t="s">
        <v>1091</v>
      </c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229">
        <f t="shared" si="1127"/>
        <v>0</v>
      </c>
      <c r="AC2738" s="228">
        <f t="shared" si="1122"/>
        <v>0</v>
      </c>
      <c r="AD2738" s="19">
        <v>0</v>
      </c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229">
        <f t="shared" si="1128"/>
        <v>0</v>
      </c>
      <c r="BD2738" s="48">
        <f t="shared" si="1123"/>
        <v>0</v>
      </c>
      <c r="BE2738" s="19">
        <v>1</v>
      </c>
      <c r="BF2738" s="229">
        <f t="shared" si="1129"/>
        <v>0</v>
      </c>
      <c r="BG2738" s="210">
        <f t="shared" si="1124"/>
        <v>0</v>
      </c>
      <c r="BH2738" s="210">
        <f t="shared" si="1125"/>
        <v>1</v>
      </c>
      <c r="BI2738" s="213">
        <f t="shared" si="1126"/>
        <v>0</v>
      </c>
      <c r="BJ2738" s="141"/>
      <c r="BK2738" s="201"/>
      <c r="BL2738" s="4"/>
      <c r="BM2738" s="4"/>
    </row>
    <row r="2739" spans="1:65" s="38" customFormat="1" ht="18" customHeight="1">
      <c r="A2739" s="114">
        <v>103</v>
      </c>
      <c r="B2739" s="24" t="s">
        <v>703</v>
      </c>
      <c r="C2739" s="25" t="s">
        <v>774</v>
      </c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229">
        <f t="shared" si="1127"/>
        <v>0</v>
      </c>
      <c r="AC2739" s="228">
        <f t="shared" si="1122"/>
        <v>0</v>
      </c>
      <c r="AD2739" s="19">
        <v>0</v>
      </c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>
        <v>2</v>
      </c>
      <c r="AW2739" s="28"/>
      <c r="AX2739" s="28"/>
      <c r="AY2739" s="28"/>
      <c r="AZ2739" s="28"/>
      <c r="BA2739" s="28"/>
      <c r="BB2739" s="28"/>
      <c r="BC2739" s="229">
        <f t="shared" si="1128"/>
        <v>0</v>
      </c>
      <c r="BD2739" s="48">
        <f t="shared" si="1123"/>
        <v>2</v>
      </c>
      <c r="BE2739" s="19">
        <v>1</v>
      </c>
      <c r="BF2739" s="229">
        <f t="shared" si="1129"/>
        <v>0</v>
      </c>
      <c r="BG2739" s="210">
        <f t="shared" si="1124"/>
        <v>2</v>
      </c>
      <c r="BH2739" s="210">
        <f t="shared" si="1125"/>
        <v>1</v>
      </c>
      <c r="BI2739" s="213">
        <f t="shared" si="1126"/>
        <v>200</v>
      </c>
      <c r="BJ2739" s="141"/>
      <c r="BK2739" s="201"/>
      <c r="BL2739" s="4"/>
      <c r="BM2739" s="4"/>
    </row>
    <row r="2740" spans="1:65" s="38" customFormat="1" ht="18" customHeight="1">
      <c r="A2740" s="114">
        <v>104</v>
      </c>
      <c r="B2740" s="24" t="s">
        <v>896</v>
      </c>
      <c r="C2740" s="25" t="s">
        <v>992</v>
      </c>
      <c r="D2740" s="121"/>
      <c r="E2740" s="121"/>
      <c r="F2740" s="121"/>
      <c r="G2740" s="121"/>
      <c r="H2740" s="121"/>
      <c r="I2740" s="121">
        <v>2</v>
      </c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229">
        <f t="shared" si="1127"/>
        <v>0</v>
      </c>
      <c r="AC2740" s="228">
        <f t="shared" si="1122"/>
        <v>2</v>
      </c>
      <c r="AD2740" s="19">
        <v>2</v>
      </c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  <c r="AZ2740" s="28"/>
      <c r="BA2740" s="28"/>
      <c r="BB2740" s="28"/>
      <c r="BC2740" s="229">
        <f t="shared" si="1128"/>
        <v>0</v>
      </c>
      <c r="BD2740" s="48">
        <f t="shared" si="1123"/>
        <v>0</v>
      </c>
      <c r="BE2740" s="19">
        <v>1</v>
      </c>
      <c r="BF2740" s="229">
        <f t="shared" si="1129"/>
        <v>0</v>
      </c>
      <c r="BG2740" s="210">
        <f t="shared" si="1124"/>
        <v>2</v>
      </c>
      <c r="BH2740" s="210">
        <f t="shared" si="1125"/>
        <v>3</v>
      </c>
      <c r="BI2740" s="213">
        <f t="shared" si="1126"/>
        <v>66.666666666666657</v>
      </c>
      <c r="BJ2740" s="141"/>
      <c r="BK2740" s="201"/>
      <c r="BL2740" s="4"/>
      <c r="BM2740" s="4"/>
    </row>
    <row r="2741" spans="1:65" s="38" customFormat="1" ht="18" customHeight="1">
      <c r="A2741" s="114">
        <v>105</v>
      </c>
      <c r="B2741" s="24" t="s">
        <v>817</v>
      </c>
      <c r="C2741" s="25" t="s">
        <v>1092</v>
      </c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229">
        <f t="shared" si="1127"/>
        <v>0</v>
      </c>
      <c r="AC2741" s="228">
        <f t="shared" si="1122"/>
        <v>0</v>
      </c>
      <c r="AD2741" s="19">
        <v>0</v>
      </c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  <c r="AZ2741" s="28"/>
      <c r="BA2741" s="28"/>
      <c r="BB2741" s="28"/>
      <c r="BC2741" s="229">
        <f t="shared" si="1128"/>
        <v>0</v>
      </c>
      <c r="BD2741" s="48">
        <f t="shared" si="1123"/>
        <v>0</v>
      </c>
      <c r="BE2741" s="19">
        <v>1</v>
      </c>
      <c r="BF2741" s="229">
        <f t="shared" si="1129"/>
        <v>0</v>
      </c>
      <c r="BG2741" s="210">
        <f t="shared" si="1124"/>
        <v>0</v>
      </c>
      <c r="BH2741" s="210">
        <f t="shared" si="1125"/>
        <v>1</v>
      </c>
      <c r="BI2741" s="213">
        <f t="shared" si="1126"/>
        <v>0</v>
      </c>
      <c r="BJ2741" s="141"/>
      <c r="BK2741" s="201"/>
      <c r="BL2741" s="4"/>
      <c r="BM2741" s="4"/>
    </row>
    <row r="2742" spans="1:65" s="38" customFormat="1" ht="18" customHeight="1">
      <c r="A2742" s="114">
        <v>106</v>
      </c>
      <c r="B2742" s="24" t="s">
        <v>819</v>
      </c>
      <c r="C2742" s="25" t="s">
        <v>993</v>
      </c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229">
        <f t="shared" si="1127"/>
        <v>0</v>
      </c>
      <c r="AC2742" s="228">
        <f t="shared" si="1122"/>
        <v>0</v>
      </c>
      <c r="AD2742" s="19">
        <v>0</v>
      </c>
      <c r="AE2742" s="28"/>
      <c r="AF2742" s="28"/>
      <c r="AG2742" s="28"/>
      <c r="AH2742" s="28"/>
      <c r="AI2742" s="28"/>
      <c r="AJ2742" s="28">
        <v>4</v>
      </c>
      <c r="AK2742" s="28"/>
      <c r="AL2742" s="28"/>
      <c r="AM2742" s="28"/>
      <c r="AN2742" s="28"/>
      <c r="AO2742" s="28"/>
      <c r="AP2742" s="28">
        <v>2</v>
      </c>
      <c r="AQ2742" s="28"/>
      <c r="AR2742" s="28"/>
      <c r="AS2742" s="28"/>
      <c r="AT2742" s="28"/>
      <c r="AU2742" s="28"/>
      <c r="AV2742" s="28"/>
      <c r="AW2742" s="28"/>
      <c r="AX2742" s="28"/>
      <c r="AY2742" s="28"/>
      <c r="AZ2742" s="28"/>
      <c r="BA2742" s="28"/>
      <c r="BB2742" s="28">
        <v>5</v>
      </c>
      <c r="BC2742" s="229">
        <f t="shared" si="1128"/>
        <v>0</v>
      </c>
      <c r="BD2742" s="48">
        <f t="shared" si="1123"/>
        <v>11</v>
      </c>
      <c r="BE2742" s="19">
        <v>1</v>
      </c>
      <c r="BF2742" s="229">
        <f t="shared" si="1129"/>
        <v>0</v>
      </c>
      <c r="BG2742" s="210">
        <f t="shared" si="1124"/>
        <v>11</v>
      </c>
      <c r="BH2742" s="210">
        <f t="shared" si="1125"/>
        <v>1</v>
      </c>
      <c r="BI2742" s="213">
        <f t="shared" si="1126"/>
        <v>1100</v>
      </c>
      <c r="BJ2742" s="141"/>
      <c r="BK2742" s="201"/>
      <c r="BL2742" s="4"/>
      <c r="BM2742" s="4"/>
    </row>
    <row r="2743" spans="1:65" s="38" customFormat="1" ht="18" customHeight="1">
      <c r="A2743" s="114">
        <v>107</v>
      </c>
      <c r="B2743" s="24" t="s">
        <v>1503</v>
      </c>
      <c r="C2743" s="25" t="s">
        <v>1504</v>
      </c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229">
        <f t="shared" si="1127"/>
        <v>0</v>
      </c>
      <c r="AC2743" s="228">
        <f t="shared" si="1122"/>
        <v>0</v>
      </c>
      <c r="AD2743" s="19">
        <v>0</v>
      </c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29">
        <f t="shared" si="1128"/>
        <v>0</v>
      </c>
      <c r="BD2743" s="48">
        <f t="shared" si="1123"/>
        <v>0</v>
      </c>
      <c r="BE2743" s="19">
        <v>1</v>
      </c>
      <c r="BF2743" s="229">
        <f t="shared" si="1129"/>
        <v>0</v>
      </c>
      <c r="BG2743" s="210">
        <f t="shared" si="1124"/>
        <v>0</v>
      </c>
      <c r="BH2743" s="210">
        <f t="shared" si="1125"/>
        <v>1</v>
      </c>
      <c r="BI2743" s="213">
        <f t="shared" si="1126"/>
        <v>0</v>
      </c>
      <c r="BJ2743" s="141"/>
      <c r="BK2743" s="201"/>
      <c r="BL2743" s="4"/>
      <c r="BM2743" s="4"/>
    </row>
    <row r="2744" spans="1:65" s="38" customFormat="1" ht="18" customHeight="1">
      <c r="A2744" s="114">
        <v>108</v>
      </c>
      <c r="B2744" s="24" t="s">
        <v>723</v>
      </c>
      <c r="C2744" s="25" t="s">
        <v>2435</v>
      </c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229">
        <f t="shared" si="1127"/>
        <v>0</v>
      </c>
      <c r="AC2744" s="228">
        <f t="shared" si="1122"/>
        <v>0</v>
      </c>
      <c r="AD2744" s="19">
        <v>0</v>
      </c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229">
        <f t="shared" si="1128"/>
        <v>0</v>
      </c>
      <c r="BD2744" s="48">
        <f t="shared" si="1123"/>
        <v>0</v>
      </c>
      <c r="BE2744" s="19">
        <v>1</v>
      </c>
      <c r="BF2744" s="229">
        <f t="shared" si="1129"/>
        <v>0</v>
      </c>
      <c r="BG2744" s="210">
        <f t="shared" si="1124"/>
        <v>0</v>
      </c>
      <c r="BH2744" s="210">
        <f t="shared" si="1125"/>
        <v>1</v>
      </c>
      <c r="BI2744" s="213">
        <f t="shared" si="1126"/>
        <v>0</v>
      </c>
      <c r="BJ2744" s="141"/>
      <c r="BK2744" s="201"/>
      <c r="BL2744" s="4"/>
      <c r="BM2744" s="4"/>
    </row>
    <row r="2745" spans="1:65" s="38" customFormat="1" ht="18" customHeight="1">
      <c r="A2745" s="114">
        <v>109</v>
      </c>
      <c r="B2745" s="24" t="s">
        <v>899</v>
      </c>
      <c r="C2745" s="25" t="s">
        <v>1700</v>
      </c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229">
        <f t="shared" si="1127"/>
        <v>0</v>
      </c>
      <c r="AC2745" s="228">
        <f t="shared" si="1122"/>
        <v>0</v>
      </c>
      <c r="AD2745" s="19">
        <v>0</v>
      </c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  <c r="AZ2745" s="28"/>
      <c r="BA2745" s="28"/>
      <c r="BB2745" s="28"/>
      <c r="BC2745" s="229">
        <f t="shared" si="1128"/>
        <v>0</v>
      </c>
      <c r="BD2745" s="48">
        <f t="shared" si="1123"/>
        <v>0</v>
      </c>
      <c r="BE2745" s="19">
        <v>1</v>
      </c>
      <c r="BF2745" s="229">
        <f t="shared" si="1129"/>
        <v>0</v>
      </c>
      <c r="BG2745" s="210">
        <f t="shared" si="1124"/>
        <v>0</v>
      </c>
      <c r="BH2745" s="210">
        <f t="shared" si="1125"/>
        <v>1</v>
      </c>
      <c r="BI2745" s="213">
        <f t="shared" si="1126"/>
        <v>0</v>
      </c>
      <c r="BJ2745" s="141"/>
      <c r="BK2745" s="201"/>
      <c r="BL2745" s="4"/>
      <c r="BM2745" s="4"/>
    </row>
    <row r="2746" spans="1:65" s="38" customFormat="1" ht="18" customHeight="1">
      <c r="A2746" s="114">
        <v>110</v>
      </c>
      <c r="B2746" s="24" t="s">
        <v>928</v>
      </c>
      <c r="C2746" s="25" t="s">
        <v>2270</v>
      </c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229">
        <f t="shared" si="1127"/>
        <v>0</v>
      </c>
      <c r="AC2746" s="228">
        <f t="shared" si="1122"/>
        <v>0</v>
      </c>
      <c r="AD2746" s="19">
        <v>0</v>
      </c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229">
        <f t="shared" si="1128"/>
        <v>0</v>
      </c>
      <c r="BD2746" s="48">
        <f t="shared" si="1123"/>
        <v>0</v>
      </c>
      <c r="BE2746" s="19">
        <v>1</v>
      </c>
      <c r="BF2746" s="229">
        <f t="shared" si="1129"/>
        <v>0</v>
      </c>
      <c r="BG2746" s="210">
        <f t="shared" si="1124"/>
        <v>0</v>
      </c>
      <c r="BH2746" s="210">
        <f t="shared" si="1125"/>
        <v>1</v>
      </c>
      <c r="BI2746" s="213">
        <f t="shared" si="1126"/>
        <v>0</v>
      </c>
      <c r="BJ2746" s="141"/>
      <c r="BK2746" s="201"/>
      <c r="BL2746" s="4"/>
      <c r="BM2746" s="4"/>
    </row>
    <row r="2747" spans="1:65" s="38" customFormat="1" ht="18" customHeight="1">
      <c r="A2747" s="114">
        <v>111</v>
      </c>
      <c r="B2747" s="24" t="s">
        <v>775</v>
      </c>
      <c r="C2747" s="25" t="s">
        <v>1580</v>
      </c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229">
        <f t="shared" si="1127"/>
        <v>0</v>
      </c>
      <c r="AC2747" s="228">
        <f t="shared" si="1122"/>
        <v>0</v>
      </c>
      <c r="AD2747" s="19">
        <v>0</v>
      </c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  <c r="AZ2747" s="28"/>
      <c r="BA2747" s="28"/>
      <c r="BB2747" s="28"/>
      <c r="BC2747" s="229">
        <f t="shared" si="1128"/>
        <v>0</v>
      </c>
      <c r="BD2747" s="48">
        <f t="shared" si="1123"/>
        <v>0</v>
      </c>
      <c r="BE2747" s="19">
        <v>1</v>
      </c>
      <c r="BF2747" s="229">
        <f t="shared" si="1129"/>
        <v>0</v>
      </c>
      <c r="BG2747" s="210">
        <f t="shared" si="1124"/>
        <v>0</v>
      </c>
      <c r="BH2747" s="210">
        <f t="shared" si="1125"/>
        <v>1</v>
      </c>
      <c r="BI2747" s="213">
        <f t="shared" si="1126"/>
        <v>0</v>
      </c>
      <c r="BJ2747" s="141"/>
      <c r="BK2747" s="201"/>
      <c r="BL2747" s="4"/>
      <c r="BM2747" s="4"/>
    </row>
    <row r="2748" spans="1:65" s="38" customFormat="1" ht="18" customHeight="1">
      <c r="A2748" s="114">
        <v>112</v>
      </c>
      <c r="B2748" s="24" t="s">
        <v>994</v>
      </c>
      <c r="C2748" s="25" t="s">
        <v>1163</v>
      </c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229">
        <f t="shared" si="1127"/>
        <v>0</v>
      </c>
      <c r="AC2748" s="228">
        <f t="shared" si="1122"/>
        <v>0</v>
      </c>
      <c r="AD2748" s="19">
        <v>0</v>
      </c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229">
        <f t="shared" si="1128"/>
        <v>0</v>
      </c>
      <c r="BD2748" s="48">
        <f t="shared" si="1123"/>
        <v>0</v>
      </c>
      <c r="BE2748" s="19">
        <v>1</v>
      </c>
      <c r="BF2748" s="229">
        <f t="shared" si="1129"/>
        <v>0</v>
      </c>
      <c r="BG2748" s="210">
        <f t="shared" si="1124"/>
        <v>0</v>
      </c>
      <c r="BH2748" s="210">
        <f t="shared" si="1125"/>
        <v>1</v>
      </c>
      <c r="BI2748" s="213">
        <f t="shared" si="1126"/>
        <v>0</v>
      </c>
      <c r="BJ2748" s="141"/>
      <c r="BK2748" s="201"/>
      <c r="BL2748" s="4"/>
      <c r="BM2748" s="4"/>
    </row>
    <row r="2749" spans="1:65" s="38" customFormat="1" ht="18" customHeight="1">
      <c r="A2749" s="114">
        <v>113</v>
      </c>
      <c r="B2749" s="24" t="s">
        <v>724</v>
      </c>
      <c r="C2749" s="25" t="s">
        <v>1093</v>
      </c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229">
        <f t="shared" si="1127"/>
        <v>0</v>
      </c>
      <c r="AC2749" s="228">
        <f t="shared" si="1122"/>
        <v>0</v>
      </c>
      <c r="AD2749" s="19">
        <v>0</v>
      </c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29">
        <f t="shared" si="1128"/>
        <v>0</v>
      </c>
      <c r="BD2749" s="48">
        <f t="shared" si="1123"/>
        <v>0</v>
      </c>
      <c r="BE2749" s="19">
        <v>1</v>
      </c>
      <c r="BF2749" s="229">
        <f t="shared" si="1129"/>
        <v>0</v>
      </c>
      <c r="BG2749" s="210">
        <f t="shared" si="1124"/>
        <v>0</v>
      </c>
      <c r="BH2749" s="210">
        <f t="shared" si="1125"/>
        <v>1</v>
      </c>
      <c r="BI2749" s="213">
        <f t="shared" si="1126"/>
        <v>0</v>
      </c>
      <c r="BJ2749" s="141"/>
      <c r="BK2749" s="201"/>
      <c r="BL2749" s="4"/>
      <c r="BM2749" s="4"/>
    </row>
    <row r="2750" spans="1:65" s="38" customFormat="1" ht="18" customHeight="1">
      <c r="A2750" s="114">
        <v>114</v>
      </c>
      <c r="B2750" s="24" t="s">
        <v>725</v>
      </c>
      <c r="C2750" s="25" t="s">
        <v>1494</v>
      </c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229">
        <f t="shared" si="1127"/>
        <v>0</v>
      </c>
      <c r="AC2750" s="228">
        <f t="shared" si="1122"/>
        <v>0</v>
      </c>
      <c r="AD2750" s="19">
        <v>0</v>
      </c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29">
        <f t="shared" si="1128"/>
        <v>0</v>
      </c>
      <c r="BD2750" s="48">
        <f t="shared" si="1123"/>
        <v>0</v>
      </c>
      <c r="BE2750" s="19">
        <v>1</v>
      </c>
      <c r="BF2750" s="229">
        <f t="shared" si="1129"/>
        <v>0</v>
      </c>
      <c r="BG2750" s="210">
        <f t="shared" si="1124"/>
        <v>0</v>
      </c>
      <c r="BH2750" s="210">
        <f t="shared" si="1125"/>
        <v>1</v>
      </c>
      <c r="BI2750" s="213">
        <f t="shared" si="1126"/>
        <v>0</v>
      </c>
      <c r="BJ2750" s="141"/>
      <c r="BK2750" s="201"/>
      <c r="BL2750" s="4"/>
      <c r="BM2750" s="4"/>
    </row>
    <row r="2751" spans="1:65" s="38" customFormat="1" ht="18" customHeight="1">
      <c r="A2751" s="114">
        <v>115</v>
      </c>
      <c r="B2751" s="24" t="s">
        <v>726</v>
      </c>
      <c r="C2751" s="25" t="s">
        <v>1387</v>
      </c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229">
        <f t="shared" si="1127"/>
        <v>0</v>
      </c>
      <c r="AC2751" s="228">
        <f t="shared" si="1122"/>
        <v>0</v>
      </c>
      <c r="AD2751" s="19">
        <v>0</v>
      </c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29">
        <f t="shared" si="1128"/>
        <v>0</v>
      </c>
      <c r="BD2751" s="48">
        <f t="shared" si="1123"/>
        <v>0</v>
      </c>
      <c r="BE2751" s="19">
        <v>1</v>
      </c>
      <c r="BF2751" s="229">
        <f t="shared" si="1129"/>
        <v>0</v>
      </c>
      <c r="BG2751" s="210">
        <f t="shared" si="1124"/>
        <v>0</v>
      </c>
      <c r="BH2751" s="210">
        <f t="shared" si="1125"/>
        <v>1</v>
      </c>
      <c r="BI2751" s="213">
        <f t="shared" si="1126"/>
        <v>0</v>
      </c>
      <c r="BJ2751" s="141"/>
      <c r="BK2751" s="201"/>
      <c r="BL2751" s="4"/>
      <c r="BM2751" s="4"/>
    </row>
    <row r="2752" spans="1:65" s="38" customFormat="1" ht="18" customHeight="1">
      <c r="A2752" s="114">
        <v>116</v>
      </c>
      <c r="B2752" s="24" t="s">
        <v>652</v>
      </c>
      <c r="C2752" s="34" t="s">
        <v>727</v>
      </c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229">
        <f t="shared" si="1127"/>
        <v>0</v>
      </c>
      <c r="AC2752" s="228">
        <f t="shared" si="1122"/>
        <v>0</v>
      </c>
      <c r="AD2752" s="19">
        <v>0</v>
      </c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229">
        <f t="shared" si="1128"/>
        <v>0</v>
      </c>
      <c r="BD2752" s="48">
        <f t="shared" si="1123"/>
        <v>0</v>
      </c>
      <c r="BE2752" s="19">
        <v>1</v>
      </c>
      <c r="BF2752" s="229">
        <f t="shared" si="1129"/>
        <v>0</v>
      </c>
      <c r="BG2752" s="210">
        <f t="shared" si="1124"/>
        <v>0</v>
      </c>
      <c r="BH2752" s="210">
        <f t="shared" si="1125"/>
        <v>1</v>
      </c>
      <c r="BI2752" s="213">
        <f t="shared" si="1126"/>
        <v>0</v>
      </c>
      <c r="BJ2752" s="141"/>
      <c r="BK2752" s="201"/>
      <c r="BL2752" s="4"/>
      <c r="BM2752" s="4"/>
    </row>
    <row r="2753" spans="1:65" s="38" customFormat="1" ht="18" customHeight="1">
      <c r="A2753" s="114">
        <v>117</v>
      </c>
      <c r="B2753" s="24" t="s">
        <v>730</v>
      </c>
      <c r="C2753" s="25" t="s">
        <v>731</v>
      </c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229">
        <f t="shared" si="1127"/>
        <v>0</v>
      </c>
      <c r="AC2753" s="228">
        <f t="shared" si="1122"/>
        <v>0</v>
      </c>
      <c r="AD2753" s="19">
        <v>0</v>
      </c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29">
        <f t="shared" si="1128"/>
        <v>0</v>
      </c>
      <c r="BD2753" s="48">
        <f t="shared" si="1123"/>
        <v>0</v>
      </c>
      <c r="BE2753" s="19">
        <v>1</v>
      </c>
      <c r="BF2753" s="229">
        <f t="shared" si="1129"/>
        <v>0</v>
      </c>
      <c r="BG2753" s="210">
        <f t="shared" si="1124"/>
        <v>0</v>
      </c>
      <c r="BH2753" s="210">
        <f t="shared" si="1125"/>
        <v>1</v>
      </c>
      <c r="BI2753" s="213">
        <f t="shared" si="1126"/>
        <v>0</v>
      </c>
      <c r="BJ2753" s="141"/>
      <c r="BK2753" s="201"/>
      <c r="BL2753" s="4"/>
      <c r="BM2753" s="4"/>
    </row>
    <row r="2754" spans="1:65" s="38" customFormat="1" ht="18" customHeight="1">
      <c r="A2754" s="114">
        <v>118</v>
      </c>
      <c r="B2754" s="24" t="s">
        <v>732</v>
      </c>
      <c r="C2754" s="34" t="s">
        <v>733</v>
      </c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229">
        <f t="shared" si="1127"/>
        <v>0</v>
      </c>
      <c r="AC2754" s="228">
        <f t="shared" si="1122"/>
        <v>0</v>
      </c>
      <c r="AD2754" s="19">
        <v>0</v>
      </c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29">
        <f t="shared" si="1128"/>
        <v>0</v>
      </c>
      <c r="BD2754" s="48">
        <f t="shared" si="1123"/>
        <v>0</v>
      </c>
      <c r="BE2754" s="19">
        <v>1</v>
      </c>
      <c r="BF2754" s="229">
        <f t="shared" si="1129"/>
        <v>0</v>
      </c>
      <c r="BG2754" s="210">
        <f t="shared" si="1124"/>
        <v>0</v>
      </c>
      <c r="BH2754" s="210">
        <f t="shared" si="1125"/>
        <v>1</v>
      </c>
      <c r="BI2754" s="213">
        <f t="shared" si="1126"/>
        <v>0</v>
      </c>
      <c r="BJ2754" s="141"/>
      <c r="BK2754" s="201"/>
      <c r="BL2754" s="4"/>
      <c r="BM2754" s="4"/>
    </row>
    <row r="2755" spans="1:65" s="38" customFormat="1" ht="18" customHeight="1">
      <c r="A2755" s="114">
        <v>119</v>
      </c>
      <c r="B2755" s="24" t="s">
        <v>996</v>
      </c>
      <c r="C2755" s="25" t="s">
        <v>1026</v>
      </c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229">
        <f t="shared" si="1127"/>
        <v>0</v>
      </c>
      <c r="AC2755" s="228">
        <f t="shared" si="1122"/>
        <v>0</v>
      </c>
      <c r="AD2755" s="19">
        <v>0</v>
      </c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29">
        <f t="shared" si="1128"/>
        <v>0</v>
      </c>
      <c r="BD2755" s="48">
        <f t="shared" si="1123"/>
        <v>0</v>
      </c>
      <c r="BE2755" s="19">
        <v>1</v>
      </c>
      <c r="BF2755" s="229">
        <f t="shared" si="1129"/>
        <v>0</v>
      </c>
      <c r="BG2755" s="210">
        <f t="shared" si="1124"/>
        <v>0</v>
      </c>
      <c r="BH2755" s="210">
        <f t="shared" si="1125"/>
        <v>1</v>
      </c>
      <c r="BI2755" s="213">
        <f t="shared" si="1126"/>
        <v>0</v>
      </c>
      <c r="BJ2755" s="141"/>
      <c r="BK2755" s="201"/>
      <c r="BL2755" s="4"/>
      <c r="BM2755" s="4"/>
    </row>
    <row r="2756" spans="1:65" s="38" customFormat="1" ht="18" customHeight="1">
      <c r="A2756" s="114">
        <v>120</v>
      </c>
      <c r="B2756" s="24" t="s">
        <v>734</v>
      </c>
      <c r="C2756" s="34" t="s">
        <v>735</v>
      </c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229">
        <f t="shared" si="1127"/>
        <v>0</v>
      </c>
      <c r="AC2756" s="228">
        <f t="shared" si="1122"/>
        <v>0</v>
      </c>
      <c r="AD2756" s="19">
        <v>0</v>
      </c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  <c r="AZ2756" s="28"/>
      <c r="BA2756" s="28"/>
      <c r="BB2756" s="28"/>
      <c r="BC2756" s="229">
        <f t="shared" si="1128"/>
        <v>0</v>
      </c>
      <c r="BD2756" s="48">
        <f t="shared" si="1123"/>
        <v>0</v>
      </c>
      <c r="BE2756" s="19">
        <v>1</v>
      </c>
      <c r="BF2756" s="229">
        <f t="shared" si="1129"/>
        <v>0</v>
      </c>
      <c r="BG2756" s="210">
        <f t="shared" si="1124"/>
        <v>0</v>
      </c>
      <c r="BH2756" s="210">
        <f t="shared" si="1125"/>
        <v>1</v>
      </c>
      <c r="BI2756" s="213">
        <f t="shared" si="1126"/>
        <v>0</v>
      </c>
      <c r="BJ2756" s="141"/>
      <c r="BK2756" s="201"/>
      <c r="BL2756" s="4"/>
      <c r="BM2756" s="4"/>
    </row>
    <row r="2757" spans="1:65" s="38" customFormat="1" ht="18" customHeight="1">
      <c r="A2757" s="114">
        <v>121</v>
      </c>
      <c r="B2757" s="24" t="s">
        <v>736</v>
      </c>
      <c r="C2757" s="25" t="s">
        <v>737</v>
      </c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229">
        <f t="shared" si="1127"/>
        <v>0</v>
      </c>
      <c r="AC2757" s="228">
        <f t="shared" si="1122"/>
        <v>0</v>
      </c>
      <c r="AD2757" s="19">
        <v>0</v>
      </c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29">
        <f t="shared" si="1128"/>
        <v>0</v>
      </c>
      <c r="BD2757" s="48">
        <f t="shared" si="1123"/>
        <v>0</v>
      </c>
      <c r="BE2757" s="19">
        <v>1</v>
      </c>
      <c r="BF2757" s="229">
        <f t="shared" si="1129"/>
        <v>0</v>
      </c>
      <c r="BG2757" s="210">
        <f t="shared" si="1124"/>
        <v>0</v>
      </c>
      <c r="BH2757" s="210">
        <f t="shared" si="1125"/>
        <v>1</v>
      </c>
      <c r="BI2757" s="213">
        <f t="shared" si="1126"/>
        <v>0</v>
      </c>
      <c r="BJ2757" s="141"/>
      <c r="BK2757" s="201"/>
      <c r="BL2757" s="4"/>
      <c r="BM2757" s="4"/>
    </row>
    <row r="2758" spans="1:65" s="38" customFormat="1" ht="18" customHeight="1">
      <c r="A2758" s="114">
        <v>122</v>
      </c>
      <c r="B2758" s="24" t="s">
        <v>738</v>
      </c>
      <c r="C2758" s="25" t="s">
        <v>1917</v>
      </c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229">
        <f t="shared" si="1127"/>
        <v>0</v>
      </c>
      <c r="AC2758" s="228">
        <f t="shared" ref="AC2758:AC2785" si="1130">E2758+G2758+I2758+K2758+M2758+O2758+Q2758+S2758+U2758+W2758+Y2758+AA2758</f>
        <v>0</v>
      </c>
      <c r="AD2758" s="19">
        <v>0</v>
      </c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8"/>
      <c r="BA2758" s="28"/>
      <c r="BB2758" s="28"/>
      <c r="BC2758" s="229">
        <f t="shared" si="1128"/>
        <v>0</v>
      </c>
      <c r="BD2758" s="48">
        <f t="shared" ref="BD2758:BD2785" si="1131">AF2758+AH2758+AJ2758+AL2758+AN2758+AP2758+AR2758+AT2758+AV2758+AX2758+AZ2758+BB2758</f>
        <v>0</v>
      </c>
      <c r="BE2758" s="19">
        <v>1</v>
      </c>
      <c r="BF2758" s="229">
        <f t="shared" si="1129"/>
        <v>0</v>
      </c>
      <c r="BG2758" s="210">
        <f t="shared" ref="BG2758:BG2785" si="1132">AC2758+BD2758</f>
        <v>0</v>
      </c>
      <c r="BH2758" s="210">
        <f t="shared" ref="BH2758:BH2785" si="1133">AD2758+BE2758</f>
        <v>1</v>
      </c>
      <c r="BI2758" s="213">
        <f t="shared" si="1126"/>
        <v>0</v>
      </c>
      <c r="BJ2758" s="141"/>
      <c r="BK2758" s="201"/>
      <c r="BL2758" s="4"/>
      <c r="BM2758" s="4"/>
    </row>
    <row r="2759" spans="1:65" s="38" customFormat="1" ht="18" customHeight="1">
      <c r="A2759" s="114">
        <v>123</v>
      </c>
      <c r="B2759" s="24" t="s">
        <v>739</v>
      </c>
      <c r="C2759" s="25" t="s">
        <v>820</v>
      </c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229">
        <f t="shared" si="1127"/>
        <v>0</v>
      </c>
      <c r="AC2759" s="228">
        <f t="shared" si="1130"/>
        <v>0</v>
      </c>
      <c r="AD2759" s="19">
        <v>0</v>
      </c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  <c r="AZ2759" s="28"/>
      <c r="BA2759" s="28"/>
      <c r="BB2759" s="28"/>
      <c r="BC2759" s="229">
        <f t="shared" si="1128"/>
        <v>0</v>
      </c>
      <c r="BD2759" s="48">
        <f t="shared" si="1131"/>
        <v>0</v>
      </c>
      <c r="BE2759" s="19">
        <v>1</v>
      </c>
      <c r="BF2759" s="229">
        <f t="shared" si="1129"/>
        <v>0</v>
      </c>
      <c r="BG2759" s="210">
        <f t="shared" si="1132"/>
        <v>0</v>
      </c>
      <c r="BH2759" s="210">
        <f t="shared" si="1133"/>
        <v>1</v>
      </c>
      <c r="BI2759" s="213">
        <f t="shared" si="1126"/>
        <v>0</v>
      </c>
      <c r="BJ2759" s="141"/>
      <c r="BK2759" s="201"/>
      <c r="BL2759" s="4"/>
      <c r="BM2759" s="4"/>
    </row>
    <row r="2760" spans="1:65" s="38" customFormat="1" ht="18" customHeight="1">
      <c r="A2760" s="114">
        <v>124</v>
      </c>
      <c r="B2760" s="24" t="s">
        <v>797</v>
      </c>
      <c r="C2760" s="25" t="s">
        <v>798</v>
      </c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229">
        <f t="shared" si="1127"/>
        <v>0</v>
      </c>
      <c r="AC2760" s="228">
        <f t="shared" si="1130"/>
        <v>0</v>
      </c>
      <c r="AD2760" s="19">
        <v>0</v>
      </c>
      <c r="AE2760" s="28"/>
      <c r="AF2760" s="28"/>
      <c r="AG2760" s="28"/>
      <c r="AH2760" s="28"/>
      <c r="AI2760" s="28"/>
      <c r="AJ2760" s="28">
        <v>44</v>
      </c>
      <c r="AK2760" s="28"/>
      <c r="AL2760" s="28"/>
      <c r="AM2760" s="28"/>
      <c r="AN2760" s="28"/>
      <c r="AO2760" s="28"/>
      <c r="AP2760" s="28">
        <v>45</v>
      </c>
      <c r="AQ2760" s="28"/>
      <c r="AR2760" s="28"/>
      <c r="AS2760" s="28"/>
      <c r="AT2760" s="28"/>
      <c r="AU2760" s="28"/>
      <c r="AV2760" s="28">
        <v>5</v>
      </c>
      <c r="AW2760" s="28"/>
      <c r="AX2760" s="28"/>
      <c r="AY2760" s="28"/>
      <c r="AZ2760" s="28"/>
      <c r="BA2760" s="28"/>
      <c r="BB2760" s="28">
        <v>32</v>
      </c>
      <c r="BC2760" s="229">
        <f t="shared" si="1128"/>
        <v>0</v>
      </c>
      <c r="BD2760" s="48">
        <f t="shared" si="1131"/>
        <v>126</v>
      </c>
      <c r="BE2760" s="19">
        <v>0</v>
      </c>
      <c r="BF2760" s="229">
        <f t="shared" si="1129"/>
        <v>0</v>
      </c>
      <c r="BG2760" s="210">
        <f t="shared" si="1132"/>
        <v>126</v>
      </c>
      <c r="BH2760" s="210">
        <f t="shared" si="1133"/>
        <v>0</v>
      </c>
      <c r="BI2760" s="213" t="e">
        <f t="shared" si="1126"/>
        <v>#DIV/0!</v>
      </c>
      <c r="BJ2760" s="141"/>
      <c r="BK2760" s="201"/>
      <c r="BL2760" s="4"/>
      <c r="BM2760" s="4"/>
    </row>
    <row r="2761" spans="1:65" s="38" customFormat="1" ht="18" customHeight="1">
      <c r="A2761" s="114">
        <v>125</v>
      </c>
      <c r="B2761" s="24" t="s">
        <v>653</v>
      </c>
      <c r="C2761" s="25" t="s">
        <v>654</v>
      </c>
      <c r="D2761" s="121"/>
      <c r="E2761" s="121"/>
      <c r="F2761" s="121"/>
      <c r="G2761" s="121"/>
      <c r="H2761" s="121"/>
      <c r="I2761" s="121">
        <v>1</v>
      </c>
      <c r="J2761" s="121"/>
      <c r="K2761" s="121"/>
      <c r="L2761" s="121"/>
      <c r="M2761" s="121"/>
      <c r="N2761" s="121"/>
      <c r="O2761" s="121">
        <v>3</v>
      </c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>
        <v>2</v>
      </c>
      <c r="AB2761" s="229">
        <f t="shared" si="1127"/>
        <v>0</v>
      </c>
      <c r="AC2761" s="228">
        <f t="shared" si="1130"/>
        <v>6</v>
      </c>
      <c r="AD2761" s="19">
        <v>7</v>
      </c>
      <c r="AE2761" s="28"/>
      <c r="AF2761" s="28"/>
      <c r="AG2761" s="28"/>
      <c r="AH2761" s="28"/>
      <c r="AI2761" s="28"/>
      <c r="AJ2761" s="28">
        <v>62</v>
      </c>
      <c r="AK2761" s="28"/>
      <c r="AL2761" s="28"/>
      <c r="AM2761" s="28"/>
      <c r="AN2761" s="28"/>
      <c r="AO2761" s="28"/>
      <c r="AP2761" s="28">
        <f>45+1</f>
        <v>46</v>
      </c>
      <c r="AQ2761" s="28"/>
      <c r="AR2761" s="28"/>
      <c r="AS2761" s="28"/>
      <c r="AT2761" s="28"/>
      <c r="AU2761" s="28"/>
      <c r="AV2761" s="28">
        <v>53</v>
      </c>
      <c r="AW2761" s="28"/>
      <c r="AX2761" s="28"/>
      <c r="AY2761" s="28"/>
      <c r="AZ2761" s="28"/>
      <c r="BA2761" s="28"/>
      <c r="BB2761" s="28">
        <v>64</v>
      </c>
      <c r="BC2761" s="229">
        <f t="shared" si="1128"/>
        <v>0</v>
      </c>
      <c r="BD2761" s="48">
        <f t="shared" si="1131"/>
        <v>225</v>
      </c>
      <c r="BE2761" s="19">
        <v>202</v>
      </c>
      <c r="BF2761" s="229">
        <f t="shared" si="1129"/>
        <v>0</v>
      </c>
      <c r="BG2761" s="210">
        <f t="shared" si="1132"/>
        <v>231</v>
      </c>
      <c r="BH2761" s="210">
        <f t="shared" si="1133"/>
        <v>209</v>
      </c>
      <c r="BI2761" s="213">
        <f t="shared" si="1126"/>
        <v>110.5263157894737</v>
      </c>
      <c r="BJ2761" s="141"/>
      <c r="BK2761" s="201"/>
      <c r="BL2761" s="4"/>
      <c r="BM2761" s="4"/>
    </row>
    <row r="2762" spans="1:65" s="38" customFormat="1" ht="18" customHeight="1">
      <c r="A2762" s="114">
        <v>126</v>
      </c>
      <c r="B2762" s="24" t="s">
        <v>655</v>
      </c>
      <c r="C2762" s="25" t="s">
        <v>997</v>
      </c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229">
        <f t="shared" si="1127"/>
        <v>0</v>
      </c>
      <c r="AC2762" s="228">
        <f t="shared" si="1130"/>
        <v>0</v>
      </c>
      <c r="AD2762" s="19">
        <v>0</v>
      </c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  <c r="AY2762" s="28"/>
      <c r="AZ2762" s="28"/>
      <c r="BA2762" s="28"/>
      <c r="BB2762" s="28"/>
      <c r="BC2762" s="229">
        <f t="shared" si="1128"/>
        <v>0</v>
      </c>
      <c r="BD2762" s="48">
        <f t="shared" si="1131"/>
        <v>0</v>
      </c>
      <c r="BE2762" s="19">
        <v>1</v>
      </c>
      <c r="BF2762" s="229">
        <f t="shared" si="1129"/>
        <v>0</v>
      </c>
      <c r="BG2762" s="210">
        <f t="shared" si="1132"/>
        <v>0</v>
      </c>
      <c r="BH2762" s="210">
        <f t="shared" si="1133"/>
        <v>1</v>
      </c>
      <c r="BI2762" s="213">
        <f t="shared" si="1126"/>
        <v>0</v>
      </c>
      <c r="BJ2762" s="141"/>
      <c r="BK2762" s="201"/>
      <c r="BL2762" s="4"/>
      <c r="BM2762" s="4"/>
    </row>
    <row r="2763" spans="1:65" s="38" customFormat="1" ht="18" customHeight="1">
      <c r="A2763" s="114">
        <v>127</v>
      </c>
      <c r="B2763" s="24" t="s">
        <v>822</v>
      </c>
      <c r="C2763" s="25" t="s">
        <v>823</v>
      </c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229">
        <f t="shared" si="1127"/>
        <v>0</v>
      </c>
      <c r="AC2763" s="228">
        <f t="shared" si="1130"/>
        <v>0</v>
      </c>
      <c r="AD2763" s="19">
        <v>0</v>
      </c>
      <c r="AE2763" s="28"/>
      <c r="AF2763" s="28"/>
      <c r="AG2763" s="28"/>
      <c r="AH2763" s="28"/>
      <c r="AI2763" s="28"/>
      <c r="AJ2763" s="28">
        <v>113</v>
      </c>
      <c r="AK2763" s="28"/>
      <c r="AL2763" s="28"/>
      <c r="AM2763" s="28"/>
      <c r="AN2763" s="28"/>
      <c r="AO2763" s="28"/>
      <c r="AP2763" s="28">
        <v>26</v>
      </c>
      <c r="AQ2763" s="28"/>
      <c r="AR2763" s="28"/>
      <c r="AS2763" s="28"/>
      <c r="AT2763" s="28"/>
      <c r="AU2763" s="28"/>
      <c r="AV2763" s="28">
        <v>3</v>
      </c>
      <c r="AW2763" s="28"/>
      <c r="AX2763" s="28"/>
      <c r="AY2763" s="28"/>
      <c r="AZ2763" s="28"/>
      <c r="BA2763" s="28"/>
      <c r="BB2763" s="28">
        <v>29</v>
      </c>
      <c r="BC2763" s="229">
        <f t="shared" si="1128"/>
        <v>0</v>
      </c>
      <c r="BD2763" s="48">
        <f t="shared" si="1131"/>
        <v>171</v>
      </c>
      <c r="BE2763" s="19">
        <v>1</v>
      </c>
      <c r="BF2763" s="229">
        <f t="shared" si="1129"/>
        <v>0</v>
      </c>
      <c r="BG2763" s="210">
        <f t="shared" si="1132"/>
        <v>171</v>
      </c>
      <c r="BH2763" s="210">
        <f t="shared" si="1133"/>
        <v>1</v>
      </c>
      <c r="BI2763" s="313">
        <f t="shared" si="1126"/>
        <v>17100</v>
      </c>
      <c r="BJ2763" s="141"/>
      <c r="BK2763" s="201"/>
      <c r="BL2763" s="4"/>
      <c r="BM2763" s="4"/>
    </row>
    <row r="2764" spans="1:65" s="38" customFormat="1" ht="18" customHeight="1">
      <c r="A2764" s="114">
        <v>128</v>
      </c>
      <c r="B2764" s="24" t="s">
        <v>1250</v>
      </c>
      <c r="C2764" s="25" t="s">
        <v>1583</v>
      </c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229">
        <f t="shared" si="1127"/>
        <v>0</v>
      </c>
      <c r="AC2764" s="228">
        <f t="shared" si="1130"/>
        <v>0</v>
      </c>
      <c r="AD2764" s="19">
        <v>0</v>
      </c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  <c r="AY2764" s="28"/>
      <c r="AZ2764" s="28"/>
      <c r="BA2764" s="28"/>
      <c r="BB2764" s="28"/>
      <c r="BC2764" s="229">
        <f t="shared" si="1128"/>
        <v>0</v>
      </c>
      <c r="BD2764" s="48">
        <f t="shared" si="1131"/>
        <v>0</v>
      </c>
      <c r="BE2764" s="19">
        <v>1</v>
      </c>
      <c r="BF2764" s="229">
        <f t="shared" si="1129"/>
        <v>0</v>
      </c>
      <c r="BG2764" s="210">
        <f t="shared" si="1132"/>
        <v>0</v>
      </c>
      <c r="BH2764" s="210">
        <f t="shared" si="1133"/>
        <v>1</v>
      </c>
      <c r="BI2764" s="213">
        <f t="shared" si="1126"/>
        <v>0</v>
      </c>
      <c r="BJ2764" s="141"/>
      <c r="BK2764" s="201"/>
      <c r="BL2764" s="4"/>
      <c r="BM2764" s="4"/>
    </row>
    <row r="2765" spans="1:65" s="38" customFormat="1" ht="18" customHeight="1">
      <c r="A2765" s="114">
        <v>129</v>
      </c>
      <c r="B2765" s="24" t="s">
        <v>776</v>
      </c>
      <c r="C2765" s="25" t="s">
        <v>777</v>
      </c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229">
        <f t="shared" si="1127"/>
        <v>0</v>
      </c>
      <c r="AC2765" s="228">
        <f t="shared" si="1130"/>
        <v>0</v>
      </c>
      <c r="AD2765" s="19">
        <v>0</v>
      </c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29">
        <f t="shared" si="1128"/>
        <v>0</v>
      </c>
      <c r="BD2765" s="48">
        <f t="shared" si="1131"/>
        <v>0</v>
      </c>
      <c r="BE2765" s="19">
        <v>1</v>
      </c>
      <c r="BF2765" s="229">
        <f t="shared" si="1129"/>
        <v>0</v>
      </c>
      <c r="BG2765" s="210">
        <f t="shared" si="1132"/>
        <v>0</v>
      </c>
      <c r="BH2765" s="210">
        <f t="shared" si="1133"/>
        <v>1</v>
      </c>
      <c r="BI2765" s="213">
        <f t="shared" ref="BI2765:BI2785" si="1134">BG2765/BH2765*100</f>
        <v>0</v>
      </c>
      <c r="BJ2765" s="141"/>
      <c r="BK2765" s="201"/>
      <c r="BL2765" s="4"/>
      <c r="BM2765" s="4"/>
    </row>
    <row r="2766" spans="1:65" s="38" customFormat="1" ht="21.95" customHeight="1">
      <c r="A2766" s="114">
        <v>130</v>
      </c>
      <c r="B2766" s="24" t="s">
        <v>799</v>
      </c>
      <c r="C2766" s="27" t="s">
        <v>1487</v>
      </c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229">
        <f t="shared" si="1127"/>
        <v>0</v>
      </c>
      <c r="AC2766" s="228">
        <f t="shared" si="1130"/>
        <v>0</v>
      </c>
      <c r="AD2766" s="19">
        <v>0</v>
      </c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  <c r="AY2766" s="28"/>
      <c r="AZ2766" s="28"/>
      <c r="BA2766" s="28"/>
      <c r="BB2766" s="28">
        <v>40</v>
      </c>
      <c r="BC2766" s="229">
        <f t="shared" si="1128"/>
        <v>0</v>
      </c>
      <c r="BD2766" s="48">
        <f t="shared" si="1131"/>
        <v>40</v>
      </c>
      <c r="BE2766" s="19">
        <v>1</v>
      </c>
      <c r="BF2766" s="229">
        <f t="shared" si="1129"/>
        <v>0</v>
      </c>
      <c r="BG2766" s="210">
        <f t="shared" si="1132"/>
        <v>40</v>
      </c>
      <c r="BH2766" s="210">
        <f t="shared" si="1133"/>
        <v>1</v>
      </c>
      <c r="BI2766" s="213">
        <f t="shared" si="1134"/>
        <v>4000</v>
      </c>
      <c r="BJ2766" s="141"/>
      <c r="BK2766" s="201"/>
      <c r="BL2766" s="4"/>
      <c r="BM2766" s="4"/>
    </row>
    <row r="2767" spans="1:65" s="38" customFormat="1" ht="21.95" customHeight="1">
      <c r="A2767" s="114">
        <v>131</v>
      </c>
      <c r="B2767" s="24" t="s">
        <v>657</v>
      </c>
      <c r="C2767" s="27" t="s">
        <v>1401</v>
      </c>
      <c r="D2767" s="121"/>
      <c r="E2767" s="121"/>
      <c r="F2767" s="121"/>
      <c r="G2767" s="121"/>
      <c r="H2767" s="121"/>
      <c r="I2767" s="121">
        <v>1</v>
      </c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>
        <v>1</v>
      </c>
      <c r="V2767" s="121"/>
      <c r="W2767" s="121"/>
      <c r="X2767" s="121"/>
      <c r="Y2767" s="121"/>
      <c r="Z2767" s="121"/>
      <c r="AA2767" s="121">
        <v>1</v>
      </c>
      <c r="AB2767" s="229">
        <f t="shared" ref="AB2767:AB2785" si="1135">D2767+F2767+H2767+J2767+L2767+N2767+P2767+R2767+T2767+V2767+X2767+Z2767</f>
        <v>0</v>
      </c>
      <c r="AC2767" s="228">
        <f t="shared" si="1130"/>
        <v>3</v>
      </c>
      <c r="AD2767" s="19">
        <v>6</v>
      </c>
      <c r="AE2767" s="28"/>
      <c r="AF2767" s="28"/>
      <c r="AG2767" s="28"/>
      <c r="AH2767" s="28"/>
      <c r="AI2767" s="28"/>
      <c r="AJ2767" s="28">
        <f>438+1+6</f>
        <v>445</v>
      </c>
      <c r="AK2767" s="28"/>
      <c r="AL2767" s="28"/>
      <c r="AM2767" s="28"/>
      <c r="AN2767" s="28"/>
      <c r="AO2767" s="28"/>
      <c r="AP2767" s="28">
        <f>400+2</f>
        <v>402</v>
      </c>
      <c r="AQ2767" s="28"/>
      <c r="AR2767" s="28"/>
      <c r="AS2767" s="28"/>
      <c r="AT2767" s="28"/>
      <c r="AU2767" s="28"/>
      <c r="AV2767" s="28">
        <v>185</v>
      </c>
      <c r="AW2767" s="28"/>
      <c r="AX2767" s="28"/>
      <c r="AY2767" s="28"/>
      <c r="AZ2767" s="28"/>
      <c r="BA2767" s="28"/>
      <c r="BB2767" s="28">
        <f>212+4</f>
        <v>216</v>
      </c>
      <c r="BC2767" s="229">
        <f t="shared" ref="BC2767:BC2785" si="1136">AE2767+AG2767+AI2767+AK2767+AM2767+AO2767+AQ2767+AS2767+AU2767+AW2767+AY2767+BA2767</f>
        <v>0</v>
      </c>
      <c r="BD2767" s="48">
        <f t="shared" si="1131"/>
        <v>1248</v>
      </c>
      <c r="BE2767" s="19">
        <v>1282</v>
      </c>
      <c r="BF2767" s="229">
        <f t="shared" ref="BF2767:BF2785" si="1137">AB2767+BC2767</f>
        <v>0</v>
      </c>
      <c r="BG2767" s="210">
        <f t="shared" si="1132"/>
        <v>1251</v>
      </c>
      <c r="BH2767" s="210">
        <f t="shared" si="1133"/>
        <v>1288</v>
      </c>
      <c r="BI2767" s="213">
        <f t="shared" si="1134"/>
        <v>97.127329192546583</v>
      </c>
      <c r="BJ2767" s="141"/>
      <c r="BK2767" s="201"/>
      <c r="BL2767" s="4"/>
      <c r="BM2767" s="4"/>
    </row>
    <row r="2768" spans="1:65" s="38" customFormat="1" ht="21.95" customHeight="1">
      <c r="A2768" s="114">
        <v>132</v>
      </c>
      <c r="B2768" s="24" t="s">
        <v>658</v>
      </c>
      <c r="C2768" s="25" t="s">
        <v>779</v>
      </c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229">
        <f t="shared" si="1135"/>
        <v>0</v>
      </c>
      <c r="AC2768" s="228">
        <f t="shared" si="1130"/>
        <v>0</v>
      </c>
      <c r="AD2768" s="19">
        <v>0</v>
      </c>
      <c r="AE2768" s="28"/>
      <c r="AF2768" s="28"/>
      <c r="AG2768" s="28"/>
      <c r="AH2768" s="28"/>
      <c r="AI2768" s="28"/>
      <c r="AJ2768" s="28">
        <f>2714+106</f>
        <v>2820</v>
      </c>
      <c r="AK2768" s="28"/>
      <c r="AL2768" s="28"/>
      <c r="AM2768" s="28"/>
      <c r="AN2768" s="28"/>
      <c r="AO2768" s="28"/>
      <c r="AP2768" s="28">
        <f>3472+142</f>
        <v>3614</v>
      </c>
      <c r="AQ2768" s="28"/>
      <c r="AR2768" s="28"/>
      <c r="AS2768" s="28"/>
      <c r="AT2768" s="28"/>
      <c r="AU2768" s="28"/>
      <c r="AV2768" s="28">
        <v>1461</v>
      </c>
      <c r="AW2768" s="28"/>
      <c r="AX2768" s="28"/>
      <c r="AY2768" s="28"/>
      <c r="AZ2768" s="28"/>
      <c r="BA2768" s="28"/>
      <c r="BB2768" s="28">
        <v>2545</v>
      </c>
      <c r="BC2768" s="229">
        <f t="shared" si="1136"/>
        <v>0</v>
      </c>
      <c r="BD2768" s="48">
        <f t="shared" si="1131"/>
        <v>10440</v>
      </c>
      <c r="BE2768" s="19">
        <v>8642</v>
      </c>
      <c r="BF2768" s="229">
        <f t="shared" si="1137"/>
        <v>0</v>
      </c>
      <c r="BG2768" s="210">
        <f t="shared" si="1132"/>
        <v>10440</v>
      </c>
      <c r="BH2768" s="210">
        <f t="shared" si="1133"/>
        <v>8642</v>
      </c>
      <c r="BI2768" s="213">
        <f t="shared" si="1134"/>
        <v>120.80536912751678</v>
      </c>
      <c r="BJ2768" s="141"/>
      <c r="BK2768" s="201"/>
      <c r="BL2768" s="4"/>
      <c r="BM2768" s="4"/>
    </row>
    <row r="2769" spans="1:65" ht="18" customHeight="1">
      <c r="A2769" s="114">
        <v>133</v>
      </c>
      <c r="B2769" s="24" t="s">
        <v>780</v>
      </c>
      <c r="C2769" s="25" t="s">
        <v>781</v>
      </c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229">
        <f t="shared" si="1135"/>
        <v>0</v>
      </c>
      <c r="AC2769" s="228">
        <f t="shared" si="1130"/>
        <v>0</v>
      </c>
      <c r="AD2769" s="19">
        <v>0</v>
      </c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29">
        <f t="shared" si="1136"/>
        <v>0</v>
      </c>
      <c r="BD2769" s="48">
        <f t="shared" si="1131"/>
        <v>0</v>
      </c>
      <c r="BE2769" s="19">
        <v>1</v>
      </c>
      <c r="BF2769" s="229">
        <f t="shared" si="1137"/>
        <v>0</v>
      </c>
      <c r="BG2769" s="210">
        <f t="shared" si="1132"/>
        <v>0</v>
      </c>
      <c r="BH2769" s="210">
        <f t="shared" si="1133"/>
        <v>1</v>
      </c>
      <c r="BI2769" s="213">
        <f t="shared" si="1134"/>
        <v>0</v>
      </c>
      <c r="BJ2769" s="141"/>
      <c r="BK2769" s="201"/>
    </row>
    <row r="2770" spans="1:65" ht="18" customHeight="1">
      <c r="A2770" s="114">
        <v>134</v>
      </c>
      <c r="B2770" s="24" t="s">
        <v>782</v>
      </c>
      <c r="C2770" s="25" t="s">
        <v>783</v>
      </c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229">
        <f t="shared" si="1135"/>
        <v>0</v>
      </c>
      <c r="AC2770" s="228">
        <f t="shared" si="1130"/>
        <v>0</v>
      </c>
      <c r="AD2770" s="19">
        <v>0</v>
      </c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  <c r="AZ2770" s="28"/>
      <c r="BA2770" s="28"/>
      <c r="BB2770" s="28"/>
      <c r="BC2770" s="229">
        <f t="shared" si="1136"/>
        <v>0</v>
      </c>
      <c r="BD2770" s="48">
        <f t="shared" si="1131"/>
        <v>0</v>
      </c>
      <c r="BE2770" s="19">
        <v>1</v>
      </c>
      <c r="BF2770" s="229">
        <f t="shared" si="1137"/>
        <v>0</v>
      </c>
      <c r="BG2770" s="210">
        <f t="shared" si="1132"/>
        <v>0</v>
      </c>
      <c r="BH2770" s="210">
        <f t="shared" si="1133"/>
        <v>1</v>
      </c>
      <c r="BI2770" s="213">
        <f t="shared" si="1134"/>
        <v>0</v>
      </c>
      <c r="BJ2770" s="141"/>
      <c r="BK2770" s="201"/>
    </row>
    <row r="2771" spans="1:65" ht="18" customHeight="1">
      <c r="A2771" s="114">
        <v>135</v>
      </c>
      <c r="B2771" s="24" t="s">
        <v>804</v>
      </c>
      <c r="C2771" s="25" t="s">
        <v>1386</v>
      </c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229">
        <f t="shared" si="1135"/>
        <v>0</v>
      </c>
      <c r="AC2771" s="228">
        <f t="shared" si="1130"/>
        <v>0</v>
      </c>
      <c r="AD2771" s="19">
        <v>0</v>
      </c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29">
        <f t="shared" si="1136"/>
        <v>0</v>
      </c>
      <c r="BD2771" s="48">
        <f t="shared" si="1131"/>
        <v>0</v>
      </c>
      <c r="BE2771" s="19">
        <v>1</v>
      </c>
      <c r="BF2771" s="229">
        <f t="shared" si="1137"/>
        <v>0</v>
      </c>
      <c r="BG2771" s="210">
        <f t="shared" si="1132"/>
        <v>0</v>
      </c>
      <c r="BH2771" s="210">
        <f t="shared" si="1133"/>
        <v>1</v>
      </c>
      <c r="BI2771" s="213">
        <f t="shared" si="1134"/>
        <v>0</v>
      </c>
      <c r="BJ2771" s="141"/>
      <c r="BK2771" s="201"/>
    </row>
    <row r="2772" spans="1:65" ht="18" customHeight="1">
      <c r="A2772" s="114">
        <v>136</v>
      </c>
      <c r="B2772" s="24" t="s">
        <v>903</v>
      </c>
      <c r="C2772" s="25" t="s">
        <v>1165</v>
      </c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229">
        <f t="shared" si="1135"/>
        <v>0</v>
      </c>
      <c r="AC2772" s="228">
        <f t="shared" si="1130"/>
        <v>0</v>
      </c>
      <c r="AD2772" s="19">
        <v>0</v>
      </c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8"/>
      <c r="BC2772" s="229">
        <f t="shared" si="1136"/>
        <v>0</v>
      </c>
      <c r="BD2772" s="48">
        <f t="shared" si="1131"/>
        <v>0</v>
      </c>
      <c r="BE2772" s="19">
        <v>1</v>
      </c>
      <c r="BF2772" s="229">
        <f t="shared" si="1137"/>
        <v>0</v>
      </c>
      <c r="BG2772" s="210">
        <f t="shared" si="1132"/>
        <v>0</v>
      </c>
      <c r="BH2772" s="210">
        <f t="shared" si="1133"/>
        <v>1</v>
      </c>
      <c r="BI2772" s="213">
        <f t="shared" si="1134"/>
        <v>0</v>
      </c>
      <c r="BJ2772" s="141"/>
      <c r="BK2772" s="201"/>
    </row>
    <row r="2773" spans="1:65" ht="18" customHeight="1">
      <c r="A2773" s="114">
        <v>137</v>
      </c>
      <c r="B2773" s="24" t="s">
        <v>659</v>
      </c>
      <c r="C2773" s="25" t="s">
        <v>660</v>
      </c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229">
        <f t="shared" si="1135"/>
        <v>0</v>
      </c>
      <c r="AC2773" s="228">
        <f t="shared" si="1130"/>
        <v>0</v>
      </c>
      <c r="AD2773" s="19">
        <v>0</v>
      </c>
      <c r="AE2773" s="28"/>
      <c r="AF2773" s="28"/>
      <c r="AG2773" s="28"/>
      <c r="AH2773" s="28"/>
      <c r="AI2773" s="28"/>
      <c r="AJ2773" s="28">
        <f>2584+256+15</f>
        <v>2855</v>
      </c>
      <c r="AK2773" s="28"/>
      <c r="AL2773" s="28"/>
      <c r="AM2773" s="28"/>
      <c r="AN2773" s="28"/>
      <c r="AO2773" s="28"/>
      <c r="AP2773" s="28">
        <f>3180+284+56</f>
        <v>3520</v>
      </c>
      <c r="AQ2773" s="28"/>
      <c r="AR2773" s="28"/>
      <c r="AS2773" s="28"/>
      <c r="AT2773" s="28"/>
      <c r="AU2773" s="28"/>
      <c r="AV2773" s="28">
        <f>1264+13</f>
        <v>1277</v>
      </c>
      <c r="AW2773" s="28"/>
      <c r="AX2773" s="28"/>
      <c r="AY2773" s="28"/>
      <c r="AZ2773" s="28"/>
      <c r="BA2773" s="28"/>
      <c r="BB2773" s="28">
        <f>1272+156</f>
        <v>1428</v>
      </c>
      <c r="BC2773" s="229">
        <f t="shared" si="1136"/>
        <v>0</v>
      </c>
      <c r="BD2773" s="48">
        <f t="shared" si="1131"/>
        <v>9080</v>
      </c>
      <c r="BE2773" s="19">
        <v>8612</v>
      </c>
      <c r="BF2773" s="229">
        <f t="shared" si="1137"/>
        <v>0</v>
      </c>
      <c r="BG2773" s="210">
        <f t="shared" si="1132"/>
        <v>9080</v>
      </c>
      <c r="BH2773" s="210">
        <f t="shared" si="1133"/>
        <v>8612</v>
      </c>
      <c r="BI2773" s="213">
        <f t="shared" si="1134"/>
        <v>105.43427775197398</v>
      </c>
      <c r="BJ2773" s="141"/>
      <c r="BK2773" s="201"/>
    </row>
    <row r="2774" spans="1:65" s="38" customFormat="1" ht="21.95" customHeight="1">
      <c r="A2774" s="114">
        <v>138</v>
      </c>
      <c r="B2774" s="24" t="s">
        <v>661</v>
      </c>
      <c r="C2774" s="27" t="s">
        <v>743</v>
      </c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229">
        <f t="shared" si="1135"/>
        <v>0</v>
      </c>
      <c r="AC2774" s="228">
        <f t="shared" si="1130"/>
        <v>0</v>
      </c>
      <c r="AD2774" s="19">
        <v>0</v>
      </c>
      <c r="AE2774" s="28"/>
      <c r="AF2774" s="28"/>
      <c r="AG2774" s="28"/>
      <c r="AH2774" s="28"/>
      <c r="AI2774" s="28"/>
      <c r="AJ2774" s="28">
        <f>3736+829+38</f>
        <v>4603</v>
      </c>
      <c r="AK2774" s="28"/>
      <c r="AL2774" s="28"/>
      <c r="AM2774" s="28"/>
      <c r="AN2774" s="28"/>
      <c r="AO2774" s="28"/>
      <c r="AP2774" s="28">
        <f>4441+908+121</f>
        <v>5470</v>
      </c>
      <c r="AQ2774" s="28"/>
      <c r="AR2774" s="28"/>
      <c r="AS2774" s="28"/>
      <c r="AT2774" s="28"/>
      <c r="AU2774" s="28"/>
      <c r="AV2774" s="28">
        <f>3387+32</f>
        <v>3419</v>
      </c>
      <c r="AW2774" s="28"/>
      <c r="AX2774" s="28"/>
      <c r="AY2774" s="28"/>
      <c r="AZ2774" s="28"/>
      <c r="BA2774" s="28"/>
      <c r="BB2774" s="28">
        <f>4306+466</f>
        <v>4772</v>
      </c>
      <c r="BC2774" s="229">
        <f t="shared" si="1136"/>
        <v>0</v>
      </c>
      <c r="BD2774" s="48">
        <f t="shared" si="1131"/>
        <v>18264</v>
      </c>
      <c r="BE2774" s="19">
        <v>13616</v>
      </c>
      <c r="BF2774" s="229">
        <f t="shared" si="1137"/>
        <v>0</v>
      </c>
      <c r="BG2774" s="210">
        <f t="shared" si="1132"/>
        <v>18264</v>
      </c>
      <c r="BH2774" s="210">
        <f t="shared" si="1133"/>
        <v>13616</v>
      </c>
      <c r="BI2774" s="213">
        <f t="shared" si="1134"/>
        <v>134.13631022326675</v>
      </c>
      <c r="BJ2774" s="141"/>
      <c r="BK2774" s="201"/>
      <c r="BL2774" s="4"/>
      <c r="BM2774" s="4"/>
    </row>
    <row r="2775" spans="1:65" s="38" customFormat="1" ht="21.95" customHeight="1">
      <c r="A2775" s="114">
        <v>139</v>
      </c>
      <c r="B2775" s="24" t="s">
        <v>784</v>
      </c>
      <c r="C2775" s="27" t="s">
        <v>1369</v>
      </c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229">
        <f t="shared" si="1135"/>
        <v>0</v>
      </c>
      <c r="AC2775" s="228">
        <f t="shared" si="1130"/>
        <v>0</v>
      </c>
      <c r="AD2775" s="19">
        <v>0</v>
      </c>
      <c r="AE2775" s="28"/>
      <c r="AF2775" s="28"/>
      <c r="AG2775" s="28"/>
      <c r="AH2775" s="28"/>
      <c r="AI2775" s="28"/>
      <c r="AJ2775" s="28">
        <v>7</v>
      </c>
      <c r="AK2775" s="28"/>
      <c r="AL2775" s="28"/>
      <c r="AM2775" s="28"/>
      <c r="AN2775" s="28"/>
      <c r="AO2775" s="28"/>
      <c r="AP2775" s="28">
        <v>26</v>
      </c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>
        <v>21</v>
      </c>
      <c r="BC2775" s="229">
        <f t="shared" si="1136"/>
        <v>0</v>
      </c>
      <c r="BD2775" s="48">
        <f t="shared" si="1131"/>
        <v>54</v>
      </c>
      <c r="BE2775" s="19">
        <v>60</v>
      </c>
      <c r="BF2775" s="229">
        <f t="shared" si="1137"/>
        <v>0</v>
      </c>
      <c r="BG2775" s="210">
        <f t="shared" si="1132"/>
        <v>54</v>
      </c>
      <c r="BH2775" s="210">
        <f t="shared" si="1133"/>
        <v>60</v>
      </c>
      <c r="BI2775" s="213">
        <f t="shared" si="1134"/>
        <v>90</v>
      </c>
      <c r="BJ2775" s="141"/>
      <c r="BK2775" s="201"/>
      <c r="BL2775" s="4"/>
      <c r="BM2775" s="4"/>
    </row>
    <row r="2776" spans="1:65" s="38" customFormat="1" ht="18" customHeight="1">
      <c r="A2776" s="114">
        <v>140</v>
      </c>
      <c r="B2776" s="24" t="s">
        <v>662</v>
      </c>
      <c r="C2776" s="25" t="s">
        <v>1096</v>
      </c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229">
        <f t="shared" si="1135"/>
        <v>0</v>
      </c>
      <c r="AC2776" s="228">
        <f t="shared" si="1130"/>
        <v>0</v>
      </c>
      <c r="AD2776" s="19">
        <v>0</v>
      </c>
      <c r="AE2776" s="28"/>
      <c r="AF2776" s="28"/>
      <c r="AG2776" s="28"/>
      <c r="AH2776" s="28"/>
      <c r="AI2776" s="28"/>
      <c r="AJ2776" s="28">
        <f>1946+21+115</f>
        <v>2082</v>
      </c>
      <c r="AK2776" s="28"/>
      <c r="AL2776" s="28"/>
      <c r="AM2776" s="28"/>
      <c r="AN2776" s="28"/>
      <c r="AO2776" s="28"/>
      <c r="AP2776" s="28">
        <f>2740+66+43</f>
        <v>2849</v>
      </c>
      <c r="AQ2776" s="28"/>
      <c r="AR2776" s="28"/>
      <c r="AS2776" s="28"/>
      <c r="AT2776" s="28"/>
      <c r="AU2776" s="28"/>
      <c r="AV2776" s="28">
        <f>1868+5</f>
        <v>1873</v>
      </c>
      <c r="AW2776" s="28"/>
      <c r="AX2776" s="28"/>
      <c r="AY2776" s="28"/>
      <c r="AZ2776" s="28"/>
      <c r="BA2776" s="28"/>
      <c r="BB2776" s="28">
        <f>2399+33</f>
        <v>2432</v>
      </c>
      <c r="BC2776" s="229">
        <f t="shared" si="1136"/>
        <v>0</v>
      </c>
      <c r="BD2776" s="48">
        <f t="shared" si="1131"/>
        <v>9236</v>
      </c>
      <c r="BE2776" s="19">
        <v>6968</v>
      </c>
      <c r="BF2776" s="229">
        <f t="shared" si="1137"/>
        <v>0</v>
      </c>
      <c r="BG2776" s="210">
        <f t="shared" si="1132"/>
        <v>9236</v>
      </c>
      <c r="BH2776" s="210">
        <f t="shared" si="1133"/>
        <v>6968</v>
      </c>
      <c r="BI2776" s="213">
        <f t="shared" si="1134"/>
        <v>132.54879448909301</v>
      </c>
      <c r="BJ2776" s="141"/>
      <c r="BK2776" s="201"/>
      <c r="BL2776" s="4"/>
      <c r="BM2776" s="4"/>
    </row>
    <row r="2777" spans="1:65" s="38" customFormat="1" ht="18" customHeight="1">
      <c r="A2777" s="114">
        <v>141</v>
      </c>
      <c r="B2777" s="24" t="s">
        <v>663</v>
      </c>
      <c r="C2777" s="25" t="s">
        <v>1097</v>
      </c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229">
        <f t="shared" si="1135"/>
        <v>0</v>
      </c>
      <c r="AC2777" s="228">
        <f t="shared" si="1130"/>
        <v>0</v>
      </c>
      <c r="AD2777" s="19">
        <v>0</v>
      </c>
      <c r="AE2777" s="28"/>
      <c r="AF2777" s="28"/>
      <c r="AG2777" s="28"/>
      <c r="AH2777" s="28"/>
      <c r="AI2777" s="28"/>
      <c r="AJ2777" s="28">
        <f>47+6</f>
        <v>53</v>
      </c>
      <c r="AK2777" s="28"/>
      <c r="AL2777" s="28"/>
      <c r="AM2777" s="28"/>
      <c r="AN2777" s="28"/>
      <c r="AO2777" s="28"/>
      <c r="AP2777" s="28">
        <v>132</v>
      </c>
      <c r="AQ2777" s="28"/>
      <c r="AR2777" s="28"/>
      <c r="AS2777" s="28"/>
      <c r="AT2777" s="28"/>
      <c r="AU2777" s="28"/>
      <c r="AV2777" s="28">
        <v>74</v>
      </c>
      <c r="AW2777" s="28"/>
      <c r="AX2777" s="28"/>
      <c r="AY2777" s="28"/>
      <c r="AZ2777" s="28"/>
      <c r="BA2777" s="28"/>
      <c r="BB2777" s="28">
        <v>32</v>
      </c>
      <c r="BC2777" s="229">
        <f t="shared" si="1136"/>
        <v>0</v>
      </c>
      <c r="BD2777" s="48">
        <f t="shared" si="1131"/>
        <v>291</v>
      </c>
      <c r="BE2777" s="19">
        <v>50</v>
      </c>
      <c r="BF2777" s="229">
        <f t="shared" si="1137"/>
        <v>0</v>
      </c>
      <c r="BG2777" s="210">
        <f t="shared" si="1132"/>
        <v>291</v>
      </c>
      <c r="BH2777" s="210">
        <f t="shared" si="1133"/>
        <v>50</v>
      </c>
      <c r="BI2777" s="213">
        <f t="shared" si="1134"/>
        <v>582</v>
      </c>
      <c r="BJ2777" s="141"/>
      <c r="BK2777" s="201"/>
      <c r="BL2777" s="4"/>
      <c r="BM2777" s="4"/>
    </row>
    <row r="2778" spans="1:65" s="38" customFormat="1" ht="21.95" customHeight="1">
      <c r="A2778" s="114">
        <v>142</v>
      </c>
      <c r="B2778" s="24" t="s">
        <v>664</v>
      </c>
      <c r="C2778" s="27" t="s">
        <v>1167</v>
      </c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229">
        <f t="shared" si="1135"/>
        <v>0</v>
      </c>
      <c r="AC2778" s="228">
        <f t="shared" si="1130"/>
        <v>0</v>
      </c>
      <c r="AD2778" s="19">
        <v>0</v>
      </c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  <c r="AZ2778" s="28"/>
      <c r="BA2778" s="28"/>
      <c r="BB2778" s="28"/>
      <c r="BC2778" s="229">
        <f t="shared" si="1136"/>
        <v>0</v>
      </c>
      <c r="BD2778" s="48">
        <f t="shared" si="1131"/>
        <v>0</v>
      </c>
      <c r="BE2778" s="19">
        <v>1</v>
      </c>
      <c r="BF2778" s="229">
        <f t="shared" si="1137"/>
        <v>0</v>
      </c>
      <c r="BG2778" s="210">
        <f t="shared" si="1132"/>
        <v>0</v>
      </c>
      <c r="BH2778" s="210">
        <f t="shared" si="1133"/>
        <v>1</v>
      </c>
      <c r="BI2778" s="213">
        <f t="shared" si="1134"/>
        <v>0</v>
      </c>
      <c r="BJ2778" s="141"/>
      <c r="BK2778" s="201"/>
      <c r="BL2778" s="4"/>
      <c r="BM2778" s="4"/>
    </row>
    <row r="2779" spans="1:65" s="38" customFormat="1" ht="21.95" customHeight="1">
      <c r="A2779" s="114">
        <v>143</v>
      </c>
      <c r="B2779" s="24" t="s">
        <v>786</v>
      </c>
      <c r="C2779" s="27" t="s">
        <v>2250</v>
      </c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229">
        <f t="shared" si="1135"/>
        <v>0</v>
      </c>
      <c r="AC2779" s="228">
        <f t="shared" si="1130"/>
        <v>0</v>
      </c>
      <c r="AD2779" s="19">
        <v>0</v>
      </c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29">
        <f t="shared" si="1136"/>
        <v>0</v>
      </c>
      <c r="BD2779" s="48">
        <f t="shared" si="1131"/>
        <v>0</v>
      </c>
      <c r="BE2779" s="19">
        <v>1</v>
      </c>
      <c r="BF2779" s="229">
        <f t="shared" si="1137"/>
        <v>0</v>
      </c>
      <c r="BG2779" s="210">
        <f t="shared" si="1132"/>
        <v>0</v>
      </c>
      <c r="BH2779" s="210">
        <f t="shared" si="1133"/>
        <v>1</v>
      </c>
      <c r="BI2779" s="213">
        <f t="shared" si="1134"/>
        <v>0</v>
      </c>
      <c r="BJ2779" s="141"/>
      <c r="BK2779" s="201"/>
      <c r="BL2779" s="4"/>
      <c r="BM2779" s="4"/>
    </row>
    <row r="2780" spans="1:65" s="38" customFormat="1" ht="18" customHeight="1">
      <c r="A2780" s="114">
        <v>144</v>
      </c>
      <c r="B2780" s="24" t="s">
        <v>787</v>
      </c>
      <c r="C2780" s="25" t="s">
        <v>1171</v>
      </c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229">
        <f t="shared" si="1135"/>
        <v>0</v>
      </c>
      <c r="AC2780" s="228">
        <f t="shared" si="1130"/>
        <v>0</v>
      </c>
      <c r="AD2780" s="19">
        <v>0</v>
      </c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/>
      <c r="AZ2780" s="28"/>
      <c r="BA2780" s="28"/>
      <c r="BB2780" s="28"/>
      <c r="BC2780" s="229">
        <f t="shared" si="1136"/>
        <v>0</v>
      </c>
      <c r="BD2780" s="48">
        <f t="shared" si="1131"/>
        <v>0</v>
      </c>
      <c r="BE2780" s="19">
        <v>1</v>
      </c>
      <c r="BF2780" s="229">
        <f t="shared" si="1137"/>
        <v>0</v>
      </c>
      <c r="BG2780" s="210">
        <f t="shared" si="1132"/>
        <v>0</v>
      </c>
      <c r="BH2780" s="210">
        <f t="shared" si="1133"/>
        <v>1</v>
      </c>
      <c r="BI2780" s="213">
        <f t="shared" si="1134"/>
        <v>0</v>
      </c>
      <c r="BJ2780" s="141"/>
      <c r="BK2780" s="201"/>
      <c r="BL2780" s="4"/>
      <c r="BM2780" s="4"/>
    </row>
    <row r="2781" spans="1:65" s="38" customFormat="1" ht="18" customHeight="1">
      <c r="A2781" s="114">
        <v>145</v>
      </c>
      <c r="B2781" s="24" t="s">
        <v>788</v>
      </c>
      <c r="C2781" s="25" t="s">
        <v>1172</v>
      </c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229">
        <f t="shared" si="1135"/>
        <v>0</v>
      </c>
      <c r="AC2781" s="228">
        <f t="shared" si="1130"/>
        <v>0</v>
      </c>
      <c r="AD2781" s="19">
        <v>0</v>
      </c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29">
        <f t="shared" si="1136"/>
        <v>0</v>
      </c>
      <c r="BD2781" s="48">
        <f t="shared" si="1131"/>
        <v>0</v>
      </c>
      <c r="BE2781" s="19">
        <v>75</v>
      </c>
      <c r="BF2781" s="229">
        <f t="shared" si="1137"/>
        <v>0</v>
      </c>
      <c r="BG2781" s="210">
        <f t="shared" si="1132"/>
        <v>0</v>
      </c>
      <c r="BH2781" s="210">
        <f t="shared" si="1133"/>
        <v>75</v>
      </c>
      <c r="BI2781" s="213">
        <f t="shared" si="1134"/>
        <v>0</v>
      </c>
      <c r="BJ2781" s="141"/>
      <c r="BK2781" s="201"/>
      <c r="BL2781" s="4"/>
      <c r="BM2781" s="4"/>
    </row>
    <row r="2782" spans="1:65" s="38" customFormat="1" ht="18" customHeight="1">
      <c r="A2782" s="114">
        <v>146</v>
      </c>
      <c r="B2782" s="24" t="s">
        <v>1173</v>
      </c>
      <c r="C2782" s="25" t="s">
        <v>1371</v>
      </c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229">
        <f t="shared" si="1135"/>
        <v>0</v>
      </c>
      <c r="AC2782" s="228">
        <f t="shared" si="1130"/>
        <v>0</v>
      </c>
      <c r="AD2782" s="19">
        <v>0</v>
      </c>
      <c r="AE2782" s="28"/>
      <c r="AF2782" s="28"/>
      <c r="AG2782" s="28"/>
      <c r="AH2782" s="28"/>
      <c r="AI2782" s="28"/>
      <c r="AJ2782" s="28">
        <v>88</v>
      </c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  <c r="AZ2782" s="28"/>
      <c r="BA2782" s="28"/>
      <c r="BB2782" s="28">
        <v>6</v>
      </c>
      <c r="BC2782" s="229">
        <f t="shared" si="1136"/>
        <v>0</v>
      </c>
      <c r="BD2782" s="48">
        <f t="shared" si="1131"/>
        <v>94</v>
      </c>
      <c r="BE2782" s="19">
        <v>17</v>
      </c>
      <c r="BF2782" s="229">
        <f t="shared" si="1137"/>
        <v>0</v>
      </c>
      <c r="BG2782" s="210">
        <f t="shared" si="1132"/>
        <v>94</v>
      </c>
      <c r="BH2782" s="210">
        <f t="shared" si="1133"/>
        <v>17</v>
      </c>
      <c r="BI2782" s="213">
        <f t="shared" si="1134"/>
        <v>552.94117647058818</v>
      </c>
      <c r="BJ2782" s="141"/>
      <c r="BK2782" s="201"/>
      <c r="BL2782" s="4"/>
      <c r="BM2782" s="4"/>
    </row>
    <row r="2783" spans="1:65" s="38" customFormat="1" ht="18" customHeight="1">
      <c r="A2783" s="114">
        <v>147</v>
      </c>
      <c r="B2783" s="24" t="s">
        <v>1174</v>
      </c>
      <c r="C2783" s="25" t="s">
        <v>1175</v>
      </c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229">
        <f t="shared" si="1135"/>
        <v>0</v>
      </c>
      <c r="AC2783" s="228">
        <f t="shared" si="1130"/>
        <v>0</v>
      </c>
      <c r="AD2783" s="19">
        <v>0</v>
      </c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>
        <v>11</v>
      </c>
      <c r="AQ2783" s="28"/>
      <c r="AR2783" s="28"/>
      <c r="AS2783" s="28"/>
      <c r="AT2783" s="28"/>
      <c r="AU2783" s="28"/>
      <c r="AV2783" s="28"/>
      <c r="AW2783" s="28"/>
      <c r="AX2783" s="28"/>
      <c r="AY2783" s="28"/>
      <c r="AZ2783" s="28"/>
      <c r="BA2783" s="28"/>
      <c r="BB2783" s="28"/>
      <c r="BC2783" s="229">
        <f t="shared" si="1136"/>
        <v>0</v>
      </c>
      <c r="BD2783" s="48">
        <f t="shared" si="1131"/>
        <v>11</v>
      </c>
      <c r="BE2783" s="19">
        <v>1</v>
      </c>
      <c r="BF2783" s="229">
        <f t="shared" si="1137"/>
        <v>0</v>
      </c>
      <c r="BG2783" s="210">
        <f t="shared" si="1132"/>
        <v>11</v>
      </c>
      <c r="BH2783" s="210">
        <f t="shared" si="1133"/>
        <v>1</v>
      </c>
      <c r="BI2783" s="213">
        <f t="shared" si="1134"/>
        <v>1100</v>
      </c>
      <c r="BJ2783" s="141"/>
      <c r="BK2783" s="201"/>
      <c r="BL2783" s="4"/>
      <c r="BM2783" s="4"/>
    </row>
    <row r="2784" spans="1:65" s="38" customFormat="1" ht="21.95" customHeight="1">
      <c r="A2784" s="114">
        <v>148</v>
      </c>
      <c r="B2784" s="24" t="s">
        <v>790</v>
      </c>
      <c r="C2784" s="27" t="s">
        <v>2431</v>
      </c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229">
        <f t="shared" si="1135"/>
        <v>0</v>
      </c>
      <c r="AC2784" s="228">
        <f t="shared" si="1130"/>
        <v>0</v>
      </c>
      <c r="AD2784" s="19">
        <v>0</v>
      </c>
      <c r="AE2784" s="28"/>
      <c r="AF2784" s="28"/>
      <c r="AG2784" s="28"/>
      <c r="AH2784" s="28"/>
      <c r="AI2784" s="28"/>
      <c r="AJ2784" s="28">
        <f>1340+30+34</f>
        <v>1404</v>
      </c>
      <c r="AK2784" s="28"/>
      <c r="AL2784" s="28"/>
      <c r="AM2784" s="28"/>
      <c r="AN2784" s="28"/>
      <c r="AO2784" s="28"/>
      <c r="AP2784" s="28">
        <f>1769+28+90</f>
        <v>1887</v>
      </c>
      <c r="AQ2784" s="28"/>
      <c r="AR2784" s="28"/>
      <c r="AS2784" s="28"/>
      <c r="AT2784" s="28"/>
      <c r="AU2784" s="28"/>
      <c r="AV2784" s="28">
        <v>905</v>
      </c>
      <c r="AW2784" s="28"/>
      <c r="AX2784" s="28"/>
      <c r="AY2784" s="28"/>
      <c r="AZ2784" s="28"/>
      <c r="BA2784" s="28"/>
      <c r="BB2784" s="28">
        <f>1451+14</f>
        <v>1465</v>
      </c>
      <c r="BC2784" s="229">
        <f t="shared" si="1136"/>
        <v>0</v>
      </c>
      <c r="BD2784" s="48">
        <f t="shared" si="1131"/>
        <v>5661</v>
      </c>
      <c r="BE2784" s="19">
        <v>1754</v>
      </c>
      <c r="BF2784" s="229">
        <f t="shared" si="1137"/>
        <v>0</v>
      </c>
      <c r="BG2784" s="210">
        <f t="shared" si="1132"/>
        <v>5661</v>
      </c>
      <c r="BH2784" s="210">
        <f t="shared" si="1133"/>
        <v>1754</v>
      </c>
      <c r="BI2784" s="213">
        <f t="shared" si="1134"/>
        <v>322.74800456100343</v>
      </c>
      <c r="BJ2784" s="141"/>
      <c r="BK2784" s="201"/>
      <c r="BL2784" s="4"/>
      <c r="BM2784" s="4"/>
    </row>
    <row r="2785" spans="1:65" s="38" customFormat="1" ht="18" customHeight="1">
      <c r="A2785" s="114">
        <v>149</v>
      </c>
      <c r="B2785" s="156" t="s">
        <v>1788</v>
      </c>
      <c r="C2785" s="159" t="s">
        <v>1789</v>
      </c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229">
        <f t="shared" si="1135"/>
        <v>0</v>
      </c>
      <c r="AC2785" s="228">
        <f t="shared" si="1130"/>
        <v>0</v>
      </c>
      <c r="AD2785" s="19">
        <v>1</v>
      </c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29">
        <f t="shared" si="1136"/>
        <v>0</v>
      </c>
      <c r="BD2785" s="48">
        <f t="shared" si="1131"/>
        <v>0</v>
      </c>
      <c r="BE2785" s="19">
        <v>0</v>
      </c>
      <c r="BF2785" s="229">
        <f t="shared" si="1137"/>
        <v>0</v>
      </c>
      <c r="BG2785" s="210">
        <f t="shared" si="1132"/>
        <v>0</v>
      </c>
      <c r="BH2785" s="210">
        <f t="shared" si="1133"/>
        <v>1</v>
      </c>
      <c r="BI2785" s="213">
        <f t="shared" si="1134"/>
        <v>0</v>
      </c>
      <c r="BJ2785" s="269" t="s">
        <v>2856</v>
      </c>
      <c r="BK2785" s="201"/>
      <c r="BL2785" s="4"/>
      <c r="BM2785" s="4"/>
    </row>
    <row r="2786" spans="1:65" s="38" customFormat="1" ht="21.95" customHeight="1">
      <c r="A2786" s="375" t="s">
        <v>2775</v>
      </c>
      <c r="B2786" s="375"/>
      <c r="C2786" s="375"/>
      <c r="D2786" s="220">
        <f t="shared" ref="D2786:BE2786" si="1138">SUM(D2787:D2828)</f>
        <v>0</v>
      </c>
      <c r="E2786" s="220">
        <f t="shared" si="1138"/>
        <v>0</v>
      </c>
      <c r="F2786" s="220">
        <f t="shared" si="1138"/>
        <v>0</v>
      </c>
      <c r="G2786" s="220">
        <f t="shared" si="1138"/>
        <v>0</v>
      </c>
      <c r="H2786" s="220">
        <f t="shared" si="1138"/>
        <v>0</v>
      </c>
      <c r="I2786" s="220">
        <f t="shared" si="1138"/>
        <v>904</v>
      </c>
      <c r="J2786" s="220">
        <f t="shared" si="1138"/>
        <v>0</v>
      </c>
      <c r="K2786" s="220">
        <f t="shared" si="1138"/>
        <v>0</v>
      </c>
      <c r="L2786" s="220">
        <f t="shared" si="1138"/>
        <v>0</v>
      </c>
      <c r="M2786" s="220">
        <f t="shared" si="1138"/>
        <v>0</v>
      </c>
      <c r="N2786" s="220">
        <f t="shared" si="1138"/>
        <v>0</v>
      </c>
      <c r="O2786" s="220">
        <f t="shared" si="1138"/>
        <v>651</v>
      </c>
      <c r="P2786" s="220">
        <f t="shared" si="1138"/>
        <v>0</v>
      </c>
      <c r="Q2786" s="220">
        <f t="shared" si="1138"/>
        <v>0</v>
      </c>
      <c r="R2786" s="220">
        <f t="shared" si="1138"/>
        <v>0</v>
      </c>
      <c r="S2786" s="220">
        <f t="shared" si="1138"/>
        <v>0</v>
      </c>
      <c r="T2786" s="220">
        <f t="shared" si="1138"/>
        <v>0</v>
      </c>
      <c r="U2786" s="220">
        <f t="shared" si="1138"/>
        <v>1438</v>
      </c>
      <c r="V2786" s="220">
        <f t="shared" si="1138"/>
        <v>0</v>
      </c>
      <c r="W2786" s="220">
        <f t="shared" si="1138"/>
        <v>0</v>
      </c>
      <c r="X2786" s="220">
        <f t="shared" si="1138"/>
        <v>0</v>
      </c>
      <c r="Y2786" s="220">
        <f t="shared" si="1138"/>
        <v>0</v>
      </c>
      <c r="Z2786" s="220">
        <f t="shared" si="1138"/>
        <v>0</v>
      </c>
      <c r="AA2786" s="220">
        <f t="shared" si="1138"/>
        <v>171</v>
      </c>
      <c r="AB2786" s="220">
        <f t="shared" ref="AB2786" si="1139">D2786+F2786+H2786+J2786+L2786+N2786+P2786+R2786+T2786+V2786+X2786+Z2786</f>
        <v>0</v>
      </c>
      <c r="AC2786" s="220">
        <f t="shared" ref="AC2786" si="1140">E2786+G2786+I2786+K2786+M2786+O2786+Q2786+S2786+U2786+W2786+Y2786+AA2786</f>
        <v>3164</v>
      </c>
      <c r="AD2786" s="274">
        <f t="shared" si="1138"/>
        <v>3169</v>
      </c>
      <c r="AE2786" s="210">
        <f t="shared" si="1138"/>
        <v>0</v>
      </c>
      <c r="AF2786" s="210">
        <f t="shared" si="1138"/>
        <v>0</v>
      </c>
      <c r="AG2786" s="210">
        <f t="shared" si="1138"/>
        <v>0</v>
      </c>
      <c r="AH2786" s="210">
        <f t="shared" si="1138"/>
        <v>0</v>
      </c>
      <c r="AI2786" s="210">
        <f t="shared" si="1138"/>
        <v>0</v>
      </c>
      <c r="AJ2786" s="210">
        <f t="shared" si="1138"/>
        <v>3234</v>
      </c>
      <c r="AK2786" s="210">
        <f t="shared" si="1138"/>
        <v>0</v>
      </c>
      <c r="AL2786" s="210">
        <f t="shared" si="1138"/>
        <v>0</v>
      </c>
      <c r="AM2786" s="210">
        <f t="shared" si="1138"/>
        <v>0</v>
      </c>
      <c r="AN2786" s="210">
        <f t="shared" si="1138"/>
        <v>0</v>
      </c>
      <c r="AO2786" s="210">
        <f t="shared" si="1138"/>
        <v>0</v>
      </c>
      <c r="AP2786" s="210">
        <f t="shared" si="1138"/>
        <v>3608</v>
      </c>
      <c r="AQ2786" s="210">
        <f t="shared" si="1138"/>
        <v>0</v>
      </c>
      <c r="AR2786" s="210">
        <f t="shared" si="1138"/>
        <v>0</v>
      </c>
      <c r="AS2786" s="210">
        <f t="shared" si="1138"/>
        <v>0</v>
      </c>
      <c r="AT2786" s="210">
        <f t="shared" si="1138"/>
        <v>0</v>
      </c>
      <c r="AU2786" s="210">
        <f t="shared" si="1138"/>
        <v>0</v>
      </c>
      <c r="AV2786" s="210">
        <f t="shared" si="1138"/>
        <v>504</v>
      </c>
      <c r="AW2786" s="210">
        <f t="shared" si="1138"/>
        <v>0</v>
      </c>
      <c r="AX2786" s="210">
        <f t="shared" si="1138"/>
        <v>0</v>
      </c>
      <c r="AY2786" s="210">
        <f t="shared" si="1138"/>
        <v>0</v>
      </c>
      <c r="AZ2786" s="210">
        <f t="shared" si="1138"/>
        <v>0</v>
      </c>
      <c r="BA2786" s="210">
        <f t="shared" si="1138"/>
        <v>0</v>
      </c>
      <c r="BB2786" s="210">
        <f t="shared" si="1138"/>
        <v>2850</v>
      </c>
      <c r="BC2786" s="220">
        <f t="shared" ref="BC2786" si="1141">AE2786+AG2786+AI2786+AK2786+AM2786+AO2786+AQ2786+AS2786+AU2786+AW2786+AY2786+BA2786</f>
        <v>0</v>
      </c>
      <c r="BD2786" s="210">
        <f t="shared" ref="BD2786" si="1142">AF2786+AH2786+AJ2786+AL2786+AN2786+AP2786+AR2786+AT2786+AV2786+AX2786+AZ2786+BB2786</f>
        <v>10196</v>
      </c>
      <c r="BE2786" s="210">
        <f t="shared" si="1138"/>
        <v>16112</v>
      </c>
      <c r="BF2786" s="220">
        <f t="shared" ref="BF2786" si="1143">AB2786+BC2786</f>
        <v>0</v>
      </c>
      <c r="BG2786" s="210">
        <f t="shared" ref="BG2786" si="1144">AC2786+BD2786</f>
        <v>13360</v>
      </c>
      <c r="BH2786" s="210">
        <f t="shared" ref="BH2786" si="1145">AD2786+BE2786</f>
        <v>19281</v>
      </c>
      <c r="BI2786" s="213">
        <f t="shared" ref="BI2786" si="1146">BG2786/BH2786*100</f>
        <v>69.291011876977336</v>
      </c>
      <c r="BJ2786" s="142">
        <v>19281</v>
      </c>
      <c r="BK2786" s="203">
        <f>BH2786-BJ2786</f>
        <v>0</v>
      </c>
      <c r="BL2786" s="198">
        <v>15574</v>
      </c>
      <c r="BM2786" s="199">
        <f>BG2786-BL2786</f>
        <v>-2214</v>
      </c>
    </row>
    <row r="2787" spans="1:65" s="38" customFormat="1" ht="21.95" customHeight="1">
      <c r="A2787" s="114">
        <v>1</v>
      </c>
      <c r="B2787" s="24" t="s">
        <v>705</v>
      </c>
      <c r="C2787" s="27" t="s">
        <v>706</v>
      </c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229">
        <f t="shared" ref="AB2787:AB2828" si="1147">D2787+F2787+H2787+J2787+L2787+N2787+P2787+R2787+T2787+V2787+X2787+Z2787</f>
        <v>0</v>
      </c>
      <c r="AC2787" s="228">
        <f t="shared" ref="AC2787:AC2828" si="1148">E2787+G2787+I2787+K2787+M2787+O2787+Q2787+S2787+U2787+W2787+Y2787+AA2787</f>
        <v>0</v>
      </c>
      <c r="AD2787" s="19">
        <v>5</v>
      </c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29">
        <f t="shared" ref="BC2787:BC2828" si="1149">AE2787+AG2787+AI2787+AK2787+AM2787+AO2787+AQ2787+AS2787+AU2787+AW2787+AY2787+BA2787</f>
        <v>0</v>
      </c>
      <c r="BD2787" s="48">
        <f t="shared" ref="BD2787:BD2828" si="1150">AF2787+AH2787+AJ2787+AL2787+AN2787+AP2787+AR2787+AT2787+AV2787+AX2787+AZ2787+BB2787</f>
        <v>0</v>
      </c>
      <c r="BE2787" s="19">
        <v>0</v>
      </c>
      <c r="BF2787" s="229">
        <f t="shared" ref="BF2787:BF2801" si="1151">AB2787+BC2787</f>
        <v>0</v>
      </c>
      <c r="BG2787" s="210">
        <f t="shared" ref="BG2787:BG2801" si="1152">AC2787+BD2787</f>
        <v>0</v>
      </c>
      <c r="BH2787" s="210">
        <f t="shared" ref="BH2787:BH2801" si="1153">AD2787+BE2787</f>
        <v>5</v>
      </c>
      <c r="BI2787" s="213">
        <f t="shared" ref="BI2787:BI2828" si="1154">BG2787/BH2787*100</f>
        <v>0</v>
      </c>
      <c r="BJ2787" s="270" t="s">
        <v>2857</v>
      </c>
      <c r="BK2787" s="201"/>
      <c r="BL2787" s="4"/>
      <c r="BM2787" s="4"/>
    </row>
    <row r="2788" spans="1:65" s="38" customFormat="1" ht="18" customHeight="1">
      <c r="A2788" s="114">
        <v>2</v>
      </c>
      <c r="B2788" s="24" t="s">
        <v>937</v>
      </c>
      <c r="C2788" s="25" t="s">
        <v>938</v>
      </c>
      <c r="D2788" s="121"/>
      <c r="E2788" s="121"/>
      <c r="F2788" s="121"/>
      <c r="G2788" s="121"/>
      <c r="H2788" s="121"/>
      <c r="I2788" s="121">
        <v>18</v>
      </c>
      <c r="J2788" s="121"/>
      <c r="K2788" s="121"/>
      <c r="L2788" s="121"/>
      <c r="M2788" s="121"/>
      <c r="N2788" s="121"/>
      <c r="O2788" s="121">
        <v>27</v>
      </c>
      <c r="P2788" s="121"/>
      <c r="Q2788" s="121"/>
      <c r="R2788" s="121"/>
      <c r="S2788" s="121"/>
      <c r="T2788" s="121"/>
      <c r="U2788" s="121">
        <v>46</v>
      </c>
      <c r="V2788" s="121"/>
      <c r="W2788" s="121"/>
      <c r="X2788" s="121"/>
      <c r="Y2788" s="121"/>
      <c r="Z2788" s="121"/>
      <c r="AA2788" s="121"/>
      <c r="AB2788" s="229">
        <f t="shared" si="1147"/>
        <v>0</v>
      </c>
      <c r="AC2788" s="228">
        <f t="shared" si="1148"/>
        <v>91</v>
      </c>
      <c r="AD2788" s="19">
        <v>45</v>
      </c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29">
        <f t="shared" si="1149"/>
        <v>0</v>
      </c>
      <c r="BD2788" s="48">
        <f t="shared" si="1150"/>
        <v>0</v>
      </c>
      <c r="BE2788" s="19">
        <v>0</v>
      </c>
      <c r="BF2788" s="229">
        <f t="shared" si="1151"/>
        <v>0</v>
      </c>
      <c r="BG2788" s="210">
        <f t="shared" si="1152"/>
        <v>91</v>
      </c>
      <c r="BH2788" s="210">
        <f t="shared" si="1153"/>
        <v>45</v>
      </c>
      <c r="BI2788" s="213">
        <f t="shared" si="1154"/>
        <v>202.22222222222223</v>
      </c>
      <c r="BJ2788" s="270" t="s">
        <v>2857</v>
      </c>
      <c r="BK2788" s="201"/>
      <c r="BL2788" s="4"/>
      <c r="BM2788" s="4"/>
    </row>
    <row r="2789" spans="1:65" s="38" customFormat="1" ht="18" customHeight="1">
      <c r="A2789" s="114">
        <v>3</v>
      </c>
      <c r="B2789" s="24" t="s">
        <v>1468</v>
      </c>
      <c r="C2789" s="25" t="s">
        <v>1471</v>
      </c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229">
        <f t="shared" si="1147"/>
        <v>0</v>
      </c>
      <c r="AC2789" s="228">
        <f t="shared" si="1148"/>
        <v>0</v>
      </c>
      <c r="AD2789" s="19">
        <v>3</v>
      </c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  <c r="AZ2789" s="28"/>
      <c r="BA2789" s="28"/>
      <c r="BB2789" s="28"/>
      <c r="BC2789" s="229">
        <f t="shared" si="1149"/>
        <v>0</v>
      </c>
      <c r="BD2789" s="48">
        <f t="shared" si="1150"/>
        <v>0</v>
      </c>
      <c r="BE2789" s="19">
        <v>0</v>
      </c>
      <c r="BF2789" s="229">
        <f t="shared" si="1151"/>
        <v>0</v>
      </c>
      <c r="BG2789" s="210">
        <f t="shared" si="1152"/>
        <v>0</v>
      </c>
      <c r="BH2789" s="210">
        <f t="shared" si="1153"/>
        <v>3</v>
      </c>
      <c r="BI2789" s="213">
        <f t="shared" si="1154"/>
        <v>0</v>
      </c>
      <c r="BJ2789" s="270" t="s">
        <v>2857</v>
      </c>
      <c r="BK2789" s="201"/>
      <c r="BL2789" s="4"/>
      <c r="BM2789" s="4"/>
    </row>
    <row r="2790" spans="1:65" s="38" customFormat="1" ht="18" customHeight="1">
      <c r="A2790" s="114">
        <v>4</v>
      </c>
      <c r="B2790" s="24" t="s">
        <v>1482</v>
      </c>
      <c r="C2790" s="25" t="s">
        <v>1483</v>
      </c>
      <c r="D2790" s="121"/>
      <c r="E2790" s="121"/>
      <c r="F2790" s="121"/>
      <c r="G2790" s="121"/>
      <c r="H2790" s="121"/>
      <c r="I2790" s="121">
        <f>142+626</f>
        <v>768</v>
      </c>
      <c r="J2790" s="121"/>
      <c r="K2790" s="121"/>
      <c r="L2790" s="121"/>
      <c r="M2790" s="121"/>
      <c r="N2790" s="121"/>
      <c r="O2790" s="121">
        <f>147+471</f>
        <v>618</v>
      </c>
      <c r="P2790" s="121"/>
      <c r="Q2790" s="121"/>
      <c r="R2790" s="121"/>
      <c r="S2790" s="121"/>
      <c r="T2790" s="121"/>
      <c r="U2790" s="121">
        <f>26+60+439+439+400</f>
        <v>1364</v>
      </c>
      <c r="V2790" s="121"/>
      <c r="W2790" s="121"/>
      <c r="X2790" s="121"/>
      <c r="Y2790" s="121"/>
      <c r="Z2790" s="121"/>
      <c r="AA2790" s="121">
        <v>155</v>
      </c>
      <c r="AB2790" s="229">
        <f t="shared" si="1147"/>
        <v>0</v>
      </c>
      <c r="AC2790" s="228">
        <f t="shared" si="1148"/>
        <v>2905</v>
      </c>
      <c r="AD2790" s="19">
        <v>3054</v>
      </c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  <c r="AZ2790" s="28"/>
      <c r="BA2790" s="28"/>
      <c r="BB2790" s="28"/>
      <c r="BC2790" s="229">
        <f t="shared" si="1149"/>
        <v>0</v>
      </c>
      <c r="BD2790" s="48">
        <f t="shared" si="1150"/>
        <v>0</v>
      </c>
      <c r="BE2790" s="19">
        <v>0</v>
      </c>
      <c r="BF2790" s="229">
        <f t="shared" si="1151"/>
        <v>0</v>
      </c>
      <c r="BG2790" s="210">
        <f t="shared" si="1152"/>
        <v>2905</v>
      </c>
      <c r="BH2790" s="210">
        <f t="shared" si="1153"/>
        <v>3054</v>
      </c>
      <c r="BI2790" s="213">
        <f t="shared" si="1154"/>
        <v>95.121152586771444</v>
      </c>
      <c r="BJ2790" s="270" t="s">
        <v>2857</v>
      </c>
      <c r="BK2790" s="201"/>
      <c r="BL2790" s="4"/>
      <c r="BM2790" s="4"/>
    </row>
    <row r="2791" spans="1:65" s="38" customFormat="1" ht="18" customHeight="1">
      <c r="A2791" s="114">
        <v>5</v>
      </c>
      <c r="B2791" s="24" t="s">
        <v>551</v>
      </c>
      <c r="C2791" s="25" t="s">
        <v>552</v>
      </c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229">
        <f t="shared" si="1147"/>
        <v>0</v>
      </c>
      <c r="AC2791" s="228">
        <f t="shared" si="1148"/>
        <v>0</v>
      </c>
      <c r="AD2791" s="19">
        <v>0</v>
      </c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29">
        <f t="shared" si="1149"/>
        <v>0</v>
      </c>
      <c r="BD2791" s="48">
        <f t="shared" si="1150"/>
        <v>0</v>
      </c>
      <c r="BE2791" s="19">
        <v>1</v>
      </c>
      <c r="BF2791" s="229">
        <f t="shared" si="1151"/>
        <v>0</v>
      </c>
      <c r="BG2791" s="210">
        <f t="shared" si="1152"/>
        <v>0</v>
      </c>
      <c r="BH2791" s="210">
        <f t="shared" si="1153"/>
        <v>1</v>
      </c>
      <c r="BI2791" s="213">
        <f t="shared" si="1154"/>
        <v>0</v>
      </c>
      <c r="BJ2791" s="141"/>
      <c r="BK2791" s="201"/>
      <c r="BL2791" s="4"/>
      <c r="BM2791" s="4"/>
    </row>
    <row r="2792" spans="1:65" s="38" customFormat="1" ht="18" customHeight="1">
      <c r="A2792" s="114">
        <v>6</v>
      </c>
      <c r="B2792" s="24" t="s">
        <v>555</v>
      </c>
      <c r="C2792" s="25" t="s">
        <v>556</v>
      </c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229">
        <f t="shared" si="1147"/>
        <v>0</v>
      </c>
      <c r="AC2792" s="228">
        <f t="shared" si="1148"/>
        <v>0</v>
      </c>
      <c r="AD2792" s="19">
        <v>0</v>
      </c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  <c r="AZ2792" s="28"/>
      <c r="BA2792" s="28"/>
      <c r="BB2792" s="28"/>
      <c r="BC2792" s="229">
        <f t="shared" si="1149"/>
        <v>0</v>
      </c>
      <c r="BD2792" s="48">
        <f t="shared" si="1150"/>
        <v>0</v>
      </c>
      <c r="BE2792" s="19">
        <v>15</v>
      </c>
      <c r="BF2792" s="229">
        <f t="shared" si="1151"/>
        <v>0</v>
      </c>
      <c r="BG2792" s="210">
        <f t="shared" si="1152"/>
        <v>0</v>
      </c>
      <c r="BH2792" s="210">
        <f t="shared" si="1153"/>
        <v>15</v>
      </c>
      <c r="BI2792" s="213">
        <f t="shared" si="1154"/>
        <v>0</v>
      </c>
      <c r="BJ2792" s="141"/>
      <c r="BK2792" s="201"/>
      <c r="BL2792" s="4"/>
      <c r="BM2792" s="4"/>
    </row>
    <row r="2793" spans="1:65" s="38" customFormat="1" ht="18" customHeight="1">
      <c r="A2793" s="114">
        <v>7</v>
      </c>
      <c r="B2793" s="24" t="s">
        <v>561</v>
      </c>
      <c r="C2793" s="25" t="s">
        <v>562</v>
      </c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229">
        <f t="shared" si="1147"/>
        <v>0</v>
      </c>
      <c r="AC2793" s="228">
        <f t="shared" si="1148"/>
        <v>0</v>
      </c>
      <c r="AD2793" s="19">
        <v>0</v>
      </c>
      <c r="AE2793" s="28"/>
      <c r="AF2793" s="28"/>
      <c r="AG2793" s="28"/>
      <c r="AH2793" s="28"/>
      <c r="AI2793" s="28"/>
      <c r="AJ2793" s="28">
        <v>10</v>
      </c>
      <c r="AK2793" s="28"/>
      <c r="AL2793" s="28"/>
      <c r="AM2793" s="28"/>
      <c r="AN2793" s="28"/>
      <c r="AO2793" s="28"/>
      <c r="AP2793" s="28">
        <v>5</v>
      </c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>
        <v>6</v>
      </c>
      <c r="BC2793" s="229">
        <f t="shared" si="1149"/>
        <v>0</v>
      </c>
      <c r="BD2793" s="48">
        <f t="shared" si="1150"/>
        <v>21</v>
      </c>
      <c r="BE2793" s="19">
        <v>6</v>
      </c>
      <c r="BF2793" s="229">
        <f t="shared" si="1151"/>
        <v>0</v>
      </c>
      <c r="BG2793" s="210">
        <f t="shared" si="1152"/>
        <v>21</v>
      </c>
      <c r="BH2793" s="210">
        <f t="shared" si="1153"/>
        <v>6</v>
      </c>
      <c r="BI2793" s="213">
        <f t="shared" si="1154"/>
        <v>350</v>
      </c>
      <c r="BJ2793" s="141"/>
      <c r="BK2793" s="201"/>
      <c r="BL2793" s="4"/>
      <c r="BM2793" s="4"/>
    </row>
    <row r="2794" spans="1:65" s="38" customFormat="1" ht="18" customHeight="1">
      <c r="A2794" s="114">
        <v>8</v>
      </c>
      <c r="B2794" s="24" t="s">
        <v>672</v>
      </c>
      <c r="C2794" s="25" t="s">
        <v>1028</v>
      </c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229">
        <f t="shared" si="1147"/>
        <v>0</v>
      </c>
      <c r="AC2794" s="228">
        <f t="shared" si="1148"/>
        <v>0</v>
      </c>
      <c r="AD2794" s="19">
        <v>0</v>
      </c>
      <c r="AE2794" s="28"/>
      <c r="AF2794" s="28"/>
      <c r="AG2794" s="28"/>
      <c r="AH2794" s="28"/>
      <c r="AI2794" s="28"/>
      <c r="AJ2794" s="28">
        <v>15</v>
      </c>
      <c r="AK2794" s="28"/>
      <c r="AL2794" s="28"/>
      <c r="AM2794" s="28"/>
      <c r="AN2794" s="28"/>
      <c r="AO2794" s="28"/>
      <c r="AP2794" s="28">
        <v>218</v>
      </c>
      <c r="AQ2794" s="28"/>
      <c r="AR2794" s="28"/>
      <c r="AS2794" s="28"/>
      <c r="AT2794" s="28"/>
      <c r="AU2794" s="28"/>
      <c r="AV2794" s="28">
        <v>9</v>
      </c>
      <c r="AW2794" s="28"/>
      <c r="AX2794" s="28"/>
      <c r="AY2794" s="28"/>
      <c r="AZ2794" s="28"/>
      <c r="BA2794" s="28"/>
      <c r="BB2794" s="28">
        <v>180</v>
      </c>
      <c r="BC2794" s="229">
        <f t="shared" si="1149"/>
        <v>0</v>
      </c>
      <c r="BD2794" s="48">
        <f t="shared" si="1150"/>
        <v>422</v>
      </c>
      <c r="BE2794" s="19">
        <v>867</v>
      </c>
      <c r="BF2794" s="229">
        <f t="shared" si="1151"/>
        <v>0</v>
      </c>
      <c r="BG2794" s="210">
        <f t="shared" si="1152"/>
        <v>422</v>
      </c>
      <c r="BH2794" s="210">
        <f t="shared" si="1153"/>
        <v>867</v>
      </c>
      <c r="BI2794" s="213">
        <f t="shared" si="1154"/>
        <v>48.673587081891576</v>
      </c>
      <c r="BJ2794" s="141"/>
      <c r="BK2794" s="201"/>
      <c r="BL2794" s="4"/>
      <c r="BM2794" s="4"/>
    </row>
    <row r="2795" spans="1:65" s="38" customFormat="1" ht="18" customHeight="1">
      <c r="A2795" s="114">
        <v>9</v>
      </c>
      <c r="B2795" s="24" t="s">
        <v>2232</v>
      </c>
      <c r="C2795" s="25" t="s">
        <v>2233</v>
      </c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229">
        <f t="shared" si="1147"/>
        <v>0</v>
      </c>
      <c r="AC2795" s="228">
        <f t="shared" si="1148"/>
        <v>0</v>
      </c>
      <c r="AD2795" s="19">
        <v>0</v>
      </c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  <c r="AZ2795" s="28"/>
      <c r="BA2795" s="28"/>
      <c r="BB2795" s="28"/>
      <c r="BC2795" s="229">
        <f t="shared" si="1149"/>
        <v>0</v>
      </c>
      <c r="BD2795" s="48">
        <f t="shared" si="1150"/>
        <v>0</v>
      </c>
      <c r="BE2795" s="19">
        <v>3</v>
      </c>
      <c r="BF2795" s="229">
        <f t="shared" si="1151"/>
        <v>0</v>
      </c>
      <c r="BG2795" s="210">
        <f t="shared" si="1152"/>
        <v>0</v>
      </c>
      <c r="BH2795" s="210">
        <f t="shared" si="1153"/>
        <v>3</v>
      </c>
      <c r="BI2795" s="213">
        <f t="shared" si="1154"/>
        <v>0</v>
      </c>
      <c r="BJ2795" s="3"/>
      <c r="BK2795" s="201"/>
      <c r="BL2795" s="4"/>
      <c r="BM2795" s="4"/>
    </row>
    <row r="2796" spans="1:65" s="38" customFormat="1" ht="18" customHeight="1">
      <c r="A2796" s="114">
        <v>10</v>
      </c>
      <c r="B2796" s="24" t="s">
        <v>808</v>
      </c>
      <c r="C2796" s="25" t="s">
        <v>809</v>
      </c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229">
        <f t="shared" si="1147"/>
        <v>0</v>
      </c>
      <c r="AC2796" s="228">
        <f t="shared" si="1148"/>
        <v>0</v>
      </c>
      <c r="AD2796" s="19">
        <v>0</v>
      </c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29">
        <f t="shared" si="1149"/>
        <v>0</v>
      </c>
      <c r="BD2796" s="48">
        <f t="shared" si="1150"/>
        <v>0</v>
      </c>
      <c r="BE2796" s="19">
        <v>1</v>
      </c>
      <c r="BF2796" s="229">
        <f t="shared" si="1151"/>
        <v>0</v>
      </c>
      <c r="BG2796" s="210">
        <f t="shared" si="1152"/>
        <v>0</v>
      </c>
      <c r="BH2796" s="210">
        <f t="shared" si="1153"/>
        <v>1</v>
      </c>
      <c r="BI2796" s="213">
        <f t="shared" si="1154"/>
        <v>0</v>
      </c>
      <c r="BJ2796" s="141"/>
      <c r="BK2796" s="201"/>
      <c r="BL2796" s="4"/>
      <c r="BM2796" s="4"/>
    </row>
    <row r="2797" spans="1:65" s="38" customFormat="1" ht="18" customHeight="1">
      <c r="A2797" s="114">
        <v>11</v>
      </c>
      <c r="B2797" s="24" t="s">
        <v>565</v>
      </c>
      <c r="C2797" s="25" t="s">
        <v>566</v>
      </c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229">
        <f t="shared" si="1147"/>
        <v>0</v>
      </c>
      <c r="AC2797" s="228">
        <f t="shared" si="1148"/>
        <v>0</v>
      </c>
      <c r="AD2797" s="19">
        <v>0</v>
      </c>
      <c r="AE2797" s="28"/>
      <c r="AF2797" s="28"/>
      <c r="AG2797" s="28"/>
      <c r="AH2797" s="28"/>
      <c r="AI2797" s="28"/>
      <c r="AJ2797" s="28">
        <v>3</v>
      </c>
      <c r="AK2797" s="28"/>
      <c r="AL2797" s="28"/>
      <c r="AM2797" s="28"/>
      <c r="AN2797" s="28"/>
      <c r="AO2797" s="28"/>
      <c r="AP2797" s="28">
        <v>2</v>
      </c>
      <c r="AQ2797" s="28"/>
      <c r="AR2797" s="28"/>
      <c r="AS2797" s="28"/>
      <c r="AT2797" s="28"/>
      <c r="AU2797" s="28"/>
      <c r="AV2797" s="28"/>
      <c r="AW2797" s="28"/>
      <c r="AX2797" s="28"/>
      <c r="AY2797" s="28"/>
      <c r="AZ2797" s="28"/>
      <c r="BA2797" s="28"/>
      <c r="BB2797" s="28">
        <v>2</v>
      </c>
      <c r="BC2797" s="229">
        <f t="shared" si="1149"/>
        <v>0</v>
      </c>
      <c r="BD2797" s="48">
        <f t="shared" si="1150"/>
        <v>7</v>
      </c>
      <c r="BE2797" s="19">
        <v>10</v>
      </c>
      <c r="BF2797" s="229">
        <f t="shared" si="1151"/>
        <v>0</v>
      </c>
      <c r="BG2797" s="210">
        <f t="shared" si="1152"/>
        <v>7</v>
      </c>
      <c r="BH2797" s="210">
        <f t="shared" si="1153"/>
        <v>10</v>
      </c>
      <c r="BI2797" s="213">
        <f t="shared" si="1154"/>
        <v>70</v>
      </c>
      <c r="BJ2797" s="141"/>
      <c r="BK2797" s="201"/>
      <c r="BL2797" s="4"/>
      <c r="BM2797" s="4"/>
    </row>
    <row r="2798" spans="1:65" s="38" customFormat="1" ht="18" customHeight="1">
      <c r="A2798" s="114">
        <v>12</v>
      </c>
      <c r="B2798" s="24" t="s">
        <v>567</v>
      </c>
      <c r="C2798" s="25" t="s">
        <v>568</v>
      </c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229">
        <f t="shared" si="1147"/>
        <v>0</v>
      </c>
      <c r="AC2798" s="228">
        <f t="shared" si="1148"/>
        <v>0</v>
      </c>
      <c r="AD2798" s="19">
        <v>0</v>
      </c>
      <c r="AE2798" s="28"/>
      <c r="AF2798" s="28"/>
      <c r="AG2798" s="28"/>
      <c r="AH2798" s="28"/>
      <c r="AI2798" s="28"/>
      <c r="AJ2798" s="28">
        <v>1</v>
      </c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29">
        <f t="shared" si="1149"/>
        <v>0</v>
      </c>
      <c r="BD2798" s="48">
        <f t="shared" si="1150"/>
        <v>1</v>
      </c>
      <c r="BE2798" s="19">
        <v>3</v>
      </c>
      <c r="BF2798" s="229">
        <f t="shared" si="1151"/>
        <v>0</v>
      </c>
      <c r="BG2798" s="210">
        <f t="shared" si="1152"/>
        <v>1</v>
      </c>
      <c r="BH2798" s="210">
        <f t="shared" si="1153"/>
        <v>3</v>
      </c>
      <c r="BI2798" s="213">
        <f t="shared" si="1154"/>
        <v>33.333333333333329</v>
      </c>
      <c r="BJ2798" s="141"/>
      <c r="BK2798" s="201"/>
      <c r="BL2798" s="4"/>
      <c r="BM2798" s="4"/>
    </row>
    <row r="2799" spans="1:65" s="38" customFormat="1" ht="18" customHeight="1">
      <c r="A2799" s="114">
        <v>13</v>
      </c>
      <c r="B2799" s="24" t="s">
        <v>571</v>
      </c>
      <c r="C2799" s="25" t="s">
        <v>572</v>
      </c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229">
        <f t="shared" si="1147"/>
        <v>0</v>
      </c>
      <c r="AC2799" s="228">
        <f t="shared" si="1148"/>
        <v>0</v>
      </c>
      <c r="AD2799" s="19">
        <v>0</v>
      </c>
      <c r="AE2799" s="28"/>
      <c r="AF2799" s="28"/>
      <c r="AG2799" s="28"/>
      <c r="AH2799" s="28"/>
      <c r="AI2799" s="28"/>
      <c r="AJ2799" s="28">
        <f>101+2</f>
        <v>103</v>
      </c>
      <c r="AK2799" s="28"/>
      <c r="AL2799" s="28"/>
      <c r="AM2799" s="28"/>
      <c r="AN2799" s="28"/>
      <c r="AO2799" s="28"/>
      <c r="AP2799" s="28">
        <f>109+1</f>
        <v>110</v>
      </c>
      <c r="AQ2799" s="28"/>
      <c r="AR2799" s="28"/>
      <c r="AS2799" s="28"/>
      <c r="AT2799" s="28"/>
      <c r="AU2799" s="28"/>
      <c r="AV2799" s="28">
        <v>25</v>
      </c>
      <c r="AW2799" s="28"/>
      <c r="AX2799" s="28"/>
      <c r="AY2799" s="28"/>
      <c r="AZ2799" s="28"/>
      <c r="BA2799" s="28"/>
      <c r="BB2799" s="28">
        <f>181+1</f>
        <v>182</v>
      </c>
      <c r="BC2799" s="229">
        <f t="shared" si="1149"/>
        <v>0</v>
      </c>
      <c r="BD2799" s="48">
        <f t="shared" si="1150"/>
        <v>420</v>
      </c>
      <c r="BE2799" s="19">
        <v>739</v>
      </c>
      <c r="BF2799" s="229">
        <f t="shared" si="1151"/>
        <v>0</v>
      </c>
      <c r="BG2799" s="210">
        <f t="shared" si="1152"/>
        <v>420</v>
      </c>
      <c r="BH2799" s="210">
        <f t="shared" si="1153"/>
        <v>739</v>
      </c>
      <c r="BI2799" s="213">
        <f t="shared" si="1154"/>
        <v>56.833558863328825</v>
      </c>
      <c r="BJ2799" s="141"/>
      <c r="BK2799" s="201"/>
      <c r="BL2799" s="4"/>
      <c r="BM2799" s="4"/>
    </row>
    <row r="2800" spans="1:65" s="38" customFormat="1" ht="18" customHeight="1">
      <c r="A2800" s="114">
        <v>14</v>
      </c>
      <c r="B2800" s="24" t="s">
        <v>573</v>
      </c>
      <c r="C2800" s="25" t="s">
        <v>574</v>
      </c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229">
        <f t="shared" si="1147"/>
        <v>0</v>
      </c>
      <c r="AC2800" s="228">
        <f t="shared" si="1148"/>
        <v>0</v>
      </c>
      <c r="AD2800" s="19">
        <v>0</v>
      </c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29">
        <f t="shared" si="1149"/>
        <v>0</v>
      </c>
      <c r="BD2800" s="48">
        <f t="shared" si="1150"/>
        <v>0</v>
      </c>
      <c r="BE2800" s="19">
        <v>1</v>
      </c>
      <c r="BF2800" s="229">
        <f t="shared" si="1151"/>
        <v>0</v>
      </c>
      <c r="BG2800" s="210">
        <f t="shared" si="1152"/>
        <v>0</v>
      </c>
      <c r="BH2800" s="210">
        <f t="shared" si="1153"/>
        <v>1</v>
      </c>
      <c r="BI2800" s="213">
        <f t="shared" si="1154"/>
        <v>0</v>
      </c>
      <c r="BJ2800" s="141"/>
      <c r="BK2800" s="201"/>
      <c r="BL2800" s="4"/>
      <c r="BM2800" s="4"/>
    </row>
    <row r="2801" spans="1:65" s="38" customFormat="1" ht="18" customHeight="1">
      <c r="A2801" s="114">
        <v>15</v>
      </c>
      <c r="B2801" s="24" t="s">
        <v>579</v>
      </c>
      <c r="C2801" s="25" t="s">
        <v>580</v>
      </c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229">
        <f t="shared" si="1147"/>
        <v>0</v>
      </c>
      <c r="AC2801" s="228">
        <f t="shared" si="1148"/>
        <v>0</v>
      </c>
      <c r="AD2801" s="19">
        <v>0</v>
      </c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29">
        <f t="shared" si="1149"/>
        <v>0</v>
      </c>
      <c r="BD2801" s="48">
        <f t="shared" si="1150"/>
        <v>0</v>
      </c>
      <c r="BE2801" s="19">
        <v>1</v>
      </c>
      <c r="BF2801" s="229">
        <f t="shared" si="1151"/>
        <v>0</v>
      </c>
      <c r="BG2801" s="210">
        <f t="shared" si="1152"/>
        <v>0</v>
      </c>
      <c r="BH2801" s="210">
        <f t="shared" si="1153"/>
        <v>1</v>
      </c>
      <c r="BI2801" s="213">
        <f t="shared" si="1154"/>
        <v>0</v>
      </c>
      <c r="BJ2801" s="141"/>
      <c r="BK2801" s="201"/>
      <c r="BL2801" s="4"/>
      <c r="BM2801" s="4"/>
    </row>
    <row r="2802" spans="1:65" s="38" customFormat="1" ht="18" customHeight="1">
      <c r="A2802" s="114">
        <v>16</v>
      </c>
      <c r="B2802" s="24" t="s">
        <v>109</v>
      </c>
      <c r="C2802" s="25" t="s">
        <v>3036</v>
      </c>
      <c r="D2802" s="121"/>
      <c r="E2802" s="121"/>
      <c r="F2802" s="121"/>
      <c r="G2802" s="121"/>
      <c r="H2802" s="121"/>
      <c r="I2802" s="121">
        <v>114</v>
      </c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229">
        <f t="shared" si="1147"/>
        <v>0</v>
      </c>
      <c r="AC2802" s="228">
        <f t="shared" si="1148"/>
        <v>114</v>
      </c>
      <c r="AD2802" s="19">
        <v>0</v>
      </c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29">
        <f t="shared" si="1149"/>
        <v>0</v>
      </c>
      <c r="BD2802" s="48">
        <f t="shared" si="1150"/>
        <v>0</v>
      </c>
      <c r="BE2802" s="19">
        <v>0</v>
      </c>
      <c r="BF2802" s="229"/>
      <c r="BG2802" s="210">
        <f t="shared" ref="BG2802:BG2828" si="1155">AC2802+BD2802</f>
        <v>114</v>
      </c>
      <c r="BH2802" s="210">
        <f t="shared" ref="BH2802:BH2828" si="1156">AD2802+BE2802</f>
        <v>0</v>
      </c>
      <c r="BI2802" s="213" t="e">
        <f t="shared" si="1154"/>
        <v>#DIV/0!</v>
      </c>
      <c r="BJ2802" s="141"/>
      <c r="BK2802" s="201"/>
      <c r="BL2802" s="4"/>
      <c r="BM2802" s="4"/>
    </row>
    <row r="2803" spans="1:65" s="38" customFormat="1" ht="18" customHeight="1">
      <c r="A2803" s="114">
        <v>17</v>
      </c>
      <c r="B2803" s="24" t="s">
        <v>585</v>
      </c>
      <c r="C2803" s="25" t="s">
        <v>586</v>
      </c>
      <c r="D2803" s="121"/>
      <c r="E2803" s="121"/>
      <c r="F2803" s="121"/>
      <c r="G2803" s="121"/>
      <c r="H2803" s="121"/>
      <c r="I2803" s="121">
        <v>1</v>
      </c>
      <c r="J2803" s="121"/>
      <c r="K2803" s="121"/>
      <c r="L2803" s="121"/>
      <c r="M2803" s="121"/>
      <c r="N2803" s="121"/>
      <c r="O2803" s="121">
        <v>1</v>
      </c>
      <c r="P2803" s="121"/>
      <c r="Q2803" s="121"/>
      <c r="R2803" s="121"/>
      <c r="S2803" s="121"/>
      <c r="T2803" s="121"/>
      <c r="U2803" s="121">
        <f>6+22</f>
        <v>28</v>
      </c>
      <c r="V2803" s="121"/>
      <c r="W2803" s="121"/>
      <c r="X2803" s="121"/>
      <c r="Y2803" s="121"/>
      <c r="Z2803" s="121"/>
      <c r="AA2803" s="121">
        <v>14</v>
      </c>
      <c r="AB2803" s="229">
        <f t="shared" si="1147"/>
        <v>0</v>
      </c>
      <c r="AC2803" s="228">
        <f t="shared" si="1148"/>
        <v>44</v>
      </c>
      <c r="AD2803" s="19">
        <v>54</v>
      </c>
      <c r="AE2803" s="28"/>
      <c r="AF2803" s="28"/>
      <c r="AG2803" s="28"/>
      <c r="AH2803" s="28"/>
      <c r="AI2803" s="28"/>
      <c r="AJ2803" s="28">
        <f>454+69</f>
        <v>523</v>
      </c>
      <c r="AK2803" s="28"/>
      <c r="AL2803" s="28"/>
      <c r="AM2803" s="28"/>
      <c r="AN2803" s="28"/>
      <c r="AO2803" s="28"/>
      <c r="AP2803" s="28">
        <f>441+90</f>
        <v>531</v>
      </c>
      <c r="AQ2803" s="28"/>
      <c r="AR2803" s="28"/>
      <c r="AS2803" s="28"/>
      <c r="AT2803" s="28"/>
      <c r="AU2803" s="28"/>
      <c r="AV2803" s="28">
        <f>46+8</f>
        <v>54</v>
      </c>
      <c r="AW2803" s="28"/>
      <c r="AX2803" s="28"/>
      <c r="AY2803" s="28"/>
      <c r="AZ2803" s="28"/>
      <c r="BA2803" s="28"/>
      <c r="BB2803" s="28">
        <f>346+39</f>
        <v>385</v>
      </c>
      <c r="BC2803" s="229">
        <f t="shared" si="1149"/>
        <v>0</v>
      </c>
      <c r="BD2803" s="48">
        <f t="shared" si="1150"/>
        <v>1493</v>
      </c>
      <c r="BE2803" s="19">
        <v>742</v>
      </c>
      <c r="BF2803" s="229">
        <f t="shared" ref="BF2803:BF2828" si="1157">AB2803+BC2803</f>
        <v>0</v>
      </c>
      <c r="BG2803" s="210">
        <f t="shared" si="1155"/>
        <v>1537</v>
      </c>
      <c r="BH2803" s="210">
        <f t="shared" si="1156"/>
        <v>796</v>
      </c>
      <c r="BI2803" s="213">
        <f t="shared" si="1154"/>
        <v>193.09045226130652</v>
      </c>
      <c r="BJ2803" s="141"/>
      <c r="BK2803" s="201"/>
      <c r="BL2803" s="4"/>
      <c r="BM2803" s="4"/>
    </row>
    <row r="2804" spans="1:65" s="38" customFormat="1" ht="18" customHeight="1">
      <c r="A2804" s="114">
        <v>18</v>
      </c>
      <c r="B2804" s="24" t="s">
        <v>596</v>
      </c>
      <c r="C2804" s="25" t="s">
        <v>597</v>
      </c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229">
        <f t="shared" si="1147"/>
        <v>0</v>
      </c>
      <c r="AC2804" s="228">
        <f t="shared" si="1148"/>
        <v>0</v>
      </c>
      <c r="AD2804" s="19">
        <v>0</v>
      </c>
      <c r="AE2804" s="28"/>
      <c r="AF2804" s="28"/>
      <c r="AG2804" s="28"/>
      <c r="AH2804" s="28"/>
      <c r="AI2804" s="28"/>
      <c r="AJ2804" s="28">
        <v>3</v>
      </c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>
        <v>6</v>
      </c>
      <c r="BC2804" s="229">
        <f t="shared" si="1149"/>
        <v>0</v>
      </c>
      <c r="BD2804" s="48">
        <f t="shared" si="1150"/>
        <v>9</v>
      </c>
      <c r="BE2804" s="19">
        <v>7</v>
      </c>
      <c r="BF2804" s="229">
        <f t="shared" si="1157"/>
        <v>0</v>
      </c>
      <c r="BG2804" s="210">
        <f t="shared" si="1155"/>
        <v>9</v>
      </c>
      <c r="BH2804" s="210">
        <f t="shared" si="1156"/>
        <v>7</v>
      </c>
      <c r="BI2804" s="213">
        <f t="shared" si="1154"/>
        <v>128.57142857142858</v>
      </c>
      <c r="BJ2804" s="141"/>
      <c r="BK2804" s="201"/>
      <c r="BL2804" s="4"/>
      <c r="BM2804" s="4"/>
    </row>
    <row r="2805" spans="1:65" s="38" customFormat="1" ht="21.95" customHeight="1">
      <c r="A2805" s="114">
        <v>19</v>
      </c>
      <c r="B2805" s="24" t="s">
        <v>626</v>
      </c>
      <c r="C2805" s="25" t="s">
        <v>627</v>
      </c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229">
        <f t="shared" si="1147"/>
        <v>0</v>
      </c>
      <c r="AC2805" s="228">
        <f t="shared" si="1148"/>
        <v>0</v>
      </c>
      <c r="AD2805" s="19">
        <v>0</v>
      </c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29">
        <f t="shared" si="1149"/>
        <v>0</v>
      </c>
      <c r="BD2805" s="48">
        <f t="shared" si="1150"/>
        <v>0</v>
      </c>
      <c r="BE2805" s="19">
        <v>1</v>
      </c>
      <c r="BF2805" s="229">
        <f t="shared" si="1157"/>
        <v>0</v>
      </c>
      <c r="BG2805" s="210">
        <f t="shared" si="1155"/>
        <v>0</v>
      </c>
      <c r="BH2805" s="210">
        <f t="shared" si="1156"/>
        <v>1</v>
      </c>
      <c r="BI2805" s="213">
        <f t="shared" si="1154"/>
        <v>0</v>
      </c>
      <c r="BJ2805" s="141"/>
      <c r="BK2805" s="201"/>
      <c r="BL2805" s="4"/>
      <c r="BM2805" s="4"/>
    </row>
    <row r="2806" spans="1:65" s="38" customFormat="1" ht="18" customHeight="1">
      <c r="A2806" s="114">
        <v>20</v>
      </c>
      <c r="B2806" s="24" t="s">
        <v>628</v>
      </c>
      <c r="C2806" s="25" t="s">
        <v>629</v>
      </c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229">
        <f t="shared" si="1147"/>
        <v>0</v>
      </c>
      <c r="AC2806" s="228">
        <f t="shared" si="1148"/>
        <v>0</v>
      </c>
      <c r="AD2806" s="19">
        <v>0</v>
      </c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29">
        <f t="shared" si="1149"/>
        <v>0</v>
      </c>
      <c r="BD2806" s="48">
        <f t="shared" si="1150"/>
        <v>0</v>
      </c>
      <c r="BE2806" s="19">
        <v>1</v>
      </c>
      <c r="BF2806" s="229">
        <f t="shared" si="1157"/>
        <v>0</v>
      </c>
      <c r="BG2806" s="210">
        <f t="shared" si="1155"/>
        <v>0</v>
      </c>
      <c r="BH2806" s="210">
        <f t="shared" si="1156"/>
        <v>1</v>
      </c>
      <c r="BI2806" s="213">
        <f t="shared" si="1154"/>
        <v>0</v>
      </c>
      <c r="BJ2806" s="141"/>
      <c r="BK2806" s="201"/>
      <c r="BL2806" s="4"/>
      <c r="BM2806" s="4"/>
    </row>
    <row r="2807" spans="1:65" s="38" customFormat="1" ht="18" customHeight="1">
      <c r="A2807" s="114">
        <v>21</v>
      </c>
      <c r="B2807" s="24" t="s">
        <v>632</v>
      </c>
      <c r="C2807" s="25" t="s">
        <v>633</v>
      </c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229">
        <f t="shared" si="1147"/>
        <v>0</v>
      </c>
      <c r="AC2807" s="228">
        <f t="shared" si="1148"/>
        <v>0</v>
      </c>
      <c r="AD2807" s="19">
        <v>0</v>
      </c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29">
        <f t="shared" si="1149"/>
        <v>0</v>
      </c>
      <c r="BD2807" s="48">
        <f t="shared" si="1150"/>
        <v>0</v>
      </c>
      <c r="BE2807" s="19">
        <v>1</v>
      </c>
      <c r="BF2807" s="229">
        <f t="shared" si="1157"/>
        <v>0</v>
      </c>
      <c r="BG2807" s="210">
        <f t="shared" si="1155"/>
        <v>0</v>
      </c>
      <c r="BH2807" s="210">
        <f t="shared" si="1156"/>
        <v>1</v>
      </c>
      <c r="BI2807" s="213">
        <f t="shared" si="1154"/>
        <v>0</v>
      </c>
      <c r="BJ2807" s="141"/>
      <c r="BK2807" s="201"/>
      <c r="BL2807" s="4"/>
      <c r="BM2807" s="4"/>
    </row>
    <row r="2808" spans="1:65" s="38" customFormat="1" ht="18" customHeight="1">
      <c r="A2808" s="114">
        <v>22</v>
      </c>
      <c r="B2808" s="24" t="s">
        <v>634</v>
      </c>
      <c r="C2808" s="25" t="s">
        <v>696</v>
      </c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229">
        <f t="shared" si="1147"/>
        <v>0</v>
      </c>
      <c r="AC2808" s="228">
        <f t="shared" si="1148"/>
        <v>0</v>
      </c>
      <c r="AD2808" s="19">
        <v>0</v>
      </c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29">
        <f t="shared" si="1149"/>
        <v>0</v>
      </c>
      <c r="BD2808" s="48">
        <f t="shared" si="1150"/>
        <v>0</v>
      </c>
      <c r="BE2808" s="19">
        <v>1</v>
      </c>
      <c r="BF2808" s="229">
        <f t="shared" si="1157"/>
        <v>0</v>
      </c>
      <c r="BG2808" s="210">
        <f t="shared" si="1155"/>
        <v>0</v>
      </c>
      <c r="BH2808" s="210">
        <f t="shared" si="1156"/>
        <v>1</v>
      </c>
      <c r="BI2808" s="213">
        <f t="shared" si="1154"/>
        <v>0</v>
      </c>
      <c r="BJ2808" s="141"/>
      <c r="BK2808" s="201"/>
      <c r="BL2808" s="4"/>
      <c r="BM2808" s="4"/>
    </row>
    <row r="2809" spans="1:65" s="38" customFormat="1" ht="18" customHeight="1">
      <c r="A2809" s="114">
        <v>23</v>
      </c>
      <c r="B2809" s="24" t="s">
        <v>643</v>
      </c>
      <c r="C2809" s="25" t="s">
        <v>722</v>
      </c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229">
        <f t="shared" si="1147"/>
        <v>0</v>
      </c>
      <c r="AC2809" s="228">
        <f t="shared" si="1148"/>
        <v>0</v>
      </c>
      <c r="AD2809" s="19">
        <v>0</v>
      </c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29">
        <f t="shared" si="1149"/>
        <v>0</v>
      </c>
      <c r="BD2809" s="48">
        <f t="shared" si="1150"/>
        <v>0</v>
      </c>
      <c r="BE2809" s="19">
        <v>1</v>
      </c>
      <c r="BF2809" s="229">
        <f t="shared" si="1157"/>
        <v>0</v>
      </c>
      <c r="BG2809" s="210">
        <f t="shared" si="1155"/>
        <v>0</v>
      </c>
      <c r="BH2809" s="210">
        <f t="shared" si="1156"/>
        <v>1</v>
      </c>
      <c r="BI2809" s="213">
        <f t="shared" si="1154"/>
        <v>0</v>
      </c>
      <c r="BJ2809" s="141"/>
      <c r="BK2809" s="201"/>
      <c r="BL2809" s="4"/>
      <c r="BM2809" s="4"/>
    </row>
    <row r="2810" spans="1:65" s="38" customFormat="1" ht="18" customHeight="1">
      <c r="A2810" s="114">
        <v>24</v>
      </c>
      <c r="B2810" s="24" t="s">
        <v>644</v>
      </c>
      <c r="C2810" s="25" t="s">
        <v>645</v>
      </c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229">
        <f t="shared" si="1147"/>
        <v>0</v>
      </c>
      <c r="AC2810" s="228">
        <f t="shared" si="1148"/>
        <v>0</v>
      </c>
      <c r="AD2810" s="19">
        <v>0</v>
      </c>
      <c r="AE2810" s="28"/>
      <c r="AF2810" s="28"/>
      <c r="AG2810" s="28"/>
      <c r="AH2810" s="28"/>
      <c r="AI2810" s="28"/>
      <c r="AJ2810" s="28">
        <v>2</v>
      </c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29">
        <f t="shared" si="1149"/>
        <v>0</v>
      </c>
      <c r="BD2810" s="48">
        <f t="shared" si="1150"/>
        <v>2</v>
      </c>
      <c r="BE2810" s="19">
        <v>1</v>
      </c>
      <c r="BF2810" s="229">
        <f t="shared" si="1157"/>
        <v>0</v>
      </c>
      <c r="BG2810" s="210">
        <f t="shared" si="1155"/>
        <v>2</v>
      </c>
      <c r="BH2810" s="210">
        <f t="shared" si="1156"/>
        <v>1</v>
      </c>
      <c r="BI2810" s="213">
        <f t="shared" si="1154"/>
        <v>200</v>
      </c>
      <c r="BJ2810" s="141"/>
      <c r="BK2810" s="201"/>
      <c r="BL2810" s="4"/>
      <c r="BM2810" s="4"/>
    </row>
    <row r="2811" spans="1:65" s="38" customFormat="1" ht="18" customHeight="1">
      <c r="A2811" s="114">
        <v>25</v>
      </c>
      <c r="B2811" s="24" t="s">
        <v>698</v>
      </c>
      <c r="C2811" s="25" t="s">
        <v>699</v>
      </c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229">
        <f t="shared" si="1147"/>
        <v>0</v>
      </c>
      <c r="AC2811" s="228">
        <f t="shared" si="1148"/>
        <v>0</v>
      </c>
      <c r="AD2811" s="19">
        <v>0</v>
      </c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29">
        <f t="shared" si="1149"/>
        <v>0</v>
      </c>
      <c r="BD2811" s="48">
        <f t="shared" si="1150"/>
        <v>0</v>
      </c>
      <c r="BE2811" s="19">
        <v>11</v>
      </c>
      <c r="BF2811" s="229">
        <f t="shared" si="1157"/>
        <v>0</v>
      </c>
      <c r="BG2811" s="210">
        <f t="shared" si="1155"/>
        <v>0</v>
      </c>
      <c r="BH2811" s="210">
        <f t="shared" si="1156"/>
        <v>11</v>
      </c>
      <c r="BI2811" s="213">
        <f t="shared" si="1154"/>
        <v>0</v>
      </c>
      <c r="BJ2811" s="141"/>
      <c r="BK2811" s="201"/>
      <c r="BL2811" s="4"/>
      <c r="BM2811" s="4"/>
    </row>
    <row r="2812" spans="1:65" s="38" customFormat="1" ht="18" customHeight="1">
      <c r="A2812" s="114">
        <v>26</v>
      </c>
      <c r="B2812" s="24" t="s">
        <v>892</v>
      </c>
      <c r="C2812" s="25" t="s">
        <v>893</v>
      </c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229">
        <f t="shared" si="1147"/>
        <v>0</v>
      </c>
      <c r="AC2812" s="228">
        <f t="shared" si="1148"/>
        <v>0</v>
      </c>
      <c r="AD2812" s="19">
        <v>0</v>
      </c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>
        <v>1</v>
      </c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29">
        <f t="shared" si="1149"/>
        <v>0</v>
      </c>
      <c r="BD2812" s="48">
        <f t="shared" si="1150"/>
        <v>1</v>
      </c>
      <c r="BE2812" s="19">
        <v>3</v>
      </c>
      <c r="BF2812" s="229">
        <f t="shared" si="1157"/>
        <v>0</v>
      </c>
      <c r="BG2812" s="210">
        <f t="shared" si="1155"/>
        <v>1</v>
      </c>
      <c r="BH2812" s="210">
        <f t="shared" si="1156"/>
        <v>3</v>
      </c>
      <c r="BI2812" s="213">
        <f t="shared" si="1154"/>
        <v>33.333333333333329</v>
      </c>
      <c r="BJ2812" s="141"/>
      <c r="BK2812" s="201"/>
      <c r="BL2812" s="4"/>
      <c r="BM2812" s="4"/>
    </row>
    <row r="2813" spans="1:65" s="38" customFormat="1" ht="18" customHeight="1">
      <c r="A2813" s="114">
        <v>27</v>
      </c>
      <c r="B2813" s="24" t="s">
        <v>653</v>
      </c>
      <c r="C2813" s="25" t="s">
        <v>654</v>
      </c>
      <c r="D2813" s="121"/>
      <c r="E2813" s="121"/>
      <c r="F2813" s="121"/>
      <c r="G2813" s="121"/>
      <c r="H2813" s="121"/>
      <c r="I2813" s="121">
        <v>1</v>
      </c>
      <c r="J2813" s="121"/>
      <c r="K2813" s="121"/>
      <c r="L2813" s="121"/>
      <c r="M2813" s="121"/>
      <c r="N2813" s="121"/>
      <c r="O2813" s="121">
        <v>3</v>
      </c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>
        <v>1</v>
      </c>
      <c r="AB2813" s="229">
        <f t="shared" si="1147"/>
        <v>0</v>
      </c>
      <c r="AC2813" s="228">
        <f t="shared" si="1148"/>
        <v>5</v>
      </c>
      <c r="AD2813" s="19">
        <v>3</v>
      </c>
      <c r="AE2813" s="28"/>
      <c r="AF2813" s="28"/>
      <c r="AG2813" s="28"/>
      <c r="AH2813" s="28"/>
      <c r="AI2813" s="28"/>
      <c r="AJ2813" s="28">
        <v>80</v>
      </c>
      <c r="AK2813" s="28"/>
      <c r="AL2813" s="28"/>
      <c r="AM2813" s="28"/>
      <c r="AN2813" s="28"/>
      <c r="AO2813" s="28"/>
      <c r="AP2813" s="28">
        <v>68</v>
      </c>
      <c r="AQ2813" s="28"/>
      <c r="AR2813" s="28"/>
      <c r="AS2813" s="28"/>
      <c r="AT2813" s="28"/>
      <c r="AU2813" s="28"/>
      <c r="AV2813" s="28">
        <v>5</v>
      </c>
      <c r="AW2813" s="28"/>
      <c r="AX2813" s="28"/>
      <c r="AY2813" s="28"/>
      <c r="AZ2813" s="28"/>
      <c r="BA2813" s="28"/>
      <c r="BB2813" s="28">
        <v>73</v>
      </c>
      <c r="BC2813" s="229">
        <f t="shared" si="1149"/>
        <v>0</v>
      </c>
      <c r="BD2813" s="48">
        <f t="shared" si="1150"/>
        <v>226</v>
      </c>
      <c r="BE2813" s="19">
        <v>232</v>
      </c>
      <c r="BF2813" s="229">
        <f t="shared" si="1157"/>
        <v>0</v>
      </c>
      <c r="BG2813" s="210">
        <f t="shared" si="1155"/>
        <v>231</v>
      </c>
      <c r="BH2813" s="210">
        <f t="shared" si="1156"/>
        <v>235</v>
      </c>
      <c r="BI2813" s="213">
        <f t="shared" si="1154"/>
        <v>98.297872340425528</v>
      </c>
      <c r="BJ2813" s="141"/>
      <c r="BK2813" s="201"/>
      <c r="BL2813" s="4"/>
      <c r="BM2813" s="4"/>
    </row>
    <row r="2814" spans="1:65" s="38" customFormat="1" ht="18" customHeight="1">
      <c r="A2814" s="114">
        <v>28</v>
      </c>
      <c r="B2814" s="24" t="s">
        <v>655</v>
      </c>
      <c r="C2814" s="25" t="s">
        <v>997</v>
      </c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229">
        <f t="shared" si="1147"/>
        <v>0</v>
      </c>
      <c r="AC2814" s="228">
        <f t="shared" si="1148"/>
        <v>0</v>
      </c>
      <c r="AD2814" s="19">
        <v>0</v>
      </c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29">
        <f t="shared" si="1149"/>
        <v>0</v>
      </c>
      <c r="BD2814" s="48">
        <f t="shared" si="1150"/>
        <v>0</v>
      </c>
      <c r="BE2814" s="19">
        <v>1</v>
      </c>
      <c r="BF2814" s="229">
        <f t="shared" si="1157"/>
        <v>0</v>
      </c>
      <c r="BG2814" s="210">
        <f t="shared" si="1155"/>
        <v>0</v>
      </c>
      <c r="BH2814" s="210">
        <f t="shared" si="1156"/>
        <v>1</v>
      </c>
      <c r="BI2814" s="213">
        <f t="shared" si="1154"/>
        <v>0</v>
      </c>
      <c r="BJ2814" s="141"/>
      <c r="BK2814" s="201"/>
      <c r="BL2814" s="4"/>
      <c r="BM2814" s="4"/>
    </row>
    <row r="2815" spans="1:65" s="38" customFormat="1" ht="18" customHeight="1">
      <c r="A2815" s="114">
        <v>29</v>
      </c>
      <c r="B2815" s="24" t="s">
        <v>1250</v>
      </c>
      <c r="C2815" s="25" t="s">
        <v>1963</v>
      </c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229">
        <f t="shared" si="1147"/>
        <v>0</v>
      </c>
      <c r="AC2815" s="228">
        <f t="shared" si="1148"/>
        <v>0</v>
      </c>
      <c r="AD2815" s="19">
        <v>0</v>
      </c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29">
        <f t="shared" si="1149"/>
        <v>0</v>
      </c>
      <c r="BD2815" s="48">
        <f t="shared" si="1150"/>
        <v>0</v>
      </c>
      <c r="BE2815" s="19">
        <v>1</v>
      </c>
      <c r="BF2815" s="229">
        <f t="shared" si="1157"/>
        <v>0</v>
      </c>
      <c r="BG2815" s="210">
        <f t="shared" si="1155"/>
        <v>0</v>
      </c>
      <c r="BH2815" s="210">
        <f t="shared" si="1156"/>
        <v>1</v>
      </c>
      <c r="BI2815" s="213">
        <f t="shared" si="1154"/>
        <v>0</v>
      </c>
      <c r="BJ2815" s="141"/>
      <c r="BK2815" s="201"/>
      <c r="BL2815" s="4"/>
      <c r="BM2815" s="4"/>
    </row>
    <row r="2816" spans="1:65" s="38" customFormat="1" ht="18" customHeight="1">
      <c r="A2816" s="114">
        <v>30</v>
      </c>
      <c r="B2816" s="30" t="s">
        <v>740</v>
      </c>
      <c r="C2816" s="76" t="s">
        <v>1520</v>
      </c>
      <c r="D2816" s="121"/>
      <c r="E2816" s="121"/>
      <c r="F2816" s="121"/>
      <c r="G2816" s="121"/>
      <c r="H2816" s="121"/>
      <c r="I2816" s="121">
        <v>2</v>
      </c>
      <c r="J2816" s="121"/>
      <c r="K2816" s="121"/>
      <c r="L2816" s="121"/>
      <c r="M2816" s="121"/>
      <c r="N2816" s="121"/>
      <c r="O2816" s="121">
        <v>2</v>
      </c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>
        <v>1</v>
      </c>
      <c r="AB2816" s="229">
        <f t="shared" si="1147"/>
        <v>0</v>
      </c>
      <c r="AC2816" s="228">
        <f t="shared" si="1148"/>
        <v>5</v>
      </c>
      <c r="AD2816" s="19">
        <v>4</v>
      </c>
      <c r="AE2816" s="28"/>
      <c r="AF2816" s="28"/>
      <c r="AG2816" s="28"/>
      <c r="AH2816" s="28"/>
      <c r="AI2816" s="28"/>
      <c r="AJ2816" s="28">
        <f>459+133+70</f>
        <v>662</v>
      </c>
      <c r="AK2816" s="28"/>
      <c r="AL2816" s="28"/>
      <c r="AM2816" s="28"/>
      <c r="AN2816" s="28"/>
      <c r="AO2816" s="28"/>
      <c r="AP2816" s="28">
        <f>381+200+54</f>
        <v>635</v>
      </c>
      <c r="AQ2816" s="28"/>
      <c r="AR2816" s="28"/>
      <c r="AS2816" s="28"/>
      <c r="AT2816" s="28"/>
      <c r="AU2816" s="28"/>
      <c r="AV2816" s="28">
        <f>31+9+2</f>
        <v>42</v>
      </c>
      <c r="AW2816" s="28"/>
      <c r="AX2816" s="28"/>
      <c r="AY2816" s="28"/>
      <c r="AZ2816" s="28"/>
      <c r="BA2816" s="28"/>
      <c r="BB2816" s="28">
        <f>301+64+58</f>
        <v>423</v>
      </c>
      <c r="BC2816" s="229">
        <f t="shared" si="1149"/>
        <v>0</v>
      </c>
      <c r="BD2816" s="48">
        <f t="shared" si="1150"/>
        <v>1762</v>
      </c>
      <c r="BE2816" s="19">
        <v>6259</v>
      </c>
      <c r="BF2816" s="229">
        <f t="shared" si="1157"/>
        <v>0</v>
      </c>
      <c r="BG2816" s="210">
        <f t="shared" si="1155"/>
        <v>1767</v>
      </c>
      <c r="BH2816" s="210">
        <f t="shared" si="1156"/>
        <v>6263</v>
      </c>
      <c r="BI2816" s="213">
        <f t="shared" si="1154"/>
        <v>28.213316302091652</v>
      </c>
      <c r="BJ2816" s="141"/>
      <c r="BK2816" s="201"/>
      <c r="BL2816" s="4"/>
      <c r="BM2816" s="4"/>
    </row>
    <row r="2817" spans="1:65" s="38" customFormat="1" ht="21.95" customHeight="1">
      <c r="A2817" s="114">
        <v>31</v>
      </c>
      <c r="B2817" s="24" t="s">
        <v>657</v>
      </c>
      <c r="C2817" s="27" t="s">
        <v>1401</v>
      </c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229">
        <f t="shared" si="1147"/>
        <v>0</v>
      </c>
      <c r="AC2817" s="228">
        <f t="shared" si="1148"/>
        <v>0</v>
      </c>
      <c r="AD2817" s="19">
        <v>0</v>
      </c>
      <c r="AE2817" s="28"/>
      <c r="AF2817" s="28"/>
      <c r="AG2817" s="28"/>
      <c r="AH2817" s="28"/>
      <c r="AI2817" s="28"/>
      <c r="AJ2817" s="28">
        <v>60</v>
      </c>
      <c r="AK2817" s="28"/>
      <c r="AL2817" s="28"/>
      <c r="AM2817" s="28"/>
      <c r="AN2817" s="28"/>
      <c r="AO2817" s="28"/>
      <c r="AP2817" s="28">
        <v>192</v>
      </c>
      <c r="AQ2817" s="28"/>
      <c r="AR2817" s="28"/>
      <c r="AS2817" s="28"/>
      <c r="AT2817" s="28"/>
      <c r="AU2817" s="28"/>
      <c r="AV2817" s="28">
        <v>3</v>
      </c>
      <c r="AW2817" s="28"/>
      <c r="AX2817" s="28"/>
      <c r="AY2817" s="28"/>
      <c r="AZ2817" s="28"/>
      <c r="BA2817" s="28"/>
      <c r="BB2817" s="28">
        <f>29+5</f>
        <v>34</v>
      </c>
      <c r="BC2817" s="229">
        <f t="shared" si="1149"/>
        <v>0</v>
      </c>
      <c r="BD2817" s="48">
        <f t="shared" si="1150"/>
        <v>289</v>
      </c>
      <c r="BE2817" s="19">
        <v>146</v>
      </c>
      <c r="BF2817" s="229">
        <f t="shared" si="1157"/>
        <v>0</v>
      </c>
      <c r="BG2817" s="210">
        <f t="shared" si="1155"/>
        <v>289</v>
      </c>
      <c r="BH2817" s="210">
        <f t="shared" si="1156"/>
        <v>146</v>
      </c>
      <c r="BI2817" s="213">
        <f t="shared" si="1154"/>
        <v>197.94520547945206</v>
      </c>
      <c r="BJ2817" s="141"/>
      <c r="BK2817" s="201"/>
      <c r="BL2817" s="4"/>
      <c r="BM2817" s="4"/>
    </row>
    <row r="2818" spans="1:65" s="38" customFormat="1" ht="21.95" customHeight="1">
      <c r="A2818" s="114">
        <v>32</v>
      </c>
      <c r="B2818" s="24" t="s">
        <v>658</v>
      </c>
      <c r="C2818" s="25" t="s">
        <v>779</v>
      </c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229">
        <f t="shared" si="1147"/>
        <v>0</v>
      </c>
      <c r="AC2818" s="228">
        <f t="shared" si="1148"/>
        <v>0</v>
      </c>
      <c r="AD2818" s="19">
        <v>0</v>
      </c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29">
        <f t="shared" si="1149"/>
        <v>0</v>
      </c>
      <c r="BD2818" s="48">
        <f t="shared" si="1150"/>
        <v>0</v>
      </c>
      <c r="BE2818" s="19">
        <v>1</v>
      </c>
      <c r="BF2818" s="229">
        <f t="shared" si="1157"/>
        <v>0</v>
      </c>
      <c r="BG2818" s="210">
        <f t="shared" si="1155"/>
        <v>0</v>
      </c>
      <c r="BH2818" s="210">
        <f t="shared" si="1156"/>
        <v>1</v>
      </c>
      <c r="BI2818" s="213">
        <f t="shared" si="1154"/>
        <v>0</v>
      </c>
      <c r="BJ2818" s="141"/>
      <c r="BK2818" s="201"/>
      <c r="BL2818" s="4"/>
      <c r="BM2818" s="4"/>
    </row>
    <row r="2819" spans="1:65" s="38" customFormat="1" ht="18" customHeight="1">
      <c r="A2819" s="114">
        <v>33</v>
      </c>
      <c r="B2819" s="24" t="s">
        <v>804</v>
      </c>
      <c r="C2819" s="25" t="s">
        <v>1386</v>
      </c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229">
        <f t="shared" si="1147"/>
        <v>0</v>
      </c>
      <c r="AC2819" s="228">
        <f t="shared" si="1148"/>
        <v>0</v>
      </c>
      <c r="AD2819" s="19">
        <v>0</v>
      </c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  <c r="AZ2819" s="28"/>
      <c r="BA2819" s="28"/>
      <c r="BB2819" s="28"/>
      <c r="BC2819" s="229">
        <f t="shared" si="1149"/>
        <v>0</v>
      </c>
      <c r="BD2819" s="48">
        <f t="shared" si="1150"/>
        <v>0</v>
      </c>
      <c r="BE2819" s="19">
        <v>1</v>
      </c>
      <c r="BF2819" s="229">
        <f t="shared" si="1157"/>
        <v>0</v>
      </c>
      <c r="BG2819" s="210">
        <f t="shared" si="1155"/>
        <v>0</v>
      </c>
      <c r="BH2819" s="210">
        <f t="shared" si="1156"/>
        <v>1</v>
      </c>
      <c r="BI2819" s="213">
        <f t="shared" si="1154"/>
        <v>0</v>
      </c>
      <c r="BJ2819" s="141"/>
      <c r="BK2819" s="201"/>
      <c r="BL2819" s="4"/>
      <c r="BM2819" s="4"/>
    </row>
    <row r="2820" spans="1:65" s="38" customFormat="1" ht="18" customHeight="1">
      <c r="A2820" s="114">
        <v>34</v>
      </c>
      <c r="B2820" s="24" t="s">
        <v>903</v>
      </c>
      <c r="C2820" s="25" t="s">
        <v>1165</v>
      </c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229">
        <f t="shared" si="1147"/>
        <v>0</v>
      </c>
      <c r="AC2820" s="228">
        <f t="shared" si="1148"/>
        <v>0</v>
      </c>
      <c r="AD2820" s="19">
        <v>0</v>
      </c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29">
        <f t="shared" si="1149"/>
        <v>0</v>
      </c>
      <c r="BD2820" s="48">
        <f t="shared" si="1150"/>
        <v>0</v>
      </c>
      <c r="BE2820" s="19">
        <v>1</v>
      </c>
      <c r="BF2820" s="229">
        <f t="shared" si="1157"/>
        <v>0</v>
      </c>
      <c r="BG2820" s="210">
        <f t="shared" si="1155"/>
        <v>0</v>
      </c>
      <c r="BH2820" s="210">
        <f t="shared" si="1156"/>
        <v>1</v>
      </c>
      <c r="BI2820" s="213">
        <f t="shared" si="1154"/>
        <v>0</v>
      </c>
      <c r="BJ2820" s="141"/>
      <c r="BK2820" s="201"/>
      <c r="BL2820" s="4"/>
      <c r="BM2820" s="4"/>
    </row>
    <row r="2821" spans="1:65" s="38" customFormat="1" ht="18" customHeight="1">
      <c r="A2821" s="114">
        <v>35</v>
      </c>
      <c r="B2821" s="24" t="s">
        <v>659</v>
      </c>
      <c r="C2821" s="25" t="s">
        <v>660</v>
      </c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229">
        <f t="shared" si="1147"/>
        <v>0</v>
      </c>
      <c r="AC2821" s="228">
        <f t="shared" si="1148"/>
        <v>0</v>
      </c>
      <c r="AD2821" s="19">
        <v>0</v>
      </c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29">
        <f t="shared" si="1149"/>
        <v>0</v>
      </c>
      <c r="BD2821" s="48">
        <f t="shared" si="1150"/>
        <v>0</v>
      </c>
      <c r="BE2821" s="19">
        <v>1</v>
      </c>
      <c r="BF2821" s="229">
        <f t="shared" si="1157"/>
        <v>0</v>
      </c>
      <c r="BG2821" s="210">
        <f t="shared" si="1155"/>
        <v>0</v>
      </c>
      <c r="BH2821" s="210">
        <f t="shared" si="1156"/>
        <v>1</v>
      </c>
      <c r="BI2821" s="213">
        <f t="shared" si="1154"/>
        <v>0</v>
      </c>
      <c r="BJ2821" s="141"/>
      <c r="BK2821" s="201"/>
      <c r="BL2821" s="4"/>
      <c r="BM2821" s="4"/>
    </row>
    <row r="2822" spans="1:65" s="38" customFormat="1" ht="21.95" customHeight="1">
      <c r="A2822" s="114">
        <v>36</v>
      </c>
      <c r="B2822" s="24" t="s">
        <v>661</v>
      </c>
      <c r="C2822" s="27" t="s">
        <v>743</v>
      </c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229">
        <f t="shared" si="1147"/>
        <v>0</v>
      </c>
      <c r="AC2822" s="228">
        <f t="shared" si="1148"/>
        <v>0</v>
      </c>
      <c r="AD2822" s="19">
        <v>0</v>
      </c>
      <c r="AE2822" s="28"/>
      <c r="AF2822" s="28"/>
      <c r="AG2822" s="28"/>
      <c r="AH2822" s="28"/>
      <c r="AI2822" s="28"/>
      <c r="AJ2822" s="28">
        <f>905+5</f>
        <v>910</v>
      </c>
      <c r="AK2822" s="28"/>
      <c r="AL2822" s="28"/>
      <c r="AM2822" s="28"/>
      <c r="AN2822" s="28"/>
      <c r="AO2822" s="28"/>
      <c r="AP2822" s="28">
        <v>1091</v>
      </c>
      <c r="AQ2822" s="28"/>
      <c r="AR2822" s="28"/>
      <c r="AS2822" s="28"/>
      <c r="AT2822" s="28"/>
      <c r="AU2822" s="28"/>
      <c r="AV2822" s="28">
        <v>113</v>
      </c>
      <c r="AW2822" s="28"/>
      <c r="AX2822" s="28"/>
      <c r="AY2822" s="28"/>
      <c r="AZ2822" s="28"/>
      <c r="BA2822" s="28"/>
      <c r="BB2822" s="28">
        <v>609</v>
      </c>
      <c r="BC2822" s="229">
        <f t="shared" si="1149"/>
        <v>0</v>
      </c>
      <c r="BD2822" s="48">
        <f t="shared" si="1150"/>
        <v>2723</v>
      </c>
      <c r="BE2822" s="19">
        <v>3890</v>
      </c>
      <c r="BF2822" s="229">
        <f t="shared" si="1157"/>
        <v>0</v>
      </c>
      <c r="BG2822" s="210">
        <f t="shared" si="1155"/>
        <v>2723</v>
      </c>
      <c r="BH2822" s="210">
        <f t="shared" si="1156"/>
        <v>3890</v>
      </c>
      <c r="BI2822" s="213">
        <f t="shared" si="1154"/>
        <v>70</v>
      </c>
      <c r="BJ2822" s="141"/>
      <c r="BK2822" s="201"/>
      <c r="BL2822" s="4"/>
      <c r="BM2822" s="4"/>
    </row>
    <row r="2823" spans="1:65" s="38" customFormat="1" ht="18" customHeight="1">
      <c r="A2823" s="114">
        <v>37</v>
      </c>
      <c r="B2823" s="24" t="s">
        <v>662</v>
      </c>
      <c r="C2823" s="25" t="s">
        <v>1096</v>
      </c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229">
        <f t="shared" si="1147"/>
        <v>0</v>
      </c>
      <c r="AC2823" s="228">
        <f t="shared" si="1148"/>
        <v>0</v>
      </c>
      <c r="AD2823" s="19">
        <v>0</v>
      </c>
      <c r="AE2823" s="28"/>
      <c r="AF2823" s="28"/>
      <c r="AG2823" s="28"/>
      <c r="AH2823" s="28"/>
      <c r="AI2823" s="28"/>
      <c r="AJ2823" s="28">
        <v>120</v>
      </c>
      <c r="AK2823" s="28"/>
      <c r="AL2823" s="28"/>
      <c r="AM2823" s="28"/>
      <c r="AN2823" s="28"/>
      <c r="AO2823" s="28"/>
      <c r="AP2823" s="28">
        <v>189</v>
      </c>
      <c r="AQ2823" s="28"/>
      <c r="AR2823" s="28"/>
      <c r="AS2823" s="28"/>
      <c r="AT2823" s="28"/>
      <c r="AU2823" s="28"/>
      <c r="AV2823" s="28">
        <v>24</v>
      </c>
      <c r="AW2823" s="28"/>
      <c r="AX2823" s="28"/>
      <c r="AY2823" s="28"/>
      <c r="AZ2823" s="28"/>
      <c r="BA2823" s="28"/>
      <c r="BB2823" s="28">
        <v>172</v>
      </c>
      <c r="BC2823" s="229">
        <f t="shared" si="1149"/>
        <v>0</v>
      </c>
      <c r="BD2823" s="48">
        <f t="shared" si="1150"/>
        <v>505</v>
      </c>
      <c r="BE2823" s="19">
        <v>623</v>
      </c>
      <c r="BF2823" s="229">
        <f t="shared" si="1157"/>
        <v>0</v>
      </c>
      <c r="BG2823" s="210">
        <f t="shared" si="1155"/>
        <v>505</v>
      </c>
      <c r="BH2823" s="210">
        <f t="shared" si="1156"/>
        <v>623</v>
      </c>
      <c r="BI2823" s="213">
        <f t="shared" si="1154"/>
        <v>81.059390048154086</v>
      </c>
      <c r="BJ2823" s="141"/>
      <c r="BK2823" s="201"/>
      <c r="BL2823" s="4"/>
      <c r="BM2823" s="4"/>
    </row>
    <row r="2824" spans="1:65" s="38" customFormat="1" ht="18" customHeight="1">
      <c r="A2824" s="114">
        <v>38</v>
      </c>
      <c r="B2824" s="24" t="s">
        <v>663</v>
      </c>
      <c r="C2824" s="25" t="s">
        <v>1097</v>
      </c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229">
        <f t="shared" si="1147"/>
        <v>0</v>
      </c>
      <c r="AC2824" s="228">
        <f t="shared" si="1148"/>
        <v>0</v>
      </c>
      <c r="AD2824" s="19">
        <v>0</v>
      </c>
      <c r="AE2824" s="28"/>
      <c r="AF2824" s="28"/>
      <c r="AG2824" s="28"/>
      <c r="AH2824" s="28"/>
      <c r="AI2824" s="28"/>
      <c r="AJ2824" s="28">
        <v>16</v>
      </c>
      <c r="AK2824" s="28"/>
      <c r="AL2824" s="28"/>
      <c r="AM2824" s="28"/>
      <c r="AN2824" s="28"/>
      <c r="AO2824" s="28"/>
      <c r="AP2824" s="28">
        <v>15</v>
      </c>
      <c r="AQ2824" s="28"/>
      <c r="AR2824" s="28"/>
      <c r="AS2824" s="28"/>
      <c r="AT2824" s="28"/>
      <c r="AU2824" s="28"/>
      <c r="AV2824" s="28">
        <v>4</v>
      </c>
      <c r="AW2824" s="28"/>
      <c r="AX2824" s="28"/>
      <c r="AY2824" s="28"/>
      <c r="AZ2824" s="28"/>
      <c r="BA2824" s="28"/>
      <c r="BB2824" s="28">
        <f>34+34</f>
        <v>68</v>
      </c>
      <c r="BC2824" s="229">
        <f t="shared" si="1149"/>
        <v>0</v>
      </c>
      <c r="BD2824" s="48">
        <f t="shared" si="1150"/>
        <v>103</v>
      </c>
      <c r="BE2824" s="19">
        <v>494</v>
      </c>
      <c r="BF2824" s="229">
        <f t="shared" si="1157"/>
        <v>0</v>
      </c>
      <c r="BG2824" s="210">
        <f t="shared" si="1155"/>
        <v>103</v>
      </c>
      <c r="BH2824" s="210">
        <f t="shared" si="1156"/>
        <v>494</v>
      </c>
      <c r="BI2824" s="213">
        <f t="shared" si="1154"/>
        <v>20.850202429149796</v>
      </c>
      <c r="BJ2824" s="141"/>
      <c r="BK2824" s="201"/>
      <c r="BL2824" s="4"/>
      <c r="BM2824" s="4"/>
    </row>
    <row r="2825" spans="1:65" s="38" customFormat="1" ht="18" customHeight="1">
      <c r="A2825" s="114">
        <v>39</v>
      </c>
      <c r="B2825" s="24" t="s">
        <v>704</v>
      </c>
      <c r="C2825" s="25" t="s">
        <v>1383</v>
      </c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229">
        <f t="shared" si="1147"/>
        <v>0</v>
      </c>
      <c r="AC2825" s="228">
        <f t="shared" si="1148"/>
        <v>0</v>
      </c>
      <c r="AD2825" s="19">
        <v>0</v>
      </c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29">
        <f t="shared" si="1149"/>
        <v>0</v>
      </c>
      <c r="BD2825" s="48">
        <f t="shared" si="1150"/>
        <v>0</v>
      </c>
      <c r="BE2825" s="19">
        <v>2</v>
      </c>
      <c r="BF2825" s="229">
        <f t="shared" si="1157"/>
        <v>0</v>
      </c>
      <c r="BG2825" s="210">
        <f t="shared" si="1155"/>
        <v>0</v>
      </c>
      <c r="BH2825" s="210">
        <f t="shared" si="1156"/>
        <v>2</v>
      </c>
      <c r="BI2825" s="213">
        <f t="shared" si="1154"/>
        <v>0</v>
      </c>
      <c r="BJ2825" s="141"/>
      <c r="BK2825" s="201"/>
      <c r="BL2825" s="4"/>
      <c r="BM2825" s="4"/>
    </row>
    <row r="2826" spans="1:65" s="38" customFormat="1" ht="21.95" customHeight="1">
      <c r="A2826" s="114">
        <v>40</v>
      </c>
      <c r="B2826" s="24" t="s">
        <v>790</v>
      </c>
      <c r="C2826" s="27" t="s">
        <v>2431</v>
      </c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229">
        <f t="shared" si="1147"/>
        <v>0</v>
      </c>
      <c r="AC2826" s="228">
        <f t="shared" si="1148"/>
        <v>0</v>
      </c>
      <c r="AD2826" s="19">
        <v>0</v>
      </c>
      <c r="AE2826" s="28"/>
      <c r="AF2826" s="28"/>
      <c r="AG2826" s="28"/>
      <c r="AH2826" s="28"/>
      <c r="AI2826" s="28"/>
      <c r="AJ2826" s="28">
        <f>724+2</f>
        <v>726</v>
      </c>
      <c r="AK2826" s="28"/>
      <c r="AL2826" s="28"/>
      <c r="AM2826" s="28"/>
      <c r="AN2826" s="28"/>
      <c r="AO2826" s="28"/>
      <c r="AP2826" s="28">
        <f>548+3</f>
        <v>551</v>
      </c>
      <c r="AQ2826" s="28"/>
      <c r="AR2826" s="28"/>
      <c r="AS2826" s="28"/>
      <c r="AT2826" s="28"/>
      <c r="AU2826" s="28"/>
      <c r="AV2826" s="28">
        <v>225</v>
      </c>
      <c r="AW2826" s="28"/>
      <c r="AX2826" s="28"/>
      <c r="AY2826" s="28"/>
      <c r="AZ2826" s="28"/>
      <c r="BA2826" s="28"/>
      <c r="BB2826" s="28">
        <f>709+1</f>
        <v>710</v>
      </c>
      <c r="BC2826" s="229">
        <f t="shared" si="1149"/>
        <v>0</v>
      </c>
      <c r="BD2826" s="48">
        <f t="shared" si="1150"/>
        <v>2212</v>
      </c>
      <c r="BE2826" s="19">
        <v>2043</v>
      </c>
      <c r="BF2826" s="229">
        <f t="shared" si="1157"/>
        <v>0</v>
      </c>
      <c r="BG2826" s="210">
        <f t="shared" si="1155"/>
        <v>2212</v>
      </c>
      <c r="BH2826" s="210">
        <f t="shared" si="1156"/>
        <v>2043</v>
      </c>
      <c r="BI2826" s="213">
        <f t="shared" si="1154"/>
        <v>108.27214880078316</v>
      </c>
      <c r="BJ2826" s="141"/>
      <c r="BK2826" s="201"/>
      <c r="BL2826" s="4"/>
      <c r="BM2826" s="4"/>
    </row>
    <row r="2827" spans="1:65" s="38" customFormat="1" ht="21.95" customHeight="1">
      <c r="A2827" s="114">
        <v>41</v>
      </c>
      <c r="B2827" s="24" t="s">
        <v>744</v>
      </c>
      <c r="C2827" s="27" t="s">
        <v>745</v>
      </c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229">
        <f t="shared" si="1147"/>
        <v>0</v>
      </c>
      <c r="AC2827" s="228">
        <f t="shared" si="1148"/>
        <v>0</v>
      </c>
      <c r="AD2827" s="19">
        <v>0</v>
      </c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29">
        <f t="shared" si="1149"/>
        <v>0</v>
      </c>
      <c r="BD2827" s="48">
        <f t="shared" si="1150"/>
        <v>0</v>
      </c>
      <c r="BE2827" s="19">
        <v>1</v>
      </c>
      <c r="BF2827" s="229">
        <f t="shared" si="1157"/>
        <v>0</v>
      </c>
      <c r="BG2827" s="210">
        <f t="shared" si="1155"/>
        <v>0</v>
      </c>
      <c r="BH2827" s="210">
        <f t="shared" si="1156"/>
        <v>1</v>
      </c>
      <c r="BI2827" s="213">
        <f t="shared" si="1154"/>
        <v>0</v>
      </c>
      <c r="BJ2827" s="141"/>
      <c r="BK2827" s="201"/>
      <c r="BL2827" s="4"/>
      <c r="BM2827" s="4"/>
    </row>
    <row r="2828" spans="1:65" s="38" customFormat="1" ht="18" customHeight="1">
      <c r="A2828" s="114">
        <v>42</v>
      </c>
      <c r="B2828" s="156" t="s">
        <v>1801</v>
      </c>
      <c r="C2828" s="319" t="s">
        <v>1802</v>
      </c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229">
        <f t="shared" si="1147"/>
        <v>0</v>
      </c>
      <c r="AC2828" s="228">
        <f t="shared" si="1148"/>
        <v>0</v>
      </c>
      <c r="AD2828" s="19">
        <v>1</v>
      </c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29">
        <f t="shared" si="1149"/>
        <v>0</v>
      </c>
      <c r="BD2828" s="48">
        <f t="shared" si="1150"/>
        <v>0</v>
      </c>
      <c r="BE2828" s="19">
        <v>0</v>
      </c>
      <c r="BF2828" s="229">
        <f t="shared" si="1157"/>
        <v>0</v>
      </c>
      <c r="BG2828" s="210">
        <f t="shared" si="1155"/>
        <v>0</v>
      </c>
      <c r="BH2828" s="210">
        <f t="shared" si="1156"/>
        <v>1</v>
      </c>
      <c r="BI2828" s="213">
        <f t="shared" si="1154"/>
        <v>0</v>
      </c>
      <c r="BJ2828" s="269" t="s">
        <v>2856</v>
      </c>
      <c r="BK2828" s="201"/>
      <c r="BL2828" s="4"/>
      <c r="BM2828" s="4"/>
    </row>
    <row r="2829" spans="1:65" s="38" customFormat="1" ht="21.95" customHeight="1">
      <c r="A2829" s="372" t="s">
        <v>2776</v>
      </c>
      <c r="B2829" s="372"/>
      <c r="C2829" s="372"/>
      <c r="D2829" s="220">
        <f t="shared" ref="D2829:AA2829" si="1158">SUM(D2830:D2844)</f>
        <v>0</v>
      </c>
      <c r="E2829" s="220">
        <f t="shared" si="1158"/>
        <v>0</v>
      </c>
      <c r="F2829" s="220">
        <f t="shared" si="1158"/>
        <v>0</v>
      </c>
      <c r="G2829" s="220">
        <f t="shared" si="1158"/>
        <v>0</v>
      </c>
      <c r="H2829" s="220">
        <f t="shared" si="1158"/>
        <v>0</v>
      </c>
      <c r="I2829" s="279">
        <f t="shared" si="1158"/>
        <v>154</v>
      </c>
      <c r="J2829" s="279">
        <f t="shared" si="1158"/>
        <v>0</v>
      </c>
      <c r="K2829" s="279">
        <f t="shared" si="1158"/>
        <v>0</v>
      </c>
      <c r="L2829" s="279">
        <f t="shared" si="1158"/>
        <v>0</v>
      </c>
      <c r="M2829" s="279">
        <f t="shared" si="1158"/>
        <v>0</v>
      </c>
      <c r="N2829" s="279">
        <f t="shared" si="1158"/>
        <v>0</v>
      </c>
      <c r="O2829" s="279">
        <f t="shared" si="1158"/>
        <v>144</v>
      </c>
      <c r="P2829" s="279">
        <f t="shared" si="1158"/>
        <v>0</v>
      </c>
      <c r="Q2829" s="279">
        <f t="shared" si="1158"/>
        <v>0</v>
      </c>
      <c r="R2829" s="220">
        <f t="shared" si="1158"/>
        <v>0</v>
      </c>
      <c r="S2829" s="220">
        <f t="shared" si="1158"/>
        <v>0</v>
      </c>
      <c r="T2829" s="220">
        <f t="shared" si="1158"/>
        <v>0</v>
      </c>
      <c r="U2829" s="220">
        <f t="shared" si="1158"/>
        <v>2</v>
      </c>
      <c r="V2829" s="220">
        <f t="shared" si="1158"/>
        <v>0</v>
      </c>
      <c r="W2829" s="220">
        <f t="shared" si="1158"/>
        <v>0</v>
      </c>
      <c r="X2829" s="220">
        <f t="shared" si="1158"/>
        <v>0</v>
      </c>
      <c r="Y2829" s="220">
        <f t="shared" si="1158"/>
        <v>0</v>
      </c>
      <c r="Z2829" s="220">
        <f t="shared" si="1158"/>
        <v>0</v>
      </c>
      <c r="AA2829" s="220">
        <f t="shared" si="1158"/>
        <v>207</v>
      </c>
      <c r="AB2829" s="220">
        <f t="shared" ref="AB2829:AB2845" si="1159">D2829+F2829+H2829+J2829+L2829+N2829+P2829+R2829+T2829+V2829+X2829+Z2829</f>
        <v>0</v>
      </c>
      <c r="AC2829" s="220">
        <f t="shared" ref="AC2829:AC2845" si="1160">E2829+G2829+I2829+K2829+M2829+O2829+Q2829+S2829+U2829+W2829+Y2829+AA2829</f>
        <v>507</v>
      </c>
      <c r="AD2829" s="210">
        <f t="shared" ref="AD2829:AT2829" si="1161">SUM(AD2830:AD2844)</f>
        <v>285</v>
      </c>
      <c r="AE2829" s="210">
        <f t="shared" si="1161"/>
        <v>0</v>
      </c>
      <c r="AF2829" s="210">
        <f t="shared" si="1161"/>
        <v>0</v>
      </c>
      <c r="AG2829" s="210">
        <f t="shared" si="1161"/>
        <v>0</v>
      </c>
      <c r="AH2829" s="210">
        <f t="shared" si="1161"/>
        <v>0</v>
      </c>
      <c r="AI2829" s="210">
        <f t="shared" si="1161"/>
        <v>0</v>
      </c>
      <c r="AJ2829" s="210">
        <f t="shared" si="1161"/>
        <v>39</v>
      </c>
      <c r="AK2829" s="210">
        <f t="shared" si="1161"/>
        <v>0</v>
      </c>
      <c r="AL2829" s="210">
        <f t="shared" si="1161"/>
        <v>0</v>
      </c>
      <c r="AM2829" s="210">
        <f t="shared" si="1161"/>
        <v>0</v>
      </c>
      <c r="AN2829" s="210">
        <f t="shared" si="1161"/>
        <v>0</v>
      </c>
      <c r="AO2829" s="210">
        <f t="shared" si="1161"/>
        <v>0</v>
      </c>
      <c r="AP2829" s="210">
        <f t="shared" si="1161"/>
        <v>21</v>
      </c>
      <c r="AQ2829" s="210">
        <f t="shared" si="1161"/>
        <v>0</v>
      </c>
      <c r="AR2829" s="210">
        <f t="shared" si="1161"/>
        <v>0</v>
      </c>
      <c r="AS2829" s="210">
        <f t="shared" si="1161"/>
        <v>0</v>
      </c>
      <c r="AT2829" s="210">
        <f t="shared" si="1161"/>
        <v>0</v>
      </c>
      <c r="AU2829" s="210"/>
      <c r="AV2829" s="210"/>
      <c r="AW2829" s="210"/>
      <c r="AX2829" s="210"/>
      <c r="AY2829" s="210">
        <f>SUM(AY2830:AY2844)</f>
        <v>0</v>
      </c>
      <c r="AZ2829" s="210">
        <f>SUM(AZ2830:AZ2844)</f>
        <v>0</v>
      </c>
      <c r="BA2829" s="210">
        <f>SUM(BA2830:BA2844)</f>
        <v>0</v>
      </c>
      <c r="BB2829" s="210">
        <f>SUM(BB2830:BB2844)</f>
        <v>33</v>
      </c>
      <c r="BC2829" s="220">
        <f t="shared" ref="BC2829:BC2845" si="1162">AE2829+AG2829+AI2829+AK2829+AM2829+AO2829+AQ2829+AS2829+AU2829+AW2829+AY2829+BA2829</f>
        <v>0</v>
      </c>
      <c r="BD2829" s="210">
        <f t="shared" ref="BD2829:BD2845" si="1163">AF2829+AH2829+AJ2829+AL2829+AN2829+AP2829+AR2829+AT2829+AV2829+AX2829+AZ2829+BB2829</f>
        <v>93</v>
      </c>
      <c r="BE2829" s="210">
        <f>SUM(BE2830:BE2844)</f>
        <v>63</v>
      </c>
      <c r="BF2829" s="220">
        <f t="shared" ref="BF2829:BF2845" si="1164">AB2829+BC2829</f>
        <v>0</v>
      </c>
      <c r="BG2829" s="210">
        <f t="shared" ref="BG2829:BG2845" si="1165">AC2829+BD2829</f>
        <v>600</v>
      </c>
      <c r="BH2829" s="210">
        <f t="shared" ref="BH2829:BH2845" si="1166">AD2829+BE2829</f>
        <v>348</v>
      </c>
      <c r="BI2829" s="213">
        <f t="shared" ref="BI2829:BI2845" si="1167">BG2829/BH2829*100</f>
        <v>172.41379310344826</v>
      </c>
      <c r="BJ2829" s="140">
        <v>348</v>
      </c>
      <c r="BK2829" s="203">
        <f>BH2829-BJ2829</f>
        <v>0</v>
      </c>
      <c r="BL2829" s="198">
        <v>488</v>
      </c>
      <c r="BM2829" s="199">
        <f>BG2829-BL2829</f>
        <v>112</v>
      </c>
    </row>
    <row r="2830" spans="1:65" s="38" customFormat="1" ht="18" customHeight="1" thickBot="1">
      <c r="A2830" s="114">
        <v>1</v>
      </c>
      <c r="B2830" s="24" t="s">
        <v>3051</v>
      </c>
      <c r="C2830" s="25" t="s">
        <v>3052</v>
      </c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>
        <v>1</v>
      </c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229"/>
      <c r="AC2830" s="228">
        <f t="shared" ref="AC2830:AC2844" si="1168">E2830+G2830+I2830+K2830+M2830+O2830+Q2830+S2830+U2830+W2830+Y2830+AA2830</f>
        <v>1</v>
      </c>
      <c r="AD2830" s="19">
        <v>0</v>
      </c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29"/>
      <c r="BD2830" s="48">
        <f t="shared" ref="BD2830:BD2844" si="1169">AF2830+AH2830+AJ2830+AL2830+AN2830+AP2830+AR2830+AT2830+AV2830+AX2830+AZ2830+BB2830</f>
        <v>0</v>
      </c>
      <c r="BE2830" s="19">
        <v>0</v>
      </c>
      <c r="BF2830" s="229"/>
      <c r="BG2830" s="210">
        <f t="shared" ref="BG2830:BG2844" si="1170">AC2830+BD2830</f>
        <v>1</v>
      </c>
      <c r="BH2830" s="210">
        <f t="shared" si="1166"/>
        <v>0</v>
      </c>
      <c r="BI2830" s="213" t="e">
        <f t="shared" ref="BI2830:BI2844" si="1171">BG2830/BH2830*100</f>
        <v>#DIV/0!</v>
      </c>
      <c r="BJ2830" s="311" t="s">
        <v>2857</v>
      </c>
      <c r="BK2830" s="201"/>
      <c r="BL2830" s="4"/>
      <c r="BM2830" s="4"/>
    </row>
    <row r="2831" spans="1:65" s="38" customFormat="1" ht="18" customHeight="1" thickTop="1" thickBot="1">
      <c r="A2831" s="114">
        <v>2</v>
      </c>
      <c r="B2831" s="24" t="s">
        <v>581</v>
      </c>
      <c r="C2831" s="25" t="s">
        <v>2732</v>
      </c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229">
        <f t="shared" ref="AB2831:AB2844" si="1172">D2831+F2831+H2831+J2831+L2831+N2831+P2831+R2831+T2831+V2831+X2831+Z2831</f>
        <v>0</v>
      </c>
      <c r="AC2831" s="228">
        <f t="shared" si="1168"/>
        <v>0</v>
      </c>
      <c r="AD2831" s="19">
        <v>0</v>
      </c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29">
        <f t="shared" ref="BC2831:BC2844" si="1173">AE2831+AG2831+AI2831+AK2831+AM2831+AO2831+AQ2831+AS2831+AU2831+AW2831+AY2831+BA2831</f>
        <v>0</v>
      </c>
      <c r="BD2831" s="48">
        <f t="shared" si="1169"/>
        <v>0</v>
      </c>
      <c r="BE2831" s="19">
        <v>1</v>
      </c>
      <c r="BF2831" s="229">
        <f t="shared" ref="BF2831:BF2844" si="1174">AB2831+BC2831</f>
        <v>0</v>
      </c>
      <c r="BG2831" s="210">
        <f t="shared" si="1170"/>
        <v>0</v>
      </c>
      <c r="BH2831" s="210">
        <f t="shared" si="1166"/>
        <v>1</v>
      </c>
      <c r="BI2831" s="213">
        <f t="shared" si="1171"/>
        <v>0</v>
      </c>
      <c r="BJ2831" s="312"/>
      <c r="BK2831" s="201"/>
      <c r="BL2831" s="4"/>
      <c r="BM2831" s="4"/>
    </row>
    <row r="2832" spans="1:65" s="38" customFormat="1" ht="18" customHeight="1" thickTop="1">
      <c r="A2832" s="114">
        <v>3</v>
      </c>
      <c r="B2832" s="24" t="s">
        <v>714</v>
      </c>
      <c r="C2832" s="25" t="s">
        <v>2574</v>
      </c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229">
        <f t="shared" si="1172"/>
        <v>0</v>
      </c>
      <c r="AC2832" s="228">
        <f t="shared" si="1168"/>
        <v>0</v>
      </c>
      <c r="AD2832" s="19">
        <v>0</v>
      </c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29">
        <f t="shared" si="1173"/>
        <v>0</v>
      </c>
      <c r="BD2832" s="48">
        <f t="shared" si="1169"/>
        <v>0</v>
      </c>
      <c r="BE2832" s="19">
        <v>1</v>
      </c>
      <c r="BF2832" s="229">
        <f t="shared" si="1174"/>
        <v>0</v>
      </c>
      <c r="BG2832" s="210">
        <f t="shared" si="1170"/>
        <v>0</v>
      </c>
      <c r="BH2832" s="210">
        <f t="shared" si="1166"/>
        <v>1</v>
      </c>
      <c r="BI2832" s="213">
        <f t="shared" si="1171"/>
        <v>0</v>
      </c>
      <c r="BJ2832" s="141"/>
      <c r="BK2832" s="201"/>
      <c r="BL2832" s="4"/>
      <c r="BM2832" s="4"/>
    </row>
    <row r="2833" spans="1:65" s="38" customFormat="1" ht="18" customHeight="1">
      <c r="A2833" s="114">
        <v>4</v>
      </c>
      <c r="B2833" s="24" t="s">
        <v>1866</v>
      </c>
      <c r="C2833" s="25" t="s">
        <v>1867</v>
      </c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229">
        <f t="shared" si="1172"/>
        <v>0</v>
      </c>
      <c r="AC2833" s="228">
        <f t="shared" si="1168"/>
        <v>0</v>
      </c>
      <c r="AD2833" s="19">
        <v>0</v>
      </c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29">
        <f t="shared" si="1173"/>
        <v>0</v>
      </c>
      <c r="BD2833" s="48">
        <f t="shared" si="1169"/>
        <v>0</v>
      </c>
      <c r="BE2833" s="19">
        <v>1</v>
      </c>
      <c r="BF2833" s="229">
        <f t="shared" si="1174"/>
        <v>0</v>
      </c>
      <c r="BG2833" s="210">
        <f t="shared" si="1170"/>
        <v>0</v>
      </c>
      <c r="BH2833" s="210">
        <f t="shared" si="1166"/>
        <v>1</v>
      </c>
      <c r="BI2833" s="213">
        <f t="shared" si="1171"/>
        <v>0</v>
      </c>
      <c r="BJ2833" s="141"/>
      <c r="BK2833" s="201"/>
      <c r="BL2833" s="4"/>
      <c r="BM2833" s="4"/>
    </row>
    <row r="2834" spans="1:65" s="38" customFormat="1" ht="18" customHeight="1">
      <c r="A2834" s="114">
        <v>5</v>
      </c>
      <c r="B2834" s="24" t="s">
        <v>961</v>
      </c>
      <c r="C2834" s="25" t="s">
        <v>962</v>
      </c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229">
        <f t="shared" si="1172"/>
        <v>0</v>
      </c>
      <c r="AC2834" s="228">
        <f t="shared" si="1168"/>
        <v>0</v>
      </c>
      <c r="AD2834" s="19">
        <v>0</v>
      </c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29">
        <f t="shared" si="1173"/>
        <v>0</v>
      </c>
      <c r="BD2834" s="48">
        <f t="shared" si="1169"/>
        <v>0</v>
      </c>
      <c r="BE2834" s="19">
        <v>1</v>
      </c>
      <c r="BF2834" s="229">
        <f t="shared" si="1174"/>
        <v>0</v>
      </c>
      <c r="BG2834" s="210">
        <f t="shared" si="1170"/>
        <v>0</v>
      </c>
      <c r="BH2834" s="210">
        <f t="shared" si="1166"/>
        <v>1</v>
      </c>
      <c r="BI2834" s="213">
        <f t="shared" si="1171"/>
        <v>0</v>
      </c>
      <c r="BJ2834" s="141"/>
      <c r="BK2834" s="201"/>
      <c r="BL2834" s="4"/>
      <c r="BM2834" s="4"/>
    </row>
    <row r="2835" spans="1:65" s="38" customFormat="1" ht="18" customHeight="1">
      <c r="A2835" s="114">
        <v>6</v>
      </c>
      <c r="B2835" s="24" t="s">
        <v>1304</v>
      </c>
      <c r="C2835" s="25" t="s">
        <v>1473</v>
      </c>
      <c r="D2835" s="121"/>
      <c r="E2835" s="121"/>
      <c r="F2835" s="121"/>
      <c r="G2835" s="121"/>
      <c r="H2835" s="121"/>
      <c r="I2835" s="121">
        <v>7</v>
      </c>
      <c r="J2835" s="121"/>
      <c r="K2835" s="121"/>
      <c r="L2835" s="121"/>
      <c r="M2835" s="121"/>
      <c r="N2835" s="121"/>
      <c r="O2835" s="121">
        <v>6</v>
      </c>
      <c r="P2835" s="121"/>
      <c r="Q2835" s="121"/>
      <c r="R2835" s="121"/>
      <c r="S2835" s="121"/>
      <c r="T2835" s="121"/>
      <c r="U2835" s="121">
        <v>1</v>
      </c>
      <c r="V2835" s="121"/>
      <c r="W2835" s="121"/>
      <c r="X2835" s="121"/>
      <c r="Y2835" s="121"/>
      <c r="Z2835" s="121"/>
      <c r="AA2835" s="121">
        <v>3</v>
      </c>
      <c r="AB2835" s="229">
        <f t="shared" si="1172"/>
        <v>0</v>
      </c>
      <c r="AC2835" s="228">
        <f t="shared" si="1168"/>
        <v>17</v>
      </c>
      <c r="AD2835" s="19">
        <v>11</v>
      </c>
      <c r="AE2835" s="26"/>
      <c r="AF2835" s="26"/>
      <c r="AG2835" s="26"/>
      <c r="AH2835" s="26"/>
      <c r="AI2835" s="26"/>
      <c r="AJ2835" s="26">
        <f>15+1</f>
        <v>16</v>
      </c>
      <c r="AK2835" s="26"/>
      <c r="AL2835" s="26"/>
      <c r="AM2835" s="26"/>
      <c r="AN2835" s="26"/>
      <c r="AO2835" s="26"/>
      <c r="AP2835" s="26">
        <f>20+1</f>
        <v>21</v>
      </c>
      <c r="AQ2835" s="26"/>
      <c r="AR2835" s="26"/>
      <c r="AS2835" s="26"/>
      <c r="AT2835" s="26"/>
      <c r="AU2835" s="26"/>
      <c r="AV2835" s="26">
        <f>10+1+3</f>
        <v>14</v>
      </c>
      <c r="AW2835" s="26"/>
      <c r="AX2835" s="26"/>
      <c r="AY2835" s="26"/>
      <c r="AZ2835" s="26"/>
      <c r="BA2835" s="26"/>
      <c r="BB2835" s="26">
        <f>11+1</f>
        <v>12</v>
      </c>
      <c r="BC2835" s="229">
        <f t="shared" si="1173"/>
        <v>0</v>
      </c>
      <c r="BD2835" s="48">
        <f t="shared" si="1169"/>
        <v>63</v>
      </c>
      <c r="BE2835" s="19">
        <v>34</v>
      </c>
      <c r="BF2835" s="229">
        <f t="shared" si="1174"/>
        <v>0</v>
      </c>
      <c r="BG2835" s="210">
        <f t="shared" si="1170"/>
        <v>80</v>
      </c>
      <c r="BH2835" s="210">
        <f t="shared" si="1166"/>
        <v>45</v>
      </c>
      <c r="BI2835" s="213">
        <f t="shared" si="1171"/>
        <v>177.77777777777777</v>
      </c>
      <c r="BJ2835" s="141"/>
      <c r="BK2835" s="201"/>
      <c r="BL2835" s="4"/>
      <c r="BM2835" s="4"/>
    </row>
    <row r="2836" spans="1:65" s="38" customFormat="1" ht="18" customHeight="1">
      <c r="A2836" s="114">
        <v>7</v>
      </c>
      <c r="B2836" s="24" t="s">
        <v>324</v>
      </c>
      <c r="C2836" s="25" t="s">
        <v>325</v>
      </c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229">
        <f t="shared" si="1172"/>
        <v>0</v>
      </c>
      <c r="AC2836" s="228">
        <f t="shared" si="1168"/>
        <v>0</v>
      </c>
      <c r="AD2836" s="19">
        <v>0</v>
      </c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29">
        <f t="shared" si="1173"/>
        <v>0</v>
      </c>
      <c r="BD2836" s="48">
        <f t="shared" si="1169"/>
        <v>0</v>
      </c>
      <c r="BE2836" s="19">
        <v>1</v>
      </c>
      <c r="BF2836" s="229">
        <f t="shared" si="1174"/>
        <v>0</v>
      </c>
      <c r="BG2836" s="210">
        <f t="shared" si="1170"/>
        <v>0</v>
      </c>
      <c r="BH2836" s="210">
        <f t="shared" si="1166"/>
        <v>1</v>
      </c>
      <c r="BI2836" s="213">
        <f t="shared" si="1171"/>
        <v>0</v>
      </c>
      <c r="BJ2836" s="141"/>
      <c r="BK2836" s="201"/>
      <c r="BL2836" s="4"/>
      <c r="BM2836" s="4"/>
    </row>
    <row r="2837" spans="1:65" s="38" customFormat="1" ht="18" customHeight="1">
      <c r="A2837" s="114">
        <v>8</v>
      </c>
      <c r="B2837" s="24" t="s">
        <v>594</v>
      </c>
      <c r="C2837" s="25" t="s">
        <v>595</v>
      </c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229">
        <f t="shared" si="1172"/>
        <v>0</v>
      </c>
      <c r="AC2837" s="228">
        <f t="shared" si="1168"/>
        <v>0</v>
      </c>
      <c r="AD2837" s="19">
        <v>0</v>
      </c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29">
        <f t="shared" si="1173"/>
        <v>0</v>
      </c>
      <c r="BD2837" s="48">
        <f t="shared" si="1169"/>
        <v>0</v>
      </c>
      <c r="BE2837" s="19">
        <v>1</v>
      </c>
      <c r="BF2837" s="229">
        <f t="shared" si="1174"/>
        <v>0</v>
      </c>
      <c r="BG2837" s="210">
        <f t="shared" si="1170"/>
        <v>0</v>
      </c>
      <c r="BH2837" s="210">
        <f t="shared" si="1166"/>
        <v>1</v>
      </c>
      <c r="BI2837" s="213">
        <f t="shared" si="1171"/>
        <v>0</v>
      </c>
      <c r="BJ2837" s="141"/>
      <c r="BK2837" s="201"/>
      <c r="BL2837" s="4"/>
      <c r="BM2837" s="4"/>
    </row>
    <row r="2838" spans="1:65" s="38" customFormat="1" ht="18" customHeight="1">
      <c r="A2838" s="114">
        <v>9</v>
      </c>
      <c r="B2838" s="24" t="s">
        <v>86</v>
      </c>
      <c r="C2838" s="25" t="s">
        <v>871</v>
      </c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229">
        <f t="shared" si="1172"/>
        <v>0</v>
      </c>
      <c r="AC2838" s="228">
        <f t="shared" si="1168"/>
        <v>0</v>
      </c>
      <c r="AD2838" s="19">
        <v>0</v>
      </c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29">
        <f t="shared" si="1173"/>
        <v>0</v>
      </c>
      <c r="BD2838" s="48">
        <f t="shared" si="1169"/>
        <v>0</v>
      </c>
      <c r="BE2838" s="19">
        <v>1</v>
      </c>
      <c r="BF2838" s="229">
        <f t="shared" si="1174"/>
        <v>0</v>
      </c>
      <c r="BG2838" s="210">
        <f t="shared" si="1170"/>
        <v>0</v>
      </c>
      <c r="BH2838" s="210">
        <f t="shared" si="1166"/>
        <v>1</v>
      </c>
      <c r="BI2838" s="213">
        <f t="shared" si="1171"/>
        <v>0</v>
      </c>
      <c r="BJ2838" s="141"/>
      <c r="BK2838" s="201"/>
      <c r="BL2838" s="4"/>
      <c r="BM2838" s="4"/>
    </row>
    <row r="2839" spans="1:65" s="38" customFormat="1" ht="18" customHeight="1">
      <c r="A2839" s="114">
        <v>10</v>
      </c>
      <c r="B2839" s="24" t="s">
        <v>1560</v>
      </c>
      <c r="C2839" s="25" t="s">
        <v>1561</v>
      </c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229">
        <f t="shared" si="1172"/>
        <v>0</v>
      </c>
      <c r="AC2839" s="228">
        <f t="shared" si="1168"/>
        <v>0</v>
      </c>
      <c r="AD2839" s="19">
        <v>0</v>
      </c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29">
        <f t="shared" si="1173"/>
        <v>0</v>
      </c>
      <c r="BD2839" s="48">
        <f t="shared" si="1169"/>
        <v>0</v>
      </c>
      <c r="BE2839" s="19">
        <v>1</v>
      </c>
      <c r="BF2839" s="229">
        <f t="shared" si="1174"/>
        <v>0</v>
      </c>
      <c r="BG2839" s="210">
        <f t="shared" si="1170"/>
        <v>0</v>
      </c>
      <c r="BH2839" s="210">
        <f t="shared" si="1166"/>
        <v>1</v>
      </c>
      <c r="BI2839" s="213">
        <f t="shared" si="1171"/>
        <v>0</v>
      </c>
      <c r="BJ2839" s="141"/>
      <c r="BK2839" s="201"/>
      <c r="BL2839" s="4"/>
      <c r="BM2839" s="4"/>
    </row>
    <row r="2840" spans="1:65" s="38" customFormat="1" ht="18" customHeight="1">
      <c r="A2840" s="114">
        <v>11</v>
      </c>
      <c r="B2840" s="24" t="s">
        <v>1993</v>
      </c>
      <c r="C2840" s="25" t="s">
        <v>1994</v>
      </c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229">
        <f t="shared" si="1172"/>
        <v>0</v>
      </c>
      <c r="AC2840" s="228">
        <f t="shared" si="1168"/>
        <v>0</v>
      </c>
      <c r="AD2840" s="19">
        <v>0</v>
      </c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29">
        <f t="shared" si="1173"/>
        <v>0</v>
      </c>
      <c r="BD2840" s="48">
        <f t="shared" si="1169"/>
        <v>0</v>
      </c>
      <c r="BE2840" s="19">
        <v>0</v>
      </c>
      <c r="BF2840" s="229">
        <f t="shared" si="1174"/>
        <v>0</v>
      </c>
      <c r="BG2840" s="210">
        <f t="shared" si="1170"/>
        <v>0</v>
      </c>
      <c r="BH2840" s="210">
        <f t="shared" si="1166"/>
        <v>0</v>
      </c>
      <c r="BI2840" s="213" t="e">
        <f t="shared" si="1171"/>
        <v>#DIV/0!</v>
      </c>
      <c r="BJ2840" s="141"/>
      <c r="BK2840" s="201"/>
      <c r="BL2840" s="4"/>
      <c r="BM2840" s="4"/>
    </row>
    <row r="2841" spans="1:65" s="38" customFormat="1" ht="18" customHeight="1">
      <c r="A2841" s="114">
        <v>12</v>
      </c>
      <c r="B2841" s="24" t="s">
        <v>1710</v>
      </c>
      <c r="C2841" s="25" t="s">
        <v>1711</v>
      </c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229">
        <f t="shared" si="1172"/>
        <v>0</v>
      </c>
      <c r="AC2841" s="228">
        <f t="shared" si="1168"/>
        <v>0</v>
      </c>
      <c r="AD2841" s="19">
        <v>0</v>
      </c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29">
        <f t="shared" si="1173"/>
        <v>0</v>
      </c>
      <c r="BD2841" s="48">
        <f t="shared" si="1169"/>
        <v>0</v>
      </c>
      <c r="BE2841" s="19">
        <v>1</v>
      </c>
      <c r="BF2841" s="229">
        <f t="shared" si="1174"/>
        <v>0</v>
      </c>
      <c r="BG2841" s="210">
        <f t="shared" si="1170"/>
        <v>0</v>
      </c>
      <c r="BH2841" s="210">
        <f t="shared" si="1166"/>
        <v>1</v>
      </c>
      <c r="BI2841" s="213">
        <f t="shared" si="1171"/>
        <v>0</v>
      </c>
      <c r="BJ2841" s="141"/>
      <c r="BK2841" s="201"/>
      <c r="BL2841" s="4"/>
      <c r="BM2841" s="4"/>
    </row>
    <row r="2842" spans="1:65" s="38" customFormat="1" ht="18" customHeight="1">
      <c r="A2842" s="114">
        <v>13</v>
      </c>
      <c r="B2842" s="24" t="s">
        <v>1603</v>
      </c>
      <c r="C2842" s="25" t="s">
        <v>1604</v>
      </c>
      <c r="D2842" s="121"/>
      <c r="E2842" s="121"/>
      <c r="F2842" s="121"/>
      <c r="G2842" s="121"/>
      <c r="H2842" s="121"/>
      <c r="I2842" s="121">
        <v>1</v>
      </c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>
        <v>1</v>
      </c>
      <c r="V2842" s="121"/>
      <c r="W2842" s="121"/>
      <c r="X2842" s="121"/>
      <c r="Y2842" s="121"/>
      <c r="Z2842" s="121"/>
      <c r="AA2842" s="121">
        <v>1</v>
      </c>
      <c r="AB2842" s="229">
        <f t="shared" si="1172"/>
        <v>0</v>
      </c>
      <c r="AC2842" s="228">
        <f t="shared" si="1168"/>
        <v>3</v>
      </c>
      <c r="AD2842" s="19">
        <v>2</v>
      </c>
      <c r="AE2842" s="26"/>
      <c r="AF2842" s="26"/>
      <c r="AG2842" s="26"/>
      <c r="AH2842" s="26"/>
      <c r="AI2842" s="26"/>
      <c r="AJ2842" s="26">
        <v>1</v>
      </c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>
        <v>1</v>
      </c>
      <c r="BC2842" s="229">
        <f t="shared" si="1173"/>
        <v>0</v>
      </c>
      <c r="BD2842" s="48">
        <f t="shared" si="1169"/>
        <v>2</v>
      </c>
      <c r="BE2842" s="19">
        <v>0</v>
      </c>
      <c r="BF2842" s="229">
        <f t="shared" si="1174"/>
        <v>0</v>
      </c>
      <c r="BG2842" s="210">
        <f t="shared" si="1170"/>
        <v>5</v>
      </c>
      <c r="BH2842" s="210">
        <f t="shared" si="1166"/>
        <v>2</v>
      </c>
      <c r="BI2842" s="213">
        <f t="shared" si="1171"/>
        <v>250</v>
      </c>
      <c r="BJ2842" s="141"/>
      <c r="BK2842" s="201"/>
      <c r="BL2842" s="4"/>
      <c r="BM2842" s="4"/>
    </row>
    <row r="2843" spans="1:65" s="38" customFormat="1" ht="21.95" customHeight="1">
      <c r="A2843" s="114">
        <v>14</v>
      </c>
      <c r="B2843" s="24" t="s">
        <v>661</v>
      </c>
      <c r="C2843" s="27" t="s">
        <v>743</v>
      </c>
      <c r="D2843" s="121"/>
      <c r="E2843" s="121"/>
      <c r="F2843" s="121"/>
      <c r="G2843" s="121"/>
      <c r="H2843" s="121"/>
      <c r="I2843" s="121">
        <v>75</v>
      </c>
      <c r="J2843" s="121"/>
      <c r="K2843" s="121"/>
      <c r="L2843" s="121"/>
      <c r="M2843" s="121"/>
      <c r="N2843" s="121"/>
      <c r="O2843" s="121">
        <v>69</v>
      </c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>
        <v>102</v>
      </c>
      <c r="AB2843" s="229">
        <f t="shared" si="1172"/>
        <v>0</v>
      </c>
      <c r="AC2843" s="228">
        <f t="shared" si="1168"/>
        <v>246</v>
      </c>
      <c r="AD2843" s="19">
        <v>140</v>
      </c>
      <c r="AE2843" s="26"/>
      <c r="AF2843" s="26"/>
      <c r="AG2843" s="26"/>
      <c r="AH2843" s="26"/>
      <c r="AI2843" s="26"/>
      <c r="AJ2843" s="26">
        <v>12</v>
      </c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>
        <v>11</v>
      </c>
      <c r="BC2843" s="229">
        <f t="shared" si="1173"/>
        <v>0</v>
      </c>
      <c r="BD2843" s="48">
        <f t="shared" si="1169"/>
        <v>23</v>
      </c>
      <c r="BE2843" s="19">
        <v>12</v>
      </c>
      <c r="BF2843" s="229">
        <f t="shared" si="1174"/>
        <v>0</v>
      </c>
      <c r="BG2843" s="210">
        <f t="shared" si="1170"/>
        <v>269</v>
      </c>
      <c r="BH2843" s="210">
        <f t="shared" si="1166"/>
        <v>152</v>
      </c>
      <c r="BI2843" s="213">
        <f t="shared" si="1171"/>
        <v>176.9736842105263</v>
      </c>
      <c r="BJ2843" s="141"/>
      <c r="BK2843" s="201"/>
      <c r="BL2843" s="4"/>
      <c r="BM2843" s="4"/>
    </row>
    <row r="2844" spans="1:65" s="38" customFormat="1" ht="21.95" customHeight="1">
      <c r="A2844" s="114">
        <v>15</v>
      </c>
      <c r="B2844" s="24" t="s">
        <v>790</v>
      </c>
      <c r="C2844" s="27" t="s">
        <v>2431</v>
      </c>
      <c r="D2844" s="121"/>
      <c r="E2844" s="121"/>
      <c r="F2844" s="121"/>
      <c r="G2844" s="121"/>
      <c r="H2844" s="121"/>
      <c r="I2844" s="121">
        <v>71</v>
      </c>
      <c r="J2844" s="121"/>
      <c r="K2844" s="121"/>
      <c r="L2844" s="121"/>
      <c r="M2844" s="121"/>
      <c r="N2844" s="121"/>
      <c r="O2844" s="121">
        <v>68</v>
      </c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>
        <v>101</v>
      </c>
      <c r="AB2844" s="229">
        <f t="shared" si="1172"/>
        <v>0</v>
      </c>
      <c r="AC2844" s="228">
        <f t="shared" si="1168"/>
        <v>240</v>
      </c>
      <c r="AD2844" s="19">
        <v>132</v>
      </c>
      <c r="AE2844" s="26"/>
      <c r="AF2844" s="26"/>
      <c r="AG2844" s="26"/>
      <c r="AH2844" s="26"/>
      <c r="AI2844" s="26"/>
      <c r="AJ2844" s="26">
        <v>10</v>
      </c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>
        <v>9</v>
      </c>
      <c r="BC2844" s="229">
        <f t="shared" si="1173"/>
        <v>0</v>
      </c>
      <c r="BD2844" s="48">
        <f t="shared" si="1169"/>
        <v>19</v>
      </c>
      <c r="BE2844" s="19">
        <v>8</v>
      </c>
      <c r="BF2844" s="229">
        <f t="shared" si="1174"/>
        <v>0</v>
      </c>
      <c r="BG2844" s="210">
        <f t="shared" si="1170"/>
        <v>259</v>
      </c>
      <c r="BH2844" s="210">
        <f t="shared" si="1166"/>
        <v>140</v>
      </c>
      <c r="BI2844" s="213">
        <f t="shared" si="1171"/>
        <v>185</v>
      </c>
      <c r="BJ2844" s="141"/>
      <c r="BK2844" s="201"/>
      <c r="BL2844" s="4"/>
      <c r="BM2844" s="4"/>
    </row>
    <row r="2845" spans="1:65" s="38" customFormat="1" ht="26.25" customHeight="1">
      <c r="A2845" s="376" t="s">
        <v>2777</v>
      </c>
      <c r="B2845" s="377"/>
      <c r="C2845" s="378"/>
      <c r="D2845" s="220">
        <f t="shared" ref="D2845:AA2845" si="1175">SUM(D2846:D3010)</f>
        <v>0</v>
      </c>
      <c r="E2845" s="220">
        <f t="shared" si="1175"/>
        <v>0</v>
      </c>
      <c r="F2845" s="220">
        <f t="shared" si="1175"/>
        <v>0</v>
      </c>
      <c r="G2845" s="220">
        <f t="shared" si="1175"/>
        <v>0</v>
      </c>
      <c r="H2845" s="220">
        <f t="shared" si="1175"/>
        <v>0</v>
      </c>
      <c r="I2845" s="220">
        <f t="shared" si="1175"/>
        <v>11872</v>
      </c>
      <c r="J2845" s="220">
        <f t="shared" si="1175"/>
        <v>0</v>
      </c>
      <c r="K2845" s="220">
        <f t="shared" si="1175"/>
        <v>0</v>
      </c>
      <c r="L2845" s="220">
        <f t="shared" si="1175"/>
        <v>0</v>
      </c>
      <c r="M2845" s="220">
        <f t="shared" si="1175"/>
        <v>0</v>
      </c>
      <c r="N2845" s="220">
        <f t="shared" si="1175"/>
        <v>0</v>
      </c>
      <c r="O2845" s="220">
        <f t="shared" si="1175"/>
        <v>12636</v>
      </c>
      <c r="P2845" s="220">
        <f t="shared" si="1175"/>
        <v>0</v>
      </c>
      <c r="Q2845" s="220">
        <f t="shared" si="1175"/>
        <v>0</v>
      </c>
      <c r="R2845" s="220">
        <f t="shared" si="1175"/>
        <v>0</v>
      </c>
      <c r="S2845" s="220">
        <f t="shared" si="1175"/>
        <v>0</v>
      </c>
      <c r="T2845" s="220">
        <f t="shared" si="1175"/>
        <v>0</v>
      </c>
      <c r="U2845" s="220">
        <f t="shared" si="1175"/>
        <v>12935</v>
      </c>
      <c r="V2845" s="220">
        <f t="shared" si="1175"/>
        <v>0</v>
      </c>
      <c r="W2845" s="220">
        <f t="shared" si="1175"/>
        <v>0</v>
      </c>
      <c r="X2845" s="220">
        <f t="shared" si="1175"/>
        <v>0</v>
      </c>
      <c r="Y2845" s="220">
        <f t="shared" si="1175"/>
        <v>0</v>
      </c>
      <c r="Z2845" s="220">
        <f t="shared" si="1175"/>
        <v>0</v>
      </c>
      <c r="AA2845" s="220">
        <f t="shared" si="1175"/>
        <v>14563</v>
      </c>
      <c r="AB2845" s="220">
        <f t="shared" si="1159"/>
        <v>0</v>
      </c>
      <c r="AC2845" s="220">
        <f t="shared" si="1160"/>
        <v>52006</v>
      </c>
      <c r="AD2845" s="274">
        <f t="shared" ref="AD2845:BB2845" si="1176">SUM(AD2846:AD3010)</f>
        <v>38872</v>
      </c>
      <c r="AE2845" s="210">
        <f t="shared" si="1176"/>
        <v>0</v>
      </c>
      <c r="AF2845" s="210">
        <f t="shared" si="1176"/>
        <v>0</v>
      </c>
      <c r="AG2845" s="210">
        <f t="shared" si="1176"/>
        <v>0</v>
      </c>
      <c r="AH2845" s="210">
        <f t="shared" si="1176"/>
        <v>0</v>
      </c>
      <c r="AI2845" s="210">
        <f t="shared" si="1176"/>
        <v>0</v>
      </c>
      <c r="AJ2845" s="210">
        <f t="shared" si="1176"/>
        <v>8377</v>
      </c>
      <c r="AK2845" s="210">
        <f t="shared" si="1176"/>
        <v>0</v>
      </c>
      <c r="AL2845" s="210">
        <f t="shared" si="1176"/>
        <v>0</v>
      </c>
      <c r="AM2845" s="210">
        <f t="shared" si="1176"/>
        <v>0</v>
      </c>
      <c r="AN2845" s="210">
        <f t="shared" si="1176"/>
        <v>0</v>
      </c>
      <c r="AO2845" s="210">
        <f t="shared" si="1176"/>
        <v>0</v>
      </c>
      <c r="AP2845" s="210">
        <f t="shared" si="1176"/>
        <v>5906</v>
      </c>
      <c r="AQ2845" s="210">
        <f t="shared" si="1176"/>
        <v>0</v>
      </c>
      <c r="AR2845" s="210">
        <f t="shared" si="1176"/>
        <v>0</v>
      </c>
      <c r="AS2845" s="210">
        <f t="shared" si="1176"/>
        <v>0</v>
      </c>
      <c r="AT2845" s="210">
        <f t="shared" si="1176"/>
        <v>0</v>
      </c>
      <c r="AU2845" s="210">
        <f t="shared" si="1176"/>
        <v>0</v>
      </c>
      <c r="AV2845" s="210">
        <f t="shared" si="1176"/>
        <v>3853</v>
      </c>
      <c r="AW2845" s="210">
        <f t="shared" si="1176"/>
        <v>0</v>
      </c>
      <c r="AX2845" s="210">
        <f t="shared" si="1176"/>
        <v>0</v>
      </c>
      <c r="AY2845" s="210">
        <f t="shared" si="1176"/>
        <v>0</v>
      </c>
      <c r="AZ2845" s="210">
        <f t="shared" si="1176"/>
        <v>0</v>
      </c>
      <c r="BA2845" s="210">
        <f t="shared" si="1176"/>
        <v>0</v>
      </c>
      <c r="BB2845" s="210">
        <f t="shared" si="1176"/>
        <v>7069</v>
      </c>
      <c r="BC2845" s="220">
        <f t="shared" si="1162"/>
        <v>0</v>
      </c>
      <c r="BD2845" s="210">
        <f t="shared" si="1163"/>
        <v>25205</v>
      </c>
      <c r="BE2845" s="210">
        <f>SUM(BE2846:BE3010)</f>
        <v>20325</v>
      </c>
      <c r="BF2845" s="220">
        <f t="shared" si="1164"/>
        <v>0</v>
      </c>
      <c r="BG2845" s="210">
        <f t="shared" si="1165"/>
        <v>77211</v>
      </c>
      <c r="BH2845" s="210">
        <f t="shared" si="1166"/>
        <v>59197</v>
      </c>
      <c r="BI2845" s="213">
        <f t="shared" si="1167"/>
        <v>130.43059614507493</v>
      </c>
      <c r="BJ2845" s="140">
        <v>59197</v>
      </c>
      <c r="BK2845" s="203">
        <f>BH2845-BJ2845</f>
        <v>0</v>
      </c>
      <c r="BL2845" s="198">
        <v>40754</v>
      </c>
      <c r="BM2845" s="199">
        <f>BG2845-BL2845</f>
        <v>36457</v>
      </c>
    </row>
    <row r="2846" spans="1:65" s="38" customFormat="1" ht="18" customHeight="1">
      <c r="A2846" s="114">
        <v>1</v>
      </c>
      <c r="B2846" s="24" t="s">
        <v>2324</v>
      </c>
      <c r="C2846" s="25" t="s">
        <v>2325</v>
      </c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>
        <v>1</v>
      </c>
      <c r="V2846" s="121"/>
      <c r="W2846" s="121"/>
      <c r="X2846" s="121"/>
      <c r="Y2846" s="121"/>
      <c r="Z2846" s="121"/>
      <c r="AA2846" s="121"/>
      <c r="AB2846" s="229">
        <f t="shared" ref="AB2846:AB2879" si="1177">D2846+F2846+H2846+J2846+L2846+N2846+P2846+R2846+T2846+V2846+X2846+Z2846</f>
        <v>0</v>
      </c>
      <c r="AC2846" s="228">
        <f t="shared" ref="AC2846:AC2879" si="1178">E2846+G2846+I2846+K2846+M2846+O2846+Q2846+S2846+U2846+W2846+Y2846+AA2846</f>
        <v>1</v>
      </c>
      <c r="AD2846" s="19">
        <v>3</v>
      </c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29">
        <f t="shared" ref="BC2846:BC2879" si="1179">AE2846+AG2846+AI2846+AK2846+AM2846+AO2846+AQ2846+AS2846+AU2846+AW2846+AY2846+BA2846</f>
        <v>0</v>
      </c>
      <c r="BD2846" s="48">
        <f t="shared" ref="BD2846:BD2879" si="1180">AF2846+AH2846+AJ2846+AL2846+AN2846+AP2846+AR2846+AT2846+AV2846+AX2846+AZ2846+BB2846</f>
        <v>0</v>
      </c>
      <c r="BE2846" s="19">
        <v>0</v>
      </c>
      <c r="BF2846" s="229">
        <f t="shared" ref="BF2846:BF2879" si="1181">AB2846+BC2846</f>
        <v>0</v>
      </c>
      <c r="BG2846" s="210">
        <f t="shared" ref="BG2846:BG2879" si="1182">AC2846+BD2846</f>
        <v>1</v>
      </c>
      <c r="BH2846" s="210">
        <f t="shared" ref="BH2846:BH2879" si="1183">AD2846+BE2846</f>
        <v>3</v>
      </c>
      <c r="BI2846" s="213">
        <f t="shared" ref="BI2846:BI2878" si="1184">BG2846/BH2846*100</f>
        <v>33.333333333333329</v>
      </c>
      <c r="BJ2846" s="270" t="s">
        <v>2857</v>
      </c>
      <c r="BK2846" s="201"/>
      <c r="BL2846" s="4"/>
      <c r="BM2846" s="4"/>
    </row>
    <row r="2847" spans="1:65" s="38" customFormat="1" ht="18" customHeight="1">
      <c r="A2847" s="330"/>
      <c r="B2847" s="331" t="s">
        <v>2122</v>
      </c>
      <c r="C2847" s="332" t="s">
        <v>1188</v>
      </c>
      <c r="D2847" s="333"/>
      <c r="E2847" s="333"/>
      <c r="F2847" s="333"/>
      <c r="G2847" s="333"/>
      <c r="H2847" s="333"/>
      <c r="I2847" s="333"/>
      <c r="J2847" s="333"/>
      <c r="K2847" s="333"/>
      <c r="L2847" s="333"/>
      <c r="M2847" s="333"/>
      <c r="N2847" s="333"/>
      <c r="O2847" s="333"/>
      <c r="P2847" s="333"/>
      <c r="Q2847" s="333"/>
      <c r="R2847" s="333"/>
      <c r="S2847" s="333"/>
      <c r="T2847" s="333"/>
      <c r="U2847" s="333"/>
      <c r="V2847" s="333"/>
      <c r="W2847" s="333"/>
      <c r="X2847" s="333"/>
      <c r="Y2847" s="333"/>
      <c r="Z2847" s="333"/>
      <c r="AA2847" s="333">
        <v>1</v>
      </c>
      <c r="AB2847" s="323"/>
      <c r="AC2847" s="228">
        <f t="shared" si="1178"/>
        <v>1</v>
      </c>
      <c r="AD2847" s="326">
        <v>0</v>
      </c>
      <c r="AE2847" s="334"/>
      <c r="AF2847" s="334"/>
      <c r="AG2847" s="334"/>
      <c r="AH2847" s="334"/>
      <c r="AI2847" s="334"/>
      <c r="AJ2847" s="334"/>
      <c r="AK2847" s="334"/>
      <c r="AL2847" s="334"/>
      <c r="AM2847" s="334"/>
      <c r="AN2847" s="334"/>
      <c r="AO2847" s="334"/>
      <c r="AP2847" s="334"/>
      <c r="AQ2847" s="334"/>
      <c r="AR2847" s="334"/>
      <c r="AS2847" s="334"/>
      <c r="AT2847" s="334"/>
      <c r="AU2847" s="334"/>
      <c r="AV2847" s="334"/>
      <c r="AW2847" s="334"/>
      <c r="AX2847" s="334"/>
      <c r="AY2847" s="334"/>
      <c r="AZ2847" s="334"/>
      <c r="BA2847" s="334"/>
      <c r="BB2847" s="334"/>
      <c r="BC2847" s="323"/>
      <c r="BD2847" s="48">
        <f t="shared" si="1180"/>
        <v>0</v>
      </c>
      <c r="BE2847" s="326">
        <v>0</v>
      </c>
      <c r="BF2847" s="323"/>
      <c r="BG2847" s="210">
        <f t="shared" ref="BG2847" si="1185">AC2847+BD2847</f>
        <v>1</v>
      </c>
      <c r="BH2847" s="210">
        <f t="shared" ref="BH2847" si="1186">AD2847+BE2847</f>
        <v>0</v>
      </c>
      <c r="BI2847" s="213" t="e">
        <f t="shared" ref="BI2847" si="1187">BG2847/BH2847*100</f>
        <v>#DIV/0!</v>
      </c>
      <c r="BJ2847" s="270"/>
      <c r="BK2847" s="201"/>
      <c r="BL2847" s="4"/>
      <c r="BM2847" s="4"/>
    </row>
    <row r="2848" spans="1:65" s="38" customFormat="1" ht="18" customHeight="1">
      <c r="A2848" s="114">
        <v>2</v>
      </c>
      <c r="B2848" s="24" t="s">
        <v>2138</v>
      </c>
      <c r="C2848" s="25" t="s">
        <v>2139</v>
      </c>
      <c r="D2848" s="121"/>
      <c r="E2848" s="121"/>
      <c r="F2848" s="121"/>
      <c r="G2848" s="121"/>
      <c r="H2848" s="121"/>
      <c r="I2848" s="121">
        <v>2</v>
      </c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229">
        <f t="shared" si="1177"/>
        <v>0</v>
      </c>
      <c r="AC2848" s="228">
        <f t="shared" si="1178"/>
        <v>2</v>
      </c>
      <c r="AD2848" s="19">
        <v>7</v>
      </c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29">
        <f t="shared" si="1179"/>
        <v>0</v>
      </c>
      <c r="BD2848" s="48">
        <f t="shared" si="1180"/>
        <v>0</v>
      </c>
      <c r="BE2848" s="19">
        <v>0</v>
      </c>
      <c r="BF2848" s="229">
        <f t="shared" si="1181"/>
        <v>0</v>
      </c>
      <c r="BG2848" s="210">
        <f t="shared" si="1182"/>
        <v>2</v>
      </c>
      <c r="BH2848" s="210">
        <f t="shared" si="1183"/>
        <v>7</v>
      </c>
      <c r="BI2848" s="213">
        <f t="shared" si="1184"/>
        <v>28.571428571428569</v>
      </c>
      <c r="BJ2848" s="270" t="s">
        <v>2857</v>
      </c>
      <c r="BK2848" s="201"/>
      <c r="BL2848" s="4"/>
      <c r="BM2848" s="4"/>
    </row>
    <row r="2849" spans="1:65" s="38" customFormat="1" ht="21.95" customHeight="1">
      <c r="A2849" s="114">
        <v>3</v>
      </c>
      <c r="B2849" s="24" t="s">
        <v>705</v>
      </c>
      <c r="C2849" s="27" t="s">
        <v>706</v>
      </c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>
        <v>2</v>
      </c>
      <c r="P2849" s="121"/>
      <c r="Q2849" s="121"/>
      <c r="R2849" s="121"/>
      <c r="S2849" s="121"/>
      <c r="T2849" s="121"/>
      <c r="U2849" s="121">
        <f>5+1</f>
        <v>6</v>
      </c>
      <c r="V2849" s="121"/>
      <c r="W2849" s="121"/>
      <c r="X2849" s="121"/>
      <c r="Y2849" s="121"/>
      <c r="Z2849" s="121"/>
      <c r="AA2849" s="121"/>
      <c r="AB2849" s="229">
        <f t="shared" si="1177"/>
        <v>0</v>
      </c>
      <c r="AC2849" s="228">
        <f t="shared" si="1178"/>
        <v>8</v>
      </c>
      <c r="AD2849" s="19">
        <v>1</v>
      </c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29">
        <f t="shared" si="1179"/>
        <v>0</v>
      </c>
      <c r="BD2849" s="48">
        <f t="shared" si="1180"/>
        <v>0</v>
      </c>
      <c r="BE2849" s="19">
        <v>0</v>
      </c>
      <c r="BF2849" s="229">
        <f t="shared" si="1181"/>
        <v>0</v>
      </c>
      <c r="BG2849" s="210">
        <f t="shared" si="1182"/>
        <v>8</v>
      </c>
      <c r="BH2849" s="210">
        <f t="shared" si="1183"/>
        <v>1</v>
      </c>
      <c r="BI2849" s="213">
        <f t="shared" si="1184"/>
        <v>800</v>
      </c>
      <c r="BJ2849" s="270" t="s">
        <v>2857</v>
      </c>
      <c r="BK2849" s="201"/>
      <c r="BL2849" s="4"/>
      <c r="BM2849" s="4"/>
    </row>
    <row r="2850" spans="1:65" s="38" customFormat="1" ht="18" customHeight="1">
      <c r="A2850" s="114">
        <v>4</v>
      </c>
      <c r="B2850" s="24" t="s">
        <v>937</v>
      </c>
      <c r="C2850" s="25" t="s">
        <v>938</v>
      </c>
      <c r="D2850" s="121"/>
      <c r="E2850" s="121"/>
      <c r="F2850" s="121"/>
      <c r="G2850" s="121"/>
      <c r="H2850" s="121"/>
      <c r="I2850" s="121">
        <v>5</v>
      </c>
      <c r="J2850" s="121"/>
      <c r="K2850" s="121"/>
      <c r="L2850" s="121"/>
      <c r="M2850" s="121"/>
      <c r="N2850" s="121"/>
      <c r="O2850" s="121">
        <v>7</v>
      </c>
      <c r="P2850" s="121"/>
      <c r="Q2850" s="121"/>
      <c r="R2850" s="121"/>
      <c r="S2850" s="121"/>
      <c r="T2850" s="121"/>
      <c r="U2850" s="121">
        <f>4+1</f>
        <v>5</v>
      </c>
      <c r="V2850" s="121"/>
      <c r="W2850" s="121"/>
      <c r="X2850" s="121"/>
      <c r="Y2850" s="121"/>
      <c r="Z2850" s="121"/>
      <c r="AA2850" s="121"/>
      <c r="AB2850" s="229">
        <f t="shared" si="1177"/>
        <v>0</v>
      </c>
      <c r="AC2850" s="228">
        <f t="shared" si="1178"/>
        <v>17</v>
      </c>
      <c r="AD2850" s="19">
        <v>9</v>
      </c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29">
        <f t="shared" si="1179"/>
        <v>0</v>
      </c>
      <c r="BD2850" s="48">
        <f t="shared" si="1180"/>
        <v>0</v>
      </c>
      <c r="BE2850" s="19">
        <v>0</v>
      </c>
      <c r="BF2850" s="229">
        <f t="shared" si="1181"/>
        <v>0</v>
      </c>
      <c r="BG2850" s="210">
        <f t="shared" si="1182"/>
        <v>17</v>
      </c>
      <c r="BH2850" s="210">
        <f t="shared" si="1183"/>
        <v>9</v>
      </c>
      <c r="BI2850" s="213">
        <f t="shared" si="1184"/>
        <v>188.88888888888889</v>
      </c>
      <c r="BJ2850" s="270" t="s">
        <v>2857</v>
      </c>
      <c r="BK2850" s="201"/>
      <c r="BL2850" s="4"/>
      <c r="BM2850" s="4"/>
    </row>
    <row r="2851" spans="1:65" s="38" customFormat="1" ht="18" customHeight="1">
      <c r="A2851" s="114">
        <v>5</v>
      </c>
      <c r="B2851" s="24" t="s">
        <v>1468</v>
      </c>
      <c r="C2851" s="25" t="s">
        <v>1471</v>
      </c>
      <c r="D2851" s="121"/>
      <c r="E2851" s="121"/>
      <c r="F2851" s="121"/>
      <c r="G2851" s="121"/>
      <c r="H2851" s="121"/>
      <c r="I2851" s="121">
        <v>53</v>
      </c>
      <c r="J2851" s="121"/>
      <c r="K2851" s="121"/>
      <c r="L2851" s="121"/>
      <c r="M2851" s="121"/>
      <c r="N2851" s="121"/>
      <c r="O2851" s="121">
        <v>9</v>
      </c>
      <c r="P2851" s="121"/>
      <c r="Q2851" s="121"/>
      <c r="R2851" s="121"/>
      <c r="S2851" s="121"/>
      <c r="T2851" s="121"/>
      <c r="U2851" s="121">
        <f>6+6</f>
        <v>12</v>
      </c>
      <c r="V2851" s="121"/>
      <c r="W2851" s="121"/>
      <c r="X2851" s="121"/>
      <c r="Y2851" s="121"/>
      <c r="Z2851" s="121"/>
      <c r="AA2851" s="121"/>
      <c r="AB2851" s="229">
        <f t="shared" si="1177"/>
        <v>0</v>
      </c>
      <c r="AC2851" s="228">
        <f t="shared" si="1178"/>
        <v>74</v>
      </c>
      <c r="AD2851" s="19">
        <v>15</v>
      </c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  <c r="AZ2851" s="28"/>
      <c r="BA2851" s="28"/>
      <c r="BB2851" s="28"/>
      <c r="BC2851" s="229">
        <f t="shared" si="1179"/>
        <v>0</v>
      </c>
      <c r="BD2851" s="48">
        <f t="shared" si="1180"/>
        <v>0</v>
      </c>
      <c r="BE2851" s="19">
        <v>0</v>
      </c>
      <c r="BF2851" s="229">
        <f t="shared" si="1181"/>
        <v>0</v>
      </c>
      <c r="BG2851" s="210">
        <f t="shared" si="1182"/>
        <v>74</v>
      </c>
      <c r="BH2851" s="210">
        <f t="shared" si="1183"/>
        <v>15</v>
      </c>
      <c r="BI2851" s="213">
        <f t="shared" si="1184"/>
        <v>493.33333333333337</v>
      </c>
      <c r="BJ2851" s="270" t="s">
        <v>2857</v>
      </c>
      <c r="BK2851" s="201"/>
      <c r="BL2851" s="4"/>
      <c r="BM2851" s="4"/>
    </row>
    <row r="2852" spans="1:65" s="38" customFormat="1" ht="18" customHeight="1">
      <c r="A2852" s="114">
        <v>6</v>
      </c>
      <c r="B2852" s="24" t="s">
        <v>1482</v>
      </c>
      <c r="C2852" s="25" t="s">
        <v>1483</v>
      </c>
      <c r="D2852" s="121"/>
      <c r="E2852" s="121"/>
      <c r="F2852" s="121"/>
      <c r="G2852" s="121"/>
      <c r="H2852" s="121"/>
      <c r="I2852" s="121">
        <f>1525+913+56</f>
        <v>2494</v>
      </c>
      <c r="J2852" s="121"/>
      <c r="K2852" s="121"/>
      <c r="L2852" s="121"/>
      <c r="M2852" s="121"/>
      <c r="N2852" s="121"/>
      <c r="O2852" s="121">
        <f>1788+1013+9</f>
        <v>2810</v>
      </c>
      <c r="P2852" s="121"/>
      <c r="Q2852" s="121"/>
      <c r="R2852" s="121"/>
      <c r="S2852" s="121"/>
      <c r="T2852" s="121"/>
      <c r="U2852" s="121">
        <f>1966+951+8+506</f>
        <v>3431</v>
      </c>
      <c r="V2852" s="121"/>
      <c r="W2852" s="121"/>
      <c r="X2852" s="121"/>
      <c r="Y2852" s="121"/>
      <c r="Z2852" s="121"/>
      <c r="AA2852" s="121">
        <f>1774+1287</f>
        <v>3061</v>
      </c>
      <c r="AB2852" s="229">
        <f t="shared" si="1177"/>
        <v>0</v>
      </c>
      <c r="AC2852" s="228">
        <f t="shared" si="1178"/>
        <v>11796</v>
      </c>
      <c r="AD2852" s="19">
        <v>9398</v>
      </c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29">
        <f t="shared" si="1179"/>
        <v>0</v>
      </c>
      <c r="BD2852" s="48">
        <f t="shared" si="1180"/>
        <v>0</v>
      </c>
      <c r="BE2852" s="19">
        <v>0</v>
      </c>
      <c r="BF2852" s="229">
        <f t="shared" si="1181"/>
        <v>0</v>
      </c>
      <c r="BG2852" s="210">
        <f t="shared" si="1182"/>
        <v>11796</v>
      </c>
      <c r="BH2852" s="210">
        <f t="shared" si="1183"/>
        <v>9398</v>
      </c>
      <c r="BI2852" s="213">
        <f t="shared" si="1184"/>
        <v>125.51606724835071</v>
      </c>
      <c r="BJ2852" s="270" t="s">
        <v>2857</v>
      </c>
      <c r="BK2852" s="201"/>
      <c r="BL2852" s="4"/>
      <c r="BM2852" s="4"/>
    </row>
    <row r="2853" spans="1:65" s="38" customFormat="1" ht="18" customHeight="1">
      <c r="A2853" s="114">
        <v>7</v>
      </c>
      <c r="B2853" s="24" t="s">
        <v>2234</v>
      </c>
      <c r="C2853" s="25" t="s">
        <v>2235</v>
      </c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229">
        <f t="shared" si="1177"/>
        <v>0</v>
      </c>
      <c r="AC2853" s="228">
        <f t="shared" si="1178"/>
        <v>0</v>
      </c>
      <c r="AD2853" s="19">
        <v>0</v>
      </c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29">
        <f t="shared" si="1179"/>
        <v>0</v>
      </c>
      <c r="BD2853" s="48">
        <f t="shared" si="1180"/>
        <v>0</v>
      </c>
      <c r="BE2853" s="19">
        <v>6</v>
      </c>
      <c r="BF2853" s="229">
        <f t="shared" si="1181"/>
        <v>0</v>
      </c>
      <c r="BG2853" s="210">
        <f t="shared" si="1182"/>
        <v>0</v>
      </c>
      <c r="BH2853" s="210">
        <f t="shared" si="1183"/>
        <v>6</v>
      </c>
      <c r="BI2853" s="213">
        <f t="shared" si="1184"/>
        <v>0</v>
      </c>
      <c r="BJ2853" s="165"/>
      <c r="BK2853" s="201"/>
      <c r="BL2853" s="4"/>
      <c r="BM2853" s="4"/>
    </row>
    <row r="2854" spans="1:65" s="38" customFormat="1" ht="18" customHeight="1">
      <c r="A2854" s="114">
        <v>8</v>
      </c>
      <c r="B2854" s="24" t="s">
        <v>2694</v>
      </c>
      <c r="C2854" s="25" t="s">
        <v>2695</v>
      </c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229">
        <f t="shared" si="1177"/>
        <v>0</v>
      </c>
      <c r="AC2854" s="228">
        <f t="shared" si="1178"/>
        <v>0</v>
      </c>
      <c r="AD2854" s="19">
        <v>0</v>
      </c>
      <c r="AE2854" s="28"/>
      <c r="AF2854" s="28"/>
      <c r="AG2854" s="28"/>
      <c r="AH2854" s="28"/>
      <c r="AI2854" s="28"/>
      <c r="AJ2854" s="28">
        <v>3</v>
      </c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29">
        <f t="shared" si="1179"/>
        <v>0</v>
      </c>
      <c r="BD2854" s="48">
        <f t="shared" si="1180"/>
        <v>3</v>
      </c>
      <c r="BE2854" s="19">
        <v>0</v>
      </c>
      <c r="BF2854" s="229">
        <f t="shared" si="1181"/>
        <v>0</v>
      </c>
      <c r="BG2854" s="210">
        <f t="shared" si="1182"/>
        <v>3</v>
      </c>
      <c r="BH2854" s="210">
        <f t="shared" si="1183"/>
        <v>0</v>
      </c>
      <c r="BI2854" s="213" t="e">
        <f t="shared" si="1184"/>
        <v>#DIV/0!</v>
      </c>
      <c r="BJ2854" s="165"/>
      <c r="BK2854" s="201"/>
      <c r="BL2854" s="4"/>
      <c r="BM2854" s="4"/>
    </row>
    <row r="2855" spans="1:65" s="38" customFormat="1" ht="18" customHeight="1">
      <c r="A2855" s="114">
        <v>9</v>
      </c>
      <c r="B2855" s="24" t="s">
        <v>2313</v>
      </c>
      <c r="C2855" s="25" t="s">
        <v>2315</v>
      </c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229">
        <f t="shared" si="1177"/>
        <v>0</v>
      </c>
      <c r="AC2855" s="228">
        <f t="shared" si="1178"/>
        <v>0</v>
      </c>
      <c r="AD2855" s="19">
        <v>0</v>
      </c>
      <c r="AE2855" s="28"/>
      <c r="AF2855" s="28"/>
      <c r="AG2855" s="28"/>
      <c r="AH2855" s="28"/>
      <c r="AI2855" s="28"/>
      <c r="AJ2855" s="28">
        <v>6</v>
      </c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29">
        <f t="shared" si="1179"/>
        <v>0</v>
      </c>
      <c r="BD2855" s="48">
        <f t="shared" si="1180"/>
        <v>6</v>
      </c>
      <c r="BE2855" s="19">
        <v>0</v>
      </c>
      <c r="BF2855" s="229">
        <f t="shared" si="1181"/>
        <v>0</v>
      </c>
      <c r="BG2855" s="210">
        <f t="shared" si="1182"/>
        <v>6</v>
      </c>
      <c r="BH2855" s="210">
        <f t="shared" si="1183"/>
        <v>0</v>
      </c>
      <c r="BI2855" s="213" t="e">
        <f t="shared" si="1184"/>
        <v>#DIV/0!</v>
      </c>
      <c r="BJ2855" s="165"/>
      <c r="BK2855" s="201"/>
      <c r="BL2855" s="4"/>
      <c r="BM2855" s="4"/>
    </row>
    <row r="2856" spans="1:65" s="38" customFormat="1" ht="18" customHeight="1">
      <c r="A2856" s="114">
        <v>10</v>
      </c>
      <c r="B2856" s="24" t="s">
        <v>2314</v>
      </c>
      <c r="C2856" s="25" t="s">
        <v>2316</v>
      </c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229">
        <f t="shared" si="1177"/>
        <v>0</v>
      </c>
      <c r="AC2856" s="228">
        <f t="shared" si="1178"/>
        <v>0</v>
      </c>
      <c r="AD2856" s="19">
        <v>0</v>
      </c>
      <c r="AE2856" s="28"/>
      <c r="AF2856" s="28"/>
      <c r="AG2856" s="28"/>
      <c r="AH2856" s="28"/>
      <c r="AI2856" s="28"/>
      <c r="AJ2856" s="28">
        <v>4</v>
      </c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29">
        <f t="shared" si="1179"/>
        <v>0</v>
      </c>
      <c r="BD2856" s="48">
        <f t="shared" si="1180"/>
        <v>4</v>
      </c>
      <c r="BE2856" s="19">
        <v>0</v>
      </c>
      <c r="BF2856" s="229">
        <f t="shared" si="1181"/>
        <v>0</v>
      </c>
      <c r="BG2856" s="210">
        <f t="shared" si="1182"/>
        <v>4</v>
      </c>
      <c r="BH2856" s="210">
        <f t="shared" si="1183"/>
        <v>0</v>
      </c>
      <c r="BI2856" s="213" t="e">
        <f t="shared" si="1184"/>
        <v>#DIV/0!</v>
      </c>
      <c r="BJ2856" s="165"/>
      <c r="BK2856" s="201"/>
      <c r="BL2856" s="4"/>
      <c r="BM2856" s="4"/>
    </row>
    <row r="2857" spans="1:65" s="38" customFormat="1" ht="21.95" customHeight="1">
      <c r="A2857" s="114">
        <v>11</v>
      </c>
      <c r="B2857" s="24" t="s">
        <v>793</v>
      </c>
      <c r="C2857" s="25" t="s">
        <v>1098</v>
      </c>
      <c r="D2857" s="121"/>
      <c r="E2857" s="121"/>
      <c r="F2857" s="121"/>
      <c r="G2857" s="121"/>
      <c r="H2857" s="121"/>
      <c r="I2857" s="121">
        <f>620+1</f>
        <v>621</v>
      </c>
      <c r="J2857" s="121"/>
      <c r="K2857" s="121"/>
      <c r="L2857" s="121"/>
      <c r="M2857" s="121"/>
      <c r="N2857" s="121"/>
      <c r="O2857" s="121">
        <v>666</v>
      </c>
      <c r="P2857" s="121"/>
      <c r="Q2857" s="121"/>
      <c r="R2857" s="121"/>
      <c r="S2857" s="121"/>
      <c r="T2857" s="121"/>
      <c r="U2857" s="121">
        <f>584+2+1</f>
        <v>587</v>
      </c>
      <c r="V2857" s="121"/>
      <c r="W2857" s="121"/>
      <c r="X2857" s="121"/>
      <c r="Y2857" s="121"/>
      <c r="Z2857" s="121"/>
      <c r="AA2857" s="121">
        <f>745+1+1</f>
        <v>747</v>
      </c>
      <c r="AB2857" s="229">
        <f t="shared" si="1177"/>
        <v>0</v>
      </c>
      <c r="AC2857" s="228">
        <f t="shared" si="1178"/>
        <v>2621</v>
      </c>
      <c r="AD2857" s="19">
        <v>2286</v>
      </c>
      <c r="AE2857" s="28"/>
      <c r="AF2857" s="28"/>
      <c r="AG2857" s="28"/>
      <c r="AH2857" s="28"/>
      <c r="AI2857" s="28"/>
      <c r="AJ2857" s="28">
        <f>1+2</f>
        <v>3</v>
      </c>
      <c r="AK2857" s="28"/>
      <c r="AL2857" s="28"/>
      <c r="AM2857" s="28"/>
      <c r="AN2857" s="28"/>
      <c r="AO2857" s="28"/>
      <c r="AP2857" s="28">
        <f>1+1+1</f>
        <v>3</v>
      </c>
      <c r="AQ2857" s="28"/>
      <c r="AR2857" s="28"/>
      <c r="AS2857" s="28"/>
      <c r="AT2857" s="28"/>
      <c r="AU2857" s="28"/>
      <c r="AV2857" s="28">
        <v>2</v>
      </c>
      <c r="AW2857" s="28"/>
      <c r="AX2857" s="28"/>
      <c r="AY2857" s="28"/>
      <c r="AZ2857" s="28"/>
      <c r="BA2857" s="28"/>
      <c r="BB2857" s="28">
        <v>1</v>
      </c>
      <c r="BC2857" s="229">
        <f t="shared" si="1179"/>
        <v>0</v>
      </c>
      <c r="BD2857" s="48">
        <f t="shared" si="1180"/>
        <v>9</v>
      </c>
      <c r="BE2857" s="19">
        <v>23</v>
      </c>
      <c r="BF2857" s="229">
        <f t="shared" si="1181"/>
        <v>0</v>
      </c>
      <c r="BG2857" s="210">
        <f t="shared" si="1182"/>
        <v>2630</v>
      </c>
      <c r="BH2857" s="210">
        <f t="shared" si="1183"/>
        <v>2309</v>
      </c>
      <c r="BI2857" s="213">
        <f t="shared" si="1184"/>
        <v>113.90212213079256</v>
      </c>
      <c r="BJ2857" s="141"/>
      <c r="BK2857" s="201"/>
      <c r="BL2857" s="4"/>
      <c r="BM2857" s="4"/>
    </row>
    <row r="2858" spans="1:65" s="38" customFormat="1" ht="18" customHeight="1">
      <c r="A2858" s="114">
        <v>12</v>
      </c>
      <c r="B2858" s="24" t="s">
        <v>806</v>
      </c>
      <c r="C2858" s="25" t="s">
        <v>807</v>
      </c>
      <c r="D2858" s="121"/>
      <c r="E2858" s="121"/>
      <c r="F2858" s="121"/>
      <c r="G2858" s="121"/>
      <c r="H2858" s="121"/>
      <c r="I2858" s="121">
        <f>264+1</f>
        <v>265</v>
      </c>
      <c r="J2858" s="121"/>
      <c r="K2858" s="121"/>
      <c r="L2858" s="121"/>
      <c r="M2858" s="121"/>
      <c r="N2858" s="121"/>
      <c r="O2858" s="121">
        <f>186+1</f>
        <v>187</v>
      </c>
      <c r="P2858" s="121"/>
      <c r="Q2858" s="121"/>
      <c r="R2858" s="121"/>
      <c r="S2858" s="121"/>
      <c r="T2858" s="121"/>
      <c r="U2858" s="121">
        <f>133+1</f>
        <v>134</v>
      </c>
      <c r="V2858" s="121"/>
      <c r="W2858" s="121"/>
      <c r="X2858" s="121"/>
      <c r="Y2858" s="121"/>
      <c r="Z2858" s="121"/>
      <c r="AA2858" s="121">
        <f>183+2</f>
        <v>185</v>
      </c>
      <c r="AB2858" s="229">
        <f t="shared" si="1177"/>
        <v>0</v>
      </c>
      <c r="AC2858" s="228">
        <f t="shared" si="1178"/>
        <v>771</v>
      </c>
      <c r="AD2858" s="19">
        <v>25</v>
      </c>
      <c r="AE2858" s="28"/>
      <c r="AF2858" s="28"/>
      <c r="AG2858" s="28"/>
      <c r="AH2858" s="28"/>
      <c r="AI2858" s="28"/>
      <c r="AJ2858" s="28">
        <v>1</v>
      </c>
      <c r="AK2858" s="28"/>
      <c r="AL2858" s="28"/>
      <c r="AM2858" s="28"/>
      <c r="AN2858" s="28"/>
      <c r="AO2858" s="28"/>
      <c r="AP2858" s="28">
        <v>1</v>
      </c>
      <c r="AQ2858" s="28"/>
      <c r="AR2858" s="28"/>
      <c r="AS2858" s="28"/>
      <c r="AT2858" s="28"/>
      <c r="AU2858" s="28"/>
      <c r="AV2858" s="28">
        <v>1</v>
      </c>
      <c r="AW2858" s="28"/>
      <c r="AX2858" s="28"/>
      <c r="AY2858" s="28"/>
      <c r="AZ2858" s="28"/>
      <c r="BA2858" s="28"/>
      <c r="BB2858" s="28">
        <v>1</v>
      </c>
      <c r="BC2858" s="229">
        <f t="shared" si="1179"/>
        <v>0</v>
      </c>
      <c r="BD2858" s="48">
        <f t="shared" si="1180"/>
        <v>4</v>
      </c>
      <c r="BE2858" s="19">
        <v>0</v>
      </c>
      <c r="BF2858" s="229">
        <f t="shared" si="1181"/>
        <v>0</v>
      </c>
      <c r="BG2858" s="210">
        <f t="shared" si="1182"/>
        <v>775</v>
      </c>
      <c r="BH2858" s="210">
        <f t="shared" si="1183"/>
        <v>25</v>
      </c>
      <c r="BI2858" s="213">
        <f t="shared" si="1184"/>
        <v>3100</v>
      </c>
      <c r="BJ2858" s="141"/>
      <c r="BK2858" s="201"/>
      <c r="BL2858" s="4"/>
      <c r="BM2858" s="4"/>
    </row>
    <row r="2859" spans="1:65" s="38" customFormat="1" ht="18" customHeight="1">
      <c r="A2859" s="114">
        <v>13</v>
      </c>
      <c r="B2859" s="24" t="s">
        <v>831</v>
      </c>
      <c r="C2859" s="25" t="s">
        <v>832</v>
      </c>
      <c r="D2859" s="121"/>
      <c r="E2859" s="121"/>
      <c r="F2859" s="121"/>
      <c r="G2859" s="121"/>
      <c r="H2859" s="121"/>
      <c r="I2859" s="121">
        <f>264+1</f>
        <v>265</v>
      </c>
      <c r="J2859" s="121"/>
      <c r="K2859" s="121"/>
      <c r="L2859" s="121"/>
      <c r="M2859" s="121"/>
      <c r="N2859" s="121"/>
      <c r="O2859" s="121">
        <f>186+1</f>
        <v>187</v>
      </c>
      <c r="P2859" s="121"/>
      <c r="Q2859" s="121"/>
      <c r="R2859" s="121"/>
      <c r="S2859" s="121"/>
      <c r="T2859" s="121"/>
      <c r="U2859" s="121">
        <f>133+1</f>
        <v>134</v>
      </c>
      <c r="V2859" s="121"/>
      <c r="W2859" s="121"/>
      <c r="X2859" s="121"/>
      <c r="Y2859" s="121"/>
      <c r="Z2859" s="121"/>
      <c r="AA2859" s="121">
        <f>183+2</f>
        <v>185</v>
      </c>
      <c r="AB2859" s="229">
        <f t="shared" si="1177"/>
        <v>0</v>
      </c>
      <c r="AC2859" s="228">
        <f t="shared" si="1178"/>
        <v>771</v>
      </c>
      <c r="AD2859" s="19">
        <v>25</v>
      </c>
      <c r="AE2859" s="28"/>
      <c r="AF2859" s="28"/>
      <c r="AG2859" s="28"/>
      <c r="AH2859" s="28"/>
      <c r="AI2859" s="28"/>
      <c r="AJ2859" s="28">
        <v>1</v>
      </c>
      <c r="AK2859" s="28"/>
      <c r="AL2859" s="28"/>
      <c r="AM2859" s="28"/>
      <c r="AN2859" s="28"/>
      <c r="AO2859" s="28"/>
      <c r="AP2859" s="28">
        <v>1</v>
      </c>
      <c r="AQ2859" s="28"/>
      <c r="AR2859" s="28"/>
      <c r="AS2859" s="28"/>
      <c r="AT2859" s="28"/>
      <c r="AU2859" s="28"/>
      <c r="AV2859" s="28">
        <v>1</v>
      </c>
      <c r="AW2859" s="28"/>
      <c r="AX2859" s="28"/>
      <c r="AY2859" s="28"/>
      <c r="AZ2859" s="28"/>
      <c r="BA2859" s="28"/>
      <c r="BB2859" s="28">
        <v>1</v>
      </c>
      <c r="BC2859" s="229">
        <f t="shared" si="1179"/>
        <v>0</v>
      </c>
      <c r="BD2859" s="48">
        <f t="shared" si="1180"/>
        <v>4</v>
      </c>
      <c r="BE2859" s="19">
        <v>0</v>
      </c>
      <c r="BF2859" s="229">
        <f t="shared" si="1181"/>
        <v>0</v>
      </c>
      <c r="BG2859" s="210">
        <f t="shared" si="1182"/>
        <v>775</v>
      </c>
      <c r="BH2859" s="210">
        <f t="shared" si="1183"/>
        <v>25</v>
      </c>
      <c r="BI2859" s="213">
        <f t="shared" si="1184"/>
        <v>3100</v>
      </c>
      <c r="BJ2859" s="141"/>
      <c r="BK2859" s="201"/>
      <c r="BL2859" s="4"/>
      <c r="BM2859" s="4"/>
    </row>
    <row r="2860" spans="1:65" s="38" customFormat="1" ht="18" customHeight="1">
      <c r="A2860" s="114">
        <v>14</v>
      </c>
      <c r="B2860" s="24" t="s">
        <v>551</v>
      </c>
      <c r="C2860" s="25" t="s">
        <v>552</v>
      </c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229">
        <f t="shared" si="1177"/>
        <v>0</v>
      </c>
      <c r="AC2860" s="228">
        <f t="shared" si="1178"/>
        <v>0</v>
      </c>
      <c r="AD2860" s="19">
        <v>0</v>
      </c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29">
        <f t="shared" si="1179"/>
        <v>0</v>
      </c>
      <c r="BD2860" s="48">
        <f t="shared" si="1180"/>
        <v>0</v>
      </c>
      <c r="BE2860" s="19">
        <v>1</v>
      </c>
      <c r="BF2860" s="229">
        <f t="shared" si="1181"/>
        <v>0</v>
      </c>
      <c r="BG2860" s="210">
        <f t="shared" si="1182"/>
        <v>0</v>
      </c>
      <c r="BH2860" s="210">
        <f t="shared" si="1183"/>
        <v>1</v>
      </c>
      <c r="BI2860" s="213">
        <f t="shared" si="1184"/>
        <v>0</v>
      </c>
      <c r="BJ2860" s="141"/>
      <c r="BK2860" s="201"/>
      <c r="BL2860" s="4"/>
      <c r="BM2860" s="4"/>
    </row>
    <row r="2861" spans="1:65" s="38" customFormat="1" ht="18" customHeight="1">
      <c r="A2861" s="114">
        <v>15</v>
      </c>
      <c r="B2861" s="24" t="s">
        <v>553</v>
      </c>
      <c r="C2861" s="25" t="s">
        <v>554</v>
      </c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229">
        <f t="shared" si="1177"/>
        <v>0</v>
      </c>
      <c r="AC2861" s="228">
        <f t="shared" si="1178"/>
        <v>0</v>
      </c>
      <c r="AD2861" s="19">
        <v>0</v>
      </c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>
        <v>2</v>
      </c>
      <c r="BC2861" s="229">
        <f t="shared" si="1179"/>
        <v>0</v>
      </c>
      <c r="BD2861" s="48">
        <f t="shared" si="1180"/>
        <v>2</v>
      </c>
      <c r="BE2861" s="19">
        <v>1</v>
      </c>
      <c r="BF2861" s="229">
        <f t="shared" si="1181"/>
        <v>0</v>
      </c>
      <c r="BG2861" s="210">
        <f t="shared" si="1182"/>
        <v>2</v>
      </c>
      <c r="BH2861" s="210">
        <f t="shared" si="1183"/>
        <v>1</v>
      </c>
      <c r="BI2861" s="213">
        <f t="shared" si="1184"/>
        <v>200</v>
      </c>
      <c r="BJ2861" s="141"/>
      <c r="BK2861" s="201"/>
      <c r="BL2861" s="4"/>
      <c r="BM2861" s="4"/>
    </row>
    <row r="2862" spans="1:65" s="38" customFormat="1" ht="18" customHeight="1">
      <c r="A2862" s="114">
        <v>16</v>
      </c>
      <c r="B2862" s="24" t="s">
        <v>561</v>
      </c>
      <c r="C2862" s="25" t="s">
        <v>562</v>
      </c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229">
        <f t="shared" si="1177"/>
        <v>0</v>
      </c>
      <c r="AC2862" s="228">
        <f t="shared" si="1178"/>
        <v>0</v>
      </c>
      <c r="AD2862" s="19">
        <v>0</v>
      </c>
      <c r="AE2862" s="28"/>
      <c r="AF2862" s="28"/>
      <c r="AG2862" s="28"/>
      <c r="AH2862" s="28"/>
      <c r="AI2862" s="28"/>
      <c r="AJ2862" s="28">
        <v>71</v>
      </c>
      <c r="AK2862" s="28"/>
      <c r="AL2862" s="28"/>
      <c r="AM2862" s="28"/>
      <c r="AN2862" s="28"/>
      <c r="AO2862" s="28"/>
      <c r="AP2862" s="28">
        <v>8</v>
      </c>
      <c r="AQ2862" s="28"/>
      <c r="AR2862" s="28"/>
      <c r="AS2862" s="28"/>
      <c r="AT2862" s="28"/>
      <c r="AU2862" s="28"/>
      <c r="AV2862" s="28">
        <v>9</v>
      </c>
      <c r="AW2862" s="28"/>
      <c r="AX2862" s="28"/>
      <c r="AY2862" s="28"/>
      <c r="AZ2862" s="28"/>
      <c r="BA2862" s="28"/>
      <c r="BB2862" s="28">
        <v>6</v>
      </c>
      <c r="BC2862" s="229">
        <f t="shared" si="1179"/>
        <v>0</v>
      </c>
      <c r="BD2862" s="48">
        <f t="shared" si="1180"/>
        <v>94</v>
      </c>
      <c r="BE2862" s="19">
        <v>8</v>
      </c>
      <c r="BF2862" s="229">
        <f t="shared" si="1181"/>
        <v>0</v>
      </c>
      <c r="BG2862" s="210">
        <f t="shared" si="1182"/>
        <v>94</v>
      </c>
      <c r="BH2862" s="210">
        <f t="shared" si="1183"/>
        <v>8</v>
      </c>
      <c r="BI2862" s="213">
        <f t="shared" si="1184"/>
        <v>1175</v>
      </c>
      <c r="BJ2862" s="141"/>
      <c r="BK2862" s="201"/>
      <c r="BL2862" s="4"/>
      <c r="BM2862" s="4"/>
    </row>
    <row r="2863" spans="1:65" s="38" customFormat="1" ht="18" customHeight="1">
      <c r="A2863" s="114">
        <v>17</v>
      </c>
      <c r="B2863" s="24" t="s">
        <v>672</v>
      </c>
      <c r="C2863" s="25" t="s">
        <v>1028</v>
      </c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229">
        <f t="shared" si="1177"/>
        <v>0</v>
      </c>
      <c r="AC2863" s="228">
        <f t="shared" si="1178"/>
        <v>0</v>
      </c>
      <c r="AD2863" s="19">
        <v>0</v>
      </c>
      <c r="AE2863" s="28"/>
      <c r="AF2863" s="28"/>
      <c r="AG2863" s="28"/>
      <c r="AH2863" s="28"/>
      <c r="AI2863" s="28"/>
      <c r="AJ2863" s="28">
        <f>75+26+53</f>
        <v>154</v>
      </c>
      <c r="AK2863" s="28"/>
      <c r="AL2863" s="28"/>
      <c r="AM2863" s="28"/>
      <c r="AN2863" s="28"/>
      <c r="AO2863" s="28"/>
      <c r="AP2863" s="28">
        <f>28+13+8</f>
        <v>49</v>
      </c>
      <c r="AQ2863" s="28"/>
      <c r="AR2863" s="28"/>
      <c r="AS2863" s="28"/>
      <c r="AT2863" s="28"/>
      <c r="AU2863" s="28"/>
      <c r="AV2863" s="28">
        <v>7</v>
      </c>
      <c r="AW2863" s="28"/>
      <c r="AX2863" s="28"/>
      <c r="AY2863" s="28"/>
      <c r="AZ2863" s="28"/>
      <c r="BA2863" s="28"/>
      <c r="BB2863" s="28">
        <f>32+1+6</f>
        <v>39</v>
      </c>
      <c r="BC2863" s="229">
        <f t="shared" si="1179"/>
        <v>0</v>
      </c>
      <c r="BD2863" s="48">
        <f t="shared" si="1180"/>
        <v>249</v>
      </c>
      <c r="BE2863" s="19">
        <v>210</v>
      </c>
      <c r="BF2863" s="229">
        <f t="shared" si="1181"/>
        <v>0</v>
      </c>
      <c r="BG2863" s="210">
        <f t="shared" si="1182"/>
        <v>249</v>
      </c>
      <c r="BH2863" s="210">
        <f t="shared" si="1183"/>
        <v>210</v>
      </c>
      <c r="BI2863" s="213">
        <f t="shared" si="1184"/>
        <v>118.57142857142857</v>
      </c>
      <c r="BJ2863" s="141"/>
      <c r="BK2863" s="201"/>
      <c r="BL2863" s="4"/>
      <c r="BM2863" s="4"/>
    </row>
    <row r="2864" spans="1:65" s="38" customFormat="1" ht="18" customHeight="1">
      <c r="A2864" s="114">
        <v>18</v>
      </c>
      <c r="B2864" s="24" t="s">
        <v>808</v>
      </c>
      <c r="C2864" s="25" t="s">
        <v>809</v>
      </c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229">
        <f t="shared" si="1177"/>
        <v>0</v>
      </c>
      <c r="AC2864" s="228">
        <f t="shared" si="1178"/>
        <v>0</v>
      </c>
      <c r="AD2864" s="19">
        <v>0</v>
      </c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>
        <v>1</v>
      </c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>
        <f>3+1</f>
        <v>4</v>
      </c>
      <c r="BC2864" s="229">
        <f t="shared" si="1179"/>
        <v>0</v>
      </c>
      <c r="BD2864" s="48">
        <f t="shared" si="1180"/>
        <v>5</v>
      </c>
      <c r="BE2864" s="19">
        <v>9</v>
      </c>
      <c r="BF2864" s="229">
        <f t="shared" si="1181"/>
        <v>0</v>
      </c>
      <c r="BG2864" s="210">
        <f t="shared" si="1182"/>
        <v>5</v>
      </c>
      <c r="BH2864" s="210">
        <f t="shared" si="1183"/>
        <v>9</v>
      </c>
      <c r="BI2864" s="213">
        <f t="shared" si="1184"/>
        <v>55.555555555555557</v>
      </c>
      <c r="BJ2864" s="141"/>
      <c r="BK2864" s="201"/>
      <c r="BL2864" s="4"/>
      <c r="BM2864" s="4"/>
    </row>
    <row r="2865" spans="1:65" s="38" customFormat="1" ht="18" customHeight="1">
      <c r="A2865" s="114">
        <v>19</v>
      </c>
      <c r="B2865" s="24" t="s">
        <v>565</v>
      </c>
      <c r="C2865" s="25" t="s">
        <v>566</v>
      </c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229">
        <f t="shared" si="1177"/>
        <v>0</v>
      </c>
      <c r="AC2865" s="228">
        <f t="shared" si="1178"/>
        <v>0</v>
      </c>
      <c r="AD2865" s="19">
        <v>0</v>
      </c>
      <c r="AE2865" s="28"/>
      <c r="AF2865" s="28"/>
      <c r="AG2865" s="28"/>
      <c r="AH2865" s="28"/>
      <c r="AI2865" s="28"/>
      <c r="AJ2865" s="28">
        <f>2+15</f>
        <v>17</v>
      </c>
      <c r="AK2865" s="28"/>
      <c r="AL2865" s="28"/>
      <c r="AM2865" s="28"/>
      <c r="AN2865" s="28"/>
      <c r="AO2865" s="28"/>
      <c r="AP2865" s="28">
        <v>1</v>
      </c>
      <c r="AQ2865" s="28"/>
      <c r="AR2865" s="28"/>
      <c r="AS2865" s="28"/>
      <c r="AT2865" s="28"/>
      <c r="AU2865" s="28"/>
      <c r="AV2865" s="28">
        <v>1</v>
      </c>
      <c r="AW2865" s="28"/>
      <c r="AX2865" s="28"/>
      <c r="AY2865" s="28"/>
      <c r="AZ2865" s="28"/>
      <c r="BA2865" s="28"/>
      <c r="BB2865" s="28">
        <v>9</v>
      </c>
      <c r="BC2865" s="229">
        <f t="shared" si="1179"/>
        <v>0</v>
      </c>
      <c r="BD2865" s="48">
        <f t="shared" si="1180"/>
        <v>28</v>
      </c>
      <c r="BE2865" s="19">
        <v>16</v>
      </c>
      <c r="BF2865" s="229">
        <f t="shared" si="1181"/>
        <v>0</v>
      </c>
      <c r="BG2865" s="210">
        <f t="shared" si="1182"/>
        <v>28</v>
      </c>
      <c r="BH2865" s="210">
        <f t="shared" si="1183"/>
        <v>16</v>
      </c>
      <c r="BI2865" s="213">
        <f t="shared" si="1184"/>
        <v>175</v>
      </c>
      <c r="BJ2865" s="141"/>
      <c r="BK2865" s="201"/>
      <c r="BL2865" s="4"/>
      <c r="BM2865" s="4"/>
    </row>
    <row r="2866" spans="1:65" s="38" customFormat="1" ht="18" customHeight="1">
      <c r="A2866" s="114">
        <v>20</v>
      </c>
      <c r="B2866" s="24" t="s">
        <v>707</v>
      </c>
      <c r="C2866" s="25" t="s">
        <v>708</v>
      </c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229">
        <f t="shared" si="1177"/>
        <v>0</v>
      </c>
      <c r="AC2866" s="228">
        <f t="shared" si="1178"/>
        <v>0</v>
      </c>
      <c r="AD2866" s="19">
        <v>0</v>
      </c>
      <c r="AE2866" s="28"/>
      <c r="AF2866" s="28"/>
      <c r="AG2866" s="28"/>
      <c r="AH2866" s="28"/>
      <c r="AI2866" s="28"/>
      <c r="AJ2866" s="28">
        <v>1</v>
      </c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>
        <v>4</v>
      </c>
      <c r="BC2866" s="229">
        <f t="shared" si="1179"/>
        <v>0</v>
      </c>
      <c r="BD2866" s="48">
        <f t="shared" si="1180"/>
        <v>5</v>
      </c>
      <c r="BE2866" s="19">
        <v>1</v>
      </c>
      <c r="BF2866" s="229">
        <f t="shared" si="1181"/>
        <v>0</v>
      </c>
      <c r="BG2866" s="210">
        <f t="shared" si="1182"/>
        <v>5</v>
      </c>
      <c r="BH2866" s="210">
        <f t="shared" si="1183"/>
        <v>1</v>
      </c>
      <c r="BI2866" s="213">
        <f t="shared" si="1184"/>
        <v>500</v>
      </c>
      <c r="BJ2866" s="141"/>
      <c r="BK2866" s="201"/>
      <c r="BL2866" s="4"/>
      <c r="BM2866" s="4"/>
    </row>
    <row r="2867" spans="1:65" s="38" customFormat="1" ht="18" customHeight="1">
      <c r="A2867" s="114">
        <v>21</v>
      </c>
      <c r="B2867" s="24" t="s">
        <v>569</v>
      </c>
      <c r="C2867" s="25" t="s">
        <v>680</v>
      </c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229">
        <f t="shared" si="1177"/>
        <v>0</v>
      </c>
      <c r="AC2867" s="228">
        <f t="shared" si="1178"/>
        <v>0</v>
      </c>
      <c r="AD2867" s="19">
        <v>0</v>
      </c>
      <c r="AE2867" s="28"/>
      <c r="AF2867" s="28"/>
      <c r="AG2867" s="28"/>
      <c r="AH2867" s="28"/>
      <c r="AI2867" s="28"/>
      <c r="AJ2867" s="28">
        <v>4</v>
      </c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>
        <v>1</v>
      </c>
      <c r="AW2867" s="28"/>
      <c r="AX2867" s="28"/>
      <c r="AY2867" s="28"/>
      <c r="AZ2867" s="28"/>
      <c r="BA2867" s="28"/>
      <c r="BB2867" s="28"/>
      <c r="BC2867" s="229">
        <f t="shared" si="1179"/>
        <v>0</v>
      </c>
      <c r="BD2867" s="48">
        <f t="shared" si="1180"/>
        <v>5</v>
      </c>
      <c r="BE2867" s="19">
        <v>1</v>
      </c>
      <c r="BF2867" s="229">
        <f t="shared" si="1181"/>
        <v>0</v>
      </c>
      <c r="BG2867" s="210">
        <f t="shared" si="1182"/>
        <v>5</v>
      </c>
      <c r="BH2867" s="210">
        <f t="shared" si="1183"/>
        <v>1</v>
      </c>
      <c r="BI2867" s="213">
        <f t="shared" si="1184"/>
        <v>500</v>
      </c>
      <c r="BJ2867" s="141"/>
      <c r="BK2867" s="201"/>
      <c r="BL2867" s="4"/>
      <c r="BM2867" s="4"/>
    </row>
    <row r="2868" spans="1:65" s="38" customFormat="1" ht="18" customHeight="1">
      <c r="A2868" s="114">
        <v>22</v>
      </c>
      <c r="B2868" s="24" t="s">
        <v>571</v>
      </c>
      <c r="C2868" s="25" t="s">
        <v>572</v>
      </c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229">
        <f t="shared" si="1177"/>
        <v>0</v>
      </c>
      <c r="AC2868" s="228">
        <f t="shared" si="1178"/>
        <v>0</v>
      </c>
      <c r="AD2868" s="19">
        <v>0</v>
      </c>
      <c r="AE2868" s="28"/>
      <c r="AF2868" s="28"/>
      <c r="AG2868" s="28"/>
      <c r="AH2868" s="28"/>
      <c r="AI2868" s="28"/>
      <c r="AJ2868" s="28">
        <v>50</v>
      </c>
      <c r="AK2868" s="28"/>
      <c r="AL2868" s="28"/>
      <c r="AM2868" s="28"/>
      <c r="AN2868" s="28"/>
      <c r="AO2868" s="28"/>
      <c r="AP2868" s="28">
        <v>7</v>
      </c>
      <c r="AQ2868" s="28"/>
      <c r="AR2868" s="28"/>
      <c r="AS2868" s="28"/>
      <c r="AT2868" s="28"/>
      <c r="AU2868" s="28"/>
      <c r="AV2868" s="28">
        <v>6</v>
      </c>
      <c r="AW2868" s="28"/>
      <c r="AX2868" s="28"/>
      <c r="AY2868" s="28"/>
      <c r="AZ2868" s="28"/>
      <c r="BA2868" s="28"/>
      <c r="BB2868" s="28">
        <f>5</f>
        <v>5</v>
      </c>
      <c r="BC2868" s="229">
        <f t="shared" si="1179"/>
        <v>0</v>
      </c>
      <c r="BD2868" s="48">
        <f t="shared" si="1180"/>
        <v>68</v>
      </c>
      <c r="BE2868" s="19">
        <v>9</v>
      </c>
      <c r="BF2868" s="229">
        <f t="shared" si="1181"/>
        <v>0</v>
      </c>
      <c r="BG2868" s="210">
        <f t="shared" si="1182"/>
        <v>68</v>
      </c>
      <c r="BH2868" s="210">
        <f t="shared" si="1183"/>
        <v>9</v>
      </c>
      <c r="BI2868" s="213">
        <f t="shared" si="1184"/>
        <v>755.55555555555554</v>
      </c>
      <c r="BJ2868" s="141"/>
      <c r="BK2868" s="201"/>
      <c r="BL2868" s="4"/>
      <c r="BM2868" s="4"/>
    </row>
    <row r="2869" spans="1:65" s="38" customFormat="1" ht="18" customHeight="1">
      <c r="A2869" s="114">
        <v>23</v>
      </c>
      <c r="B2869" s="24" t="s">
        <v>573</v>
      </c>
      <c r="C2869" s="25" t="s">
        <v>574</v>
      </c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229">
        <f t="shared" si="1177"/>
        <v>0</v>
      </c>
      <c r="AC2869" s="228">
        <f t="shared" si="1178"/>
        <v>0</v>
      </c>
      <c r="AD2869" s="19">
        <v>0</v>
      </c>
      <c r="AE2869" s="28"/>
      <c r="AF2869" s="28"/>
      <c r="AG2869" s="28"/>
      <c r="AH2869" s="28"/>
      <c r="AI2869" s="28"/>
      <c r="AJ2869" s="28">
        <v>12</v>
      </c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29">
        <f t="shared" si="1179"/>
        <v>0</v>
      </c>
      <c r="BD2869" s="48">
        <f t="shared" si="1180"/>
        <v>12</v>
      </c>
      <c r="BE2869" s="19">
        <v>1</v>
      </c>
      <c r="BF2869" s="229">
        <f t="shared" si="1181"/>
        <v>0</v>
      </c>
      <c r="BG2869" s="210">
        <f t="shared" si="1182"/>
        <v>12</v>
      </c>
      <c r="BH2869" s="210">
        <f t="shared" si="1183"/>
        <v>1</v>
      </c>
      <c r="BI2869" s="213">
        <f t="shared" si="1184"/>
        <v>1200</v>
      </c>
      <c r="BJ2869" s="141"/>
      <c r="BK2869" s="201"/>
      <c r="BL2869" s="4"/>
      <c r="BM2869" s="4"/>
    </row>
    <row r="2870" spans="1:65" s="38" customFormat="1" ht="18" customHeight="1">
      <c r="A2870" s="114">
        <v>24</v>
      </c>
      <c r="B2870" s="24" t="s">
        <v>575</v>
      </c>
      <c r="C2870" s="27" t="s">
        <v>711</v>
      </c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229">
        <f t="shared" si="1177"/>
        <v>0</v>
      </c>
      <c r="AC2870" s="228">
        <f t="shared" si="1178"/>
        <v>0</v>
      </c>
      <c r="AD2870" s="19">
        <v>0</v>
      </c>
      <c r="AE2870" s="28"/>
      <c r="AF2870" s="28"/>
      <c r="AG2870" s="28"/>
      <c r="AH2870" s="28"/>
      <c r="AI2870" s="28"/>
      <c r="AJ2870" s="28">
        <v>7</v>
      </c>
      <c r="AK2870" s="28"/>
      <c r="AL2870" s="28"/>
      <c r="AM2870" s="28"/>
      <c r="AN2870" s="28"/>
      <c r="AO2870" s="28"/>
      <c r="AP2870" s="28">
        <v>3</v>
      </c>
      <c r="AQ2870" s="28"/>
      <c r="AR2870" s="28"/>
      <c r="AS2870" s="28"/>
      <c r="AT2870" s="28"/>
      <c r="AU2870" s="28"/>
      <c r="AV2870" s="28">
        <v>2</v>
      </c>
      <c r="AW2870" s="28"/>
      <c r="AX2870" s="28"/>
      <c r="AY2870" s="28"/>
      <c r="AZ2870" s="28"/>
      <c r="BA2870" s="28"/>
      <c r="BB2870" s="28">
        <v>1</v>
      </c>
      <c r="BC2870" s="229">
        <f t="shared" si="1179"/>
        <v>0</v>
      </c>
      <c r="BD2870" s="48">
        <f t="shared" si="1180"/>
        <v>13</v>
      </c>
      <c r="BE2870" s="19">
        <v>6</v>
      </c>
      <c r="BF2870" s="229">
        <f t="shared" si="1181"/>
        <v>0</v>
      </c>
      <c r="BG2870" s="210">
        <f t="shared" si="1182"/>
        <v>13</v>
      </c>
      <c r="BH2870" s="210">
        <f t="shared" si="1183"/>
        <v>6</v>
      </c>
      <c r="BI2870" s="213">
        <f t="shared" si="1184"/>
        <v>216.66666666666666</v>
      </c>
      <c r="BJ2870" s="141"/>
      <c r="BK2870" s="201"/>
      <c r="BL2870" s="4"/>
      <c r="BM2870" s="4"/>
    </row>
    <row r="2871" spans="1:65" s="38" customFormat="1" ht="18" customHeight="1">
      <c r="A2871" s="114">
        <v>25</v>
      </c>
      <c r="B2871" s="24" t="s">
        <v>578</v>
      </c>
      <c r="C2871" s="25" t="s">
        <v>1587</v>
      </c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229">
        <f t="shared" si="1177"/>
        <v>0</v>
      </c>
      <c r="AC2871" s="228">
        <f t="shared" si="1178"/>
        <v>0</v>
      </c>
      <c r="AD2871" s="19">
        <v>0</v>
      </c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29">
        <f t="shared" si="1179"/>
        <v>0</v>
      </c>
      <c r="BD2871" s="48">
        <f t="shared" si="1180"/>
        <v>0</v>
      </c>
      <c r="BE2871" s="19">
        <v>1</v>
      </c>
      <c r="BF2871" s="229">
        <f t="shared" si="1181"/>
        <v>0</v>
      </c>
      <c r="BG2871" s="210">
        <f t="shared" si="1182"/>
        <v>0</v>
      </c>
      <c r="BH2871" s="210">
        <f t="shared" si="1183"/>
        <v>1</v>
      </c>
      <c r="BI2871" s="213">
        <f t="shared" si="1184"/>
        <v>0</v>
      </c>
      <c r="BJ2871" s="141"/>
      <c r="BK2871" s="201"/>
      <c r="BL2871" s="4"/>
      <c r="BM2871" s="4"/>
    </row>
    <row r="2872" spans="1:65" s="38" customFormat="1" ht="18" customHeight="1">
      <c r="A2872" s="114">
        <v>26</v>
      </c>
      <c r="B2872" s="24" t="s">
        <v>579</v>
      </c>
      <c r="C2872" s="25" t="s">
        <v>580</v>
      </c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229">
        <f t="shared" si="1177"/>
        <v>0</v>
      </c>
      <c r="AC2872" s="228">
        <f t="shared" si="1178"/>
        <v>0</v>
      </c>
      <c r="AD2872" s="19">
        <v>0</v>
      </c>
      <c r="AE2872" s="28"/>
      <c r="AF2872" s="28"/>
      <c r="AG2872" s="28"/>
      <c r="AH2872" s="28"/>
      <c r="AI2872" s="28"/>
      <c r="AJ2872" s="28">
        <v>16</v>
      </c>
      <c r="AK2872" s="28"/>
      <c r="AL2872" s="28"/>
      <c r="AM2872" s="28"/>
      <c r="AN2872" s="28"/>
      <c r="AO2872" s="28"/>
      <c r="AP2872" s="28">
        <v>2</v>
      </c>
      <c r="AQ2872" s="28"/>
      <c r="AR2872" s="28"/>
      <c r="AS2872" s="28"/>
      <c r="AT2872" s="28"/>
      <c r="AU2872" s="28"/>
      <c r="AV2872" s="28">
        <v>3</v>
      </c>
      <c r="AW2872" s="28"/>
      <c r="AX2872" s="28"/>
      <c r="AY2872" s="28"/>
      <c r="AZ2872" s="28"/>
      <c r="BA2872" s="28"/>
      <c r="BB2872" s="28">
        <v>1</v>
      </c>
      <c r="BC2872" s="229">
        <f t="shared" si="1179"/>
        <v>0</v>
      </c>
      <c r="BD2872" s="48">
        <f t="shared" si="1180"/>
        <v>22</v>
      </c>
      <c r="BE2872" s="19">
        <v>0</v>
      </c>
      <c r="BF2872" s="229">
        <f t="shared" si="1181"/>
        <v>0</v>
      </c>
      <c r="BG2872" s="210">
        <f t="shared" si="1182"/>
        <v>22</v>
      </c>
      <c r="BH2872" s="210">
        <f t="shared" si="1183"/>
        <v>0</v>
      </c>
      <c r="BI2872" s="213" t="e">
        <f t="shared" si="1184"/>
        <v>#DIV/0!</v>
      </c>
      <c r="BJ2872" s="141"/>
      <c r="BK2872" s="201"/>
      <c r="BL2872" s="4"/>
      <c r="BM2872" s="4"/>
    </row>
    <row r="2873" spans="1:65" s="38" customFormat="1" ht="18" customHeight="1">
      <c r="A2873" s="114">
        <v>27</v>
      </c>
      <c r="B2873" s="24" t="s">
        <v>582</v>
      </c>
      <c r="C2873" s="25" t="s">
        <v>583</v>
      </c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229">
        <f t="shared" si="1177"/>
        <v>0</v>
      </c>
      <c r="AC2873" s="228">
        <f t="shared" si="1178"/>
        <v>0</v>
      </c>
      <c r="AD2873" s="19">
        <v>0</v>
      </c>
      <c r="AE2873" s="28"/>
      <c r="AF2873" s="28"/>
      <c r="AG2873" s="28"/>
      <c r="AH2873" s="28"/>
      <c r="AI2873" s="28"/>
      <c r="AJ2873" s="28">
        <v>5</v>
      </c>
      <c r="AK2873" s="28"/>
      <c r="AL2873" s="28"/>
      <c r="AM2873" s="28"/>
      <c r="AN2873" s="28"/>
      <c r="AO2873" s="28"/>
      <c r="AP2873" s="28">
        <v>1</v>
      </c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29">
        <f t="shared" si="1179"/>
        <v>0</v>
      </c>
      <c r="BD2873" s="48">
        <f t="shared" si="1180"/>
        <v>6</v>
      </c>
      <c r="BE2873" s="19">
        <v>1</v>
      </c>
      <c r="BF2873" s="229">
        <f t="shared" si="1181"/>
        <v>0</v>
      </c>
      <c r="BG2873" s="210">
        <f t="shared" si="1182"/>
        <v>6</v>
      </c>
      <c r="BH2873" s="210">
        <f t="shared" si="1183"/>
        <v>1</v>
      </c>
      <c r="BI2873" s="213">
        <f t="shared" si="1184"/>
        <v>600</v>
      </c>
      <c r="BJ2873" s="141"/>
      <c r="BK2873" s="201"/>
      <c r="BL2873" s="4"/>
      <c r="BM2873" s="4"/>
    </row>
    <row r="2874" spans="1:65" s="38" customFormat="1" ht="18" customHeight="1">
      <c r="A2874" s="114">
        <v>28</v>
      </c>
      <c r="B2874" s="24" t="s">
        <v>584</v>
      </c>
      <c r="C2874" s="25" t="s">
        <v>2603</v>
      </c>
      <c r="D2874" s="209"/>
      <c r="E2874" s="209"/>
      <c r="F2874" s="209"/>
      <c r="G2874" s="209"/>
      <c r="H2874" s="209"/>
      <c r="I2874" s="209"/>
      <c r="J2874" s="209"/>
      <c r="K2874" s="209"/>
      <c r="L2874" s="209"/>
      <c r="M2874" s="209"/>
      <c r="N2874" s="209"/>
      <c r="O2874" s="209"/>
      <c r="P2874" s="209"/>
      <c r="Q2874" s="209"/>
      <c r="R2874" s="209"/>
      <c r="S2874" s="209"/>
      <c r="T2874" s="209"/>
      <c r="U2874" s="209"/>
      <c r="V2874" s="227"/>
      <c r="W2874" s="227"/>
      <c r="X2874" s="227"/>
      <c r="Y2874" s="227"/>
      <c r="Z2874" s="209"/>
      <c r="AA2874" s="209"/>
      <c r="AB2874" s="229">
        <f t="shared" si="1177"/>
        <v>0</v>
      </c>
      <c r="AC2874" s="228">
        <f t="shared" si="1178"/>
        <v>0</v>
      </c>
      <c r="AD2874" s="19">
        <v>0</v>
      </c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29">
        <f t="shared" si="1179"/>
        <v>0</v>
      </c>
      <c r="BD2874" s="48">
        <f t="shared" si="1180"/>
        <v>0</v>
      </c>
      <c r="BE2874" s="19">
        <v>8</v>
      </c>
      <c r="BF2874" s="229">
        <f t="shared" si="1181"/>
        <v>0</v>
      </c>
      <c r="BG2874" s="210">
        <f t="shared" si="1182"/>
        <v>0</v>
      </c>
      <c r="BH2874" s="210">
        <f t="shared" si="1183"/>
        <v>8</v>
      </c>
      <c r="BI2874" s="213">
        <f t="shared" si="1184"/>
        <v>0</v>
      </c>
      <c r="BJ2874" s="141"/>
      <c r="BK2874" s="201"/>
      <c r="BL2874" s="4"/>
      <c r="BM2874" s="4"/>
    </row>
    <row r="2875" spans="1:65" s="38" customFormat="1" ht="18" customHeight="1">
      <c r="A2875" s="114">
        <v>29</v>
      </c>
      <c r="B2875" s="24" t="s">
        <v>585</v>
      </c>
      <c r="C2875" s="25" t="s">
        <v>586</v>
      </c>
      <c r="D2875" s="121"/>
      <c r="E2875" s="121"/>
      <c r="F2875" s="121"/>
      <c r="G2875" s="121"/>
      <c r="H2875" s="121"/>
      <c r="I2875" s="121">
        <f>18+172</f>
        <v>190</v>
      </c>
      <c r="J2875" s="121"/>
      <c r="K2875" s="121"/>
      <c r="L2875" s="121"/>
      <c r="M2875" s="121"/>
      <c r="N2875" s="121"/>
      <c r="O2875" s="121">
        <f>2+12+210</f>
        <v>224</v>
      </c>
      <c r="P2875" s="121"/>
      <c r="Q2875" s="121"/>
      <c r="R2875" s="121"/>
      <c r="S2875" s="121"/>
      <c r="T2875" s="121"/>
      <c r="U2875" s="121">
        <f>3+9+288</f>
        <v>300</v>
      </c>
      <c r="V2875" s="121"/>
      <c r="W2875" s="121"/>
      <c r="X2875" s="121"/>
      <c r="Y2875" s="121"/>
      <c r="Z2875" s="121"/>
      <c r="AA2875" s="121">
        <f>1+25+493</f>
        <v>519</v>
      </c>
      <c r="AB2875" s="229">
        <f t="shared" si="1177"/>
        <v>0</v>
      </c>
      <c r="AC2875" s="228">
        <f t="shared" si="1178"/>
        <v>1233</v>
      </c>
      <c r="AD2875" s="19">
        <v>1198</v>
      </c>
      <c r="AE2875" s="28"/>
      <c r="AF2875" s="28"/>
      <c r="AG2875" s="28"/>
      <c r="AH2875" s="28"/>
      <c r="AI2875" s="28"/>
      <c r="AJ2875" s="28">
        <f>69+89+69</f>
        <v>227</v>
      </c>
      <c r="AK2875" s="28"/>
      <c r="AL2875" s="28"/>
      <c r="AM2875" s="28"/>
      <c r="AN2875" s="28"/>
      <c r="AO2875" s="28"/>
      <c r="AP2875" s="28">
        <f>80+14+87+12</f>
        <v>193</v>
      </c>
      <c r="AQ2875" s="28"/>
      <c r="AR2875" s="28"/>
      <c r="AS2875" s="28"/>
      <c r="AT2875" s="28"/>
      <c r="AU2875" s="28"/>
      <c r="AV2875" s="28">
        <f>51+77+1+8</f>
        <v>137</v>
      </c>
      <c r="AW2875" s="28"/>
      <c r="AX2875" s="28"/>
      <c r="AY2875" s="28"/>
      <c r="AZ2875" s="28"/>
      <c r="BA2875" s="28"/>
      <c r="BB2875" s="28">
        <f>142+65+79+6</f>
        <v>292</v>
      </c>
      <c r="BC2875" s="229">
        <f t="shared" si="1179"/>
        <v>0</v>
      </c>
      <c r="BD2875" s="48">
        <f t="shared" si="1180"/>
        <v>849</v>
      </c>
      <c r="BE2875" s="19">
        <v>798</v>
      </c>
      <c r="BF2875" s="229">
        <f t="shared" si="1181"/>
        <v>0</v>
      </c>
      <c r="BG2875" s="210">
        <f t="shared" si="1182"/>
        <v>2082</v>
      </c>
      <c r="BH2875" s="210">
        <f t="shared" si="1183"/>
        <v>1996</v>
      </c>
      <c r="BI2875" s="213">
        <f t="shared" si="1184"/>
        <v>104.30861723446894</v>
      </c>
      <c r="BJ2875" s="141"/>
      <c r="BK2875" s="201"/>
      <c r="BL2875" s="4"/>
      <c r="BM2875" s="4"/>
    </row>
    <row r="2876" spans="1:65" s="38" customFormat="1" ht="18" customHeight="1">
      <c r="A2876" s="114">
        <v>30</v>
      </c>
      <c r="B2876" s="24" t="s">
        <v>1601</v>
      </c>
      <c r="C2876" s="25" t="s">
        <v>1602</v>
      </c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229">
        <f t="shared" si="1177"/>
        <v>0</v>
      </c>
      <c r="AC2876" s="228">
        <f t="shared" si="1178"/>
        <v>0</v>
      </c>
      <c r="AD2876" s="19">
        <v>0</v>
      </c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29">
        <f t="shared" si="1179"/>
        <v>0</v>
      </c>
      <c r="BD2876" s="48">
        <f t="shared" si="1180"/>
        <v>0</v>
      </c>
      <c r="BE2876" s="19">
        <v>1</v>
      </c>
      <c r="BF2876" s="229">
        <f t="shared" si="1181"/>
        <v>0</v>
      </c>
      <c r="BG2876" s="210">
        <f t="shared" si="1182"/>
        <v>0</v>
      </c>
      <c r="BH2876" s="210">
        <f t="shared" si="1183"/>
        <v>1</v>
      </c>
      <c r="BI2876" s="213">
        <f t="shared" si="1184"/>
        <v>0</v>
      </c>
      <c r="BJ2876" s="141"/>
      <c r="BK2876" s="201"/>
      <c r="BL2876" s="4"/>
      <c r="BM2876" s="4"/>
    </row>
    <row r="2877" spans="1:65" s="38" customFormat="1" ht="18" customHeight="1">
      <c r="A2877" s="114">
        <v>31</v>
      </c>
      <c r="B2877" s="24" t="s">
        <v>826</v>
      </c>
      <c r="C2877" s="25" t="s">
        <v>827</v>
      </c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229">
        <f t="shared" si="1177"/>
        <v>0</v>
      </c>
      <c r="AC2877" s="228">
        <f t="shared" si="1178"/>
        <v>0</v>
      </c>
      <c r="AD2877" s="19">
        <v>0</v>
      </c>
      <c r="AE2877" s="28"/>
      <c r="AF2877" s="28"/>
      <c r="AG2877" s="28"/>
      <c r="AH2877" s="28"/>
      <c r="AI2877" s="28"/>
      <c r="AJ2877" s="28">
        <v>2</v>
      </c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29">
        <f t="shared" si="1179"/>
        <v>0</v>
      </c>
      <c r="BD2877" s="48">
        <f t="shared" si="1180"/>
        <v>2</v>
      </c>
      <c r="BE2877" s="19">
        <v>1</v>
      </c>
      <c r="BF2877" s="229">
        <f t="shared" si="1181"/>
        <v>0</v>
      </c>
      <c r="BG2877" s="210">
        <f t="shared" si="1182"/>
        <v>2</v>
      </c>
      <c r="BH2877" s="210">
        <f t="shared" si="1183"/>
        <v>1</v>
      </c>
      <c r="BI2877" s="213">
        <f t="shared" si="1184"/>
        <v>200</v>
      </c>
      <c r="BJ2877" s="141"/>
      <c r="BK2877" s="201"/>
      <c r="BL2877" s="4"/>
      <c r="BM2877" s="4"/>
    </row>
    <row r="2878" spans="1:65" s="38" customFormat="1" ht="18" customHeight="1">
      <c r="A2878" s="114">
        <v>32</v>
      </c>
      <c r="B2878" s="24" t="s">
        <v>596</v>
      </c>
      <c r="C2878" s="25" t="s">
        <v>597</v>
      </c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229">
        <f t="shared" si="1177"/>
        <v>0</v>
      </c>
      <c r="AC2878" s="228">
        <f t="shared" si="1178"/>
        <v>0</v>
      </c>
      <c r="AD2878" s="19">
        <v>0</v>
      </c>
      <c r="AE2878" s="28"/>
      <c r="AF2878" s="28"/>
      <c r="AG2878" s="28"/>
      <c r="AH2878" s="28"/>
      <c r="AI2878" s="28"/>
      <c r="AJ2878" s="28">
        <f>2+5</f>
        <v>7</v>
      </c>
      <c r="AK2878" s="28"/>
      <c r="AL2878" s="28"/>
      <c r="AM2878" s="28"/>
      <c r="AN2878" s="28"/>
      <c r="AO2878" s="28"/>
      <c r="AP2878" s="28">
        <f>1+3</f>
        <v>4</v>
      </c>
      <c r="AQ2878" s="28"/>
      <c r="AR2878" s="28"/>
      <c r="AS2878" s="28"/>
      <c r="AT2878" s="28"/>
      <c r="AU2878" s="28"/>
      <c r="AV2878" s="28">
        <v>1</v>
      </c>
      <c r="AW2878" s="28"/>
      <c r="AX2878" s="28"/>
      <c r="AY2878" s="28"/>
      <c r="AZ2878" s="28"/>
      <c r="BA2878" s="28"/>
      <c r="BB2878" s="28">
        <f>2+1</f>
        <v>3</v>
      </c>
      <c r="BC2878" s="229">
        <f t="shared" si="1179"/>
        <v>0</v>
      </c>
      <c r="BD2878" s="48">
        <f t="shared" si="1180"/>
        <v>15</v>
      </c>
      <c r="BE2878" s="19">
        <v>15</v>
      </c>
      <c r="BF2878" s="229">
        <f t="shared" si="1181"/>
        <v>0</v>
      </c>
      <c r="BG2878" s="210">
        <f t="shared" si="1182"/>
        <v>15</v>
      </c>
      <c r="BH2878" s="210">
        <f t="shared" si="1183"/>
        <v>15</v>
      </c>
      <c r="BI2878" s="213">
        <f t="shared" si="1184"/>
        <v>100</v>
      </c>
      <c r="BJ2878" s="141"/>
      <c r="BK2878" s="201"/>
      <c r="BL2878" s="4"/>
      <c r="BM2878" s="4"/>
    </row>
    <row r="2879" spans="1:65" s="38" customFormat="1" ht="18" customHeight="1">
      <c r="A2879" s="114">
        <v>33</v>
      </c>
      <c r="B2879" s="24" t="s">
        <v>2145</v>
      </c>
      <c r="C2879" s="25" t="s">
        <v>2146</v>
      </c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229">
        <f t="shared" si="1177"/>
        <v>0</v>
      </c>
      <c r="AC2879" s="228">
        <f t="shared" si="1178"/>
        <v>0</v>
      </c>
      <c r="AD2879" s="21">
        <v>0</v>
      </c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29">
        <f t="shared" si="1179"/>
        <v>0</v>
      </c>
      <c r="BD2879" s="48">
        <f t="shared" si="1180"/>
        <v>0</v>
      </c>
      <c r="BE2879" s="19">
        <v>2</v>
      </c>
      <c r="BF2879" s="229">
        <f t="shared" si="1181"/>
        <v>0</v>
      </c>
      <c r="BG2879" s="210">
        <f t="shared" si="1182"/>
        <v>0</v>
      </c>
      <c r="BH2879" s="210">
        <f t="shared" si="1183"/>
        <v>2</v>
      </c>
      <c r="BI2879" s="213">
        <f t="shared" ref="BI2879:BI2910" si="1188">BG2879/BH2879*100</f>
        <v>0</v>
      </c>
      <c r="BJ2879" s="141"/>
      <c r="BK2879" s="201"/>
      <c r="BL2879" s="4"/>
      <c r="BM2879" s="4"/>
    </row>
    <row r="2880" spans="1:65" s="38" customFormat="1" ht="18" customHeight="1">
      <c r="A2880" s="114">
        <v>34</v>
      </c>
      <c r="B2880" s="24" t="s">
        <v>1102</v>
      </c>
      <c r="C2880" s="25" t="s">
        <v>2613</v>
      </c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229"/>
      <c r="AC2880" s="228">
        <f t="shared" ref="AC2880:AC2911" si="1189">E2880+G2880+I2880+K2880+M2880+O2880+Q2880+S2880+U2880+W2880+Y2880+AA2880</f>
        <v>0</v>
      </c>
      <c r="AD2880" s="21">
        <v>0</v>
      </c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>
        <v>1</v>
      </c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29"/>
      <c r="BD2880" s="48">
        <f t="shared" ref="BD2880:BD2911" si="1190">AF2880+AH2880+AJ2880+AL2880+AN2880+AP2880+AR2880+AT2880+AV2880+AX2880+AZ2880+BB2880</f>
        <v>1</v>
      </c>
      <c r="BE2880" s="19">
        <v>0</v>
      </c>
      <c r="BF2880" s="229"/>
      <c r="BG2880" s="210">
        <f t="shared" ref="BG2880:BG2911" si="1191">AC2880+BD2880</f>
        <v>1</v>
      </c>
      <c r="BH2880" s="210">
        <f t="shared" ref="BH2880:BH2911" si="1192">AD2880+BE2880</f>
        <v>0</v>
      </c>
      <c r="BI2880" s="213" t="e">
        <f t="shared" si="1188"/>
        <v>#DIV/0!</v>
      </c>
      <c r="BJ2880" s="141"/>
      <c r="BK2880" s="201"/>
      <c r="BL2880" s="4"/>
      <c r="BM2880" s="4"/>
    </row>
    <row r="2881" spans="1:65" s="38" customFormat="1" ht="18" customHeight="1">
      <c r="A2881" s="114">
        <v>35</v>
      </c>
      <c r="B2881" s="24" t="s">
        <v>1107</v>
      </c>
      <c r="C2881" s="25" t="s">
        <v>1188</v>
      </c>
      <c r="D2881" s="121"/>
      <c r="E2881" s="121"/>
      <c r="F2881" s="121"/>
      <c r="G2881" s="121"/>
      <c r="H2881" s="121"/>
      <c r="I2881" s="121">
        <f>123+4</f>
        <v>127</v>
      </c>
      <c r="J2881" s="121"/>
      <c r="K2881" s="121"/>
      <c r="L2881" s="121"/>
      <c r="M2881" s="121"/>
      <c r="N2881" s="121"/>
      <c r="O2881" s="121">
        <f>213+2</f>
        <v>215</v>
      </c>
      <c r="P2881" s="121"/>
      <c r="Q2881" s="121"/>
      <c r="R2881" s="121"/>
      <c r="S2881" s="121"/>
      <c r="T2881" s="121"/>
      <c r="U2881" s="121">
        <v>285</v>
      </c>
      <c r="V2881" s="121"/>
      <c r="W2881" s="121"/>
      <c r="X2881" s="121"/>
      <c r="Y2881" s="121"/>
      <c r="Z2881" s="121"/>
      <c r="AA2881" s="121">
        <f>203+3</f>
        <v>206</v>
      </c>
      <c r="AB2881" s="229">
        <f t="shared" ref="AB2881:AB2895" si="1193">D2881+F2881+H2881+J2881+L2881+N2881+P2881+R2881+T2881+V2881+X2881+Z2881</f>
        <v>0</v>
      </c>
      <c r="AC2881" s="228">
        <f t="shared" si="1189"/>
        <v>833</v>
      </c>
      <c r="AD2881" s="19">
        <v>402</v>
      </c>
      <c r="AE2881" s="28"/>
      <c r="AF2881" s="28"/>
      <c r="AG2881" s="28"/>
      <c r="AH2881" s="28"/>
      <c r="AI2881" s="28"/>
      <c r="AJ2881" s="28">
        <v>30</v>
      </c>
      <c r="AK2881" s="28"/>
      <c r="AL2881" s="28"/>
      <c r="AM2881" s="28"/>
      <c r="AN2881" s="28"/>
      <c r="AO2881" s="28"/>
      <c r="AP2881" s="28">
        <f>26+2+2</f>
        <v>30</v>
      </c>
      <c r="AQ2881" s="28"/>
      <c r="AR2881" s="28"/>
      <c r="AS2881" s="28"/>
      <c r="AT2881" s="28"/>
      <c r="AU2881" s="28"/>
      <c r="AV2881" s="28">
        <f>1+31+2</f>
        <v>34</v>
      </c>
      <c r="AW2881" s="28"/>
      <c r="AX2881" s="28"/>
      <c r="AY2881" s="28"/>
      <c r="AZ2881" s="28"/>
      <c r="BA2881" s="28"/>
      <c r="BB2881" s="28">
        <f>16+2</f>
        <v>18</v>
      </c>
      <c r="BC2881" s="229">
        <f t="shared" ref="BC2881:BC2895" si="1194">AE2881+AG2881+AI2881+AK2881+AM2881+AO2881+AQ2881+AS2881+AU2881+AW2881+AY2881+BA2881</f>
        <v>0</v>
      </c>
      <c r="BD2881" s="48">
        <f t="shared" si="1190"/>
        <v>112</v>
      </c>
      <c r="BE2881" s="19">
        <v>42</v>
      </c>
      <c r="BF2881" s="229">
        <f t="shared" ref="BF2881:BF2895" si="1195">AB2881+BC2881</f>
        <v>0</v>
      </c>
      <c r="BG2881" s="210">
        <f t="shared" si="1191"/>
        <v>945</v>
      </c>
      <c r="BH2881" s="210">
        <f t="shared" si="1192"/>
        <v>444</v>
      </c>
      <c r="BI2881" s="213">
        <f t="shared" si="1188"/>
        <v>212.83783783783784</v>
      </c>
      <c r="BJ2881" s="141"/>
      <c r="BK2881" s="201"/>
      <c r="BL2881" s="4"/>
      <c r="BM2881" s="4"/>
    </row>
    <row r="2882" spans="1:65" s="38" customFormat="1" ht="18" customHeight="1">
      <c r="A2882" s="114">
        <v>36</v>
      </c>
      <c r="B2882" s="24" t="s">
        <v>794</v>
      </c>
      <c r="C2882" s="25" t="s">
        <v>1108</v>
      </c>
      <c r="D2882" s="121"/>
      <c r="E2882" s="121"/>
      <c r="F2882" s="121"/>
      <c r="G2882" s="121"/>
      <c r="H2882" s="121"/>
      <c r="I2882" s="121">
        <v>129</v>
      </c>
      <c r="J2882" s="121"/>
      <c r="K2882" s="121"/>
      <c r="L2882" s="121"/>
      <c r="M2882" s="121"/>
      <c r="N2882" s="121"/>
      <c r="O2882" s="121">
        <v>182</v>
      </c>
      <c r="P2882" s="121"/>
      <c r="Q2882" s="121"/>
      <c r="R2882" s="121"/>
      <c r="S2882" s="121"/>
      <c r="T2882" s="121"/>
      <c r="U2882" s="121">
        <f>212+3</f>
        <v>215</v>
      </c>
      <c r="V2882" s="121"/>
      <c r="W2882" s="121"/>
      <c r="X2882" s="121"/>
      <c r="Y2882" s="121"/>
      <c r="Z2882" s="121"/>
      <c r="AA2882" s="121">
        <v>120</v>
      </c>
      <c r="AB2882" s="229">
        <f t="shared" si="1193"/>
        <v>0</v>
      </c>
      <c r="AC2882" s="228">
        <f t="shared" si="1189"/>
        <v>646</v>
      </c>
      <c r="AD2882" s="19">
        <v>828</v>
      </c>
      <c r="AE2882" s="28"/>
      <c r="AF2882" s="28"/>
      <c r="AG2882" s="28"/>
      <c r="AH2882" s="28"/>
      <c r="AI2882" s="28"/>
      <c r="AJ2882" s="28">
        <f>5+1</f>
        <v>6</v>
      </c>
      <c r="AK2882" s="28"/>
      <c r="AL2882" s="28"/>
      <c r="AM2882" s="28"/>
      <c r="AN2882" s="28"/>
      <c r="AO2882" s="28"/>
      <c r="AP2882" s="28">
        <v>11</v>
      </c>
      <c r="AQ2882" s="28"/>
      <c r="AR2882" s="28"/>
      <c r="AS2882" s="28"/>
      <c r="AT2882" s="28"/>
      <c r="AU2882" s="28"/>
      <c r="AV2882" s="28">
        <f>10+4</f>
        <v>14</v>
      </c>
      <c r="AW2882" s="28"/>
      <c r="AX2882" s="28"/>
      <c r="AY2882" s="28"/>
      <c r="AZ2882" s="28"/>
      <c r="BA2882" s="28"/>
      <c r="BB2882" s="28">
        <v>4</v>
      </c>
      <c r="BC2882" s="229">
        <f t="shared" si="1194"/>
        <v>0</v>
      </c>
      <c r="BD2882" s="48">
        <f t="shared" si="1190"/>
        <v>35</v>
      </c>
      <c r="BE2882" s="19">
        <v>8</v>
      </c>
      <c r="BF2882" s="229">
        <f t="shared" si="1195"/>
        <v>0</v>
      </c>
      <c r="BG2882" s="210">
        <f t="shared" si="1191"/>
        <v>681</v>
      </c>
      <c r="BH2882" s="210">
        <f t="shared" si="1192"/>
        <v>836</v>
      </c>
      <c r="BI2882" s="213">
        <f t="shared" si="1188"/>
        <v>81.459330143540669</v>
      </c>
      <c r="BJ2882" s="141"/>
      <c r="BK2882" s="201"/>
      <c r="BL2882" s="4"/>
      <c r="BM2882" s="4"/>
    </row>
    <row r="2883" spans="1:65" s="38" customFormat="1" ht="18" customHeight="1">
      <c r="A2883" s="114">
        <v>37</v>
      </c>
      <c r="B2883" s="24" t="s">
        <v>1109</v>
      </c>
      <c r="C2883" s="25" t="s">
        <v>1741</v>
      </c>
      <c r="D2883" s="121"/>
      <c r="E2883" s="121"/>
      <c r="F2883" s="121"/>
      <c r="G2883" s="121"/>
      <c r="H2883" s="121"/>
      <c r="I2883" s="121">
        <v>3</v>
      </c>
      <c r="J2883" s="121"/>
      <c r="K2883" s="121"/>
      <c r="L2883" s="121"/>
      <c r="M2883" s="121"/>
      <c r="N2883" s="121"/>
      <c r="O2883" s="121">
        <v>2</v>
      </c>
      <c r="P2883" s="121"/>
      <c r="Q2883" s="121"/>
      <c r="R2883" s="121"/>
      <c r="S2883" s="121"/>
      <c r="T2883" s="121"/>
      <c r="U2883" s="121">
        <v>4</v>
      </c>
      <c r="V2883" s="121"/>
      <c r="W2883" s="121"/>
      <c r="X2883" s="121"/>
      <c r="Y2883" s="121"/>
      <c r="Z2883" s="121"/>
      <c r="AA2883" s="121">
        <v>3</v>
      </c>
      <c r="AB2883" s="229">
        <f t="shared" si="1193"/>
        <v>0</v>
      </c>
      <c r="AC2883" s="228">
        <f t="shared" si="1189"/>
        <v>12</v>
      </c>
      <c r="AD2883" s="19">
        <v>95</v>
      </c>
      <c r="AE2883" s="28"/>
      <c r="AF2883" s="28"/>
      <c r="AG2883" s="28"/>
      <c r="AH2883" s="28"/>
      <c r="AI2883" s="28"/>
      <c r="AJ2883" s="28">
        <v>29</v>
      </c>
      <c r="AK2883" s="28"/>
      <c r="AL2883" s="28"/>
      <c r="AM2883" s="28"/>
      <c r="AN2883" s="28"/>
      <c r="AO2883" s="28"/>
      <c r="AP2883" s="28">
        <f>31+3</f>
        <v>34</v>
      </c>
      <c r="AQ2883" s="28"/>
      <c r="AR2883" s="28"/>
      <c r="AS2883" s="28"/>
      <c r="AT2883" s="28"/>
      <c r="AU2883" s="28"/>
      <c r="AV2883" s="28">
        <v>43</v>
      </c>
      <c r="AW2883" s="28"/>
      <c r="AX2883" s="28"/>
      <c r="AY2883" s="28"/>
      <c r="AZ2883" s="28"/>
      <c r="BA2883" s="28"/>
      <c r="BB2883" s="28">
        <v>19</v>
      </c>
      <c r="BC2883" s="229">
        <f t="shared" si="1194"/>
        <v>0</v>
      </c>
      <c r="BD2883" s="48">
        <f t="shared" si="1190"/>
        <v>125</v>
      </c>
      <c r="BE2883" s="19">
        <v>46</v>
      </c>
      <c r="BF2883" s="229">
        <f t="shared" si="1195"/>
        <v>0</v>
      </c>
      <c r="BG2883" s="210">
        <f t="shared" si="1191"/>
        <v>137</v>
      </c>
      <c r="BH2883" s="210">
        <f t="shared" si="1192"/>
        <v>141</v>
      </c>
      <c r="BI2883" s="213">
        <f t="shared" si="1188"/>
        <v>97.163120567375884</v>
      </c>
      <c r="BJ2883" s="141"/>
      <c r="BK2883" s="201"/>
      <c r="BL2883" s="4"/>
      <c r="BM2883" s="4"/>
    </row>
    <row r="2884" spans="1:65" s="38" customFormat="1" ht="18" customHeight="1">
      <c r="A2884" s="114">
        <v>38</v>
      </c>
      <c r="B2884" s="24" t="s">
        <v>759</v>
      </c>
      <c r="C2884" s="25" t="s">
        <v>760</v>
      </c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>
        <v>1</v>
      </c>
      <c r="AB2884" s="229">
        <f t="shared" si="1193"/>
        <v>0</v>
      </c>
      <c r="AC2884" s="228">
        <f t="shared" si="1189"/>
        <v>1</v>
      </c>
      <c r="AD2884" s="19">
        <v>54</v>
      </c>
      <c r="AE2884" s="28"/>
      <c r="AF2884" s="28"/>
      <c r="AG2884" s="28"/>
      <c r="AH2884" s="28"/>
      <c r="AI2884" s="28"/>
      <c r="AJ2884" s="28">
        <v>4</v>
      </c>
      <c r="AK2884" s="28"/>
      <c r="AL2884" s="28"/>
      <c r="AM2884" s="28"/>
      <c r="AN2884" s="28"/>
      <c r="AO2884" s="28"/>
      <c r="AP2884" s="28">
        <v>13</v>
      </c>
      <c r="AQ2884" s="28"/>
      <c r="AR2884" s="28"/>
      <c r="AS2884" s="28"/>
      <c r="AT2884" s="28"/>
      <c r="AU2884" s="28"/>
      <c r="AV2884" s="28">
        <f>14+3</f>
        <v>17</v>
      </c>
      <c r="AW2884" s="28"/>
      <c r="AX2884" s="28"/>
      <c r="AY2884" s="28"/>
      <c r="AZ2884" s="28"/>
      <c r="BA2884" s="28"/>
      <c r="BB2884" s="28">
        <v>8</v>
      </c>
      <c r="BC2884" s="229">
        <f t="shared" si="1194"/>
        <v>0</v>
      </c>
      <c r="BD2884" s="48">
        <f t="shared" si="1190"/>
        <v>42</v>
      </c>
      <c r="BE2884" s="19">
        <v>8</v>
      </c>
      <c r="BF2884" s="229">
        <f t="shared" si="1195"/>
        <v>0</v>
      </c>
      <c r="BG2884" s="210">
        <f t="shared" si="1191"/>
        <v>43</v>
      </c>
      <c r="BH2884" s="210">
        <f t="shared" si="1192"/>
        <v>62</v>
      </c>
      <c r="BI2884" s="213">
        <f t="shared" si="1188"/>
        <v>69.354838709677423</v>
      </c>
      <c r="BJ2884" s="141"/>
      <c r="BK2884" s="201"/>
      <c r="BL2884" s="4"/>
      <c r="BM2884" s="4"/>
    </row>
    <row r="2885" spans="1:65" s="38" customFormat="1" ht="18" customHeight="1">
      <c r="A2885" s="114">
        <v>39</v>
      </c>
      <c r="B2885" s="24" t="s">
        <v>761</v>
      </c>
      <c r="C2885" s="25" t="s">
        <v>762</v>
      </c>
      <c r="D2885" s="121"/>
      <c r="E2885" s="121"/>
      <c r="F2885" s="121"/>
      <c r="G2885" s="121"/>
      <c r="H2885" s="121"/>
      <c r="I2885" s="121">
        <f>758+46</f>
        <v>804</v>
      </c>
      <c r="J2885" s="121"/>
      <c r="K2885" s="121"/>
      <c r="L2885" s="121"/>
      <c r="M2885" s="121"/>
      <c r="N2885" s="121"/>
      <c r="O2885" s="121">
        <f>750+2+56</f>
        <v>808</v>
      </c>
      <c r="P2885" s="121"/>
      <c r="Q2885" s="121"/>
      <c r="R2885" s="121"/>
      <c r="S2885" s="121"/>
      <c r="T2885" s="121"/>
      <c r="U2885" s="121">
        <f>646+12+2+43</f>
        <v>703</v>
      </c>
      <c r="V2885" s="121"/>
      <c r="W2885" s="121"/>
      <c r="X2885" s="121"/>
      <c r="Y2885" s="121"/>
      <c r="Z2885" s="121"/>
      <c r="AA2885" s="121">
        <f>834+26+3+60</f>
        <v>923</v>
      </c>
      <c r="AB2885" s="229">
        <f t="shared" si="1193"/>
        <v>0</v>
      </c>
      <c r="AC2885" s="228">
        <f t="shared" si="1189"/>
        <v>3238</v>
      </c>
      <c r="AD2885" s="19">
        <v>2428</v>
      </c>
      <c r="AE2885" s="28"/>
      <c r="AF2885" s="28"/>
      <c r="AG2885" s="28"/>
      <c r="AH2885" s="28"/>
      <c r="AI2885" s="28"/>
      <c r="AJ2885" s="28">
        <f>57+1+2</f>
        <v>60</v>
      </c>
      <c r="AK2885" s="28"/>
      <c r="AL2885" s="28"/>
      <c r="AM2885" s="28"/>
      <c r="AN2885" s="28"/>
      <c r="AO2885" s="28"/>
      <c r="AP2885" s="28">
        <f>59+1+57+10+1+1</f>
        <v>129</v>
      </c>
      <c r="AQ2885" s="28"/>
      <c r="AR2885" s="28"/>
      <c r="AS2885" s="28"/>
      <c r="AT2885" s="28"/>
      <c r="AU2885" s="28"/>
      <c r="AV2885" s="28">
        <f>14+189+2</f>
        <v>205</v>
      </c>
      <c r="AW2885" s="28"/>
      <c r="AX2885" s="28"/>
      <c r="AY2885" s="28"/>
      <c r="AZ2885" s="28"/>
      <c r="BA2885" s="28"/>
      <c r="BB2885" s="28">
        <f>13+368+1</f>
        <v>382</v>
      </c>
      <c r="BC2885" s="229">
        <f t="shared" si="1194"/>
        <v>0</v>
      </c>
      <c r="BD2885" s="48">
        <f t="shared" si="1190"/>
        <v>776</v>
      </c>
      <c r="BE2885" s="19">
        <v>295</v>
      </c>
      <c r="BF2885" s="229">
        <f t="shared" si="1195"/>
        <v>0</v>
      </c>
      <c r="BG2885" s="210">
        <f t="shared" si="1191"/>
        <v>4014</v>
      </c>
      <c r="BH2885" s="210">
        <f t="shared" si="1192"/>
        <v>2723</v>
      </c>
      <c r="BI2885" s="213">
        <f t="shared" si="1188"/>
        <v>147.41094381197209</v>
      </c>
      <c r="BJ2885" s="141"/>
      <c r="BK2885" s="201"/>
      <c r="BL2885" s="4"/>
      <c r="BM2885" s="4"/>
    </row>
    <row r="2886" spans="1:65" s="38" customFormat="1" ht="21.95" customHeight="1">
      <c r="A2886" s="114">
        <v>40</v>
      </c>
      <c r="B2886" s="24" t="s">
        <v>2251</v>
      </c>
      <c r="C2886" s="27" t="s">
        <v>2252</v>
      </c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229">
        <f t="shared" si="1193"/>
        <v>0</v>
      </c>
      <c r="AC2886" s="228">
        <f t="shared" si="1189"/>
        <v>0</v>
      </c>
      <c r="AD2886" s="19">
        <v>0</v>
      </c>
      <c r="AE2886" s="28"/>
      <c r="AF2886" s="28"/>
      <c r="AG2886" s="28"/>
      <c r="AH2886" s="28"/>
      <c r="AI2886" s="28"/>
      <c r="AJ2886" s="28">
        <v>2</v>
      </c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>
        <f>1+2</f>
        <v>3</v>
      </c>
      <c r="BC2886" s="229">
        <f t="shared" si="1194"/>
        <v>0</v>
      </c>
      <c r="BD2886" s="48">
        <f t="shared" si="1190"/>
        <v>5</v>
      </c>
      <c r="BE2886" s="19">
        <v>2</v>
      </c>
      <c r="BF2886" s="229">
        <f t="shared" si="1195"/>
        <v>0</v>
      </c>
      <c r="BG2886" s="210">
        <f t="shared" si="1191"/>
        <v>5</v>
      </c>
      <c r="BH2886" s="210">
        <f t="shared" si="1192"/>
        <v>2</v>
      </c>
      <c r="BI2886" s="213">
        <f t="shared" si="1188"/>
        <v>250</v>
      </c>
      <c r="BJ2886" s="141"/>
      <c r="BK2886" s="201"/>
      <c r="BL2886" s="4"/>
      <c r="BM2886" s="4"/>
    </row>
    <row r="2887" spans="1:65" s="38" customFormat="1" ht="18" customHeight="1">
      <c r="A2887" s="114">
        <v>41</v>
      </c>
      <c r="B2887" s="24" t="s">
        <v>1112</v>
      </c>
      <c r="C2887" s="25" t="s">
        <v>1113</v>
      </c>
      <c r="D2887" s="121"/>
      <c r="E2887" s="121"/>
      <c r="F2887" s="121"/>
      <c r="G2887" s="121"/>
      <c r="H2887" s="121"/>
      <c r="I2887" s="121">
        <v>1</v>
      </c>
      <c r="J2887" s="121"/>
      <c r="K2887" s="121"/>
      <c r="L2887" s="121"/>
      <c r="M2887" s="121"/>
      <c r="N2887" s="121"/>
      <c r="O2887" s="121">
        <v>2</v>
      </c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229">
        <f t="shared" si="1193"/>
        <v>0</v>
      </c>
      <c r="AC2887" s="228">
        <f t="shared" si="1189"/>
        <v>3</v>
      </c>
      <c r="AD2887" s="19">
        <v>4</v>
      </c>
      <c r="AE2887" s="28"/>
      <c r="AF2887" s="28"/>
      <c r="AG2887" s="28"/>
      <c r="AH2887" s="28"/>
      <c r="AI2887" s="28"/>
      <c r="AJ2887" s="28">
        <v>2</v>
      </c>
      <c r="AK2887" s="28"/>
      <c r="AL2887" s="28"/>
      <c r="AM2887" s="28"/>
      <c r="AN2887" s="28"/>
      <c r="AO2887" s="28"/>
      <c r="AP2887" s="28">
        <v>1</v>
      </c>
      <c r="AQ2887" s="28"/>
      <c r="AR2887" s="28"/>
      <c r="AS2887" s="28"/>
      <c r="AT2887" s="28"/>
      <c r="AU2887" s="28"/>
      <c r="AV2887" s="28">
        <v>1</v>
      </c>
      <c r="AW2887" s="28"/>
      <c r="AX2887" s="28"/>
      <c r="AY2887" s="28"/>
      <c r="AZ2887" s="28"/>
      <c r="BA2887" s="28"/>
      <c r="BB2887" s="28">
        <f>2+6</f>
        <v>8</v>
      </c>
      <c r="BC2887" s="229">
        <f t="shared" si="1194"/>
        <v>0</v>
      </c>
      <c r="BD2887" s="48">
        <f t="shared" si="1190"/>
        <v>12</v>
      </c>
      <c r="BE2887" s="19">
        <v>13</v>
      </c>
      <c r="BF2887" s="229">
        <f t="shared" si="1195"/>
        <v>0</v>
      </c>
      <c r="BG2887" s="210">
        <f t="shared" si="1191"/>
        <v>15</v>
      </c>
      <c r="BH2887" s="210">
        <f t="shared" si="1192"/>
        <v>17</v>
      </c>
      <c r="BI2887" s="213">
        <f t="shared" si="1188"/>
        <v>88.235294117647058</v>
      </c>
      <c r="BJ2887" s="141"/>
      <c r="BK2887" s="201"/>
      <c r="BL2887" s="4"/>
      <c r="BM2887" s="4"/>
    </row>
    <row r="2888" spans="1:65" s="38" customFormat="1" ht="18" customHeight="1">
      <c r="A2888" s="114">
        <v>42</v>
      </c>
      <c r="B2888" s="24" t="s">
        <v>1114</v>
      </c>
      <c r="C2888" s="25" t="s">
        <v>1115</v>
      </c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229">
        <f t="shared" si="1193"/>
        <v>0</v>
      </c>
      <c r="AC2888" s="228">
        <f t="shared" si="1189"/>
        <v>0</v>
      </c>
      <c r="AD2888" s="19">
        <v>0</v>
      </c>
      <c r="AE2888" s="28"/>
      <c r="AF2888" s="28"/>
      <c r="AG2888" s="28"/>
      <c r="AH2888" s="28"/>
      <c r="AI2888" s="28"/>
      <c r="AJ2888" s="28">
        <v>3</v>
      </c>
      <c r="AK2888" s="28"/>
      <c r="AL2888" s="28"/>
      <c r="AM2888" s="28"/>
      <c r="AN2888" s="28"/>
      <c r="AO2888" s="28"/>
      <c r="AP2888" s="28">
        <v>7</v>
      </c>
      <c r="AQ2888" s="28"/>
      <c r="AR2888" s="28"/>
      <c r="AS2888" s="28"/>
      <c r="AT2888" s="28"/>
      <c r="AU2888" s="28"/>
      <c r="AV2888" s="28">
        <v>8</v>
      </c>
      <c r="AW2888" s="28"/>
      <c r="AX2888" s="28"/>
      <c r="AY2888" s="28"/>
      <c r="AZ2888" s="28"/>
      <c r="BA2888" s="28"/>
      <c r="BB2888" s="28">
        <v>3</v>
      </c>
      <c r="BC2888" s="229">
        <f t="shared" si="1194"/>
        <v>0</v>
      </c>
      <c r="BD2888" s="48">
        <f t="shared" si="1190"/>
        <v>21</v>
      </c>
      <c r="BE2888" s="19">
        <v>16</v>
      </c>
      <c r="BF2888" s="229">
        <f t="shared" si="1195"/>
        <v>0</v>
      </c>
      <c r="BG2888" s="210">
        <f t="shared" si="1191"/>
        <v>21</v>
      </c>
      <c r="BH2888" s="210">
        <f t="shared" si="1192"/>
        <v>16</v>
      </c>
      <c r="BI2888" s="213">
        <f t="shared" si="1188"/>
        <v>131.25</v>
      </c>
      <c r="BJ2888" s="141"/>
      <c r="BK2888" s="201"/>
      <c r="BL2888" s="4"/>
      <c r="BM2888" s="4"/>
    </row>
    <row r="2889" spans="1:65" s="38" customFormat="1" ht="18" customHeight="1">
      <c r="A2889" s="114">
        <v>43</v>
      </c>
      <c r="B2889" s="24" t="s">
        <v>1574</v>
      </c>
      <c r="C2889" s="25" t="s">
        <v>1575</v>
      </c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>
        <v>13</v>
      </c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>
        <v>2</v>
      </c>
      <c r="AB2889" s="229">
        <f t="shared" si="1193"/>
        <v>0</v>
      </c>
      <c r="AC2889" s="228">
        <f t="shared" si="1189"/>
        <v>15</v>
      </c>
      <c r="AD2889" s="21">
        <v>7</v>
      </c>
      <c r="AE2889" s="28"/>
      <c r="AF2889" s="28"/>
      <c r="AG2889" s="28"/>
      <c r="AH2889" s="28"/>
      <c r="AI2889" s="28"/>
      <c r="AJ2889" s="28">
        <v>18</v>
      </c>
      <c r="AK2889" s="28"/>
      <c r="AL2889" s="28"/>
      <c r="AM2889" s="28"/>
      <c r="AN2889" s="28"/>
      <c r="AO2889" s="28"/>
      <c r="AP2889" s="28">
        <f>13+1</f>
        <v>14</v>
      </c>
      <c r="AQ2889" s="28"/>
      <c r="AR2889" s="28"/>
      <c r="AS2889" s="28"/>
      <c r="AT2889" s="28"/>
      <c r="AU2889" s="28"/>
      <c r="AV2889" s="28">
        <f>15+1</f>
        <v>16</v>
      </c>
      <c r="AW2889" s="28"/>
      <c r="AX2889" s="28"/>
      <c r="AY2889" s="28"/>
      <c r="AZ2889" s="28"/>
      <c r="BA2889" s="28"/>
      <c r="BB2889" s="28">
        <f>27+1</f>
        <v>28</v>
      </c>
      <c r="BC2889" s="229">
        <f t="shared" si="1194"/>
        <v>0</v>
      </c>
      <c r="BD2889" s="48">
        <f t="shared" si="1190"/>
        <v>76</v>
      </c>
      <c r="BE2889" s="19">
        <v>23</v>
      </c>
      <c r="BF2889" s="229">
        <f t="shared" si="1195"/>
        <v>0</v>
      </c>
      <c r="BG2889" s="210">
        <f t="shared" si="1191"/>
        <v>91</v>
      </c>
      <c r="BH2889" s="210">
        <f t="shared" si="1192"/>
        <v>30</v>
      </c>
      <c r="BI2889" s="213">
        <f t="shared" si="1188"/>
        <v>303.33333333333331</v>
      </c>
      <c r="BJ2889" s="141"/>
      <c r="BK2889" s="201"/>
      <c r="BL2889" s="4"/>
      <c r="BM2889" s="4"/>
    </row>
    <row r="2890" spans="1:65" s="38" customFormat="1" ht="18" customHeight="1">
      <c r="A2890" s="114">
        <v>44</v>
      </c>
      <c r="B2890" s="24" t="s">
        <v>428</v>
      </c>
      <c r="C2890" s="25" t="s">
        <v>1116</v>
      </c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229">
        <f t="shared" si="1193"/>
        <v>0</v>
      </c>
      <c r="AC2890" s="228">
        <f t="shared" si="1189"/>
        <v>0</v>
      </c>
      <c r="AD2890" s="19">
        <v>5</v>
      </c>
      <c r="AE2890" s="28"/>
      <c r="AF2890" s="28"/>
      <c r="AG2890" s="28"/>
      <c r="AH2890" s="28"/>
      <c r="AI2890" s="28"/>
      <c r="AJ2890" s="28">
        <v>13</v>
      </c>
      <c r="AK2890" s="28"/>
      <c r="AL2890" s="28"/>
      <c r="AM2890" s="28"/>
      <c r="AN2890" s="28"/>
      <c r="AO2890" s="28"/>
      <c r="AP2890" s="28">
        <v>4</v>
      </c>
      <c r="AQ2890" s="28"/>
      <c r="AR2890" s="28"/>
      <c r="AS2890" s="28"/>
      <c r="AT2890" s="28"/>
      <c r="AU2890" s="28"/>
      <c r="AV2890" s="28">
        <v>8</v>
      </c>
      <c r="AW2890" s="28"/>
      <c r="AX2890" s="28"/>
      <c r="AY2890" s="28"/>
      <c r="AZ2890" s="28"/>
      <c r="BA2890" s="28"/>
      <c r="BB2890" s="28">
        <v>8</v>
      </c>
      <c r="BC2890" s="229">
        <f t="shared" si="1194"/>
        <v>0</v>
      </c>
      <c r="BD2890" s="48">
        <f t="shared" si="1190"/>
        <v>33</v>
      </c>
      <c r="BE2890" s="19">
        <v>30</v>
      </c>
      <c r="BF2890" s="229">
        <f t="shared" si="1195"/>
        <v>0</v>
      </c>
      <c r="BG2890" s="210">
        <f t="shared" si="1191"/>
        <v>33</v>
      </c>
      <c r="BH2890" s="210">
        <f t="shared" si="1192"/>
        <v>35</v>
      </c>
      <c r="BI2890" s="213">
        <f t="shared" si="1188"/>
        <v>94.285714285714278</v>
      </c>
      <c r="BJ2890" s="141"/>
      <c r="BK2890" s="201"/>
      <c r="BL2890" s="4"/>
      <c r="BM2890" s="4"/>
    </row>
    <row r="2891" spans="1:65" s="38" customFormat="1" ht="18" customHeight="1">
      <c r="A2891" s="114">
        <v>45</v>
      </c>
      <c r="B2891" s="24" t="s">
        <v>2067</v>
      </c>
      <c r="C2891" s="25" t="s">
        <v>2069</v>
      </c>
      <c r="D2891" s="121"/>
      <c r="E2891" s="121"/>
      <c r="F2891" s="121"/>
      <c r="G2891" s="121"/>
      <c r="H2891" s="121"/>
      <c r="I2891" s="121">
        <v>3</v>
      </c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>
        <v>15</v>
      </c>
      <c r="V2891" s="121"/>
      <c r="W2891" s="121"/>
      <c r="X2891" s="121"/>
      <c r="Y2891" s="121"/>
      <c r="Z2891" s="121"/>
      <c r="AA2891" s="121">
        <v>9</v>
      </c>
      <c r="AB2891" s="229">
        <f t="shared" si="1193"/>
        <v>0</v>
      </c>
      <c r="AC2891" s="228">
        <f t="shared" si="1189"/>
        <v>27</v>
      </c>
      <c r="AD2891" s="19">
        <v>123</v>
      </c>
      <c r="AE2891" s="28"/>
      <c r="AF2891" s="28"/>
      <c r="AG2891" s="28"/>
      <c r="AH2891" s="28"/>
      <c r="AI2891" s="28"/>
      <c r="AJ2891" s="28">
        <f>40+4</f>
        <v>44</v>
      </c>
      <c r="AK2891" s="28"/>
      <c r="AL2891" s="28"/>
      <c r="AM2891" s="28"/>
      <c r="AN2891" s="28"/>
      <c r="AO2891" s="28"/>
      <c r="AP2891" s="28">
        <v>56</v>
      </c>
      <c r="AQ2891" s="28"/>
      <c r="AR2891" s="28"/>
      <c r="AS2891" s="28"/>
      <c r="AT2891" s="28"/>
      <c r="AU2891" s="28"/>
      <c r="AV2891" s="28">
        <v>39</v>
      </c>
      <c r="AW2891" s="28"/>
      <c r="AX2891" s="28"/>
      <c r="AY2891" s="28"/>
      <c r="AZ2891" s="28"/>
      <c r="BA2891" s="28"/>
      <c r="BB2891" s="28">
        <f>51+1</f>
        <v>52</v>
      </c>
      <c r="BC2891" s="229">
        <f t="shared" si="1194"/>
        <v>0</v>
      </c>
      <c r="BD2891" s="48">
        <f t="shared" si="1190"/>
        <v>191</v>
      </c>
      <c r="BE2891" s="19">
        <v>68</v>
      </c>
      <c r="BF2891" s="229">
        <f t="shared" si="1195"/>
        <v>0</v>
      </c>
      <c r="BG2891" s="210">
        <f t="shared" si="1191"/>
        <v>218</v>
      </c>
      <c r="BH2891" s="210">
        <f t="shared" si="1192"/>
        <v>191</v>
      </c>
      <c r="BI2891" s="213">
        <f t="shared" si="1188"/>
        <v>114.13612565445025</v>
      </c>
      <c r="BJ2891" s="141"/>
      <c r="BK2891" s="201"/>
      <c r="BL2891" s="4"/>
      <c r="BM2891" s="4"/>
    </row>
    <row r="2892" spans="1:65" s="38" customFormat="1" ht="18" customHeight="1">
      <c r="A2892" s="114">
        <v>46</v>
      </c>
      <c r="B2892" s="24" t="s">
        <v>2068</v>
      </c>
      <c r="C2892" s="25" t="s">
        <v>2070</v>
      </c>
      <c r="D2892" s="121"/>
      <c r="E2892" s="121"/>
      <c r="F2892" s="121"/>
      <c r="G2892" s="121"/>
      <c r="H2892" s="121"/>
      <c r="I2892" s="121">
        <v>3</v>
      </c>
      <c r="J2892" s="121"/>
      <c r="K2892" s="121"/>
      <c r="L2892" s="121"/>
      <c r="M2892" s="121"/>
      <c r="N2892" s="121"/>
      <c r="O2892" s="121">
        <v>14</v>
      </c>
      <c r="P2892" s="121"/>
      <c r="Q2892" s="121"/>
      <c r="R2892" s="121"/>
      <c r="S2892" s="121"/>
      <c r="T2892" s="121"/>
      <c r="U2892" s="121">
        <v>15</v>
      </c>
      <c r="V2892" s="121"/>
      <c r="W2892" s="121"/>
      <c r="X2892" s="121"/>
      <c r="Y2892" s="121"/>
      <c r="Z2892" s="121"/>
      <c r="AA2892" s="121">
        <v>8</v>
      </c>
      <c r="AB2892" s="229">
        <f t="shared" si="1193"/>
        <v>0</v>
      </c>
      <c r="AC2892" s="228">
        <f t="shared" si="1189"/>
        <v>40</v>
      </c>
      <c r="AD2892" s="19">
        <v>148</v>
      </c>
      <c r="AE2892" s="28"/>
      <c r="AF2892" s="28"/>
      <c r="AG2892" s="28"/>
      <c r="AH2892" s="28"/>
      <c r="AI2892" s="28"/>
      <c r="AJ2892" s="28">
        <f>46+4</f>
        <v>50</v>
      </c>
      <c r="AK2892" s="28"/>
      <c r="AL2892" s="28"/>
      <c r="AM2892" s="28"/>
      <c r="AN2892" s="28"/>
      <c r="AO2892" s="28"/>
      <c r="AP2892" s="28">
        <v>57</v>
      </c>
      <c r="AQ2892" s="28"/>
      <c r="AR2892" s="28"/>
      <c r="AS2892" s="28"/>
      <c r="AT2892" s="28"/>
      <c r="AU2892" s="28"/>
      <c r="AV2892" s="28">
        <v>41</v>
      </c>
      <c r="AW2892" s="28"/>
      <c r="AX2892" s="28"/>
      <c r="AY2892" s="28"/>
      <c r="AZ2892" s="28"/>
      <c r="BA2892" s="28"/>
      <c r="BB2892" s="28">
        <f>52+1</f>
        <v>53</v>
      </c>
      <c r="BC2892" s="229">
        <f t="shared" si="1194"/>
        <v>0</v>
      </c>
      <c r="BD2892" s="48">
        <f t="shared" si="1190"/>
        <v>201</v>
      </c>
      <c r="BE2892" s="19">
        <v>82</v>
      </c>
      <c r="BF2892" s="229">
        <f t="shared" si="1195"/>
        <v>0</v>
      </c>
      <c r="BG2892" s="210">
        <f t="shared" si="1191"/>
        <v>241</v>
      </c>
      <c r="BH2892" s="210">
        <f t="shared" si="1192"/>
        <v>230</v>
      </c>
      <c r="BI2892" s="213">
        <f t="shared" si="1188"/>
        <v>104.78260869565217</v>
      </c>
      <c r="BJ2892" s="141"/>
      <c r="BK2892" s="201"/>
      <c r="BL2892" s="4"/>
      <c r="BM2892" s="4"/>
    </row>
    <row r="2893" spans="1:65" s="38" customFormat="1" ht="18" customHeight="1">
      <c r="A2893" s="114">
        <v>47</v>
      </c>
      <c r="B2893" s="24" t="s">
        <v>1125</v>
      </c>
      <c r="C2893" s="25" t="s">
        <v>1126</v>
      </c>
      <c r="D2893" s="121"/>
      <c r="E2893" s="121"/>
      <c r="F2893" s="121"/>
      <c r="G2893" s="121"/>
      <c r="H2893" s="121"/>
      <c r="I2893" s="121">
        <v>1</v>
      </c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229">
        <f t="shared" si="1193"/>
        <v>0</v>
      </c>
      <c r="AC2893" s="228">
        <f t="shared" si="1189"/>
        <v>1</v>
      </c>
      <c r="AD2893" s="19">
        <v>0</v>
      </c>
      <c r="AE2893" s="28"/>
      <c r="AF2893" s="28"/>
      <c r="AG2893" s="28"/>
      <c r="AH2893" s="28"/>
      <c r="AI2893" s="28"/>
      <c r="AJ2893" s="28">
        <v>1</v>
      </c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29">
        <f t="shared" si="1194"/>
        <v>0</v>
      </c>
      <c r="BD2893" s="48">
        <f t="shared" si="1190"/>
        <v>1</v>
      </c>
      <c r="BE2893" s="19">
        <v>1</v>
      </c>
      <c r="BF2893" s="229">
        <f t="shared" si="1195"/>
        <v>0</v>
      </c>
      <c r="BG2893" s="210">
        <f t="shared" si="1191"/>
        <v>2</v>
      </c>
      <c r="BH2893" s="210">
        <f t="shared" si="1192"/>
        <v>1</v>
      </c>
      <c r="BI2893" s="213">
        <f t="shared" si="1188"/>
        <v>200</v>
      </c>
      <c r="BJ2893" s="141"/>
      <c r="BK2893" s="201"/>
      <c r="BL2893" s="4"/>
      <c r="BM2893" s="4"/>
    </row>
    <row r="2894" spans="1:65" s="38" customFormat="1" ht="18" customHeight="1">
      <c r="A2894" s="114">
        <v>48</v>
      </c>
      <c r="B2894" s="24" t="s">
        <v>1435</v>
      </c>
      <c r="C2894" s="25" t="s">
        <v>2467</v>
      </c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229">
        <f t="shared" si="1193"/>
        <v>0</v>
      </c>
      <c r="AC2894" s="228">
        <f t="shared" si="1189"/>
        <v>0</v>
      </c>
      <c r="AD2894" s="19">
        <v>1</v>
      </c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29">
        <f t="shared" si="1194"/>
        <v>0</v>
      </c>
      <c r="BD2894" s="48">
        <f t="shared" si="1190"/>
        <v>0</v>
      </c>
      <c r="BE2894" s="19">
        <v>0</v>
      </c>
      <c r="BF2894" s="229">
        <f t="shared" si="1195"/>
        <v>0</v>
      </c>
      <c r="BG2894" s="210">
        <f t="shared" si="1191"/>
        <v>0</v>
      </c>
      <c r="BH2894" s="210">
        <f t="shared" si="1192"/>
        <v>1</v>
      </c>
      <c r="BI2894" s="213">
        <f t="shared" si="1188"/>
        <v>0</v>
      </c>
      <c r="BJ2894" s="141"/>
      <c r="BK2894" s="201"/>
      <c r="BL2894" s="4"/>
      <c r="BM2894" s="4"/>
    </row>
    <row r="2895" spans="1:65" s="38" customFormat="1" ht="21.95" customHeight="1">
      <c r="A2895" s="114">
        <v>49</v>
      </c>
      <c r="B2895" s="24" t="s">
        <v>626</v>
      </c>
      <c r="C2895" s="25" t="s">
        <v>1127</v>
      </c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229">
        <f t="shared" si="1193"/>
        <v>0</v>
      </c>
      <c r="AC2895" s="228">
        <f t="shared" si="1189"/>
        <v>0</v>
      </c>
      <c r="AD2895" s="19">
        <v>0</v>
      </c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29">
        <f t="shared" si="1194"/>
        <v>0</v>
      </c>
      <c r="BD2895" s="48">
        <f t="shared" si="1190"/>
        <v>0</v>
      </c>
      <c r="BE2895" s="19">
        <v>1</v>
      </c>
      <c r="BF2895" s="229">
        <f t="shared" si="1195"/>
        <v>0</v>
      </c>
      <c r="BG2895" s="210">
        <f t="shared" si="1191"/>
        <v>0</v>
      </c>
      <c r="BH2895" s="210">
        <f t="shared" si="1192"/>
        <v>1</v>
      </c>
      <c r="BI2895" s="213">
        <f t="shared" si="1188"/>
        <v>0</v>
      </c>
      <c r="BJ2895" s="141"/>
      <c r="BK2895" s="201"/>
      <c r="BL2895" s="4"/>
      <c r="BM2895" s="4"/>
    </row>
    <row r="2896" spans="1:65" s="38" customFormat="1" ht="21.95" customHeight="1">
      <c r="A2896" s="114">
        <v>50</v>
      </c>
      <c r="B2896" s="24" t="s">
        <v>262</v>
      </c>
      <c r="C2896" s="27" t="s">
        <v>2456</v>
      </c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229"/>
      <c r="AC2896" s="228">
        <f t="shared" si="1189"/>
        <v>0</v>
      </c>
      <c r="AD2896" s="19">
        <v>0</v>
      </c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>
        <v>1</v>
      </c>
      <c r="AW2896" s="28"/>
      <c r="AX2896" s="28"/>
      <c r="AY2896" s="28"/>
      <c r="AZ2896" s="28"/>
      <c r="BA2896" s="28"/>
      <c r="BB2896" s="28"/>
      <c r="BC2896" s="229"/>
      <c r="BD2896" s="48">
        <f t="shared" si="1190"/>
        <v>1</v>
      </c>
      <c r="BE2896" s="19">
        <v>0</v>
      </c>
      <c r="BF2896" s="229"/>
      <c r="BG2896" s="210">
        <f t="shared" si="1191"/>
        <v>1</v>
      </c>
      <c r="BH2896" s="210">
        <f t="shared" si="1192"/>
        <v>0</v>
      </c>
      <c r="BI2896" s="213" t="e">
        <f t="shared" si="1188"/>
        <v>#DIV/0!</v>
      </c>
      <c r="BJ2896" s="141"/>
      <c r="BK2896" s="201"/>
      <c r="BL2896" s="4"/>
      <c r="BM2896" s="4"/>
    </row>
    <row r="2897" spans="1:65" s="38" customFormat="1" ht="18" customHeight="1">
      <c r="A2897" s="114">
        <v>51</v>
      </c>
      <c r="B2897" s="24" t="s">
        <v>1129</v>
      </c>
      <c r="C2897" s="25" t="s">
        <v>1130</v>
      </c>
      <c r="D2897" s="121"/>
      <c r="E2897" s="121"/>
      <c r="F2897" s="121"/>
      <c r="G2897" s="121"/>
      <c r="H2897" s="121"/>
      <c r="I2897" s="121">
        <v>2</v>
      </c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>
        <v>5</v>
      </c>
      <c r="V2897" s="121"/>
      <c r="W2897" s="121"/>
      <c r="X2897" s="121"/>
      <c r="Y2897" s="121"/>
      <c r="Z2897" s="121"/>
      <c r="AA2897" s="121">
        <v>2</v>
      </c>
      <c r="AB2897" s="229">
        <f t="shared" ref="AB2897:AB2925" si="1196">D2897+F2897+H2897+J2897+L2897+N2897+P2897+R2897+T2897+V2897+X2897+Z2897</f>
        <v>0</v>
      </c>
      <c r="AC2897" s="228">
        <f t="shared" si="1189"/>
        <v>9</v>
      </c>
      <c r="AD2897" s="19">
        <v>82</v>
      </c>
      <c r="AE2897" s="28"/>
      <c r="AF2897" s="28"/>
      <c r="AG2897" s="28"/>
      <c r="AH2897" s="28"/>
      <c r="AI2897" s="28"/>
      <c r="AJ2897" s="28">
        <v>22</v>
      </c>
      <c r="AK2897" s="28"/>
      <c r="AL2897" s="28"/>
      <c r="AM2897" s="28"/>
      <c r="AN2897" s="28"/>
      <c r="AO2897" s="28"/>
      <c r="AP2897" s="28">
        <v>24</v>
      </c>
      <c r="AQ2897" s="28"/>
      <c r="AR2897" s="28"/>
      <c r="AS2897" s="28"/>
      <c r="AT2897" s="28"/>
      <c r="AU2897" s="28"/>
      <c r="AV2897" s="28">
        <f>27+2</f>
        <v>29</v>
      </c>
      <c r="AW2897" s="28"/>
      <c r="AX2897" s="28"/>
      <c r="AY2897" s="28"/>
      <c r="AZ2897" s="28"/>
      <c r="BA2897" s="28"/>
      <c r="BB2897" s="28">
        <v>11</v>
      </c>
      <c r="BC2897" s="229">
        <f t="shared" ref="BC2897:BC2925" si="1197">AE2897+AG2897+AI2897+AK2897+AM2897+AO2897+AQ2897+AS2897+AU2897+AW2897+AY2897+BA2897</f>
        <v>0</v>
      </c>
      <c r="BD2897" s="48">
        <f t="shared" si="1190"/>
        <v>86</v>
      </c>
      <c r="BE2897" s="19">
        <v>34</v>
      </c>
      <c r="BF2897" s="229">
        <f t="shared" ref="BF2897:BF2925" si="1198">AB2897+BC2897</f>
        <v>0</v>
      </c>
      <c r="BG2897" s="210">
        <f t="shared" si="1191"/>
        <v>95</v>
      </c>
      <c r="BH2897" s="210">
        <f t="shared" si="1192"/>
        <v>116</v>
      </c>
      <c r="BI2897" s="213">
        <f t="shared" si="1188"/>
        <v>81.896551724137936</v>
      </c>
      <c r="BJ2897" s="141"/>
      <c r="BK2897" s="201"/>
      <c r="BL2897" s="4"/>
      <c r="BM2897" s="4"/>
    </row>
    <row r="2898" spans="1:65" s="38" customFormat="1" ht="18" customHeight="1">
      <c r="A2898" s="114">
        <v>52</v>
      </c>
      <c r="B2898" s="24" t="s">
        <v>2073</v>
      </c>
      <c r="C2898" s="25" t="s">
        <v>2074</v>
      </c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229">
        <f t="shared" si="1196"/>
        <v>0</v>
      </c>
      <c r="AC2898" s="228">
        <f t="shared" si="1189"/>
        <v>0</v>
      </c>
      <c r="AD2898" s="19">
        <v>2</v>
      </c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29">
        <f t="shared" si="1197"/>
        <v>0</v>
      </c>
      <c r="BD2898" s="48">
        <f t="shared" si="1190"/>
        <v>0</v>
      </c>
      <c r="BE2898" s="19">
        <v>3</v>
      </c>
      <c r="BF2898" s="229">
        <f t="shared" si="1198"/>
        <v>0</v>
      </c>
      <c r="BG2898" s="210">
        <f t="shared" si="1191"/>
        <v>0</v>
      </c>
      <c r="BH2898" s="210">
        <f t="shared" si="1192"/>
        <v>5</v>
      </c>
      <c r="BI2898" s="213">
        <f t="shared" si="1188"/>
        <v>0</v>
      </c>
      <c r="BJ2898" s="141"/>
      <c r="BK2898" s="201"/>
      <c r="BL2898" s="4"/>
      <c r="BM2898" s="4"/>
    </row>
    <row r="2899" spans="1:65" s="38" customFormat="1" ht="18" customHeight="1">
      <c r="A2899" s="114">
        <v>53</v>
      </c>
      <c r="B2899" s="24" t="s">
        <v>812</v>
      </c>
      <c r="C2899" s="25" t="s">
        <v>813</v>
      </c>
      <c r="D2899" s="121"/>
      <c r="E2899" s="121"/>
      <c r="F2899" s="121"/>
      <c r="G2899" s="121"/>
      <c r="H2899" s="121"/>
      <c r="I2899" s="121">
        <f>758+1+46</f>
        <v>805</v>
      </c>
      <c r="J2899" s="121"/>
      <c r="K2899" s="121"/>
      <c r="L2899" s="121"/>
      <c r="M2899" s="121"/>
      <c r="N2899" s="121"/>
      <c r="O2899" s="121">
        <f>750+2+56</f>
        <v>808</v>
      </c>
      <c r="P2899" s="121"/>
      <c r="Q2899" s="121"/>
      <c r="R2899" s="121"/>
      <c r="S2899" s="121"/>
      <c r="T2899" s="121"/>
      <c r="U2899" s="121">
        <f>646+12+2+4+43</f>
        <v>707</v>
      </c>
      <c r="V2899" s="121"/>
      <c r="W2899" s="121"/>
      <c r="X2899" s="121"/>
      <c r="Y2899" s="121"/>
      <c r="Z2899" s="121"/>
      <c r="AA2899" s="121">
        <f>834+26+3+5+60</f>
        <v>928</v>
      </c>
      <c r="AB2899" s="229">
        <f t="shared" si="1196"/>
        <v>0</v>
      </c>
      <c r="AC2899" s="228">
        <f t="shared" si="1189"/>
        <v>3248</v>
      </c>
      <c r="AD2899" s="19">
        <v>2564</v>
      </c>
      <c r="AE2899" s="28"/>
      <c r="AF2899" s="28"/>
      <c r="AG2899" s="28"/>
      <c r="AH2899" s="28"/>
      <c r="AI2899" s="28"/>
      <c r="AJ2899" s="28">
        <f>57+1+29+2</f>
        <v>89</v>
      </c>
      <c r="AK2899" s="28"/>
      <c r="AL2899" s="28"/>
      <c r="AM2899" s="28"/>
      <c r="AN2899" s="28"/>
      <c r="AO2899" s="28"/>
      <c r="AP2899" s="28">
        <f>59+1+39+57+10+1+3+1</f>
        <v>171</v>
      </c>
      <c r="AQ2899" s="28"/>
      <c r="AR2899" s="28"/>
      <c r="AS2899" s="28"/>
      <c r="AT2899" s="28"/>
      <c r="AU2899" s="28"/>
      <c r="AV2899" s="28">
        <f>14+57+189+2+3</f>
        <v>265</v>
      </c>
      <c r="AW2899" s="28"/>
      <c r="AX2899" s="28"/>
      <c r="AY2899" s="28"/>
      <c r="AZ2899" s="28"/>
      <c r="BA2899" s="28"/>
      <c r="BB2899" s="28">
        <f>13+29+368+1</f>
        <v>411</v>
      </c>
      <c r="BC2899" s="229">
        <f t="shared" si="1197"/>
        <v>0</v>
      </c>
      <c r="BD2899" s="48">
        <f t="shared" si="1190"/>
        <v>936</v>
      </c>
      <c r="BE2899" s="19">
        <v>320</v>
      </c>
      <c r="BF2899" s="229">
        <f t="shared" si="1198"/>
        <v>0</v>
      </c>
      <c r="BG2899" s="210">
        <f t="shared" si="1191"/>
        <v>4184</v>
      </c>
      <c r="BH2899" s="210">
        <f t="shared" si="1192"/>
        <v>2884</v>
      </c>
      <c r="BI2899" s="213">
        <f t="shared" si="1188"/>
        <v>145.07628294036061</v>
      </c>
      <c r="BJ2899" s="141"/>
      <c r="BK2899" s="201"/>
      <c r="BL2899" s="4"/>
      <c r="BM2899" s="4"/>
    </row>
    <row r="2900" spans="1:65" s="38" customFormat="1" ht="18" customHeight="1">
      <c r="A2900" s="114">
        <v>54</v>
      </c>
      <c r="B2900" s="24" t="s">
        <v>1906</v>
      </c>
      <c r="C2900" s="25" t="s">
        <v>1907</v>
      </c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229">
        <f t="shared" si="1196"/>
        <v>0</v>
      </c>
      <c r="AC2900" s="228">
        <f t="shared" si="1189"/>
        <v>0</v>
      </c>
      <c r="AD2900" s="21">
        <v>0</v>
      </c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29">
        <f t="shared" si="1197"/>
        <v>0</v>
      </c>
      <c r="BD2900" s="48">
        <f t="shared" si="1190"/>
        <v>0</v>
      </c>
      <c r="BE2900" s="19">
        <v>1</v>
      </c>
      <c r="BF2900" s="229">
        <f t="shared" si="1198"/>
        <v>0</v>
      </c>
      <c r="BG2900" s="210">
        <f t="shared" si="1191"/>
        <v>0</v>
      </c>
      <c r="BH2900" s="210">
        <f t="shared" si="1192"/>
        <v>1</v>
      </c>
      <c r="BI2900" s="213">
        <f t="shared" si="1188"/>
        <v>0</v>
      </c>
      <c r="BJ2900" s="141"/>
      <c r="BK2900" s="201"/>
      <c r="BL2900" s="4"/>
      <c r="BM2900" s="4"/>
    </row>
    <row r="2901" spans="1:65" s="38" customFormat="1" ht="18" customHeight="1">
      <c r="A2901" s="114">
        <v>55</v>
      </c>
      <c r="B2901" s="24" t="s">
        <v>2253</v>
      </c>
      <c r="C2901" s="25" t="s">
        <v>2254</v>
      </c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229">
        <f t="shared" si="1196"/>
        <v>0</v>
      </c>
      <c r="AC2901" s="228">
        <f t="shared" si="1189"/>
        <v>0</v>
      </c>
      <c r="AD2901" s="19">
        <v>0</v>
      </c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29">
        <f t="shared" si="1197"/>
        <v>0</v>
      </c>
      <c r="BD2901" s="48">
        <f t="shared" si="1190"/>
        <v>0</v>
      </c>
      <c r="BE2901" s="19">
        <v>2</v>
      </c>
      <c r="BF2901" s="229">
        <f t="shared" si="1198"/>
        <v>0</v>
      </c>
      <c r="BG2901" s="210">
        <f t="shared" si="1191"/>
        <v>0</v>
      </c>
      <c r="BH2901" s="210">
        <f t="shared" si="1192"/>
        <v>2</v>
      </c>
      <c r="BI2901" s="213">
        <f t="shared" si="1188"/>
        <v>0</v>
      </c>
      <c r="BJ2901" s="141"/>
      <c r="BK2901" s="201"/>
      <c r="BL2901" s="4"/>
      <c r="BM2901" s="4"/>
    </row>
    <row r="2902" spans="1:65" s="38" customFormat="1" ht="18" customHeight="1">
      <c r="A2902" s="114">
        <v>56</v>
      </c>
      <c r="B2902" s="24" t="s">
        <v>2352</v>
      </c>
      <c r="C2902" s="25" t="s">
        <v>2351</v>
      </c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229">
        <f t="shared" si="1196"/>
        <v>0</v>
      </c>
      <c r="AC2902" s="228">
        <f t="shared" si="1189"/>
        <v>0</v>
      </c>
      <c r="AD2902" s="19">
        <v>0</v>
      </c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29">
        <f t="shared" si="1197"/>
        <v>0</v>
      </c>
      <c r="BD2902" s="48">
        <f t="shared" si="1190"/>
        <v>0</v>
      </c>
      <c r="BE2902" s="19">
        <v>2</v>
      </c>
      <c r="BF2902" s="229">
        <f t="shared" si="1198"/>
        <v>0</v>
      </c>
      <c r="BG2902" s="210">
        <f t="shared" si="1191"/>
        <v>0</v>
      </c>
      <c r="BH2902" s="210">
        <f t="shared" si="1192"/>
        <v>2</v>
      </c>
      <c r="BI2902" s="213">
        <f t="shared" si="1188"/>
        <v>0</v>
      </c>
      <c r="BJ2902" s="141"/>
      <c r="BK2902" s="201"/>
      <c r="BL2902" s="4"/>
      <c r="BM2902" s="4"/>
    </row>
    <row r="2903" spans="1:65" s="38" customFormat="1" ht="18" customHeight="1">
      <c r="A2903" s="114">
        <v>57</v>
      </c>
      <c r="B2903" s="24" t="s">
        <v>628</v>
      </c>
      <c r="C2903" s="25" t="s">
        <v>629</v>
      </c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229">
        <f t="shared" si="1196"/>
        <v>0</v>
      </c>
      <c r="AC2903" s="228">
        <f t="shared" si="1189"/>
        <v>0</v>
      </c>
      <c r="AD2903" s="19">
        <v>0</v>
      </c>
      <c r="AE2903" s="28"/>
      <c r="AF2903" s="28"/>
      <c r="AG2903" s="28"/>
      <c r="AH2903" s="28"/>
      <c r="AI2903" s="28"/>
      <c r="AJ2903" s="28">
        <f>100+34+11</f>
        <v>145</v>
      </c>
      <c r="AK2903" s="28"/>
      <c r="AL2903" s="28"/>
      <c r="AM2903" s="28"/>
      <c r="AN2903" s="28"/>
      <c r="AO2903" s="28"/>
      <c r="AP2903" s="28">
        <f>100+47+4</f>
        <v>151</v>
      </c>
      <c r="AQ2903" s="28"/>
      <c r="AR2903" s="28"/>
      <c r="AS2903" s="28"/>
      <c r="AT2903" s="28"/>
      <c r="AU2903" s="28"/>
      <c r="AV2903" s="28">
        <f>98+1</f>
        <v>99</v>
      </c>
      <c r="AW2903" s="28"/>
      <c r="AX2903" s="28"/>
      <c r="AY2903" s="28"/>
      <c r="AZ2903" s="28"/>
      <c r="BA2903" s="28"/>
      <c r="BB2903" s="28">
        <f>131+29+2</f>
        <v>162</v>
      </c>
      <c r="BC2903" s="229">
        <f t="shared" si="1197"/>
        <v>0</v>
      </c>
      <c r="BD2903" s="48">
        <f t="shared" si="1190"/>
        <v>557</v>
      </c>
      <c r="BE2903" s="19">
        <v>456</v>
      </c>
      <c r="BF2903" s="229">
        <f t="shared" si="1198"/>
        <v>0</v>
      </c>
      <c r="BG2903" s="210">
        <f t="shared" si="1191"/>
        <v>557</v>
      </c>
      <c r="BH2903" s="210">
        <f t="shared" si="1192"/>
        <v>456</v>
      </c>
      <c r="BI2903" s="213">
        <f t="shared" si="1188"/>
        <v>122.14912280701755</v>
      </c>
      <c r="BJ2903" s="141"/>
      <c r="BK2903" s="201"/>
      <c r="BL2903" s="4"/>
      <c r="BM2903" s="4"/>
    </row>
    <row r="2904" spans="1:65" s="38" customFormat="1" ht="18" customHeight="1">
      <c r="A2904" s="114">
        <v>58</v>
      </c>
      <c r="B2904" s="24" t="s">
        <v>983</v>
      </c>
      <c r="C2904" s="25" t="s">
        <v>1996</v>
      </c>
      <c r="D2904" s="121"/>
      <c r="E2904" s="121"/>
      <c r="F2904" s="121"/>
      <c r="G2904" s="121"/>
      <c r="H2904" s="121"/>
      <c r="I2904" s="121">
        <v>2</v>
      </c>
      <c r="J2904" s="121"/>
      <c r="K2904" s="121"/>
      <c r="L2904" s="121"/>
      <c r="M2904" s="121"/>
      <c r="N2904" s="121"/>
      <c r="O2904" s="121">
        <v>4</v>
      </c>
      <c r="P2904" s="121"/>
      <c r="Q2904" s="121"/>
      <c r="R2904" s="121"/>
      <c r="S2904" s="121"/>
      <c r="T2904" s="121"/>
      <c r="U2904" s="121">
        <v>3</v>
      </c>
      <c r="V2904" s="121"/>
      <c r="W2904" s="121"/>
      <c r="X2904" s="121"/>
      <c r="Y2904" s="121"/>
      <c r="Z2904" s="121"/>
      <c r="AA2904" s="121">
        <v>2</v>
      </c>
      <c r="AB2904" s="229">
        <f t="shared" si="1196"/>
        <v>0</v>
      </c>
      <c r="AC2904" s="228">
        <f t="shared" si="1189"/>
        <v>11</v>
      </c>
      <c r="AD2904" s="19">
        <v>5</v>
      </c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29">
        <f t="shared" si="1197"/>
        <v>0</v>
      </c>
      <c r="BD2904" s="48">
        <f t="shared" si="1190"/>
        <v>0</v>
      </c>
      <c r="BE2904" s="19">
        <v>0</v>
      </c>
      <c r="BF2904" s="229">
        <f t="shared" si="1198"/>
        <v>0</v>
      </c>
      <c r="BG2904" s="210">
        <f t="shared" si="1191"/>
        <v>11</v>
      </c>
      <c r="BH2904" s="210">
        <f t="shared" si="1192"/>
        <v>5</v>
      </c>
      <c r="BI2904" s="213">
        <f t="shared" si="1188"/>
        <v>220.00000000000003</v>
      </c>
      <c r="BJ2904" s="141"/>
      <c r="BK2904" s="201"/>
      <c r="BL2904" s="4"/>
      <c r="BM2904" s="4"/>
    </row>
    <row r="2905" spans="1:65" s="38" customFormat="1" ht="18" customHeight="1">
      <c r="A2905" s="114">
        <v>59</v>
      </c>
      <c r="B2905" s="24" t="s">
        <v>512</v>
      </c>
      <c r="C2905" s="25" t="s">
        <v>513</v>
      </c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229">
        <f t="shared" si="1196"/>
        <v>0</v>
      </c>
      <c r="AC2905" s="228">
        <f t="shared" si="1189"/>
        <v>0</v>
      </c>
      <c r="AD2905" s="21">
        <v>14</v>
      </c>
      <c r="AE2905" s="20"/>
      <c r="AF2905" s="20"/>
      <c r="AG2905" s="20"/>
      <c r="AH2905" s="20"/>
      <c r="AI2905" s="20"/>
      <c r="AJ2905" s="28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29">
        <f t="shared" si="1197"/>
        <v>0</v>
      </c>
      <c r="BD2905" s="48">
        <f t="shared" si="1190"/>
        <v>0</v>
      </c>
      <c r="BE2905" s="19">
        <v>0</v>
      </c>
      <c r="BF2905" s="229">
        <f t="shared" si="1198"/>
        <v>0</v>
      </c>
      <c r="BG2905" s="210">
        <f t="shared" si="1191"/>
        <v>0</v>
      </c>
      <c r="BH2905" s="210">
        <f t="shared" si="1192"/>
        <v>14</v>
      </c>
      <c r="BI2905" s="213">
        <f t="shared" si="1188"/>
        <v>0</v>
      </c>
      <c r="BJ2905" s="141"/>
      <c r="BK2905" s="201"/>
      <c r="BL2905" s="4"/>
      <c r="BM2905" s="4"/>
    </row>
    <row r="2906" spans="1:65" s="38" customFormat="1" ht="18" customHeight="1">
      <c r="A2906" s="114">
        <v>60</v>
      </c>
      <c r="B2906" s="24" t="s">
        <v>1133</v>
      </c>
      <c r="C2906" s="25" t="s">
        <v>1134</v>
      </c>
      <c r="D2906" s="121"/>
      <c r="E2906" s="121"/>
      <c r="F2906" s="121"/>
      <c r="G2906" s="121"/>
      <c r="H2906" s="121"/>
      <c r="I2906" s="121">
        <v>6</v>
      </c>
      <c r="J2906" s="121"/>
      <c r="K2906" s="121"/>
      <c r="L2906" s="121"/>
      <c r="M2906" s="121"/>
      <c r="N2906" s="121"/>
      <c r="O2906" s="121">
        <v>13</v>
      </c>
      <c r="P2906" s="121"/>
      <c r="Q2906" s="121"/>
      <c r="R2906" s="121"/>
      <c r="S2906" s="121"/>
      <c r="T2906" s="121"/>
      <c r="U2906" s="121">
        <v>56</v>
      </c>
      <c r="V2906" s="121"/>
      <c r="W2906" s="121"/>
      <c r="X2906" s="121"/>
      <c r="Y2906" s="121"/>
      <c r="Z2906" s="121"/>
      <c r="AA2906" s="121">
        <v>14</v>
      </c>
      <c r="AB2906" s="229">
        <f t="shared" si="1196"/>
        <v>0</v>
      </c>
      <c r="AC2906" s="228">
        <f t="shared" si="1189"/>
        <v>89</v>
      </c>
      <c r="AD2906" s="19">
        <v>72</v>
      </c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>
        <v>14</v>
      </c>
      <c r="AW2906" s="28"/>
      <c r="AX2906" s="28"/>
      <c r="AY2906" s="28"/>
      <c r="AZ2906" s="28"/>
      <c r="BA2906" s="28"/>
      <c r="BB2906" s="28">
        <v>9</v>
      </c>
      <c r="BC2906" s="229">
        <f t="shared" si="1197"/>
        <v>0</v>
      </c>
      <c r="BD2906" s="48">
        <f t="shared" si="1190"/>
        <v>23</v>
      </c>
      <c r="BE2906" s="19">
        <v>6</v>
      </c>
      <c r="BF2906" s="229">
        <f t="shared" si="1198"/>
        <v>0</v>
      </c>
      <c r="BG2906" s="210">
        <f t="shared" si="1191"/>
        <v>112</v>
      </c>
      <c r="BH2906" s="210">
        <f t="shared" si="1192"/>
        <v>78</v>
      </c>
      <c r="BI2906" s="213">
        <f t="shared" si="1188"/>
        <v>143.58974358974359</v>
      </c>
      <c r="BJ2906" s="141"/>
      <c r="BK2906" s="201"/>
      <c r="BL2906" s="4"/>
      <c r="BM2906" s="4"/>
    </row>
    <row r="2907" spans="1:65" s="38" customFormat="1" ht="18" customHeight="1">
      <c r="A2907" s="114">
        <v>61</v>
      </c>
      <c r="B2907" s="24" t="s">
        <v>766</v>
      </c>
      <c r="C2907" s="25" t="s">
        <v>767</v>
      </c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229">
        <f t="shared" si="1196"/>
        <v>0</v>
      </c>
      <c r="AC2907" s="228">
        <f t="shared" si="1189"/>
        <v>0</v>
      </c>
      <c r="AD2907" s="19">
        <v>0</v>
      </c>
      <c r="AE2907" s="28"/>
      <c r="AF2907" s="28"/>
      <c r="AG2907" s="28"/>
      <c r="AH2907" s="28"/>
      <c r="AI2907" s="28"/>
      <c r="AJ2907" s="28">
        <v>1</v>
      </c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>
        <v>3</v>
      </c>
      <c r="AW2907" s="28"/>
      <c r="AX2907" s="28"/>
      <c r="AY2907" s="28"/>
      <c r="AZ2907" s="28"/>
      <c r="BA2907" s="28"/>
      <c r="BB2907" s="28">
        <f>1+1</f>
        <v>2</v>
      </c>
      <c r="BC2907" s="229">
        <f t="shared" si="1197"/>
        <v>0</v>
      </c>
      <c r="BD2907" s="48">
        <f t="shared" si="1190"/>
        <v>6</v>
      </c>
      <c r="BE2907" s="19">
        <v>2</v>
      </c>
      <c r="BF2907" s="229">
        <f t="shared" si="1198"/>
        <v>0</v>
      </c>
      <c r="BG2907" s="210">
        <f t="shared" si="1191"/>
        <v>6</v>
      </c>
      <c r="BH2907" s="210">
        <f t="shared" si="1192"/>
        <v>2</v>
      </c>
      <c r="BI2907" s="213">
        <f t="shared" si="1188"/>
        <v>300</v>
      </c>
      <c r="BJ2907" s="141"/>
      <c r="BK2907" s="201"/>
      <c r="BL2907" s="4"/>
      <c r="BM2907" s="4"/>
    </row>
    <row r="2908" spans="1:65" s="38" customFormat="1" ht="18" customHeight="1">
      <c r="A2908" s="114">
        <v>62</v>
      </c>
      <c r="B2908" s="24" t="s">
        <v>768</v>
      </c>
      <c r="C2908" s="25" t="s">
        <v>769</v>
      </c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229">
        <f t="shared" si="1196"/>
        <v>0</v>
      </c>
      <c r="AC2908" s="228">
        <f t="shared" si="1189"/>
        <v>0</v>
      </c>
      <c r="AD2908" s="19">
        <v>0</v>
      </c>
      <c r="AE2908" s="28"/>
      <c r="AF2908" s="28"/>
      <c r="AG2908" s="28"/>
      <c r="AH2908" s="28"/>
      <c r="AI2908" s="28"/>
      <c r="AJ2908" s="28">
        <f>64+1</f>
        <v>65</v>
      </c>
      <c r="AK2908" s="28"/>
      <c r="AL2908" s="28"/>
      <c r="AM2908" s="28"/>
      <c r="AN2908" s="28"/>
      <c r="AO2908" s="28"/>
      <c r="AP2908" s="28">
        <f>43+3+1</f>
        <v>47</v>
      </c>
      <c r="AQ2908" s="28"/>
      <c r="AR2908" s="28"/>
      <c r="AS2908" s="28"/>
      <c r="AT2908" s="28"/>
      <c r="AU2908" s="28"/>
      <c r="AV2908" s="28">
        <f>38+5</f>
        <v>43</v>
      </c>
      <c r="AW2908" s="28"/>
      <c r="AX2908" s="28"/>
      <c r="AY2908" s="28"/>
      <c r="AZ2908" s="28"/>
      <c r="BA2908" s="28"/>
      <c r="BB2908" s="28">
        <f>41+4+1</f>
        <v>46</v>
      </c>
      <c r="BC2908" s="229">
        <f t="shared" si="1197"/>
        <v>0</v>
      </c>
      <c r="BD2908" s="48">
        <f t="shared" si="1190"/>
        <v>201</v>
      </c>
      <c r="BE2908" s="19">
        <v>175</v>
      </c>
      <c r="BF2908" s="229">
        <f t="shared" si="1198"/>
        <v>0</v>
      </c>
      <c r="BG2908" s="210">
        <f t="shared" si="1191"/>
        <v>201</v>
      </c>
      <c r="BH2908" s="210">
        <f t="shared" si="1192"/>
        <v>175</v>
      </c>
      <c r="BI2908" s="213">
        <f t="shared" si="1188"/>
        <v>114.85714285714286</v>
      </c>
      <c r="BJ2908" s="141"/>
      <c r="BK2908" s="201"/>
      <c r="BL2908" s="4"/>
      <c r="BM2908" s="4"/>
    </row>
    <row r="2909" spans="1:65" s="38" customFormat="1" ht="18" customHeight="1">
      <c r="A2909" s="114">
        <v>63</v>
      </c>
      <c r="B2909" s="24" t="s">
        <v>630</v>
      </c>
      <c r="C2909" s="25" t="s">
        <v>631</v>
      </c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229">
        <f t="shared" si="1196"/>
        <v>0</v>
      </c>
      <c r="AC2909" s="228">
        <f t="shared" si="1189"/>
        <v>0</v>
      </c>
      <c r="AD2909" s="19">
        <v>0</v>
      </c>
      <c r="AE2909" s="28"/>
      <c r="AF2909" s="28"/>
      <c r="AG2909" s="28"/>
      <c r="AH2909" s="28"/>
      <c r="AI2909" s="28"/>
      <c r="AJ2909" s="28">
        <v>1</v>
      </c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>
        <f>2+1</f>
        <v>3</v>
      </c>
      <c r="AW2909" s="28"/>
      <c r="AX2909" s="28"/>
      <c r="AY2909" s="28"/>
      <c r="AZ2909" s="28"/>
      <c r="BA2909" s="28"/>
      <c r="BB2909" s="28">
        <f>1+1</f>
        <v>2</v>
      </c>
      <c r="BC2909" s="229">
        <f t="shared" si="1197"/>
        <v>0</v>
      </c>
      <c r="BD2909" s="48">
        <f t="shared" si="1190"/>
        <v>6</v>
      </c>
      <c r="BE2909" s="19">
        <v>1</v>
      </c>
      <c r="BF2909" s="229">
        <f t="shared" si="1198"/>
        <v>0</v>
      </c>
      <c r="BG2909" s="210">
        <f t="shared" si="1191"/>
        <v>6</v>
      </c>
      <c r="BH2909" s="210">
        <f t="shared" si="1192"/>
        <v>1</v>
      </c>
      <c r="BI2909" s="213">
        <f t="shared" si="1188"/>
        <v>600</v>
      </c>
      <c r="BJ2909" s="141"/>
      <c r="BK2909" s="201"/>
      <c r="BL2909" s="4"/>
      <c r="BM2909" s="4"/>
    </row>
    <row r="2910" spans="1:65" s="38" customFormat="1" ht="18" customHeight="1">
      <c r="A2910" s="114">
        <v>64</v>
      </c>
      <c r="B2910" s="24" t="s">
        <v>1009</v>
      </c>
      <c r="C2910" s="25" t="s">
        <v>2423</v>
      </c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229">
        <f t="shared" si="1196"/>
        <v>0</v>
      </c>
      <c r="AC2910" s="228">
        <f t="shared" si="1189"/>
        <v>0</v>
      </c>
      <c r="AD2910" s="19">
        <v>0</v>
      </c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29">
        <f t="shared" si="1197"/>
        <v>0</v>
      </c>
      <c r="BD2910" s="48">
        <f t="shared" si="1190"/>
        <v>0</v>
      </c>
      <c r="BE2910" s="19">
        <v>1</v>
      </c>
      <c r="BF2910" s="229">
        <f t="shared" si="1198"/>
        <v>0</v>
      </c>
      <c r="BG2910" s="210">
        <f t="shared" si="1191"/>
        <v>0</v>
      </c>
      <c r="BH2910" s="210">
        <f t="shared" si="1192"/>
        <v>1</v>
      </c>
      <c r="BI2910" s="213">
        <f t="shared" si="1188"/>
        <v>0</v>
      </c>
      <c r="BJ2910" s="141"/>
      <c r="BK2910" s="201"/>
      <c r="BL2910" s="4"/>
      <c r="BM2910" s="4"/>
    </row>
    <row r="2911" spans="1:65" s="38" customFormat="1" ht="18" customHeight="1">
      <c r="A2911" s="114">
        <v>65</v>
      </c>
      <c r="B2911" s="24" t="s">
        <v>632</v>
      </c>
      <c r="C2911" s="25" t="s">
        <v>633</v>
      </c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>
        <v>3</v>
      </c>
      <c r="V2911" s="121"/>
      <c r="W2911" s="121"/>
      <c r="X2911" s="121"/>
      <c r="Y2911" s="121"/>
      <c r="Z2911" s="121"/>
      <c r="AA2911" s="121"/>
      <c r="AB2911" s="229">
        <f t="shared" si="1196"/>
        <v>0</v>
      </c>
      <c r="AC2911" s="228">
        <f t="shared" si="1189"/>
        <v>3</v>
      </c>
      <c r="AD2911" s="19">
        <v>0</v>
      </c>
      <c r="AE2911" s="28"/>
      <c r="AF2911" s="28"/>
      <c r="AG2911" s="28"/>
      <c r="AH2911" s="28"/>
      <c r="AI2911" s="28"/>
      <c r="AJ2911" s="28">
        <v>22</v>
      </c>
      <c r="AK2911" s="28"/>
      <c r="AL2911" s="28"/>
      <c r="AM2911" s="28"/>
      <c r="AN2911" s="28"/>
      <c r="AO2911" s="28"/>
      <c r="AP2911" s="28">
        <v>20</v>
      </c>
      <c r="AQ2911" s="28"/>
      <c r="AR2911" s="28"/>
      <c r="AS2911" s="28"/>
      <c r="AT2911" s="28"/>
      <c r="AU2911" s="28"/>
      <c r="AV2911" s="28">
        <v>4</v>
      </c>
      <c r="AW2911" s="28"/>
      <c r="AX2911" s="28"/>
      <c r="AY2911" s="28"/>
      <c r="AZ2911" s="28"/>
      <c r="BA2911" s="28"/>
      <c r="BB2911" s="28">
        <f>11+2</f>
        <v>13</v>
      </c>
      <c r="BC2911" s="229">
        <f t="shared" si="1197"/>
        <v>0</v>
      </c>
      <c r="BD2911" s="48">
        <f t="shared" si="1190"/>
        <v>59</v>
      </c>
      <c r="BE2911" s="19">
        <v>20</v>
      </c>
      <c r="BF2911" s="229">
        <f t="shared" si="1198"/>
        <v>0</v>
      </c>
      <c r="BG2911" s="210">
        <f t="shared" si="1191"/>
        <v>62</v>
      </c>
      <c r="BH2911" s="210">
        <f t="shared" si="1192"/>
        <v>20</v>
      </c>
      <c r="BI2911" s="213">
        <f t="shared" ref="BI2911:BI2940" si="1199">BG2911/BH2911*100</f>
        <v>310</v>
      </c>
      <c r="BJ2911" s="141"/>
      <c r="BK2911" s="201"/>
      <c r="BL2911" s="4"/>
      <c r="BM2911" s="4"/>
    </row>
    <row r="2912" spans="1:65" s="38" customFormat="1" ht="18" customHeight="1">
      <c r="A2912" s="114">
        <v>66</v>
      </c>
      <c r="B2912" s="24" t="s">
        <v>634</v>
      </c>
      <c r="C2912" s="25" t="s">
        <v>696</v>
      </c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229">
        <f t="shared" si="1196"/>
        <v>0</v>
      </c>
      <c r="AC2912" s="228">
        <f t="shared" ref="AC2912:AC2940" si="1200">E2912+G2912+I2912+K2912+M2912+O2912+Q2912+S2912+U2912+W2912+Y2912+AA2912</f>
        <v>0</v>
      </c>
      <c r="AD2912" s="19">
        <v>0</v>
      </c>
      <c r="AE2912" s="28"/>
      <c r="AF2912" s="28"/>
      <c r="AG2912" s="28"/>
      <c r="AH2912" s="28"/>
      <c r="AI2912" s="28"/>
      <c r="AJ2912" s="28">
        <f>13+53</f>
        <v>66</v>
      </c>
      <c r="AK2912" s="28"/>
      <c r="AL2912" s="28"/>
      <c r="AM2912" s="28"/>
      <c r="AN2912" s="28"/>
      <c r="AO2912" s="28"/>
      <c r="AP2912" s="28">
        <f>12+8</f>
        <v>20</v>
      </c>
      <c r="AQ2912" s="28"/>
      <c r="AR2912" s="28"/>
      <c r="AS2912" s="28"/>
      <c r="AT2912" s="28"/>
      <c r="AU2912" s="28"/>
      <c r="AV2912" s="28">
        <f>3+7</f>
        <v>10</v>
      </c>
      <c r="AW2912" s="28"/>
      <c r="AX2912" s="28"/>
      <c r="AY2912" s="28"/>
      <c r="AZ2912" s="28"/>
      <c r="BA2912" s="28"/>
      <c r="BB2912" s="28">
        <f>9+6</f>
        <v>15</v>
      </c>
      <c r="BC2912" s="229">
        <f t="shared" si="1197"/>
        <v>0</v>
      </c>
      <c r="BD2912" s="48">
        <f t="shared" ref="BD2912:BD2940" si="1201">AF2912+AH2912+AJ2912+AL2912+AN2912+AP2912+AR2912+AT2912+AV2912+AX2912+AZ2912+BB2912</f>
        <v>111</v>
      </c>
      <c r="BE2912" s="19">
        <v>50</v>
      </c>
      <c r="BF2912" s="229">
        <f t="shared" si="1198"/>
        <v>0</v>
      </c>
      <c r="BG2912" s="210">
        <f t="shared" ref="BG2912:BG2940" si="1202">AC2912+BD2912</f>
        <v>111</v>
      </c>
      <c r="BH2912" s="210">
        <f t="shared" ref="BH2912:BH2940" si="1203">AD2912+BE2912</f>
        <v>50</v>
      </c>
      <c r="BI2912" s="213">
        <f t="shared" si="1199"/>
        <v>222.00000000000003</v>
      </c>
      <c r="BJ2912" s="141"/>
      <c r="BK2912" s="201"/>
      <c r="BL2912" s="4"/>
      <c r="BM2912" s="4"/>
    </row>
    <row r="2913" spans="1:65" s="38" customFormat="1" ht="18" customHeight="1">
      <c r="A2913" s="114">
        <v>67</v>
      </c>
      <c r="B2913" s="24" t="s">
        <v>1056</v>
      </c>
      <c r="C2913" s="25" t="s">
        <v>1057</v>
      </c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>
        <v>3</v>
      </c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229">
        <f t="shared" si="1196"/>
        <v>0</v>
      </c>
      <c r="AC2913" s="228">
        <f t="shared" si="1200"/>
        <v>3</v>
      </c>
      <c r="AD2913" s="19">
        <v>12</v>
      </c>
      <c r="AE2913" s="28"/>
      <c r="AF2913" s="28"/>
      <c r="AG2913" s="28"/>
      <c r="AH2913" s="28"/>
      <c r="AI2913" s="28"/>
      <c r="AJ2913" s="28">
        <f>67+3+18</f>
        <v>88</v>
      </c>
      <c r="AK2913" s="28"/>
      <c r="AL2913" s="28"/>
      <c r="AM2913" s="28"/>
      <c r="AN2913" s="28"/>
      <c r="AO2913" s="28"/>
      <c r="AP2913" s="28">
        <f>52+15</f>
        <v>67</v>
      </c>
      <c r="AQ2913" s="28"/>
      <c r="AR2913" s="28"/>
      <c r="AS2913" s="28"/>
      <c r="AT2913" s="28"/>
      <c r="AU2913" s="28"/>
      <c r="AV2913" s="28">
        <f>24+55</f>
        <v>79</v>
      </c>
      <c r="AW2913" s="28"/>
      <c r="AX2913" s="28"/>
      <c r="AY2913" s="28"/>
      <c r="AZ2913" s="28"/>
      <c r="BA2913" s="28"/>
      <c r="BB2913" s="28">
        <f>73+39</f>
        <v>112</v>
      </c>
      <c r="BC2913" s="229">
        <f t="shared" si="1197"/>
        <v>0</v>
      </c>
      <c r="BD2913" s="48">
        <f t="shared" si="1201"/>
        <v>346</v>
      </c>
      <c r="BE2913" s="19">
        <v>396</v>
      </c>
      <c r="BF2913" s="229">
        <f t="shared" si="1198"/>
        <v>0</v>
      </c>
      <c r="BG2913" s="210">
        <f t="shared" si="1202"/>
        <v>349</v>
      </c>
      <c r="BH2913" s="210">
        <f t="shared" si="1203"/>
        <v>408</v>
      </c>
      <c r="BI2913" s="213">
        <f t="shared" si="1199"/>
        <v>85.539215686274503</v>
      </c>
      <c r="BJ2913" s="141"/>
      <c r="BK2913" s="201"/>
      <c r="BL2913" s="4"/>
      <c r="BM2913" s="4"/>
    </row>
    <row r="2914" spans="1:65" s="38" customFormat="1" ht="20.100000000000001" customHeight="1">
      <c r="A2914" s="114">
        <v>68</v>
      </c>
      <c r="B2914" s="24" t="s">
        <v>636</v>
      </c>
      <c r="C2914" s="25" t="s">
        <v>637</v>
      </c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>
        <v>2</v>
      </c>
      <c r="AB2914" s="229">
        <f t="shared" si="1196"/>
        <v>0</v>
      </c>
      <c r="AC2914" s="228">
        <f t="shared" si="1200"/>
        <v>2</v>
      </c>
      <c r="AD2914" s="19">
        <v>0</v>
      </c>
      <c r="AE2914" s="28"/>
      <c r="AF2914" s="28"/>
      <c r="AG2914" s="28"/>
      <c r="AH2914" s="28"/>
      <c r="AI2914" s="28"/>
      <c r="AJ2914" s="28">
        <v>2</v>
      </c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>
        <v>1</v>
      </c>
      <c r="BC2914" s="229">
        <f t="shared" si="1197"/>
        <v>0</v>
      </c>
      <c r="BD2914" s="48">
        <f t="shared" si="1201"/>
        <v>3</v>
      </c>
      <c r="BE2914" s="19">
        <v>0</v>
      </c>
      <c r="BF2914" s="229">
        <f t="shared" si="1198"/>
        <v>0</v>
      </c>
      <c r="BG2914" s="210">
        <f t="shared" si="1202"/>
        <v>5</v>
      </c>
      <c r="BH2914" s="210">
        <f t="shared" si="1203"/>
        <v>0</v>
      </c>
      <c r="BI2914" s="213" t="e">
        <f t="shared" si="1199"/>
        <v>#DIV/0!</v>
      </c>
      <c r="BJ2914" s="141"/>
      <c r="BK2914" s="201"/>
      <c r="BL2914" s="4"/>
      <c r="BM2914" s="4"/>
    </row>
    <row r="2915" spans="1:65" s="38" customFormat="1" ht="20.100000000000001" customHeight="1">
      <c r="A2915" s="114">
        <v>69</v>
      </c>
      <c r="B2915" s="24" t="s">
        <v>638</v>
      </c>
      <c r="C2915" s="252" t="s">
        <v>639</v>
      </c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>
        <v>2</v>
      </c>
      <c r="AB2915" s="229">
        <f t="shared" si="1196"/>
        <v>0</v>
      </c>
      <c r="AC2915" s="228">
        <f t="shared" si="1200"/>
        <v>2</v>
      </c>
      <c r="AD2915" s="19">
        <v>0</v>
      </c>
      <c r="AE2915" s="28"/>
      <c r="AF2915" s="28"/>
      <c r="AG2915" s="28"/>
      <c r="AH2915" s="28"/>
      <c r="AI2915" s="28"/>
      <c r="AJ2915" s="28">
        <v>2</v>
      </c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>
        <v>1</v>
      </c>
      <c r="BC2915" s="229">
        <f t="shared" si="1197"/>
        <v>0</v>
      </c>
      <c r="BD2915" s="48">
        <f t="shared" si="1201"/>
        <v>3</v>
      </c>
      <c r="BE2915" s="19">
        <v>0</v>
      </c>
      <c r="BF2915" s="229">
        <f t="shared" si="1198"/>
        <v>0</v>
      </c>
      <c r="BG2915" s="210">
        <f t="shared" si="1202"/>
        <v>5</v>
      </c>
      <c r="BH2915" s="210">
        <f t="shared" si="1203"/>
        <v>0</v>
      </c>
      <c r="BI2915" s="213" t="e">
        <f t="shared" si="1199"/>
        <v>#DIV/0!</v>
      </c>
      <c r="BJ2915" s="141"/>
      <c r="BK2915" s="201"/>
      <c r="BL2915" s="4"/>
      <c r="BM2915" s="4"/>
    </row>
    <row r="2916" spans="1:65" s="38" customFormat="1" ht="18" customHeight="1">
      <c r="A2916" s="114">
        <v>70</v>
      </c>
      <c r="B2916" s="24" t="s">
        <v>643</v>
      </c>
      <c r="C2916" s="183" t="s">
        <v>722</v>
      </c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229">
        <f t="shared" si="1196"/>
        <v>0</v>
      </c>
      <c r="AC2916" s="228">
        <f t="shared" si="1200"/>
        <v>0</v>
      </c>
      <c r="AD2916" s="19">
        <v>0</v>
      </c>
      <c r="AE2916" s="28"/>
      <c r="AF2916" s="28"/>
      <c r="AG2916" s="28"/>
      <c r="AH2916" s="28"/>
      <c r="AI2916" s="28"/>
      <c r="AJ2916" s="28">
        <f>6+7+40</f>
        <v>53</v>
      </c>
      <c r="AK2916" s="28"/>
      <c r="AL2916" s="28"/>
      <c r="AM2916" s="28"/>
      <c r="AN2916" s="28"/>
      <c r="AO2916" s="28"/>
      <c r="AP2916" s="28">
        <f>1+1</f>
        <v>2</v>
      </c>
      <c r="AQ2916" s="28"/>
      <c r="AR2916" s="28"/>
      <c r="AS2916" s="28"/>
      <c r="AT2916" s="28"/>
      <c r="AU2916" s="28"/>
      <c r="AV2916" s="28">
        <v>3</v>
      </c>
      <c r="AW2916" s="28"/>
      <c r="AX2916" s="28"/>
      <c r="AY2916" s="28"/>
      <c r="AZ2916" s="28"/>
      <c r="BA2916" s="28"/>
      <c r="BB2916" s="28">
        <v>5</v>
      </c>
      <c r="BC2916" s="229">
        <f t="shared" si="1197"/>
        <v>0</v>
      </c>
      <c r="BD2916" s="48">
        <f t="shared" si="1201"/>
        <v>63</v>
      </c>
      <c r="BE2916" s="19">
        <v>14</v>
      </c>
      <c r="BF2916" s="229">
        <f t="shared" si="1198"/>
        <v>0</v>
      </c>
      <c r="BG2916" s="210">
        <f t="shared" si="1202"/>
        <v>63</v>
      </c>
      <c r="BH2916" s="210">
        <f t="shared" si="1203"/>
        <v>14</v>
      </c>
      <c r="BI2916" s="213">
        <f t="shared" si="1199"/>
        <v>450</v>
      </c>
      <c r="BJ2916" s="141"/>
      <c r="BK2916" s="201"/>
      <c r="BL2916" s="4"/>
      <c r="BM2916" s="4"/>
    </row>
    <row r="2917" spans="1:65" s="38" customFormat="1" ht="18" customHeight="1">
      <c r="A2917" s="114">
        <v>71</v>
      </c>
      <c r="B2917" s="24" t="s">
        <v>773</v>
      </c>
      <c r="C2917" s="25" t="s">
        <v>1159</v>
      </c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229">
        <f t="shared" si="1196"/>
        <v>0</v>
      </c>
      <c r="AC2917" s="228">
        <f t="shared" si="1200"/>
        <v>0</v>
      </c>
      <c r="AD2917" s="19">
        <v>0</v>
      </c>
      <c r="AE2917" s="28"/>
      <c r="AF2917" s="28"/>
      <c r="AG2917" s="28"/>
      <c r="AH2917" s="28"/>
      <c r="AI2917" s="28"/>
      <c r="AJ2917" s="28">
        <v>8</v>
      </c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29">
        <f t="shared" si="1197"/>
        <v>0</v>
      </c>
      <c r="BD2917" s="48">
        <f t="shared" si="1201"/>
        <v>8</v>
      </c>
      <c r="BE2917" s="19">
        <v>3</v>
      </c>
      <c r="BF2917" s="229">
        <f t="shared" si="1198"/>
        <v>0</v>
      </c>
      <c r="BG2917" s="210">
        <f t="shared" si="1202"/>
        <v>8</v>
      </c>
      <c r="BH2917" s="210">
        <f t="shared" si="1203"/>
        <v>3</v>
      </c>
      <c r="BI2917" s="213">
        <f t="shared" si="1199"/>
        <v>266.66666666666663</v>
      </c>
      <c r="BJ2917" s="141"/>
      <c r="BK2917" s="201"/>
      <c r="BL2917" s="4"/>
      <c r="BM2917" s="4"/>
    </row>
    <row r="2918" spans="1:65" s="38" customFormat="1" ht="18" customHeight="1">
      <c r="A2918" s="114">
        <v>72</v>
      </c>
      <c r="B2918" s="24" t="s">
        <v>644</v>
      </c>
      <c r="C2918" s="25" t="s">
        <v>645</v>
      </c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229">
        <f t="shared" si="1196"/>
        <v>0</v>
      </c>
      <c r="AC2918" s="228">
        <f t="shared" si="1200"/>
        <v>0</v>
      </c>
      <c r="AD2918" s="19">
        <v>0</v>
      </c>
      <c r="AE2918" s="28"/>
      <c r="AF2918" s="28"/>
      <c r="AG2918" s="28"/>
      <c r="AH2918" s="28"/>
      <c r="AI2918" s="28"/>
      <c r="AJ2918" s="28">
        <f>3+13</f>
        <v>16</v>
      </c>
      <c r="AK2918" s="28"/>
      <c r="AL2918" s="28"/>
      <c r="AM2918" s="28"/>
      <c r="AN2918" s="28"/>
      <c r="AO2918" s="28"/>
      <c r="AP2918" s="28">
        <v>3</v>
      </c>
      <c r="AQ2918" s="28"/>
      <c r="AR2918" s="28"/>
      <c r="AS2918" s="28"/>
      <c r="AT2918" s="28"/>
      <c r="AU2918" s="28"/>
      <c r="AV2918" s="28">
        <v>1</v>
      </c>
      <c r="AW2918" s="28"/>
      <c r="AX2918" s="28"/>
      <c r="AY2918" s="28"/>
      <c r="AZ2918" s="28"/>
      <c r="BA2918" s="28"/>
      <c r="BB2918" s="28">
        <v>5</v>
      </c>
      <c r="BC2918" s="229">
        <f t="shared" si="1197"/>
        <v>0</v>
      </c>
      <c r="BD2918" s="48">
        <f t="shared" si="1201"/>
        <v>25</v>
      </c>
      <c r="BE2918" s="19">
        <v>18</v>
      </c>
      <c r="BF2918" s="229">
        <f t="shared" si="1198"/>
        <v>0</v>
      </c>
      <c r="BG2918" s="210">
        <f t="shared" si="1202"/>
        <v>25</v>
      </c>
      <c r="BH2918" s="210">
        <f t="shared" si="1203"/>
        <v>18</v>
      </c>
      <c r="BI2918" s="213">
        <f t="shared" si="1199"/>
        <v>138.88888888888889</v>
      </c>
      <c r="BJ2918" s="141"/>
      <c r="BK2918" s="201"/>
      <c r="BL2918" s="4"/>
      <c r="BM2918" s="4"/>
    </row>
    <row r="2919" spans="1:65" s="38" customFormat="1" ht="18" customHeight="1">
      <c r="A2919" s="114">
        <v>73</v>
      </c>
      <c r="B2919" s="24" t="s">
        <v>646</v>
      </c>
      <c r="C2919" s="25" t="s">
        <v>647</v>
      </c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229">
        <f t="shared" si="1196"/>
        <v>0</v>
      </c>
      <c r="AC2919" s="228">
        <f t="shared" si="1200"/>
        <v>0</v>
      </c>
      <c r="AD2919" s="19">
        <v>0</v>
      </c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29">
        <f t="shared" si="1197"/>
        <v>0</v>
      </c>
      <c r="BD2919" s="48">
        <f t="shared" si="1201"/>
        <v>0</v>
      </c>
      <c r="BE2919" s="19">
        <v>1</v>
      </c>
      <c r="BF2919" s="229">
        <f t="shared" si="1198"/>
        <v>0</v>
      </c>
      <c r="BG2919" s="210">
        <f t="shared" si="1202"/>
        <v>0</v>
      </c>
      <c r="BH2919" s="210">
        <f t="shared" si="1203"/>
        <v>1</v>
      </c>
      <c r="BI2919" s="213">
        <f t="shared" si="1199"/>
        <v>0</v>
      </c>
      <c r="BJ2919" s="141"/>
      <c r="BK2919" s="201"/>
      <c r="BL2919" s="4"/>
      <c r="BM2919" s="4"/>
    </row>
    <row r="2920" spans="1:65" s="38" customFormat="1" ht="18" customHeight="1">
      <c r="A2920" s="114">
        <v>74</v>
      </c>
      <c r="B2920" s="24" t="s">
        <v>648</v>
      </c>
      <c r="C2920" s="25" t="s">
        <v>649</v>
      </c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229">
        <f t="shared" si="1196"/>
        <v>0</v>
      </c>
      <c r="AC2920" s="228">
        <f t="shared" si="1200"/>
        <v>0</v>
      </c>
      <c r="AD2920" s="19">
        <v>0</v>
      </c>
      <c r="AE2920" s="28"/>
      <c r="AF2920" s="28"/>
      <c r="AG2920" s="28"/>
      <c r="AH2920" s="28"/>
      <c r="AI2920" s="28"/>
      <c r="AJ2920" s="28">
        <v>1</v>
      </c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29">
        <f t="shared" si="1197"/>
        <v>0</v>
      </c>
      <c r="BD2920" s="48">
        <f t="shared" si="1201"/>
        <v>1</v>
      </c>
      <c r="BE2920" s="19">
        <v>0</v>
      </c>
      <c r="BF2920" s="229">
        <f t="shared" si="1198"/>
        <v>0</v>
      </c>
      <c r="BG2920" s="210">
        <f t="shared" si="1202"/>
        <v>1</v>
      </c>
      <c r="BH2920" s="210">
        <f t="shared" si="1203"/>
        <v>0</v>
      </c>
      <c r="BI2920" s="213" t="e">
        <f t="shared" si="1199"/>
        <v>#DIV/0!</v>
      </c>
      <c r="BJ2920" s="141"/>
      <c r="BK2920" s="201"/>
      <c r="BL2920" s="4"/>
      <c r="BM2920" s="4"/>
    </row>
    <row r="2921" spans="1:65" s="38" customFormat="1" ht="18" customHeight="1">
      <c r="A2921" s="114">
        <v>75</v>
      </c>
      <c r="B2921" s="24" t="s">
        <v>835</v>
      </c>
      <c r="C2921" s="25" t="s">
        <v>1962</v>
      </c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229">
        <f t="shared" si="1196"/>
        <v>0</v>
      </c>
      <c r="AC2921" s="228">
        <f t="shared" si="1200"/>
        <v>0</v>
      </c>
      <c r="AD2921" s="19">
        <v>0</v>
      </c>
      <c r="AE2921" s="28"/>
      <c r="AF2921" s="28"/>
      <c r="AG2921" s="28"/>
      <c r="AH2921" s="28"/>
      <c r="AI2921" s="28"/>
      <c r="AJ2921" s="28">
        <v>2</v>
      </c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29">
        <f t="shared" si="1197"/>
        <v>0</v>
      </c>
      <c r="BD2921" s="48">
        <f t="shared" si="1201"/>
        <v>2</v>
      </c>
      <c r="BE2921" s="19">
        <v>0</v>
      </c>
      <c r="BF2921" s="229">
        <f t="shared" si="1198"/>
        <v>0</v>
      </c>
      <c r="BG2921" s="210">
        <f t="shared" si="1202"/>
        <v>2</v>
      </c>
      <c r="BH2921" s="210">
        <f t="shared" si="1203"/>
        <v>0</v>
      </c>
      <c r="BI2921" s="213" t="e">
        <f t="shared" si="1199"/>
        <v>#DIV/0!</v>
      </c>
      <c r="BJ2921" s="141"/>
      <c r="BK2921" s="201"/>
      <c r="BL2921" s="4"/>
      <c r="BM2921" s="4"/>
    </row>
    <row r="2922" spans="1:65" s="38" customFormat="1" ht="18" customHeight="1">
      <c r="A2922" s="114">
        <v>76</v>
      </c>
      <c r="B2922" s="24" t="s">
        <v>892</v>
      </c>
      <c r="C2922" s="25" t="s">
        <v>893</v>
      </c>
      <c r="D2922" s="121"/>
      <c r="E2922" s="121"/>
      <c r="F2922" s="121"/>
      <c r="G2922" s="121"/>
      <c r="H2922" s="121"/>
      <c r="I2922" s="121">
        <f>6+124</f>
        <v>130</v>
      </c>
      <c r="J2922" s="121"/>
      <c r="K2922" s="121"/>
      <c r="L2922" s="121"/>
      <c r="M2922" s="121"/>
      <c r="N2922" s="121"/>
      <c r="O2922" s="121">
        <f>12+106</f>
        <v>118</v>
      </c>
      <c r="P2922" s="121"/>
      <c r="Q2922" s="121"/>
      <c r="R2922" s="121"/>
      <c r="S2922" s="121"/>
      <c r="T2922" s="121"/>
      <c r="U2922" s="121">
        <f>7+107</f>
        <v>114</v>
      </c>
      <c r="V2922" s="121"/>
      <c r="W2922" s="121"/>
      <c r="X2922" s="121"/>
      <c r="Y2922" s="121"/>
      <c r="Z2922" s="121"/>
      <c r="AA2922" s="121">
        <f>14+208</f>
        <v>222</v>
      </c>
      <c r="AB2922" s="229">
        <f t="shared" si="1196"/>
        <v>0</v>
      </c>
      <c r="AC2922" s="228">
        <f t="shared" si="1200"/>
        <v>584</v>
      </c>
      <c r="AD2922" s="19">
        <v>392</v>
      </c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>
        <v>1</v>
      </c>
      <c r="AW2922" s="28"/>
      <c r="AX2922" s="28"/>
      <c r="AY2922" s="28"/>
      <c r="AZ2922" s="28"/>
      <c r="BA2922" s="28"/>
      <c r="BB2922" s="28"/>
      <c r="BC2922" s="229">
        <f t="shared" si="1197"/>
        <v>0</v>
      </c>
      <c r="BD2922" s="48">
        <f t="shared" si="1201"/>
        <v>1</v>
      </c>
      <c r="BE2922" s="19">
        <v>6</v>
      </c>
      <c r="BF2922" s="229">
        <f t="shared" si="1198"/>
        <v>0</v>
      </c>
      <c r="BG2922" s="210">
        <f t="shared" si="1202"/>
        <v>585</v>
      </c>
      <c r="BH2922" s="210">
        <f t="shared" si="1203"/>
        <v>398</v>
      </c>
      <c r="BI2922" s="213">
        <f t="shared" si="1199"/>
        <v>146.98492462311557</v>
      </c>
      <c r="BJ2922" s="141"/>
      <c r="BK2922" s="201"/>
      <c r="BL2922" s="4"/>
      <c r="BM2922" s="4"/>
    </row>
    <row r="2923" spans="1:65" s="38" customFormat="1" ht="18" customHeight="1">
      <c r="A2923" s="114">
        <v>77</v>
      </c>
      <c r="B2923" s="24" t="s">
        <v>651</v>
      </c>
      <c r="C2923" s="25" t="s">
        <v>1453</v>
      </c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229">
        <f t="shared" si="1196"/>
        <v>0</v>
      </c>
      <c r="AC2923" s="228">
        <f t="shared" si="1200"/>
        <v>0</v>
      </c>
      <c r="AD2923" s="19">
        <v>0</v>
      </c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29">
        <f t="shared" si="1197"/>
        <v>0</v>
      </c>
      <c r="BD2923" s="48">
        <f t="shared" si="1201"/>
        <v>0</v>
      </c>
      <c r="BE2923" s="19">
        <v>1</v>
      </c>
      <c r="BF2923" s="229">
        <f t="shared" si="1198"/>
        <v>0</v>
      </c>
      <c r="BG2923" s="210">
        <f t="shared" si="1202"/>
        <v>0</v>
      </c>
      <c r="BH2923" s="210">
        <f t="shared" si="1203"/>
        <v>1</v>
      </c>
      <c r="BI2923" s="213">
        <f t="shared" si="1199"/>
        <v>0</v>
      </c>
      <c r="BJ2923" s="141"/>
      <c r="BK2923" s="201"/>
      <c r="BL2923" s="4"/>
      <c r="BM2923" s="4"/>
    </row>
    <row r="2924" spans="1:65" s="38" customFormat="1" ht="18" customHeight="1">
      <c r="A2924" s="114">
        <v>78</v>
      </c>
      <c r="B2924" s="24" t="s">
        <v>814</v>
      </c>
      <c r="C2924" s="25" t="s">
        <v>815</v>
      </c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229">
        <f t="shared" si="1196"/>
        <v>0</v>
      </c>
      <c r="AC2924" s="228">
        <f t="shared" si="1200"/>
        <v>0</v>
      </c>
      <c r="AD2924" s="19">
        <v>0</v>
      </c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29">
        <f t="shared" si="1197"/>
        <v>0</v>
      </c>
      <c r="BD2924" s="48">
        <f t="shared" si="1201"/>
        <v>0</v>
      </c>
      <c r="BE2924" s="19">
        <v>1</v>
      </c>
      <c r="BF2924" s="229">
        <f t="shared" si="1198"/>
        <v>0</v>
      </c>
      <c r="BG2924" s="210">
        <f t="shared" si="1202"/>
        <v>0</v>
      </c>
      <c r="BH2924" s="210">
        <f t="shared" si="1203"/>
        <v>1</v>
      </c>
      <c r="BI2924" s="213">
        <f t="shared" si="1199"/>
        <v>0</v>
      </c>
      <c r="BJ2924" s="141"/>
      <c r="BK2924" s="201"/>
      <c r="BL2924" s="4"/>
      <c r="BM2924" s="4"/>
    </row>
    <row r="2925" spans="1:65" s="38" customFormat="1" ht="18" customHeight="1">
      <c r="A2925" s="114">
        <v>79</v>
      </c>
      <c r="B2925" s="24" t="s">
        <v>703</v>
      </c>
      <c r="C2925" s="25" t="s">
        <v>774</v>
      </c>
      <c r="D2925" s="121"/>
      <c r="E2925" s="121"/>
      <c r="F2925" s="121"/>
      <c r="G2925" s="121"/>
      <c r="H2925" s="121"/>
      <c r="I2925" s="121">
        <v>3</v>
      </c>
      <c r="J2925" s="121"/>
      <c r="K2925" s="121"/>
      <c r="L2925" s="121"/>
      <c r="M2925" s="121"/>
      <c r="N2925" s="121"/>
      <c r="O2925" s="121">
        <v>2</v>
      </c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>
        <v>5</v>
      </c>
      <c r="AB2925" s="229">
        <f t="shared" si="1196"/>
        <v>0</v>
      </c>
      <c r="AC2925" s="228">
        <f t="shared" si="1200"/>
        <v>10</v>
      </c>
      <c r="AD2925" s="19">
        <v>37</v>
      </c>
      <c r="AE2925" s="28"/>
      <c r="AF2925" s="28"/>
      <c r="AG2925" s="28"/>
      <c r="AH2925" s="28"/>
      <c r="AI2925" s="28"/>
      <c r="AJ2925" s="28">
        <f>164+3+1</f>
        <v>168</v>
      </c>
      <c r="AK2925" s="28"/>
      <c r="AL2925" s="28"/>
      <c r="AM2925" s="28"/>
      <c r="AN2925" s="28"/>
      <c r="AO2925" s="28"/>
      <c r="AP2925" s="28">
        <v>143</v>
      </c>
      <c r="AQ2925" s="28"/>
      <c r="AR2925" s="28"/>
      <c r="AS2925" s="28"/>
      <c r="AT2925" s="28"/>
      <c r="AU2925" s="28"/>
      <c r="AV2925" s="28">
        <f>133+1+1</f>
        <v>135</v>
      </c>
      <c r="AW2925" s="28"/>
      <c r="AX2925" s="28"/>
      <c r="AY2925" s="28"/>
      <c r="AZ2925" s="28"/>
      <c r="BA2925" s="28"/>
      <c r="BB2925" s="28">
        <f>1+186</f>
        <v>187</v>
      </c>
      <c r="BC2925" s="229">
        <f t="shared" si="1197"/>
        <v>0</v>
      </c>
      <c r="BD2925" s="48">
        <f t="shared" si="1201"/>
        <v>633</v>
      </c>
      <c r="BE2925" s="19">
        <v>512</v>
      </c>
      <c r="BF2925" s="229">
        <f t="shared" si="1198"/>
        <v>0</v>
      </c>
      <c r="BG2925" s="210">
        <f t="shared" si="1202"/>
        <v>643</v>
      </c>
      <c r="BH2925" s="210">
        <f t="shared" si="1203"/>
        <v>549</v>
      </c>
      <c r="BI2925" s="213">
        <f t="shared" si="1199"/>
        <v>117.12204007285973</v>
      </c>
      <c r="BJ2925" s="141"/>
      <c r="BK2925" s="201"/>
      <c r="BL2925" s="4"/>
      <c r="BM2925" s="4"/>
    </row>
    <row r="2926" spans="1:65" s="38" customFormat="1" ht="18" customHeight="1">
      <c r="A2926" s="114">
        <v>80</v>
      </c>
      <c r="B2926" s="24" t="s">
        <v>897</v>
      </c>
      <c r="C2926" s="25" t="s">
        <v>1379</v>
      </c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229"/>
      <c r="AC2926" s="228">
        <f t="shared" si="1200"/>
        <v>0</v>
      </c>
      <c r="AD2926" s="19">
        <v>0</v>
      </c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>
        <v>1</v>
      </c>
      <c r="AW2926" s="28"/>
      <c r="AX2926" s="28"/>
      <c r="AY2926" s="28"/>
      <c r="AZ2926" s="28"/>
      <c r="BA2926" s="28"/>
      <c r="BB2926" s="28"/>
      <c r="BC2926" s="229"/>
      <c r="BD2926" s="48">
        <f t="shared" si="1201"/>
        <v>1</v>
      </c>
      <c r="BE2926" s="19">
        <v>0</v>
      </c>
      <c r="BF2926" s="229"/>
      <c r="BG2926" s="210">
        <f t="shared" si="1202"/>
        <v>1</v>
      </c>
      <c r="BH2926" s="210">
        <f t="shared" si="1203"/>
        <v>0</v>
      </c>
      <c r="BI2926" s="213" t="e">
        <f t="shared" si="1199"/>
        <v>#DIV/0!</v>
      </c>
      <c r="BJ2926" s="141"/>
      <c r="BK2926" s="201"/>
      <c r="BL2926" s="4"/>
      <c r="BM2926" s="4"/>
    </row>
    <row r="2927" spans="1:65" s="38" customFormat="1" ht="18" customHeight="1">
      <c r="A2927" s="114">
        <v>81</v>
      </c>
      <c r="B2927" s="24" t="s">
        <v>819</v>
      </c>
      <c r="C2927" s="25" t="s">
        <v>993</v>
      </c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229">
        <f t="shared" ref="AB2927:AB2954" si="1204">D2927+F2927+H2927+J2927+L2927+N2927+P2927+R2927+T2927+V2927+X2927+Z2927</f>
        <v>0</v>
      </c>
      <c r="AC2927" s="228">
        <f t="shared" si="1200"/>
        <v>0</v>
      </c>
      <c r="AD2927" s="19">
        <v>0</v>
      </c>
      <c r="AE2927" s="28"/>
      <c r="AF2927" s="28"/>
      <c r="AG2927" s="28"/>
      <c r="AH2927" s="28"/>
      <c r="AI2927" s="28"/>
      <c r="AJ2927" s="28">
        <v>4</v>
      </c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29">
        <f t="shared" ref="BC2927:BC2954" si="1205">AE2927+AG2927+AI2927+AK2927+AM2927+AO2927+AQ2927+AS2927+AU2927+AW2927+AY2927+BA2927</f>
        <v>0</v>
      </c>
      <c r="BD2927" s="48">
        <f t="shared" si="1201"/>
        <v>4</v>
      </c>
      <c r="BE2927" s="19">
        <v>1</v>
      </c>
      <c r="BF2927" s="229">
        <f t="shared" ref="BF2927:BF2954" si="1206">AB2927+BC2927</f>
        <v>0</v>
      </c>
      <c r="BG2927" s="210">
        <f t="shared" si="1202"/>
        <v>4</v>
      </c>
      <c r="BH2927" s="210">
        <f t="shared" si="1203"/>
        <v>1</v>
      </c>
      <c r="BI2927" s="213">
        <f t="shared" si="1199"/>
        <v>400</v>
      </c>
      <c r="BJ2927" s="141"/>
      <c r="BK2927" s="201"/>
      <c r="BL2927" s="4"/>
      <c r="BM2927" s="4"/>
    </row>
    <row r="2928" spans="1:65" s="38" customFormat="1" ht="18" customHeight="1">
      <c r="A2928" s="114">
        <v>82</v>
      </c>
      <c r="B2928" s="24" t="s">
        <v>2944</v>
      </c>
      <c r="C2928" s="25" t="s">
        <v>2945</v>
      </c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229">
        <f t="shared" si="1204"/>
        <v>0</v>
      </c>
      <c r="AC2928" s="228">
        <f t="shared" si="1200"/>
        <v>0</v>
      </c>
      <c r="AD2928" s="19">
        <v>0</v>
      </c>
      <c r="AE2928" s="28"/>
      <c r="AF2928" s="28"/>
      <c r="AG2928" s="28"/>
      <c r="AH2928" s="28"/>
      <c r="AI2928" s="28"/>
      <c r="AJ2928" s="28">
        <v>3</v>
      </c>
      <c r="AK2928" s="28"/>
      <c r="AL2928" s="28"/>
      <c r="AM2928" s="28"/>
      <c r="AN2928" s="28"/>
      <c r="AO2928" s="28"/>
      <c r="AP2928" s="28">
        <v>2</v>
      </c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29">
        <f t="shared" si="1205"/>
        <v>0</v>
      </c>
      <c r="BD2928" s="48">
        <f t="shared" si="1201"/>
        <v>5</v>
      </c>
      <c r="BE2928" s="19">
        <v>0</v>
      </c>
      <c r="BF2928" s="229">
        <f t="shared" si="1206"/>
        <v>0</v>
      </c>
      <c r="BG2928" s="210">
        <f t="shared" si="1202"/>
        <v>5</v>
      </c>
      <c r="BH2928" s="210">
        <f t="shared" si="1203"/>
        <v>0</v>
      </c>
      <c r="BI2928" s="213" t="e">
        <f t="shared" si="1199"/>
        <v>#DIV/0!</v>
      </c>
      <c r="BJ2928" s="141"/>
      <c r="BK2928" s="201"/>
      <c r="BL2928" s="4"/>
      <c r="BM2928" s="4"/>
    </row>
    <row r="2929" spans="1:65" s="38" customFormat="1" ht="18" customHeight="1">
      <c r="A2929" s="114">
        <v>83</v>
      </c>
      <c r="B2929" s="24" t="s">
        <v>723</v>
      </c>
      <c r="C2929" s="25" t="s">
        <v>2435</v>
      </c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229">
        <f t="shared" si="1204"/>
        <v>0</v>
      </c>
      <c r="AC2929" s="228">
        <f t="shared" si="1200"/>
        <v>0</v>
      </c>
      <c r="AD2929" s="19">
        <v>0</v>
      </c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29">
        <f t="shared" si="1205"/>
        <v>0</v>
      </c>
      <c r="BD2929" s="48">
        <f t="shared" si="1201"/>
        <v>0</v>
      </c>
      <c r="BE2929" s="19">
        <v>1</v>
      </c>
      <c r="BF2929" s="229">
        <f t="shared" si="1206"/>
        <v>0</v>
      </c>
      <c r="BG2929" s="210">
        <f t="shared" si="1202"/>
        <v>0</v>
      </c>
      <c r="BH2929" s="210">
        <f t="shared" si="1203"/>
        <v>1</v>
      </c>
      <c r="BI2929" s="213">
        <f t="shared" si="1199"/>
        <v>0</v>
      </c>
      <c r="BJ2929" s="141"/>
      <c r="BK2929" s="201"/>
      <c r="BL2929" s="4"/>
      <c r="BM2929" s="4"/>
    </row>
    <row r="2930" spans="1:65" s="38" customFormat="1" ht="18" customHeight="1">
      <c r="A2930" s="114">
        <v>84</v>
      </c>
      <c r="B2930" s="24" t="s">
        <v>899</v>
      </c>
      <c r="C2930" s="25" t="s">
        <v>1700</v>
      </c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229">
        <f t="shared" si="1204"/>
        <v>0</v>
      </c>
      <c r="AC2930" s="228">
        <f t="shared" si="1200"/>
        <v>0</v>
      </c>
      <c r="AD2930" s="19">
        <v>0</v>
      </c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29">
        <f t="shared" si="1205"/>
        <v>0</v>
      </c>
      <c r="BD2930" s="48">
        <f t="shared" si="1201"/>
        <v>0</v>
      </c>
      <c r="BE2930" s="19">
        <v>1</v>
      </c>
      <c r="BF2930" s="229">
        <f t="shared" si="1206"/>
        <v>0</v>
      </c>
      <c r="BG2930" s="210">
        <f t="shared" si="1202"/>
        <v>0</v>
      </c>
      <c r="BH2930" s="210">
        <f t="shared" si="1203"/>
        <v>1</v>
      </c>
      <c r="BI2930" s="213">
        <f t="shared" si="1199"/>
        <v>0</v>
      </c>
      <c r="BJ2930" s="141"/>
      <c r="BK2930" s="201"/>
      <c r="BL2930" s="4"/>
      <c r="BM2930" s="4"/>
    </row>
    <row r="2931" spans="1:65" s="38" customFormat="1" ht="18" customHeight="1">
      <c r="A2931" s="114">
        <v>85</v>
      </c>
      <c r="B2931" s="24" t="s">
        <v>928</v>
      </c>
      <c r="C2931" s="25" t="s">
        <v>2270</v>
      </c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229">
        <f t="shared" si="1204"/>
        <v>0</v>
      </c>
      <c r="AC2931" s="228">
        <f t="shared" si="1200"/>
        <v>0</v>
      </c>
      <c r="AD2931" s="19">
        <v>0</v>
      </c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29">
        <f t="shared" si="1205"/>
        <v>0</v>
      </c>
      <c r="BD2931" s="48">
        <f t="shared" si="1201"/>
        <v>0</v>
      </c>
      <c r="BE2931" s="19">
        <v>1</v>
      </c>
      <c r="BF2931" s="229">
        <f t="shared" si="1206"/>
        <v>0</v>
      </c>
      <c r="BG2931" s="210">
        <f t="shared" si="1202"/>
        <v>0</v>
      </c>
      <c r="BH2931" s="210">
        <f t="shared" si="1203"/>
        <v>1</v>
      </c>
      <c r="BI2931" s="213">
        <f t="shared" si="1199"/>
        <v>0</v>
      </c>
      <c r="BJ2931" s="141"/>
      <c r="BK2931" s="201"/>
      <c r="BL2931" s="4"/>
      <c r="BM2931" s="4"/>
    </row>
    <row r="2932" spans="1:65" s="38" customFormat="1" ht="18" customHeight="1">
      <c r="A2932" s="114">
        <v>86</v>
      </c>
      <c r="B2932" s="24" t="s">
        <v>775</v>
      </c>
      <c r="C2932" s="25" t="s">
        <v>1580</v>
      </c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229">
        <f t="shared" si="1204"/>
        <v>0</v>
      </c>
      <c r="AC2932" s="228">
        <f t="shared" si="1200"/>
        <v>0</v>
      </c>
      <c r="AD2932" s="19">
        <v>0</v>
      </c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29">
        <f t="shared" si="1205"/>
        <v>0</v>
      </c>
      <c r="BD2932" s="48">
        <f t="shared" si="1201"/>
        <v>0</v>
      </c>
      <c r="BE2932" s="19">
        <v>1</v>
      </c>
      <c r="BF2932" s="229">
        <f t="shared" si="1206"/>
        <v>0</v>
      </c>
      <c r="BG2932" s="210">
        <f t="shared" si="1202"/>
        <v>0</v>
      </c>
      <c r="BH2932" s="210">
        <f t="shared" si="1203"/>
        <v>1</v>
      </c>
      <c r="BI2932" s="213">
        <f t="shared" si="1199"/>
        <v>0</v>
      </c>
      <c r="BJ2932" s="141"/>
      <c r="BK2932" s="201"/>
      <c r="BL2932" s="4"/>
      <c r="BM2932" s="4"/>
    </row>
    <row r="2933" spans="1:65" s="38" customFormat="1" ht="18" customHeight="1">
      <c r="A2933" s="114">
        <v>87</v>
      </c>
      <c r="B2933" s="24" t="s">
        <v>994</v>
      </c>
      <c r="C2933" s="25" t="s">
        <v>1163</v>
      </c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229">
        <f t="shared" si="1204"/>
        <v>0</v>
      </c>
      <c r="AC2933" s="228">
        <f t="shared" si="1200"/>
        <v>0</v>
      </c>
      <c r="AD2933" s="19">
        <v>0</v>
      </c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29">
        <f t="shared" si="1205"/>
        <v>0</v>
      </c>
      <c r="BD2933" s="48">
        <f t="shared" si="1201"/>
        <v>0</v>
      </c>
      <c r="BE2933" s="19">
        <v>1</v>
      </c>
      <c r="BF2933" s="229">
        <f t="shared" si="1206"/>
        <v>0</v>
      </c>
      <c r="BG2933" s="210">
        <f t="shared" si="1202"/>
        <v>0</v>
      </c>
      <c r="BH2933" s="210">
        <f t="shared" si="1203"/>
        <v>1</v>
      </c>
      <c r="BI2933" s="213">
        <f t="shared" si="1199"/>
        <v>0</v>
      </c>
      <c r="BJ2933" s="141"/>
      <c r="BK2933" s="201"/>
      <c r="BL2933" s="4"/>
      <c r="BM2933" s="4"/>
    </row>
    <row r="2934" spans="1:65" s="38" customFormat="1" ht="18" customHeight="1">
      <c r="A2934" s="114">
        <v>88</v>
      </c>
      <c r="B2934" s="24" t="s">
        <v>724</v>
      </c>
      <c r="C2934" s="25" t="s">
        <v>1093</v>
      </c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229">
        <f t="shared" si="1204"/>
        <v>0</v>
      </c>
      <c r="AC2934" s="228">
        <f t="shared" si="1200"/>
        <v>0</v>
      </c>
      <c r="AD2934" s="19">
        <v>0</v>
      </c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29">
        <f t="shared" si="1205"/>
        <v>0</v>
      </c>
      <c r="BD2934" s="48">
        <f t="shared" si="1201"/>
        <v>0</v>
      </c>
      <c r="BE2934" s="19">
        <v>1</v>
      </c>
      <c r="BF2934" s="229">
        <f t="shared" si="1206"/>
        <v>0</v>
      </c>
      <c r="BG2934" s="210">
        <f t="shared" si="1202"/>
        <v>0</v>
      </c>
      <c r="BH2934" s="210">
        <f t="shared" si="1203"/>
        <v>1</v>
      </c>
      <c r="BI2934" s="213">
        <f t="shared" si="1199"/>
        <v>0</v>
      </c>
      <c r="BJ2934" s="141"/>
      <c r="BK2934" s="201"/>
      <c r="BL2934" s="4"/>
      <c r="BM2934" s="4"/>
    </row>
    <row r="2935" spans="1:65" s="38" customFormat="1" ht="18" customHeight="1">
      <c r="A2935" s="114">
        <v>89</v>
      </c>
      <c r="B2935" s="24" t="s">
        <v>725</v>
      </c>
      <c r="C2935" s="25" t="s">
        <v>1494</v>
      </c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229">
        <f t="shared" si="1204"/>
        <v>0</v>
      </c>
      <c r="AC2935" s="228">
        <f t="shared" si="1200"/>
        <v>0</v>
      </c>
      <c r="AD2935" s="19">
        <v>0</v>
      </c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29">
        <f t="shared" si="1205"/>
        <v>0</v>
      </c>
      <c r="BD2935" s="48">
        <f t="shared" si="1201"/>
        <v>0</v>
      </c>
      <c r="BE2935" s="19">
        <v>1</v>
      </c>
      <c r="BF2935" s="229">
        <f t="shared" si="1206"/>
        <v>0</v>
      </c>
      <c r="BG2935" s="210">
        <f t="shared" si="1202"/>
        <v>0</v>
      </c>
      <c r="BH2935" s="210">
        <f t="shared" si="1203"/>
        <v>1</v>
      </c>
      <c r="BI2935" s="213">
        <f t="shared" si="1199"/>
        <v>0</v>
      </c>
      <c r="BJ2935" s="141"/>
      <c r="BK2935" s="201"/>
      <c r="BL2935" s="4"/>
      <c r="BM2935" s="4"/>
    </row>
    <row r="2936" spans="1:65" s="38" customFormat="1" ht="18" customHeight="1">
      <c r="A2936" s="114">
        <v>90</v>
      </c>
      <c r="B2936" s="24" t="s">
        <v>726</v>
      </c>
      <c r="C2936" s="25" t="s">
        <v>1387</v>
      </c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229">
        <f t="shared" si="1204"/>
        <v>0</v>
      </c>
      <c r="AC2936" s="228">
        <f t="shared" si="1200"/>
        <v>0</v>
      </c>
      <c r="AD2936" s="19">
        <v>0</v>
      </c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29">
        <f t="shared" si="1205"/>
        <v>0</v>
      </c>
      <c r="BD2936" s="48">
        <f t="shared" si="1201"/>
        <v>0</v>
      </c>
      <c r="BE2936" s="19">
        <v>1</v>
      </c>
      <c r="BF2936" s="229">
        <f t="shared" si="1206"/>
        <v>0</v>
      </c>
      <c r="BG2936" s="210">
        <f t="shared" si="1202"/>
        <v>0</v>
      </c>
      <c r="BH2936" s="210">
        <f t="shared" si="1203"/>
        <v>1</v>
      </c>
      <c r="BI2936" s="213">
        <f t="shared" si="1199"/>
        <v>0</v>
      </c>
      <c r="BJ2936" s="141"/>
      <c r="BK2936" s="201"/>
      <c r="BL2936" s="4"/>
      <c r="BM2936" s="4"/>
    </row>
    <row r="2937" spans="1:65" s="38" customFormat="1" ht="18" customHeight="1">
      <c r="A2937" s="114">
        <v>91</v>
      </c>
      <c r="B2937" s="24" t="s">
        <v>995</v>
      </c>
      <c r="C2937" s="25" t="s">
        <v>1023</v>
      </c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229">
        <f t="shared" si="1204"/>
        <v>0</v>
      </c>
      <c r="AC2937" s="228">
        <f t="shared" si="1200"/>
        <v>0</v>
      </c>
      <c r="AD2937" s="19">
        <v>0</v>
      </c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29">
        <f t="shared" si="1205"/>
        <v>0</v>
      </c>
      <c r="BD2937" s="48">
        <f t="shared" si="1201"/>
        <v>0</v>
      </c>
      <c r="BE2937" s="19">
        <v>1</v>
      </c>
      <c r="BF2937" s="229">
        <f t="shared" si="1206"/>
        <v>0</v>
      </c>
      <c r="BG2937" s="210">
        <f t="shared" si="1202"/>
        <v>0</v>
      </c>
      <c r="BH2937" s="210">
        <f t="shared" si="1203"/>
        <v>1</v>
      </c>
      <c r="BI2937" s="213">
        <f t="shared" si="1199"/>
        <v>0</v>
      </c>
      <c r="BJ2937" s="141"/>
      <c r="BK2937" s="201"/>
      <c r="BL2937" s="4"/>
      <c r="BM2937" s="4"/>
    </row>
    <row r="2938" spans="1:65" s="38" customFormat="1" ht="18" customHeight="1">
      <c r="A2938" s="114">
        <v>92</v>
      </c>
      <c r="B2938" s="24" t="s">
        <v>1024</v>
      </c>
      <c r="C2938" s="25" t="s">
        <v>1025</v>
      </c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229">
        <f t="shared" si="1204"/>
        <v>0</v>
      </c>
      <c r="AC2938" s="228">
        <f t="shared" si="1200"/>
        <v>0</v>
      </c>
      <c r="AD2938" s="19">
        <v>0</v>
      </c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29">
        <f t="shared" si="1205"/>
        <v>0</v>
      </c>
      <c r="BD2938" s="48">
        <f t="shared" si="1201"/>
        <v>0</v>
      </c>
      <c r="BE2938" s="19">
        <v>1</v>
      </c>
      <c r="BF2938" s="229">
        <f t="shared" si="1206"/>
        <v>0</v>
      </c>
      <c r="BG2938" s="210">
        <f t="shared" si="1202"/>
        <v>0</v>
      </c>
      <c r="BH2938" s="210">
        <f t="shared" si="1203"/>
        <v>1</v>
      </c>
      <c r="BI2938" s="213">
        <f t="shared" si="1199"/>
        <v>0</v>
      </c>
      <c r="BJ2938" s="141"/>
      <c r="BK2938" s="201"/>
      <c r="BL2938" s="4"/>
      <c r="BM2938" s="4"/>
    </row>
    <row r="2939" spans="1:65" s="38" customFormat="1" ht="18" customHeight="1">
      <c r="A2939" s="114">
        <v>93</v>
      </c>
      <c r="B2939" s="24" t="s">
        <v>728</v>
      </c>
      <c r="C2939" s="34" t="s">
        <v>729</v>
      </c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229">
        <f t="shared" si="1204"/>
        <v>0</v>
      </c>
      <c r="AC2939" s="228">
        <f t="shared" si="1200"/>
        <v>0</v>
      </c>
      <c r="AD2939" s="19">
        <v>0</v>
      </c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29">
        <f t="shared" si="1205"/>
        <v>0</v>
      </c>
      <c r="BD2939" s="48">
        <f t="shared" si="1201"/>
        <v>0</v>
      </c>
      <c r="BE2939" s="19">
        <v>1</v>
      </c>
      <c r="BF2939" s="229">
        <f t="shared" si="1206"/>
        <v>0</v>
      </c>
      <c r="BG2939" s="210">
        <f t="shared" si="1202"/>
        <v>0</v>
      </c>
      <c r="BH2939" s="210">
        <f t="shared" si="1203"/>
        <v>1</v>
      </c>
      <c r="BI2939" s="213">
        <f t="shared" si="1199"/>
        <v>0</v>
      </c>
      <c r="BJ2939" s="141"/>
      <c r="BK2939" s="201"/>
      <c r="BL2939" s="4"/>
      <c r="BM2939" s="4"/>
    </row>
    <row r="2940" spans="1:65" s="38" customFormat="1" ht="18" customHeight="1">
      <c r="A2940" s="114">
        <v>94</v>
      </c>
      <c r="B2940" s="24" t="s">
        <v>996</v>
      </c>
      <c r="C2940" s="25" t="s">
        <v>1026</v>
      </c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229">
        <f t="shared" si="1204"/>
        <v>0</v>
      </c>
      <c r="AC2940" s="228">
        <f t="shared" si="1200"/>
        <v>0</v>
      </c>
      <c r="AD2940" s="19">
        <v>0</v>
      </c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29">
        <f t="shared" si="1205"/>
        <v>0</v>
      </c>
      <c r="BD2940" s="48">
        <f t="shared" si="1201"/>
        <v>0</v>
      </c>
      <c r="BE2940" s="19">
        <v>1</v>
      </c>
      <c r="BF2940" s="229">
        <f t="shared" si="1206"/>
        <v>0</v>
      </c>
      <c r="BG2940" s="210">
        <f t="shared" si="1202"/>
        <v>0</v>
      </c>
      <c r="BH2940" s="210">
        <f t="shared" si="1203"/>
        <v>1</v>
      </c>
      <c r="BI2940" s="213">
        <f t="shared" si="1199"/>
        <v>0</v>
      </c>
      <c r="BJ2940" s="141"/>
      <c r="BK2940" s="201"/>
      <c r="BL2940" s="4"/>
      <c r="BM2940" s="4"/>
    </row>
    <row r="2941" spans="1:65" s="38" customFormat="1" ht="18" customHeight="1">
      <c r="A2941" s="114">
        <v>95</v>
      </c>
      <c r="B2941" s="24" t="s">
        <v>738</v>
      </c>
      <c r="C2941" s="25" t="s">
        <v>1917</v>
      </c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229">
        <f t="shared" si="1204"/>
        <v>0</v>
      </c>
      <c r="AC2941" s="228">
        <f t="shared" ref="AC2941:AC2970" si="1207">E2941+G2941+I2941+K2941+M2941+O2941+Q2941+S2941+U2941+W2941+Y2941+AA2941</f>
        <v>0</v>
      </c>
      <c r="AD2941" s="19">
        <v>0</v>
      </c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29">
        <f t="shared" si="1205"/>
        <v>0</v>
      </c>
      <c r="BD2941" s="48">
        <f t="shared" ref="BD2941:BD2970" si="1208">AF2941+AH2941+AJ2941+AL2941+AN2941+AP2941+AR2941+AT2941+AV2941+AX2941+AZ2941+BB2941</f>
        <v>0</v>
      </c>
      <c r="BE2941" s="19">
        <v>1</v>
      </c>
      <c r="BF2941" s="229">
        <f t="shared" si="1206"/>
        <v>0</v>
      </c>
      <c r="BG2941" s="210">
        <f t="shared" ref="BG2941:BG2970" si="1209">AC2941+BD2941</f>
        <v>0</v>
      </c>
      <c r="BH2941" s="210">
        <f t="shared" ref="BH2941:BH2970" si="1210">AD2941+BE2941</f>
        <v>1</v>
      </c>
      <c r="BI2941" s="213">
        <f t="shared" ref="BI2941:BI2970" si="1211">BG2941/BH2941*100</f>
        <v>0</v>
      </c>
      <c r="BJ2941" s="141"/>
      <c r="BK2941" s="201"/>
      <c r="BL2941" s="4"/>
      <c r="BM2941" s="4"/>
    </row>
    <row r="2942" spans="1:65" s="38" customFormat="1" ht="18" customHeight="1">
      <c r="A2942" s="114">
        <v>96</v>
      </c>
      <c r="B2942" s="24" t="s">
        <v>739</v>
      </c>
      <c r="C2942" s="25" t="s">
        <v>820</v>
      </c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229">
        <f t="shared" si="1204"/>
        <v>0</v>
      </c>
      <c r="AC2942" s="228">
        <f t="shared" si="1207"/>
        <v>0</v>
      </c>
      <c r="AD2942" s="19">
        <v>0</v>
      </c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29">
        <f t="shared" si="1205"/>
        <v>0</v>
      </c>
      <c r="BD2942" s="48">
        <f t="shared" si="1208"/>
        <v>0</v>
      </c>
      <c r="BE2942" s="19">
        <v>1</v>
      </c>
      <c r="BF2942" s="229">
        <f t="shared" si="1206"/>
        <v>0</v>
      </c>
      <c r="BG2942" s="210">
        <f t="shared" si="1209"/>
        <v>0</v>
      </c>
      <c r="BH2942" s="210">
        <f t="shared" si="1210"/>
        <v>1</v>
      </c>
      <c r="BI2942" s="213">
        <f t="shared" si="1211"/>
        <v>0</v>
      </c>
      <c r="BJ2942" s="141"/>
      <c r="BK2942" s="201"/>
      <c r="BL2942" s="4"/>
      <c r="BM2942" s="4"/>
    </row>
    <row r="2943" spans="1:65" s="38" customFormat="1" ht="18" customHeight="1">
      <c r="A2943" s="114">
        <v>97</v>
      </c>
      <c r="B2943" s="24" t="s">
        <v>1454</v>
      </c>
      <c r="C2943" s="25" t="s">
        <v>1455</v>
      </c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229">
        <f t="shared" si="1204"/>
        <v>0</v>
      </c>
      <c r="AC2943" s="228">
        <f t="shared" si="1207"/>
        <v>0</v>
      </c>
      <c r="AD2943" s="19">
        <v>0</v>
      </c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29">
        <f t="shared" si="1205"/>
        <v>0</v>
      </c>
      <c r="BD2943" s="48">
        <f t="shared" si="1208"/>
        <v>0</v>
      </c>
      <c r="BE2943" s="19">
        <v>1</v>
      </c>
      <c r="BF2943" s="229">
        <f t="shared" si="1206"/>
        <v>0</v>
      </c>
      <c r="BG2943" s="210">
        <f t="shared" si="1209"/>
        <v>0</v>
      </c>
      <c r="BH2943" s="210">
        <f t="shared" si="1210"/>
        <v>1</v>
      </c>
      <c r="BI2943" s="213">
        <f t="shared" si="1211"/>
        <v>0</v>
      </c>
      <c r="BJ2943" s="141"/>
      <c r="BK2943" s="201"/>
      <c r="BL2943" s="4"/>
      <c r="BM2943" s="4"/>
    </row>
    <row r="2944" spans="1:65" s="38" customFormat="1" ht="18" customHeight="1">
      <c r="A2944" s="114">
        <v>98</v>
      </c>
      <c r="B2944" s="24" t="s">
        <v>797</v>
      </c>
      <c r="C2944" s="25" t="s">
        <v>798</v>
      </c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229">
        <f t="shared" si="1204"/>
        <v>0</v>
      </c>
      <c r="AC2944" s="228">
        <f t="shared" si="1207"/>
        <v>0</v>
      </c>
      <c r="AD2944" s="19">
        <v>0</v>
      </c>
      <c r="AE2944" s="28"/>
      <c r="AF2944" s="28"/>
      <c r="AG2944" s="28"/>
      <c r="AH2944" s="28"/>
      <c r="AI2944" s="28"/>
      <c r="AJ2944" s="28">
        <v>53</v>
      </c>
      <c r="AK2944" s="28"/>
      <c r="AL2944" s="28"/>
      <c r="AM2944" s="28"/>
      <c r="AN2944" s="28"/>
      <c r="AO2944" s="28"/>
      <c r="AP2944" s="28">
        <v>8</v>
      </c>
      <c r="AQ2944" s="28"/>
      <c r="AR2944" s="28"/>
      <c r="AS2944" s="28"/>
      <c r="AT2944" s="28"/>
      <c r="AU2944" s="28"/>
      <c r="AV2944" s="28">
        <v>6</v>
      </c>
      <c r="AW2944" s="28"/>
      <c r="AX2944" s="28"/>
      <c r="AY2944" s="28"/>
      <c r="AZ2944" s="28"/>
      <c r="BA2944" s="28"/>
      <c r="BB2944" s="28">
        <v>6</v>
      </c>
      <c r="BC2944" s="229">
        <f t="shared" si="1205"/>
        <v>0</v>
      </c>
      <c r="BD2944" s="48">
        <f t="shared" si="1208"/>
        <v>73</v>
      </c>
      <c r="BE2944" s="19">
        <v>8</v>
      </c>
      <c r="BF2944" s="229">
        <f t="shared" si="1206"/>
        <v>0</v>
      </c>
      <c r="BG2944" s="210">
        <f t="shared" si="1209"/>
        <v>73</v>
      </c>
      <c r="BH2944" s="210">
        <f t="shared" si="1210"/>
        <v>8</v>
      </c>
      <c r="BI2944" s="213">
        <f t="shared" si="1211"/>
        <v>912.5</v>
      </c>
      <c r="BJ2944" s="141"/>
      <c r="BK2944" s="201"/>
      <c r="BL2944" s="4"/>
      <c r="BM2944" s="4"/>
    </row>
    <row r="2945" spans="1:65" s="38" customFormat="1" ht="18" customHeight="1">
      <c r="A2945" s="114">
        <v>99</v>
      </c>
      <c r="B2945" s="24" t="s">
        <v>1137</v>
      </c>
      <c r="C2945" s="25" t="s">
        <v>1138</v>
      </c>
      <c r="D2945" s="121"/>
      <c r="E2945" s="121"/>
      <c r="F2945" s="121"/>
      <c r="G2945" s="121"/>
      <c r="H2945" s="121"/>
      <c r="I2945" s="121">
        <v>175</v>
      </c>
      <c r="J2945" s="121"/>
      <c r="K2945" s="121"/>
      <c r="L2945" s="121"/>
      <c r="M2945" s="121"/>
      <c r="N2945" s="121"/>
      <c r="O2945" s="121">
        <v>151</v>
      </c>
      <c r="P2945" s="121"/>
      <c r="Q2945" s="121"/>
      <c r="R2945" s="121"/>
      <c r="S2945" s="121"/>
      <c r="T2945" s="121"/>
      <c r="U2945" s="121">
        <v>181</v>
      </c>
      <c r="V2945" s="121"/>
      <c r="W2945" s="121"/>
      <c r="X2945" s="121"/>
      <c r="Y2945" s="121"/>
      <c r="Z2945" s="121"/>
      <c r="AA2945" s="121">
        <f>266+1</f>
        <v>267</v>
      </c>
      <c r="AB2945" s="229">
        <f t="shared" si="1204"/>
        <v>0</v>
      </c>
      <c r="AC2945" s="228">
        <f t="shared" si="1207"/>
        <v>774</v>
      </c>
      <c r="AD2945" s="19">
        <f>338+376</f>
        <v>714</v>
      </c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29">
        <f t="shared" si="1205"/>
        <v>0</v>
      </c>
      <c r="BD2945" s="48">
        <f t="shared" si="1208"/>
        <v>0</v>
      </c>
      <c r="BE2945" s="19">
        <v>1</v>
      </c>
      <c r="BF2945" s="229">
        <f t="shared" si="1206"/>
        <v>0</v>
      </c>
      <c r="BG2945" s="210">
        <f t="shared" si="1209"/>
        <v>774</v>
      </c>
      <c r="BH2945" s="210">
        <f t="shared" si="1210"/>
        <v>715</v>
      </c>
      <c r="BI2945" s="213">
        <f t="shared" si="1211"/>
        <v>108.25174825174825</v>
      </c>
      <c r="BJ2945" s="141"/>
      <c r="BK2945" s="201"/>
      <c r="BL2945" s="4"/>
      <c r="BM2945" s="4"/>
    </row>
    <row r="2946" spans="1:65" s="38" customFormat="1" ht="18" customHeight="1">
      <c r="A2946" s="114">
        <v>100</v>
      </c>
      <c r="B2946" s="24" t="s">
        <v>653</v>
      </c>
      <c r="C2946" s="25" t="s">
        <v>2036</v>
      </c>
      <c r="D2946" s="121"/>
      <c r="E2946" s="121"/>
      <c r="F2946" s="121"/>
      <c r="G2946" s="121"/>
      <c r="H2946" s="121"/>
      <c r="I2946" s="121">
        <v>2</v>
      </c>
      <c r="J2946" s="121"/>
      <c r="K2946" s="121"/>
      <c r="L2946" s="121"/>
      <c r="M2946" s="121"/>
      <c r="N2946" s="121"/>
      <c r="O2946" s="121">
        <v>1</v>
      </c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229">
        <f t="shared" si="1204"/>
        <v>0</v>
      </c>
      <c r="AC2946" s="228">
        <f t="shared" si="1207"/>
        <v>3</v>
      </c>
      <c r="AD2946" s="19">
        <v>18</v>
      </c>
      <c r="AE2946" s="28"/>
      <c r="AF2946" s="28"/>
      <c r="AG2946" s="28"/>
      <c r="AH2946" s="28"/>
      <c r="AI2946" s="28"/>
      <c r="AJ2946" s="28">
        <v>170</v>
      </c>
      <c r="AK2946" s="28"/>
      <c r="AL2946" s="28"/>
      <c r="AM2946" s="28"/>
      <c r="AN2946" s="28"/>
      <c r="AO2946" s="28"/>
      <c r="AP2946" s="28">
        <v>128</v>
      </c>
      <c r="AQ2946" s="28"/>
      <c r="AR2946" s="28"/>
      <c r="AS2946" s="28"/>
      <c r="AT2946" s="28"/>
      <c r="AU2946" s="28"/>
      <c r="AV2946" s="28">
        <v>5</v>
      </c>
      <c r="AW2946" s="28"/>
      <c r="AX2946" s="28"/>
      <c r="AY2946" s="28"/>
      <c r="AZ2946" s="28"/>
      <c r="BA2946" s="28"/>
      <c r="BB2946" s="28">
        <v>4</v>
      </c>
      <c r="BC2946" s="229">
        <f t="shared" si="1205"/>
        <v>0</v>
      </c>
      <c r="BD2946" s="48">
        <f t="shared" si="1208"/>
        <v>307</v>
      </c>
      <c r="BE2946" s="19">
        <v>789</v>
      </c>
      <c r="BF2946" s="229">
        <f t="shared" si="1206"/>
        <v>0</v>
      </c>
      <c r="BG2946" s="210">
        <f t="shared" si="1209"/>
        <v>310</v>
      </c>
      <c r="BH2946" s="210">
        <f t="shared" si="1210"/>
        <v>807</v>
      </c>
      <c r="BI2946" s="213">
        <f t="shared" si="1211"/>
        <v>38.413878562577445</v>
      </c>
      <c r="BJ2946" s="141"/>
      <c r="BK2946" s="201"/>
      <c r="BL2946" s="4"/>
      <c r="BM2946" s="4"/>
    </row>
    <row r="2947" spans="1:65" s="38" customFormat="1" ht="18" customHeight="1">
      <c r="A2947" s="114">
        <v>101</v>
      </c>
      <c r="B2947" s="24" t="s">
        <v>1139</v>
      </c>
      <c r="C2947" s="29" t="s">
        <v>1140</v>
      </c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229">
        <f t="shared" si="1204"/>
        <v>0</v>
      </c>
      <c r="AC2947" s="228">
        <f t="shared" si="1207"/>
        <v>0</v>
      </c>
      <c r="AD2947" s="19">
        <v>0</v>
      </c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29">
        <f t="shared" si="1205"/>
        <v>0</v>
      </c>
      <c r="BD2947" s="48">
        <f t="shared" si="1208"/>
        <v>0</v>
      </c>
      <c r="BE2947" s="19">
        <v>0</v>
      </c>
      <c r="BF2947" s="229">
        <f t="shared" si="1206"/>
        <v>0</v>
      </c>
      <c r="BG2947" s="210">
        <f t="shared" si="1209"/>
        <v>0</v>
      </c>
      <c r="BH2947" s="210">
        <f t="shared" si="1210"/>
        <v>0</v>
      </c>
      <c r="BI2947" s="213" t="e">
        <f t="shared" si="1211"/>
        <v>#DIV/0!</v>
      </c>
      <c r="BJ2947" s="141"/>
      <c r="BK2947" s="201"/>
      <c r="BL2947" s="4"/>
      <c r="BM2947" s="4"/>
    </row>
    <row r="2948" spans="1:65" s="38" customFormat="1" ht="18" customHeight="1">
      <c r="A2948" s="114">
        <v>102</v>
      </c>
      <c r="B2948" s="24" t="s">
        <v>821</v>
      </c>
      <c r="C2948" s="25" t="s">
        <v>946</v>
      </c>
      <c r="D2948" s="121"/>
      <c r="E2948" s="121"/>
      <c r="F2948" s="121"/>
      <c r="G2948" s="121"/>
      <c r="H2948" s="121"/>
      <c r="I2948" s="121">
        <f>264+1</f>
        <v>265</v>
      </c>
      <c r="J2948" s="121"/>
      <c r="K2948" s="121"/>
      <c r="L2948" s="121"/>
      <c r="M2948" s="121"/>
      <c r="N2948" s="121"/>
      <c r="O2948" s="121">
        <f>186+1</f>
        <v>187</v>
      </c>
      <c r="P2948" s="121"/>
      <c r="Q2948" s="121"/>
      <c r="R2948" s="121"/>
      <c r="S2948" s="121"/>
      <c r="T2948" s="121"/>
      <c r="U2948" s="121">
        <f>134+1</f>
        <v>135</v>
      </c>
      <c r="V2948" s="121"/>
      <c r="W2948" s="121"/>
      <c r="X2948" s="121"/>
      <c r="Y2948" s="121"/>
      <c r="Z2948" s="121"/>
      <c r="AA2948" s="121">
        <v>183</v>
      </c>
      <c r="AB2948" s="229">
        <f t="shared" si="1204"/>
        <v>0</v>
      </c>
      <c r="AC2948" s="228">
        <f t="shared" si="1207"/>
        <v>770</v>
      </c>
      <c r="AD2948" s="19">
        <v>25</v>
      </c>
      <c r="AE2948" s="28"/>
      <c r="AF2948" s="28"/>
      <c r="AG2948" s="28"/>
      <c r="AH2948" s="28"/>
      <c r="AI2948" s="28"/>
      <c r="AJ2948" s="28">
        <v>1</v>
      </c>
      <c r="AK2948" s="28"/>
      <c r="AL2948" s="28"/>
      <c r="AM2948" s="28"/>
      <c r="AN2948" s="28"/>
      <c r="AO2948" s="28"/>
      <c r="AP2948" s="28">
        <v>1</v>
      </c>
      <c r="AQ2948" s="28"/>
      <c r="AR2948" s="28"/>
      <c r="AS2948" s="28"/>
      <c r="AT2948" s="28"/>
      <c r="AU2948" s="28"/>
      <c r="AV2948" s="28">
        <v>1</v>
      </c>
      <c r="AW2948" s="28"/>
      <c r="AX2948" s="28"/>
      <c r="AY2948" s="28"/>
      <c r="AZ2948" s="28"/>
      <c r="BA2948" s="28"/>
      <c r="BB2948" s="28"/>
      <c r="BC2948" s="229">
        <f t="shared" si="1205"/>
        <v>0</v>
      </c>
      <c r="BD2948" s="48">
        <f t="shared" si="1208"/>
        <v>3</v>
      </c>
      <c r="BE2948" s="19">
        <v>0</v>
      </c>
      <c r="BF2948" s="229">
        <f t="shared" si="1206"/>
        <v>0</v>
      </c>
      <c r="BG2948" s="210">
        <f t="shared" si="1209"/>
        <v>773</v>
      </c>
      <c r="BH2948" s="210">
        <f t="shared" si="1210"/>
        <v>25</v>
      </c>
      <c r="BI2948" s="213">
        <f t="shared" si="1211"/>
        <v>3092</v>
      </c>
      <c r="BJ2948" s="141"/>
      <c r="BK2948" s="201"/>
      <c r="BL2948" s="4"/>
      <c r="BM2948" s="4"/>
    </row>
    <row r="2949" spans="1:65" s="38" customFormat="1" ht="18" customHeight="1">
      <c r="A2949" s="114">
        <v>103</v>
      </c>
      <c r="B2949" s="24" t="s">
        <v>838</v>
      </c>
      <c r="C2949" s="25" t="s">
        <v>839</v>
      </c>
      <c r="D2949" s="121"/>
      <c r="E2949" s="121"/>
      <c r="F2949" s="121"/>
      <c r="G2949" s="121"/>
      <c r="H2949" s="121"/>
      <c r="I2949" s="121">
        <f>264+1</f>
        <v>265</v>
      </c>
      <c r="J2949" s="121"/>
      <c r="K2949" s="121"/>
      <c r="L2949" s="121"/>
      <c r="M2949" s="121"/>
      <c r="N2949" s="121"/>
      <c r="O2949" s="121">
        <f>186+1</f>
        <v>187</v>
      </c>
      <c r="P2949" s="121"/>
      <c r="Q2949" s="121"/>
      <c r="R2949" s="121"/>
      <c r="S2949" s="121"/>
      <c r="T2949" s="121"/>
      <c r="U2949" s="121">
        <f>133+1</f>
        <v>134</v>
      </c>
      <c r="V2949" s="121"/>
      <c r="W2949" s="121"/>
      <c r="X2949" s="121"/>
      <c r="Y2949" s="121"/>
      <c r="Z2949" s="121"/>
      <c r="AA2949" s="121">
        <v>183</v>
      </c>
      <c r="AB2949" s="229">
        <f t="shared" si="1204"/>
        <v>0</v>
      </c>
      <c r="AC2949" s="228">
        <f t="shared" si="1207"/>
        <v>769</v>
      </c>
      <c r="AD2949" s="19">
        <v>25</v>
      </c>
      <c r="AE2949" s="28"/>
      <c r="AF2949" s="28"/>
      <c r="AG2949" s="28"/>
      <c r="AH2949" s="28"/>
      <c r="AI2949" s="28"/>
      <c r="AJ2949" s="28">
        <v>1</v>
      </c>
      <c r="AK2949" s="28"/>
      <c r="AL2949" s="28"/>
      <c r="AM2949" s="28"/>
      <c r="AN2949" s="28"/>
      <c r="AO2949" s="28"/>
      <c r="AP2949" s="28">
        <v>1</v>
      </c>
      <c r="AQ2949" s="28"/>
      <c r="AR2949" s="28"/>
      <c r="AS2949" s="28"/>
      <c r="AT2949" s="28"/>
      <c r="AU2949" s="28"/>
      <c r="AV2949" s="28">
        <v>1</v>
      </c>
      <c r="AW2949" s="28"/>
      <c r="AX2949" s="28"/>
      <c r="AY2949" s="28"/>
      <c r="AZ2949" s="28"/>
      <c r="BA2949" s="28"/>
      <c r="BB2949" s="28"/>
      <c r="BC2949" s="229">
        <f t="shared" si="1205"/>
        <v>0</v>
      </c>
      <c r="BD2949" s="48">
        <f t="shared" si="1208"/>
        <v>3</v>
      </c>
      <c r="BE2949" s="19">
        <v>0</v>
      </c>
      <c r="BF2949" s="229">
        <f t="shared" si="1206"/>
        <v>0</v>
      </c>
      <c r="BG2949" s="210">
        <f t="shared" si="1209"/>
        <v>772</v>
      </c>
      <c r="BH2949" s="210">
        <f t="shared" si="1210"/>
        <v>25</v>
      </c>
      <c r="BI2949" s="213">
        <f t="shared" si="1211"/>
        <v>3088</v>
      </c>
      <c r="BJ2949" s="141"/>
      <c r="BK2949" s="201"/>
      <c r="BL2949" s="4"/>
      <c r="BM2949" s="4"/>
    </row>
    <row r="2950" spans="1:65" s="38" customFormat="1" ht="18" customHeight="1">
      <c r="A2950" s="114">
        <v>104</v>
      </c>
      <c r="B2950" s="24" t="s">
        <v>1746</v>
      </c>
      <c r="C2950" s="25" t="s">
        <v>1747</v>
      </c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229">
        <f t="shared" si="1204"/>
        <v>0</v>
      </c>
      <c r="AC2950" s="228">
        <f t="shared" si="1207"/>
        <v>0</v>
      </c>
      <c r="AD2950" s="19">
        <v>0</v>
      </c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29">
        <f t="shared" si="1205"/>
        <v>0</v>
      </c>
      <c r="BD2950" s="48">
        <f t="shared" si="1208"/>
        <v>0</v>
      </c>
      <c r="BE2950" s="19">
        <v>0</v>
      </c>
      <c r="BF2950" s="229">
        <f t="shared" si="1206"/>
        <v>0</v>
      </c>
      <c r="BG2950" s="210">
        <f t="shared" si="1209"/>
        <v>0</v>
      </c>
      <c r="BH2950" s="210">
        <f t="shared" si="1210"/>
        <v>0</v>
      </c>
      <c r="BI2950" s="213" t="e">
        <f t="shared" si="1211"/>
        <v>#DIV/0!</v>
      </c>
      <c r="BJ2950" s="141"/>
      <c r="BK2950" s="201"/>
      <c r="BL2950" s="4"/>
      <c r="BM2950" s="4"/>
    </row>
    <row r="2951" spans="1:65" s="38" customFormat="1" ht="18" customHeight="1">
      <c r="A2951" s="114">
        <v>105</v>
      </c>
      <c r="B2951" s="24" t="s">
        <v>822</v>
      </c>
      <c r="C2951" s="25" t="s">
        <v>823</v>
      </c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229">
        <f t="shared" si="1204"/>
        <v>0</v>
      </c>
      <c r="AC2951" s="228">
        <f t="shared" si="1207"/>
        <v>0</v>
      </c>
      <c r="AD2951" s="19">
        <v>0</v>
      </c>
      <c r="AE2951" s="28"/>
      <c r="AF2951" s="28"/>
      <c r="AG2951" s="28"/>
      <c r="AH2951" s="28"/>
      <c r="AI2951" s="28"/>
      <c r="AJ2951" s="28">
        <f>93+369</f>
        <v>462</v>
      </c>
      <c r="AK2951" s="28"/>
      <c r="AL2951" s="28"/>
      <c r="AM2951" s="28"/>
      <c r="AN2951" s="28"/>
      <c r="AO2951" s="28"/>
      <c r="AP2951" s="28">
        <f>89+21</f>
        <v>110</v>
      </c>
      <c r="AQ2951" s="28"/>
      <c r="AR2951" s="28"/>
      <c r="AS2951" s="28"/>
      <c r="AT2951" s="28"/>
      <c r="AU2951" s="28"/>
      <c r="AV2951" s="28">
        <f>30+28</f>
        <v>58</v>
      </c>
      <c r="AW2951" s="28"/>
      <c r="AX2951" s="28"/>
      <c r="AY2951" s="28"/>
      <c r="AZ2951" s="28"/>
      <c r="BA2951" s="28"/>
      <c r="BB2951" s="28">
        <f>86+16</f>
        <v>102</v>
      </c>
      <c r="BC2951" s="229">
        <f t="shared" si="1205"/>
        <v>0</v>
      </c>
      <c r="BD2951" s="48">
        <f t="shared" si="1208"/>
        <v>732</v>
      </c>
      <c r="BE2951" s="19">
        <v>178</v>
      </c>
      <c r="BF2951" s="229">
        <f t="shared" si="1206"/>
        <v>0</v>
      </c>
      <c r="BG2951" s="210">
        <f t="shared" si="1209"/>
        <v>732</v>
      </c>
      <c r="BH2951" s="210">
        <f t="shared" si="1210"/>
        <v>178</v>
      </c>
      <c r="BI2951" s="213">
        <f t="shared" si="1211"/>
        <v>411.23595505617976</v>
      </c>
      <c r="BJ2951" s="141"/>
      <c r="BK2951" s="201"/>
      <c r="BL2951" s="4"/>
      <c r="BM2951" s="4"/>
    </row>
    <row r="2952" spans="1:65" s="38" customFormat="1" ht="18" customHeight="1">
      <c r="A2952" s="114">
        <v>106</v>
      </c>
      <c r="B2952" s="24" t="s">
        <v>1250</v>
      </c>
      <c r="C2952" s="25" t="s">
        <v>1963</v>
      </c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229">
        <f t="shared" si="1204"/>
        <v>0</v>
      </c>
      <c r="AC2952" s="228">
        <f t="shared" si="1207"/>
        <v>0</v>
      </c>
      <c r="AD2952" s="19">
        <v>0</v>
      </c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29">
        <f t="shared" si="1205"/>
        <v>0</v>
      </c>
      <c r="BD2952" s="48">
        <f t="shared" si="1208"/>
        <v>0</v>
      </c>
      <c r="BE2952" s="19">
        <v>24</v>
      </c>
      <c r="BF2952" s="229">
        <f t="shared" si="1206"/>
        <v>0</v>
      </c>
      <c r="BG2952" s="210">
        <f t="shared" si="1209"/>
        <v>0</v>
      </c>
      <c r="BH2952" s="210">
        <f t="shared" si="1210"/>
        <v>24</v>
      </c>
      <c r="BI2952" s="213">
        <f t="shared" si="1211"/>
        <v>0</v>
      </c>
      <c r="BJ2952" s="141"/>
      <c r="BK2952" s="201"/>
      <c r="BL2952" s="4"/>
      <c r="BM2952" s="4"/>
    </row>
    <row r="2953" spans="1:65" s="38" customFormat="1" ht="18" customHeight="1">
      <c r="A2953" s="114">
        <v>107</v>
      </c>
      <c r="B2953" s="24" t="s">
        <v>776</v>
      </c>
      <c r="C2953" s="25" t="s">
        <v>777</v>
      </c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229">
        <f t="shared" si="1204"/>
        <v>0</v>
      </c>
      <c r="AC2953" s="228">
        <f t="shared" si="1207"/>
        <v>0</v>
      </c>
      <c r="AD2953" s="19">
        <v>0</v>
      </c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29">
        <f t="shared" si="1205"/>
        <v>0</v>
      </c>
      <c r="BD2953" s="48">
        <f t="shared" si="1208"/>
        <v>0</v>
      </c>
      <c r="BE2953" s="19">
        <v>1</v>
      </c>
      <c r="BF2953" s="229">
        <f t="shared" si="1206"/>
        <v>0</v>
      </c>
      <c r="BG2953" s="210">
        <f t="shared" si="1209"/>
        <v>0</v>
      </c>
      <c r="BH2953" s="210">
        <f t="shared" si="1210"/>
        <v>1</v>
      </c>
      <c r="BI2953" s="213">
        <f t="shared" si="1211"/>
        <v>0</v>
      </c>
      <c r="BJ2953" s="141"/>
      <c r="BK2953" s="201"/>
      <c r="BL2953" s="4"/>
      <c r="BM2953" s="4"/>
    </row>
    <row r="2954" spans="1:65" s="38" customFormat="1" ht="21.95" customHeight="1">
      <c r="A2954" s="114">
        <v>108</v>
      </c>
      <c r="B2954" s="24" t="s">
        <v>900</v>
      </c>
      <c r="C2954" s="27" t="s">
        <v>1983</v>
      </c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229">
        <f t="shared" si="1204"/>
        <v>0</v>
      </c>
      <c r="AC2954" s="228">
        <f t="shared" si="1207"/>
        <v>0</v>
      </c>
      <c r="AD2954" s="19">
        <v>0</v>
      </c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29">
        <f t="shared" si="1205"/>
        <v>0</v>
      </c>
      <c r="BD2954" s="48">
        <f t="shared" si="1208"/>
        <v>0</v>
      </c>
      <c r="BE2954" s="19">
        <v>92</v>
      </c>
      <c r="BF2954" s="229">
        <f t="shared" si="1206"/>
        <v>0</v>
      </c>
      <c r="BG2954" s="210">
        <f t="shared" si="1209"/>
        <v>0</v>
      </c>
      <c r="BH2954" s="210">
        <f t="shared" si="1210"/>
        <v>92</v>
      </c>
      <c r="BI2954" s="213">
        <f t="shared" si="1211"/>
        <v>0</v>
      </c>
      <c r="BJ2954" s="141"/>
      <c r="BK2954" s="201"/>
      <c r="BL2954" s="4"/>
      <c r="BM2954" s="4"/>
    </row>
    <row r="2955" spans="1:65" s="38" customFormat="1" ht="21.95" customHeight="1">
      <c r="A2955" s="114">
        <v>109</v>
      </c>
      <c r="B2955" s="24" t="s">
        <v>799</v>
      </c>
      <c r="C2955" s="27" t="s">
        <v>1860</v>
      </c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229">
        <f t="shared" ref="AB2955:AB2980" si="1212">D2955+F2955+H2955+J2955+L2955+N2955+P2955+R2955+T2955+V2955+X2955+Z2955</f>
        <v>0</v>
      </c>
      <c r="AC2955" s="228">
        <f t="shared" si="1207"/>
        <v>0</v>
      </c>
      <c r="AD2955" s="19">
        <v>0</v>
      </c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>
        <v>1</v>
      </c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29">
        <f t="shared" ref="BC2955:BC2980" si="1213">AE2955+AG2955+AI2955+AK2955+AM2955+AO2955+AQ2955+AS2955+AU2955+AW2955+AY2955+BA2955</f>
        <v>0</v>
      </c>
      <c r="BD2955" s="48">
        <f t="shared" si="1208"/>
        <v>1</v>
      </c>
      <c r="BE2955" s="19">
        <v>1</v>
      </c>
      <c r="BF2955" s="229">
        <f t="shared" ref="BF2955:BF2980" si="1214">AB2955+BC2955</f>
        <v>0</v>
      </c>
      <c r="BG2955" s="210">
        <f t="shared" si="1209"/>
        <v>1</v>
      </c>
      <c r="BH2955" s="210">
        <f t="shared" si="1210"/>
        <v>1</v>
      </c>
      <c r="BI2955" s="213">
        <f t="shared" si="1211"/>
        <v>100</v>
      </c>
      <c r="BJ2955" s="141"/>
      <c r="BK2955" s="201"/>
      <c r="BL2955" s="4"/>
      <c r="BM2955" s="4"/>
    </row>
    <row r="2956" spans="1:65" s="38" customFormat="1" ht="20.100000000000001" customHeight="1">
      <c r="A2956" s="114">
        <v>110</v>
      </c>
      <c r="B2956" s="24" t="s">
        <v>800</v>
      </c>
      <c r="C2956" s="25" t="s">
        <v>801</v>
      </c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229">
        <f t="shared" si="1212"/>
        <v>0</v>
      </c>
      <c r="AC2956" s="228">
        <f t="shared" si="1207"/>
        <v>0</v>
      </c>
      <c r="AD2956" s="19">
        <v>0</v>
      </c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29">
        <f t="shared" si="1213"/>
        <v>0</v>
      </c>
      <c r="BD2956" s="48">
        <f t="shared" si="1208"/>
        <v>0</v>
      </c>
      <c r="BE2956" s="19">
        <v>1</v>
      </c>
      <c r="BF2956" s="229">
        <f t="shared" si="1214"/>
        <v>0</v>
      </c>
      <c r="BG2956" s="210">
        <f t="shared" si="1209"/>
        <v>0</v>
      </c>
      <c r="BH2956" s="210">
        <f t="shared" si="1210"/>
        <v>1</v>
      </c>
      <c r="BI2956" s="213">
        <f t="shared" si="1211"/>
        <v>0</v>
      </c>
      <c r="BJ2956" s="141"/>
      <c r="BK2956" s="201"/>
      <c r="BL2956" s="4"/>
      <c r="BM2956" s="4"/>
    </row>
    <row r="2957" spans="1:65" s="38" customFormat="1" ht="21.95" customHeight="1">
      <c r="A2957" s="114">
        <v>111</v>
      </c>
      <c r="B2957" s="24" t="s">
        <v>901</v>
      </c>
      <c r="C2957" s="27" t="s">
        <v>1382</v>
      </c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229">
        <f t="shared" si="1212"/>
        <v>0</v>
      </c>
      <c r="AC2957" s="228">
        <f t="shared" si="1207"/>
        <v>0</v>
      </c>
      <c r="AD2957" s="19">
        <v>0</v>
      </c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29">
        <f t="shared" si="1213"/>
        <v>0</v>
      </c>
      <c r="BD2957" s="48">
        <f t="shared" si="1208"/>
        <v>0</v>
      </c>
      <c r="BE2957" s="19">
        <v>54</v>
      </c>
      <c r="BF2957" s="229">
        <f t="shared" si="1214"/>
        <v>0</v>
      </c>
      <c r="BG2957" s="210">
        <f t="shared" si="1209"/>
        <v>0</v>
      </c>
      <c r="BH2957" s="210">
        <f t="shared" si="1210"/>
        <v>54</v>
      </c>
      <c r="BI2957" s="213">
        <f t="shared" si="1211"/>
        <v>0</v>
      </c>
      <c r="BJ2957" s="141"/>
      <c r="BK2957" s="201"/>
      <c r="BL2957" s="4"/>
      <c r="BM2957" s="4"/>
    </row>
    <row r="2958" spans="1:65" s="38" customFormat="1" ht="21.95" customHeight="1">
      <c r="A2958" s="114">
        <v>112</v>
      </c>
      <c r="B2958" s="24" t="s">
        <v>657</v>
      </c>
      <c r="C2958" s="27" t="s">
        <v>1401</v>
      </c>
      <c r="D2958" s="121"/>
      <c r="E2958" s="121"/>
      <c r="F2958" s="121"/>
      <c r="G2958" s="121"/>
      <c r="H2958" s="121"/>
      <c r="I2958" s="121">
        <f>6+4</f>
        <v>10</v>
      </c>
      <c r="J2958" s="121"/>
      <c r="K2958" s="121"/>
      <c r="L2958" s="121"/>
      <c r="M2958" s="121"/>
      <c r="N2958" s="121"/>
      <c r="O2958" s="121">
        <f>4+3</f>
        <v>7</v>
      </c>
      <c r="P2958" s="121"/>
      <c r="Q2958" s="121"/>
      <c r="R2958" s="121"/>
      <c r="S2958" s="121"/>
      <c r="T2958" s="121"/>
      <c r="U2958" s="121">
        <f>1+5</f>
        <v>6</v>
      </c>
      <c r="V2958" s="121"/>
      <c r="W2958" s="121"/>
      <c r="X2958" s="121"/>
      <c r="Y2958" s="121"/>
      <c r="Z2958" s="121"/>
      <c r="AA2958" s="121">
        <f>3+5</f>
        <v>8</v>
      </c>
      <c r="AB2958" s="229">
        <f t="shared" si="1212"/>
        <v>0</v>
      </c>
      <c r="AC2958" s="228">
        <f t="shared" si="1207"/>
        <v>31</v>
      </c>
      <c r="AD2958" s="19">
        <v>34</v>
      </c>
      <c r="AE2958" s="28"/>
      <c r="AF2958" s="28"/>
      <c r="AG2958" s="28"/>
      <c r="AH2958" s="28"/>
      <c r="AI2958" s="28"/>
      <c r="AJ2958" s="28">
        <f>77+5+7</f>
        <v>89</v>
      </c>
      <c r="AK2958" s="28"/>
      <c r="AL2958" s="28"/>
      <c r="AM2958" s="28"/>
      <c r="AN2958" s="28"/>
      <c r="AO2958" s="28"/>
      <c r="AP2958" s="28">
        <f>40+25+9</f>
        <v>74</v>
      </c>
      <c r="AQ2958" s="28"/>
      <c r="AR2958" s="28"/>
      <c r="AS2958" s="28"/>
      <c r="AT2958" s="28"/>
      <c r="AU2958" s="28"/>
      <c r="AV2958" s="28">
        <f>23+10</f>
        <v>33</v>
      </c>
      <c r="AW2958" s="28"/>
      <c r="AX2958" s="28"/>
      <c r="AY2958" s="28"/>
      <c r="AZ2958" s="28"/>
      <c r="BA2958" s="28"/>
      <c r="BB2958" s="28">
        <f>115+12</f>
        <v>127</v>
      </c>
      <c r="BC2958" s="229">
        <f t="shared" si="1213"/>
        <v>0</v>
      </c>
      <c r="BD2958" s="48">
        <f t="shared" si="1208"/>
        <v>323</v>
      </c>
      <c r="BE2958" s="19">
        <v>134</v>
      </c>
      <c r="BF2958" s="229">
        <f t="shared" si="1214"/>
        <v>0</v>
      </c>
      <c r="BG2958" s="210">
        <f t="shared" si="1209"/>
        <v>354</v>
      </c>
      <c r="BH2958" s="210">
        <f t="shared" si="1210"/>
        <v>168</v>
      </c>
      <c r="BI2958" s="213">
        <f t="shared" si="1211"/>
        <v>210.71428571428572</v>
      </c>
      <c r="BJ2958" s="141"/>
      <c r="BK2958" s="201"/>
      <c r="BL2958" s="4"/>
      <c r="BM2958" s="4"/>
    </row>
    <row r="2959" spans="1:65" s="38" customFormat="1" ht="18" customHeight="1">
      <c r="A2959" s="114">
        <v>113</v>
      </c>
      <c r="B2959" s="24" t="s">
        <v>658</v>
      </c>
      <c r="C2959" s="25" t="s">
        <v>779</v>
      </c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229">
        <f t="shared" si="1212"/>
        <v>0</v>
      </c>
      <c r="AC2959" s="228">
        <f t="shared" si="1207"/>
        <v>0</v>
      </c>
      <c r="AD2959" s="19">
        <v>0</v>
      </c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29">
        <f t="shared" si="1213"/>
        <v>0</v>
      </c>
      <c r="BD2959" s="48">
        <f t="shared" si="1208"/>
        <v>0</v>
      </c>
      <c r="BE2959" s="19">
        <v>1</v>
      </c>
      <c r="BF2959" s="229">
        <f t="shared" si="1214"/>
        <v>0</v>
      </c>
      <c r="BG2959" s="210">
        <f t="shared" si="1209"/>
        <v>0</v>
      </c>
      <c r="BH2959" s="210">
        <f t="shared" si="1210"/>
        <v>1</v>
      </c>
      <c r="BI2959" s="213">
        <f t="shared" si="1211"/>
        <v>0</v>
      </c>
      <c r="BJ2959" s="141"/>
      <c r="BK2959" s="201"/>
      <c r="BL2959" s="4"/>
      <c r="BM2959" s="4"/>
    </row>
    <row r="2960" spans="1:65" s="38" customFormat="1" ht="18" customHeight="1">
      <c r="A2960" s="114">
        <v>114</v>
      </c>
      <c r="B2960" s="24" t="s">
        <v>780</v>
      </c>
      <c r="C2960" s="25" t="s">
        <v>781</v>
      </c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229">
        <f t="shared" si="1212"/>
        <v>0</v>
      </c>
      <c r="AC2960" s="228">
        <f t="shared" si="1207"/>
        <v>0</v>
      </c>
      <c r="AD2960" s="19">
        <v>0</v>
      </c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29">
        <f t="shared" si="1213"/>
        <v>0</v>
      </c>
      <c r="BD2960" s="48">
        <f t="shared" si="1208"/>
        <v>0</v>
      </c>
      <c r="BE2960" s="19">
        <v>1</v>
      </c>
      <c r="BF2960" s="229">
        <f t="shared" si="1214"/>
        <v>0</v>
      </c>
      <c r="BG2960" s="210">
        <f t="shared" si="1209"/>
        <v>0</v>
      </c>
      <c r="BH2960" s="210">
        <f t="shared" si="1210"/>
        <v>1</v>
      </c>
      <c r="BI2960" s="213">
        <f t="shared" si="1211"/>
        <v>0</v>
      </c>
      <c r="BJ2960" s="141"/>
      <c r="BK2960" s="201"/>
      <c r="BL2960" s="4"/>
      <c r="BM2960" s="4"/>
    </row>
    <row r="2961" spans="1:65" s="38" customFormat="1" ht="18" customHeight="1">
      <c r="A2961" s="114">
        <v>115</v>
      </c>
      <c r="B2961" s="24" t="s">
        <v>782</v>
      </c>
      <c r="C2961" s="25" t="s">
        <v>783</v>
      </c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229">
        <f t="shared" si="1212"/>
        <v>0</v>
      </c>
      <c r="AC2961" s="228">
        <f t="shared" si="1207"/>
        <v>0</v>
      </c>
      <c r="AD2961" s="19">
        <v>0</v>
      </c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29">
        <f t="shared" si="1213"/>
        <v>0</v>
      </c>
      <c r="BD2961" s="48">
        <f t="shared" si="1208"/>
        <v>0</v>
      </c>
      <c r="BE2961" s="19">
        <v>1</v>
      </c>
      <c r="BF2961" s="229">
        <f t="shared" si="1214"/>
        <v>0</v>
      </c>
      <c r="BG2961" s="210">
        <f t="shared" si="1209"/>
        <v>0</v>
      </c>
      <c r="BH2961" s="210">
        <f t="shared" si="1210"/>
        <v>1</v>
      </c>
      <c r="BI2961" s="213">
        <f t="shared" si="1211"/>
        <v>0</v>
      </c>
      <c r="BJ2961" s="141"/>
      <c r="BK2961" s="201"/>
      <c r="BL2961" s="4"/>
      <c r="BM2961" s="4"/>
    </row>
    <row r="2962" spans="1:65" s="38" customFormat="1" ht="18" customHeight="1">
      <c r="A2962" s="114">
        <v>116</v>
      </c>
      <c r="B2962" s="24" t="s">
        <v>804</v>
      </c>
      <c r="C2962" s="25" t="s">
        <v>1386</v>
      </c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229">
        <f t="shared" si="1212"/>
        <v>0</v>
      </c>
      <c r="AC2962" s="228">
        <f t="shared" si="1207"/>
        <v>0</v>
      </c>
      <c r="AD2962" s="19">
        <v>0</v>
      </c>
      <c r="AE2962" s="28"/>
      <c r="AF2962" s="28"/>
      <c r="AG2962" s="28"/>
      <c r="AH2962" s="28"/>
      <c r="AI2962" s="28"/>
      <c r="AJ2962" s="28">
        <v>6</v>
      </c>
      <c r="AK2962" s="28"/>
      <c r="AL2962" s="28"/>
      <c r="AM2962" s="28"/>
      <c r="AN2962" s="28"/>
      <c r="AO2962" s="28"/>
      <c r="AP2962" s="28">
        <f>13+3+5</f>
        <v>21</v>
      </c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>
        <v>1</v>
      </c>
      <c r="BC2962" s="229">
        <f t="shared" si="1213"/>
        <v>0</v>
      </c>
      <c r="BD2962" s="48">
        <f t="shared" si="1208"/>
        <v>28</v>
      </c>
      <c r="BE2962" s="19">
        <v>35</v>
      </c>
      <c r="BF2962" s="229">
        <f t="shared" si="1214"/>
        <v>0</v>
      </c>
      <c r="BG2962" s="210">
        <f t="shared" si="1209"/>
        <v>28</v>
      </c>
      <c r="BH2962" s="210">
        <f t="shared" si="1210"/>
        <v>35</v>
      </c>
      <c r="BI2962" s="213">
        <f t="shared" si="1211"/>
        <v>80</v>
      </c>
      <c r="BJ2962" s="141"/>
      <c r="BK2962" s="201"/>
      <c r="BL2962" s="4"/>
      <c r="BM2962" s="4"/>
    </row>
    <row r="2963" spans="1:65" s="38" customFormat="1" ht="18" customHeight="1">
      <c r="A2963" s="114">
        <v>117</v>
      </c>
      <c r="B2963" s="24" t="s">
        <v>903</v>
      </c>
      <c r="C2963" s="25" t="s">
        <v>1165</v>
      </c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229">
        <f t="shared" si="1212"/>
        <v>0</v>
      </c>
      <c r="AC2963" s="228">
        <f t="shared" si="1207"/>
        <v>0</v>
      </c>
      <c r="AD2963" s="19">
        <v>0</v>
      </c>
      <c r="AE2963" s="28"/>
      <c r="AF2963" s="28"/>
      <c r="AG2963" s="28"/>
      <c r="AH2963" s="28"/>
      <c r="AI2963" s="28"/>
      <c r="AJ2963" s="28">
        <f>610+179+2</f>
        <v>791</v>
      </c>
      <c r="AK2963" s="28"/>
      <c r="AL2963" s="28"/>
      <c r="AM2963" s="28"/>
      <c r="AN2963" s="28"/>
      <c r="AO2963" s="28"/>
      <c r="AP2963" s="28">
        <f>721+218</f>
        <v>939</v>
      </c>
      <c r="AQ2963" s="28"/>
      <c r="AR2963" s="28"/>
      <c r="AS2963" s="28"/>
      <c r="AT2963" s="28"/>
      <c r="AU2963" s="28"/>
      <c r="AV2963" s="28">
        <v>512</v>
      </c>
      <c r="AW2963" s="28"/>
      <c r="AX2963" s="28"/>
      <c r="AY2963" s="28"/>
      <c r="AZ2963" s="28"/>
      <c r="BA2963" s="28"/>
      <c r="BB2963" s="28">
        <f>872+131</f>
        <v>1003</v>
      </c>
      <c r="BC2963" s="229">
        <f t="shared" si="1213"/>
        <v>0</v>
      </c>
      <c r="BD2963" s="48">
        <f t="shared" si="1208"/>
        <v>3245</v>
      </c>
      <c r="BE2963" s="19">
        <v>2998</v>
      </c>
      <c r="BF2963" s="229">
        <f t="shared" si="1214"/>
        <v>0</v>
      </c>
      <c r="BG2963" s="210">
        <f t="shared" si="1209"/>
        <v>3245</v>
      </c>
      <c r="BH2963" s="210">
        <f t="shared" si="1210"/>
        <v>2998</v>
      </c>
      <c r="BI2963" s="213">
        <f t="shared" si="1211"/>
        <v>108.23882588392262</v>
      </c>
      <c r="BJ2963" s="141"/>
      <c r="BK2963" s="201"/>
      <c r="BL2963" s="4"/>
      <c r="BM2963" s="4"/>
    </row>
    <row r="2964" spans="1:65" s="38" customFormat="1" ht="18" customHeight="1">
      <c r="A2964" s="114">
        <v>118</v>
      </c>
      <c r="B2964" s="24" t="s">
        <v>659</v>
      </c>
      <c r="C2964" s="25" t="s">
        <v>660</v>
      </c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229">
        <f t="shared" si="1212"/>
        <v>0</v>
      </c>
      <c r="AC2964" s="228">
        <f t="shared" si="1207"/>
        <v>0</v>
      </c>
      <c r="AD2964" s="19">
        <v>0</v>
      </c>
      <c r="AE2964" s="28"/>
      <c r="AF2964" s="28"/>
      <c r="AG2964" s="28"/>
      <c r="AH2964" s="28"/>
      <c r="AI2964" s="28"/>
      <c r="AJ2964" s="28">
        <f>8+283</f>
        <v>291</v>
      </c>
      <c r="AK2964" s="28"/>
      <c r="AL2964" s="28"/>
      <c r="AM2964" s="28"/>
      <c r="AN2964" s="28"/>
      <c r="AO2964" s="28"/>
      <c r="AP2964" s="28">
        <f>8+31</f>
        <v>39</v>
      </c>
      <c r="AQ2964" s="28"/>
      <c r="AR2964" s="28"/>
      <c r="AS2964" s="28"/>
      <c r="AT2964" s="28"/>
      <c r="AU2964" s="28"/>
      <c r="AV2964" s="28">
        <f>1+25</f>
        <v>26</v>
      </c>
      <c r="AW2964" s="28"/>
      <c r="AX2964" s="28"/>
      <c r="AY2964" s="28"/>
      <c r="AZ2964" s="28"/>
      <c r="BA2964" s="28"/>
      <c r="BB2964" s="28">
        <f>13+18</f>
        <v>31</v>
      </c>
      <c r="BC2964" s="229">
        <f t="shared" si="1213"/>
        <v>0</v>
      </c>
      <c r="BD2964" s="48">
        <f t="shared" si="1208"/>
        <v>387</v>
      </c>
      <c r="BE2964" s="19">
        <v>34</v>
      </c>
      <c r="BF2964" s="229">
        <f t="shared" si="1214"/>
        <v>0</v>
      </c>
      <c r="BG2964" s="210">
        <f t="shared" si="1209"/>
        <v>387</v>
      </c>
      <c r="BH2964" s="210">
        <f t="shared" si="1210"/>
        <v>34</v>
      </c>
      <c r="BI2964" s="213">
        <f t="shared" si="1211"/>
        <v>1138.2352941176471</v>
      </c>
      <c r="BJ2964" s="141"/>
      <c r="BK2964" s="201"/>
      <c r="BL2964" s="4"/>
      <c r="BM2964" s="4"/>
    </row>
    <row r="2965" spans="1:65" s="38" customFormat="1" ht="21.95" customHeight="1">
      <c r="A2965" s="114">
        <v>119</v>
      </c>
      <c r="B2965" s="24" t="s">
        <v>661</v>
      </c>
      <c r="C2965" s="27" t="s">
        <v>743</v>
      </c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>
        <v>1</v>
      </c>
      <c r="AB2965" s="229">
        <f t="shared" si="1212"/>
        <v>0</v>
      </c>
      <c r="AC2965" s="228">
        <f t="shared" si="1207"/>
        <v>1</v>
      </c>
      <c r="AD2965" s="19">
        <v>0</v>
      </c>
      <c r="AE2965" s="28"/>
      <c r="AF2965" s="28"/>
      <c r="AG2965" s="28"/>
      <c r="AH2965" s="28"/>
      <c r="AI2965" s="28"/>
      <c r="AJ2965" s="28">
        <f>2092+694+988</f>
        <v>3774</v>
      </c>
      <c r="AK2965" s="28"/>
      <c r="AL2965" s="28"/>
      <c r="AM2965" s="28"/>
      <c r="AN2965" s="28"/>
      <c r="AO2965" s="28"/>
      <c r="AP2965" s="28">
        <f>1716+546+140</f>
        <v>2402</v>
      </c>
      <c r="AQ2965" s="28"/>
      <c r="AR2965" s="28"/>
      <c r="AS2965" s="28"/>
      <c r="AT2965" s="28"/>
      <c r="AU2965" s="28"/>
      <c r="AV2965" s="28">
        <f>1151+115</f>
        <v>1266</v>
      </c>
      <c r="AW2965" s="28"/>
      <c r="AX2965" s="28"/>
      <c r="AY2965" s="28"/>
      <c r="AZ2965" s="28"/>
      <c r="BA2965" s="28"/>
      <c r="BB2965" s="28">
        <f>1918+475+73</f>
        <v>2466</v>
      </c>
      <c r="BC2965" s="229">
        <f t="shared" si="1213"/>
        <v>0</v>
      </c>
      <c r="BD2965" s="48">
        <f t="shared" si="1208"/>
        <v>9908</v>
      </c>
      <c r="BE2965" s="19">
        <v>8298</v>
      </c>
      <c r="BF2965" s="229">
        <f t="shared" si="1214"/>
        <v>0</v>
      </c>
      <c r="BG2965" s="210">
        <f t="shared" si="1209"/>
        <v>9909</v>
      </c>
      <c r="BH2965" s="210">
        <f t="shared" si="1210"/>
        <v>8298</v>
      </c>
      <c r="BI2965" s="213">
        <f t="shared" si="1211"/>
        <v>119.41431670281997</v>
      </c>
      <c r="BJ2965" s="141"/>
      <c r="BK2965" s="201"/>
      <c r="BL2965" s="4"/>
      <c r="BM2965" s="4"/>
    </row>
    <row r="2966" spans="1:65" s="38" customFormat="1" ht="18" customHeight="1">
      <c r="A2966" s="114">
        <v>120</v>
      </c>
      <c r="B2966" s="24" t="s">
        <v>662</v>
      </c>
      <c r="C2966" s="25" t="s">
        <v>1096</v>
      </c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229">
        <f t="shared" si="1212"/>
        <v>0</v>
      </c>
      <c r="AC2966" s="228">
        <f t="shared" si="1207"/>
        <v>0</v>
      </c>
      <c r="AD2966" s="19">
        <v>0</v>
      </c>
      <c r="AE2966" s="28"/>
      <c r="AF2966" s="28"/>
      <c r="AG2966" s="28"/>
      <c r="AH2966" s="28"/>
      <c r="AI2966" s="28"/>
      <c r="AJ2966" s="28">
        <v>37</v>
      </c>
      <c r="AK2966" s="28"/>
      <c r="AL2966" s="28"/>
      <c r="AM2966" s="28"/>
      <c r="AN2966" s="28"/>
      <c r="AO2966" s="28"/>
      <c r="AP2966" s="28">
        <v>6</v>
      </c>
      <c r="AQ2966" s="28"/>
      <c r="AR2966" s="28"/>
      <c r="AS2966" s="28"/>
      <c r="AT2966" s="28"/>
      <c r="AU2966" s="28"/>
      <c r="AV2966" s="28">
        <v>4</v>
      </c>
      <c r="AW2966" s="28"/>
      <c r="AX2966" s="28"/>
      <c r="AY2966" s="28"/>
      <c r="AZ2966" s="28"/>
      <c r="BA2966" s="28"/>
      <c r="BB2966" s="28">
        <v>6</v>
      </c>
      <c r="BC2966" s="229">
        <f t="shared" si="1213"/>
        <v>0</v>
      </c>
      <c r="BD2966" s="48">
        <f t="shared" si="1208"/>
        <v>53</v>
      </c>
      <c r="BE2966" s="19">
        <v>8</v>
      </c>
      <c r="BF2966" s="229">
        <f t="shared" si="1214"/>
        <v>0</v>
      </c>
      <c r="BG2966" s="210">
        <f t="shared" si="1209"/>
        <v>53</v>
      </c>
      <c r="BH2966" s="210">
        <f t="shared" si="1210"/>
        <v>8</v>
      </c>
      <c r="BI2966" s="213">
        <f t="shared" si="1211"/>
        <v>662.5</v>
      </c>
      <c r="BJ2966" s="141"/>
      <c r="BK2966" s="201"/>
      <c r="BL2966" s="4"/>
      <c r="BM2966" s="4"/>
    </row>
    <row r="2967" spans="1:65" s="38" customFormat="1" ht="18" customHeight="1">
      <c r="A2967" s="114">
        <v>121</v>
      </c>
      <c r="B2967" s="24" t="s">
        <v>663</v>
      </c>
      <c r="C2967" s="25" t="s">
        <v>1097</v>
      </c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229">
        <f t="shared" si="1212"/>
        <v>0</v>
      </c>
      <c r="AC2967" s="228">
        <f t="shared" si="1207"/>
        <v>0</v>
      </c>
      <c r="AD2967" s="19">
        <v>0</v>
      </c>
      <c r="AE2967" s="28"/>
      <c r="AF2967" s="28"/>
      <c r="AG2967" s="28"/>
      <c r="AH2967" s="28"/>
      <c r="AI2967" s="28"/>
      <c r="AJ2967" s="28">
        <f>26+2</f>
        <v>28</v>
      </c>
      <c r="AK2967" s="28"/>
      <c r="AL2967" s="28"/>
      <c r="AM2967" s="28"/>
      <c r="AN2967" s="28"/>
      <c r="AO2967" s="28"/>
      <c r="AP2967" s="28">
        <v>10</v>
      </c>
      <c r="AQ2967" s="28"/>
      <c r="AR2967" s="28"/>
      <c r="AS2967" s="28"/>
      <c r="AT2967" s="28"/>
      <c r="AU2967" s="28"/>
      <c r="AV2967" s="28">
        <v>25</v>
      </c>
      <c r="AW2967" s="28"/>
      <c r="AX2967" s="28"/>
      <c r="AY2967" s="28"/>
      <c r="AZ2967" s="28"/>
      <c r="BA2967" s="28"/>
      <c r="BB2967" s="28">
        <f>33+8</f>
        <v>41</v>
      </c>
      <c r="BC2967" s="229">
        <f t="shared" si="1213"/>
        <v>0</v>
      </c>
      <c r="BD2967" s="48">
        <f t="shared" si="1208"/>
        <v>104</v>
      </c>
      <c r="BE2967" s="19">
        <v>133</v>
      </c>
      <c r="BF2967" s="229">
        <f t="shared" si="1214"/>
        <v>0</v>
      </c>
      <c r="BG2967" s="210">
        <f t="shared" si="1209"/>
        <v>104</v>
      </c>
      <c r="BH2967" s="210">
        <f t="shared" si="1210"/>
        <v>133</v>
      </c>
      <c r="BI2967" s="213">
        <f t="shared" si="1211"/>
        <v>78.195488721804509</v>
      </c>
      <c r="BJ2967" s="141"/>
      <c r="BK2967" s="201"/>
      <c r="BL2967" s="4"/>
      <c r="BM2967" s="4"/>
    </row>
    <row r="2968" spans="1:65" s="38" customFormat="1" ht="21.95" customHeight="1">
      <c r="A2968" s="114">
        <v>122</v>
      </c>
      <c r="B2968" s="24" t="s">
        <v>664</v>
      </c>
      <c r="C2968" s="27" t="s">
        <v>1167</v>
      </c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229">
        <f t="shared" si="1212"/>
        <v>0</v>
      </c>
      <c r="AC2968" s="228">
        <f t="shared" si="1207"/>
        <v>0</v>
      </c>
      <c r="AD2968" s="19">
        <v>0</v>
      </c>
      <c r="AE2968" s="28"/>
      <c r="AF2968" s="28"/>
      <c r="AG2968" s="28"/>
      <c r="AH2968" s="28"/>
      <c r="AI2968" s="28"/>
      <c r="AJ2968" s="28">
        <f>156+44</f>
        <v>200</v>
      </c>
      <c r="AK2968" s="28"/>
      <c r="AL2968" s="28"/>
      <c r="AM2968" s="28"/>
      <c r="AN2968" s="28"/>
      <c r="AO2968" s="28"/>
      <c r="AP2968" s="28">
        <f>57+23</f>
        <v>80</v>
      </c>
      <c r="AQ2968" s="28"/>
      <c r="AR2968" s="28"/>
      <c r="AS2968" s="28"/>
      <c r="AT2968" s="28"/>
      <c r="AU2968" s="28"/>
      <c r="AV2968" s="28">
        <v>49</v>
      </c>
      <c r="AW2968" s="28"/>
      <c r="AX2968" s="28"/>
      <c r="AY2968" s="28"/>
      <c r="AZ2968" s="28"/>
      <c r="BA2968" s="28"/>
      <c r="BB2968" s="28">
        <f>215+61+2</f>
        <v>278</v>
      </c>
      <c r="BC2968" s="229">
        <f t="shared" si="1213"/>
        <v>0</v>
      </c>
      <c r="BD2968" s="48">
        <f t="shared" si="1208"/>
        <v>607</v>
      </c>
      <c r="BE2968" s="19">
        <v>1292</v>
      </c>
      <c r="BF2968" s="229">
        <f t="shared" si="1214"/>
        <v>0</v>
      </c>
      <c r="BG2968" s="210">
        <f t="shared" si="1209"/>
        <v>607</v>
      </c>
      <c r="BH2968" s="210">
        <f t="shared" si="1210"/>
        <v>1292</v>
      </c>
      <c r="BI2968" s="213">
        <f t="shared" si="1211"/>
        <v>46.981424148606813</v>
      </c>
      <c r="BJ2968" s="141"/>
      <c r="BK2968" s="201"/>
      <c r="BL2968" s="4"/>
      <c r="BM2968" s="4"/>
    </row>
    <row r="2969" spans="1:65" s="38" customFormat="1" ht="18" customHeight="1">
      <c r="A2969" s="114">
        <v>123</v>
      </c>
      <c r="B2969" s="154" t="s">
        <v>1703</v>
      </c>
      <c r="C2969" s="31" t="s">
        <v>1704</v>
      </c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229">
        <f t="shared" si="1212"/>
        <v>0</v>
      </c>
      <c r="AC2969" s="228">
        <f t="shared" si="1207"/>
        <v>0</v>
      </c>
      <c r="AD2969" s="19">
        <v>1</v>
      </c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29">
        <f t="shared" si="1213"/>
        <v>0</v>
      </c>
      <c r="BD2969" s="48">
        <f t="shared" si="1208"/>
        <v>0</v>
      </c>
      <c r="BE2969" s="19">
        <v>1</v>
      </c>
      <c r="BF2969" s="229">
        <f t="shared" si="1214"/>
        <v>0</v>
      </c>
      <c r="BG2969" s="210">
        <f t="shared" si="1209"/>
        <v>0</v>
      </c>
      <c r="BH2969" s="210">
        <f t="shared" si="1210"/>
        <v>2</v>
      </c>
      <c r="BI2969" s="213">
        <f t="shared" si="1211"/>
        <v>0</v>
      </c>
      <c r="BJ2969" s="141"/>
      <c r="BK2969" s="201"/>
      <c r="BL2969" s="4"/>
      <c r="BM2969" s="4"/>
    </row>
    <row r="2970" spans="1:65" s="38" customFormat="1" ht="21.95" customHeight="1">
      <c r="A2970" s="114">
        <v>124</v>
      </c>
      <c r="B2970" s="24" t="s">
        <v>1997</v>
      </c>
      <c r="C2970" s="27" t="s">
        <v>2222</v>
      </c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229">
        <f t="shared" si="1212"/>
        <v>0</v>
      </c>
      <c r="AC2970" s="228">
        <f t="shared" si="1207"/>
        <v>0</v>
      </c>
      <c r="AD2970" s="19">
        <v>0</v>
      </c>
      <c r="AE2970" s="28"/>
      <c r="AF2970" s="28"/>
      <c r="AG2970" s="28"/>
      <c r="AH2970" s="28"/>
      <c r="AI2970" s="28"/>
      <c r="AJ2970" s="28">
        <v>5</v>
      </c>
      <c r="AK2970" s="28"/>
      <c r="AL2970" s="28"/>
      <c r="AM2970" s="28"/>
      <c r="AN2970" s="28"/>
      <c r="AO2970" s="28"/>
      <c r="AP2970" s="28">
        <v>11</v>
      </c>
      <c r="AQ2970" s="28"/>
      <c r="AR2970" s="28"/>
      <c r="AS2970" s="28"/>
      <c r="AT2970" s="28"/>
      <c r="AU2970" s="28"/>
      <c r="AV2970" s="28">
        <v>2</v>
      </c>
      <c r="AW2970" s="28"/>
      <c r="AX2970" s="28"/>
      <c r="AY2970" s="28"/>
      <c r="AZ2970" s="28"/>
      <c r="BA2970" s="28"/>
      <c r="BB2970" s="28">
        <v>3</v>
      </c>
      <c r="BC2970" s="229">
        <f t="shared" si="1213"/>
        <v>0</v>
      </c>
      <c r="BD2970" s="48">
        <f t="shared" si="1208"/>
        <v>21</v>
      </c>
      <c r="BE2970" s="19">
        <v>7</v>
      </c>
      <c r="BF2970" s="229">
        <f t="shared" si="1214"/>
        <v>0</v>
      </c>
      <c r="BG2970" s="210">
        <f t="shared" si="1209"/>
        <v>21</v>
      </c>
      <c r="BH2970" s="210">
        <f t="shared" si="1210"/>
        <v>7</v>
      </c>
      <c r="BI2970" s="213">
        <f t="shared" si="1211"/>
        <v>300</v>
      </c>
      <c r="BJ2970" s="141"/>
      <c r="BK2970" s="201"/>
      <c r="BL2970" s="4"/>
      <c r="BM2970" s="4"/>
    </row>
    <row r="2971" spans="1:65" ht="18" customHeight="1">
      <c r="A2971" s="114">
        <v>125</v>
      </c>
      <c r="B2971" s="24" t="s">
        <v>1170</v>
      </c>
      <c r="C2971" s="25" t="s">
        <v>1390</v>
      </c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229">
        <f t="shared" si="1212"/>
        <v>0</v>
      </c>
      <c r="AC2971" s="228">
        <f t="shared" ref="AC2971:AC3001" si="1215">E2971+G2971+I2971+K2971+M2971+O2971+Q2971+S2971+U2971+W2971+Y2971+AA2971</f>
        <v>0</v>
      </c>
      <c r="AD2971" s="19">
        <v>0</v>
      </c>
      <c r="AE2971" s="28"/>
      <c r="AF2971" s="28"/>
      <c r="AG2971" s="28"/>
      <c r="AH2971" s="28"/>
      <c r="AI2971" s="28"/>
      <c r="AJ2971" s="28">
        <v>9</v>
      </c>
      <c r="AK2971" s="28"/>
      <c r="AL2971" s="28"/>
      <c r="AM2971" s="28"/>
      <c r="AN2971" s="28"/>
      <c r="AO2971" s="28"/>
      <c r="AP2971" s="28">
        <f>23+3</f>
        <v>26</v>
      </c>
      <c r="AQ2971" s="28"/>
      <c r="AR2971" s="28"/>
      <c r="AS2971" s="28"/>
      <c r="AT2971" s="28"/>
      <c r="AU2971" s="28"/>
      <c r="AV2971" s="28">
        <v>8</v>
      </c>
      <c r="AW2971" s="28"/>
      <c r="AX2971" s="28"/>
      <c r="AY2971" s="28"/>
      <c r="AZ2971" s="28"/>
      <c r="BA2971" s="28"/>
      <c r="BB2971" s="28">
        <f>75+2</f>
        <v>77</v>
      </c>
      <c r="BC2971" s="229">
        <f t="shared" si="1213"/>
        <v>0</v>
      </c>
      <c r="BD2971" s="48">
        <f t="shared" ref="BD2971:BD3001" si="1216">AF2971+AH2971+AJ2971+AL2971+AN2971+AP2971+AR2971+AT2971+AV2971+AX2971+AZ2971+BB2971</f>
        <v>120</v>
      </c>
      <c r="BE2971" s="19">
        <v>86</v>
      </c>
      <c r="BF2971" s="229">
        <f t="shared" si="1214"/>
        <v>0</v>
      </c>
      <c r="BG2971" s="210">
        <f t="shared" ref="BG2971:BG3001" si="1217">AC2971+BD2971</f>
        <v>120</v>
      </c>
      <c r="BH2971" s="210">
        <f t="shared" ref="BH2971:BH3001" si="1218">AD2971+BE2971</f>
        <v>86</v>
      </c>
      <c r="BI2971" s="213">
        <f t="shared" ref="BI2971:BI3000" si="1219">BG2971/BH2971*100</f>
        <v>139.53488372093022</v>
      </c>
      <c r="BJ2971" s="141"/>
      <c r="BK2971" s="201"/>
    </row>
    <row r="2972" spans="1:65" ht="18" customHeight="1">
      <c r="A2972" s="114">
        <v>126</v>
      </c>
      <c r="B2972" s="24" t="s">
        <v>1558</v>
      </c>
      <c r="C2972" s="25" t="s">
        <v>1559</v>
      </c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229">
        <f t="shared" si="1212"/>
        <v>0</v>
      </c>
      <c r="AC2972" s="228">
        <f t="shared" si="1215"/>
        <v>0</v>
      </c>
      <c r="AD2972" s="19">
        <v>0</v>
      </c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29">
        <f t="shared" si="1213"/>
        <v>0</v>
      </c>
      <c r="BD2972" s="48">
        <f t="shared" si="1216"/>
        <v>0</v>
      </c>
      <c r="BE2972" s="19">
        <v>1</v>
      </c>
      <c r="BF2972" s="229">
        <f t="shared" si="1214"/>
        <v>0</v>
      </c>
      <c r="BG2972" s="210">
        <f t="shared" si="1217"/>
        <v>0</v>
      </c>
      <c r="BH2972" s="210">
        <f t="shared" si="1218"/>
        <v>1</v>
      </c>
      <c r="BI2972" s="213">
        <f t="shared" si="1219"/>
        <v>0</v>
      </c>
      <c r="BJ2972" s="141"/>
      <c r="BK2972" s="201"/>
    </row>
    <row r="2973" spans="1:65" s="38" customFormat="1" ht="21.95" customHeight="1">
      <c r="A2973" s="114">
        <v>127</v>
      </c>
      <c r="B2973" s="24" t="s">
        <v>786</v>
      </c>
      <c r="C2973" s="27" t="s">
        <v>2250</v>
      </c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229">
        <f t="shared" si="1212"/>
        <v>0</v>
      </c>
      <c r="AC2973" s="228">
        <f t="shared" si="1215"/>
        <v>0</v>
      </c>
      <c r="AD2973" s="19">
        <v>0</v>
      </c>
      <c r="AE2973" s="28"/>
      <c r="AF2973" s="28"/>
      <c r="AG2973" s="28"/>
      <c r="AH2973" s="28"/>
      <c r="AI2973" s="28"/>
      <c r="AJ2973" s="28">
        <v>7</v>
      </c>
      <c r="AK2973" s="28"/>
      <c r="AL2973" s="28"/>
      <c r="AM2973" s="28"/>
      <c r="AN2973" s="28"/>
      <c r="AO2973" s="28"/>
      <c r="AP2973" s="28">
        <f>31+8</f>
        <v>39</v>
      </c>
      <c r="AQ2973" s="28"/>
      <c r="AR2973" s="28"/>
      <c r="AS2973" s="28"/>
      <c r="AT2973" s="28"/>
      <c r="AU2973" s="28"/>
      <c r="AV2973" s="28">
        <v>4</v>
      </c>
      <c r="AW2973" s="28"/>
      <c r="AX2973" s="28"/>
      <c r="AY2973" s="28"/>
      <c r="AZ2973" s="28"/>
      <c r="BA2973" s="28"/>
      <c r="BB2973" s="28">
        <v>28</v>
      </c>
      <c r="BC2973" s="229">
        <f t="shared" si="1213"/>
        <v>0</v>
      </c>
      <c r="BD2973" s="48">
        <f t="shared" si="1216"/>
        <v>78</v>
      </c>
      <c r="BE2973" s="19">
        <v>85</v>
      </c>
      <c r="BF2973" s="229">
        <f t="shared" si="1214"/>
        <v>0</v>
      </c>
      <c r="BG2973" s="210">
        <f t="shared" si="1217"/>
        <v>78</v>
      </c>
      <c r="BH2973" s="210">
        <f t="shared" si="1218"/>
        <v>85</v>
      </c>
      <c r="BI2973" s="213">
        <f t="shared" si="1219"/>
        <v>91.764705882352942</v>
      </c>
      <c r="BJ2973" s="141"/>
      <c r="BK2973" s="201"/>
      <c r="BL2973" s="4"/>
      <c r="BM2973" s="4"/>
    </row>
    <row r="2974" spans="1:65" s="38" customFormat="1" ht="18" customHeight="1">
      <c r="A2974" s="114">
        <v>128</v>
      </c>
      <c r="B2974" s="24" t="s">
        <v>704</v>
      </c>
      <c r="C2974" s="25" t="s">
        <v>1383</v>
      </c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229">
        <f t="shared" si="1212"/>
        <v>0</v>
      </c>
      <c r="AC2974" s="228">
        <f t="shared" si="1215"/>
        <v>0</v>
      </c>
      <c r="AD2974" s="19">
        <v>0</v>
      </c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29">
        <f t="shared" si="1213"/>
        <v>0</v>
      </c>
      <c r="BD2974" s="48">
        <f t="shared" si="1216"/>
        <v>0</v>
      </c>
      <c r="BE2974" s="19">
        <v>1</v>
      </c>
      <c r="BF2974" s="229">
        <f t="shared" si="1214"/>
        <v>0</v>
      </c>
      <c r="BG2974" s="210">
        <f t="shared" si="1217"/>
        <v>0</v>
      </c>
      <c r="BH2974" s="210">
        <f t="shared" si="1218"/>
        <v>1</v>
      </c>
      <c r="BI2974" s="213">
        <f t="shared" si="1219"/>
        <v>0</v>
      </c>
      <c r="BJ2974" s="141"/>
      <c r="BK2974" s="201"/>
      <c r="BL2974" s="4"/>
      <c r="BM2974" s="4"/>
    </row>
    <row r="2975" spans="1:65" s="38" customFormat="1" ht="18" customHeight="1">
      <c r="A2975" s="114">
        <v>129</v>
      </c>
      <c r="B2975" s="24" t="s">
        <v>788</v>
      </c>
      <c r="C2975" s="25" t="s">
        <v>1172</v>
      </c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229">
        <f t="shared" si="1212"/>
        <v>0</v>
      </c>
      <c r="AC2975" s="228">
        <f t="shared" si="1215"/>
        <v>0</v>
      </c>
      <c r="AD2975" s="19">
        <v>0</v>
      </c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29">
        <f t="shared" si="1213"/>
        <v>0</v>
      </c>
      <c r="BD2975" s="48">
        <f t="shared" si="1216"/>
        <v>0</v>
      </c>
      <c r="BE2975" s="19">
        <v>1</v>
      </c>
      <c r="BF2975" s="229">
        <f t="shared" si="1214"/>
        <v>0</v>
      </c>
      <c r="BG2975" s="210">
        <f t="shared" si="1217"/>
        <v>0</v>
      </c>
      <c r="BH2975" s="210">
        <f t="shared" si="1218"/>
        <v>1</v>
      </c>
      <c r="BI2975" s="213">
        <f t="shared" si="1219"/>
        <v>0</v>
      </c>
      <c r="BJ2975" s="141"/>
      <c r="BK2975" s="201"/>
      <c r="BL2975" s="4"/>
      <c r="BM2975" s="4"/>
    </row>
    <row r="2976" spans="1:65" s="38" customFormat="1" ht="18" customHeight="1">
      <c r="A2976" s="114">
        <v>130</v>
      </c>
      <c r="B2976" s="24" t="s">
        <v>1173</v>
      </c>
      <c r="C2976" s="25" t="s">
        <v>1371</v>
      </c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229">
        <f t="shared" si="1212"/>
        <v>0</v>
      </c>
      <c r="AC2976" s="228">
        <f t="shared" si="1215"/>
        <v>0</v>
      </c>
      <c r="AD2976" s="19">
        <v>1</v>
      </c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>
        <v>1</v>
      </c>
      <c r="AW2976" s="28"/>
      <c r="AX2976" s="28"/>
      <c r="AY2976" s="28"/>
      <c r="AZ2976" s="28"/>
      <c r="BA2976" s="28"/>
      <c r="BB2976" s="28"/>
      <c r="BC2976" s="229">
        <f t="shared" si="1213"/>
        <v>0</v>
      </c>
      <c r="BD2976" s="48">
        <f t="shared" si="1216"/>
        <v>1</v>
      </c>
      <c r="BE2976" s="19">
        <v>3</v>
      </c>
      <c r="BF2976" s="229">
        <f t="shared" si="1214"/>
        <v>0</v>
      </c>
      <c r="BG2976" s="210">
        <f t="shared" si="1217"/>
        <v>1</v>
      </c>
      <c r="BH2976" s="210">
        <f t="shared" si="1218"/>
        <v>4</v>
      </c>
      <c r="BI2976" s="213">
        <f t="shared" si="1219"/>
        <v>25</v>
      </c>
      <c r="BJ2976" s="141"/>
      <c r="BK2976" s="201"/>
      <c r="BL2976" s="4"/>
      <c r="BM2976" s="4"/>
    </row>
    <row r="2977" spans="1:65" s="38" customFormat="1" ht="18" customHeight="1">
      <c r="A2977" s="114">
        <v>131</v>
      </c>
      <c r="B2977" s="24" t="s">
        <v>1174</v>
      </c>
      <c r="C2977" s="25" t="s">
        <v>2848</v>
      </c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229">
        <f t="shared" si="1212"/>
        <v>0</v>
      </c>
      <c r="AC2977" s="228">
        <f t="shared" si="1215"/>
        <v>0</v>
      </c>
      <c r="AD2977" s="19">
        <v>0</v>
      </c>
      <c r="AE2977" s="28"/>
      <c r="AF2977" s="28"/>
      <c r="AG2977" s="28"/>
      <c r="AH2977" s="28"/>
      <c r="AI2977" s="28"/>
      <c r="AJ2977" s="28">
        <v>9</v>
      </c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29">
        <f t="shared" si="1213"/>
        <v>0</v>
      </c>
      <c r="BD2977" s="48">
        <f t="shared" si="1216"/>
        <v>9</v>
      </c>
      <c r="BE2977" s="19">
        <v>0</v>
      </c>
      <c r="BF2977" s="229">
        <f t="shared" si="1214"/>
        <v>0</v>
      </c>
      <c r="BG2977" s="210">
        <f t="shared" si="1217"/>
        <v>9</v>
      </c>
      <c r="BH2977" s="210">
        <f t="shared" si="1218"/>
        <v>0</v>
      </c>
      <c r="BI2977" s="213" t="e">
        <f t="shared" si="1219"/>
        <v>#DIV/0!</v>
      </c>
      <c r="BJ2977" s="141"/>
      <c r="BK2977" s="201"/>
      <c r="BL2977" s="4"/>
      <c r="BM2977" s="4"/>
    </row>
    <row r="2978" spans="1:65" s="38" customFormat="1" ht="18" customHeight="1">
      <c r="A2978" s="114">
        <v>132</v>
      </c>
      <c r="B2978" s="24" t="s">
        <v>1176</v>
      </c>
      <c r="C2978" s="25" t="s">
        <v>1388</v>
      </c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229">
        <f t="shared" si="1212"/>
        <v>0</v>
      </c>
      <c r="AC2978" s="228">
        <f t="shared" si="1215"/>
        <v>0</v>
      </c>
      <c r="AD2978" s="19">
        <v>0</v>
      </c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29">
        <f t="shared" si="1213"/>
        <v>0</v>
      </c>
      <c r="BD2978" s="48">
        <f t="shared" si="1216"/>
        <v>0</v>
      </c>
      <c r="BE2978" s="19">
        <v>1</v>
      </c>
      <c r="BF2978" s="229">
        <f t="shared" si="1214"/>
        <v>0</v>
      </c>
      <c r="BG2978" s="210">
        <f t="shared" si="1217"/>
        <v>0</v>
      </c>
      <c r="BH2978" s="210">
        <f t="shared" si="1218"/>
        <v>1</v>
      </c>
      <c r="BI2978" s="213">
        <f t="shared" si="1219"/>
        <v>0</v>
      </c>
      <c r="BJ2978" s="141"/>
      <c r="BK2978" s="201"/>
      <c r="BL2978" s="4"/>
      <c r="BM2978" s="4"/>
    </row>
    <row r="2979" spans="1:65" s="38" customFormat="1" ht="21.95" customHeight="1">
      <c r="A2979" s="114">
        <v>133</v>
      </c>
      <c r="B2979" s="24" t="s">
        <v>790</v>
      </c>
      <c r="C2979" s="27" t="s">
        <v>2431</v>
      </c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229">
        <f t="shared" si="1212"/>
        <v>0</v>
      </c>
      <c r="AC2979" s="228">
        <f t="shared" si="1215"/>
        <v>0</v>
      </c>
      <c r="AD2979" s="19">
        <v>0</v>
      </c>
      <c r="AE2979" s="28"/>
      <c r="AF2979" s="28"/>
      <c r="AG2979" s="28"/>
      <c r="AH2979" s="28"/>
      <c r="AI2979" s="28"/>
      <c r="AJ2979" s="28">
        <f>599+149+19</f>
        <v>767</v>
      </c>
      <c r="AK2979" s="28"/>
      <c r="AL2979" s="28"/>
      <c r="AM2979" s="28"/>
      <c r="AN2979" s="28"/>
      <c r="AO2979" s="28"/>
      <c r="AP2979" s="28">
        <f>417+168+1</f>
        <v>586</v>
      </c>
      <c r="AQ2979" s="28"/>
      <c r="AR2979" s="28"/>
      <c r="AS2979" s="28"/>
      <c r="AT2979" s="28"/>
      <c r="AU2979" s="28"/>
      <c r="AV2979" s="28">
        <v>354</v>
      </c>
      <c r="AW2979" s="28"/>
      <c r="AX2979" s="28"/>
      <c r="AY2979" s="28"/>
      <c r="AZ2979" s="28"/>
      <c r="BA2979" s="28"/>
      <c r="BB2979" s="28">
        <f>447+117</f>
        <v>564</v>
      </c>
      <c r="BC2979" s="229">
        <f t="shared" si="1213"/>
        <v>0</v>
      </c>
      <c r="BD2979" s="48">
        <f t="shared" si="1216"/>
        <v>2271</v>
      </c>
      <c r="BE2979" s="19">
        <v>1865</v>
      </c>
      <c r="BF2979" s="229">
        <f t="shared" si="1214"/>
        <v>0</v>
      </c>
      <c r="BG2979" s="210">
        <f t="shared" si="1217"/>
        <v>2271</v>
      </c>
      <c r="BH2979" s="210">
        <f t="shared" si="1218"/>
        <v>1865</v>
      </c>
      <c r="BI2979" s="213">
        <f t="shared" si="1219"/>
        <v>121.76943699731903</v>
      </c>
      <c r="BJ2979" s="141"/>
      <c r="BK2979" s="201"/>
      <c r="BL2979" s="4"/>
      <c r="BM2979" s="4"/>
    </row>
    <row r="2980" spans="1:65" s="38" customFormat="1" ht="21.95" customHeight="1">
      <c r="A2980" s="114">
        <v>134</v>
      </c>
      <c r="B2980" s="24" t="s">
        <v>791</v>
      </c>
      <c r="C2980" s="27" t="s">
        <v>2318</v>
      </c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229">
        <f t="shared" si="1212"/>
        <v>0</v>
      </c>
      <c r="AC2980" s="228">
        <f t="shared" si="1215"/>
        <v>0</v>
      </c>
      <c r="AD2980" s="19">
        <v>0</v>
      </c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29">
        <f t="shared" si="1213"/>
        <v>0</v>
      </c>
      <c r="BD2980" s="48">
        <f t="shared" si="1216"/>
        <v>0</v>
      </c>
      <c r="BE2980" s="19">
        <v>1</v>
      </c>
      <c r="BF2980" s="229">
        <f t="shared" si="1214"/>
        <v>0</v>
      </c>
      <c r="BG2980" s="210">
        <f t="shared" si="1217"/>
        <v>0</v>
      </c>
      <c r="BH2980" s="210">
        <f t="shared" si="1218"/>
        <v>1</v>
      </c>
      <c r="BI2980" s="213">
        <f t="shared" si="1219"/>
        <v>0</v>
      </c>
      <c r="BJ2980" s="141"/>
      <c r="BK2980" s="201"/>
      <c r="BL2980" s="4"/>
      <c r="BM2980" s="4"/>
    </row>
    <row r="2981" spans="1:65" s="38" customFormat="1" ht="21.95" customHeight="1">
      <c r="A2981" s="114">
        <v>135</v>
      </c>
      <c r="B2981" s="24" t="s">
        <v>744</v>
      </c>
      <c r="C2981" s="27" t="s">
        <v>745</v>
      </c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229"/>
      <c r="AC2981" s="228">
        <f t="shared" si="1215"/>
        <v>0</v>
      </c>
      <c r="AD2981" s="19">
        <v>0</v>
      </c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>
        <v>1</v>
      </c>
      <c r="AQ2981" s="28"/>
      <c r="AR2981" s="28"/>
      <c r="AS2981" s="28"/>
      <c r="AT2981" s="28"/>
      <c r="AU2981" s="28"/>
      <c r="AV2981" s="28">
        <v>4</v>
      </c>
      <c r="AW2981" s="28"/>
      <c r="AX2981" s="28"/>
      <c r="AY2981" s="28"/>
      <c r="AZ2981" s="28"/>
      <c r="BA2981" s="28"/>
      <c r="BB2981" s="28"/>
      <c r="BC2981" s="229"/>
      <c r="BD2981" s="48">
        <f t="shared" si="1216"/>
        <v>5</v>
      </c>
      <c r="BE2981" s="19">
        <v>0</v>
      </c>
      <c r="BF2981" s="229"/>
      <c r="BG2981" s="210">
        <f t="shared" si="1217"/>
        <v>5</v>
      </c>
      <c r="BH2981" s="210">
        <f t="shared" si="1218"/>
        <v>0</v>
      </c>
      <c r="BI2981" s="213" t="e">
        <f t="shared" si="1219"/>
        <v>#DIV/0!</v>
      </c>
      <c r="BJ2981" s="141"/>
      <c r="BK2981" s="201"/>
      <c r="BL2981" s="4"/>
      <c r="BM2981" s="4"/>
    </row>
    <row r="2982" spans="1:65" s="38" customFormat="1" ht="21.95" customHeight="1">
      <c r="A2982" s="114">
        <v>136</v>
      </c>
      <c r="B2982" s="24" t="s">
        <v>1177</v>
      </c>
      <c r="C2982" s="27" t="s">
        <v>2839</v>
      </c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229">
        <f t="shared" ref="AB2982:AB3010" si="1220">D2982+F2982+H2982+J2982+L2982+N2982+P2982+R2982+T2982+V2982+X2982+Z2982</f>
        <v>0</v>
      </c>
      <c r="AC2982" s="228">
        <f t="shared" si="1215"/>
        <v>0</v>
      </c>
      <c r="AD2982" s="19">
        <v>0</v>
      </c>
      <c r="AE2982" s="28"/>
      <c r="AF2982" s="28"/>
      <c r="AG2982" s="28"/>
      <c r="AH2982" s="28"/>
      <c r="AI2982" s="28"/>
      <c r="AJ2982" s="28">
        <v>4</v>
      </c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  <c r="AZ2982" s="28"/>
      <c r="BA2982" s="28"/>
      <c r="BB2982" s="28"/>
      <c r="BC2982" s="229">
        <f t="shared" ref="BC2982:BC3010" si="1221">AE2982+AG2982+AI2982+AK2982+AM2982+AO2982+AQ2982+AS2982+AU2982+AW2982+AY2982+BA2982</f>
        <v>0</v>
      </c>
      <c r="BD2982" s="48">
        <f t="shared" si="1216"/>
        <v>4</v>
      </c>
      <c r="BE2982" s="19">
        <v>0</v>
      </c>
      <c r="BF2982" s="229">
        <f t="shared" ref="BF2982:BF3010" si="1222">AB2982+BC2982</f>
        <v>0</v>
      </c>
      <c r="BG2982" s="210">
        <f t="shared" si="1217"/>
        <v>4</v>
      </c>
      <c r="BH2982" s="210">
        <f t="shared" si="1218"/>
        <v>0</v>
      </c>
      <c r="BI2982" s="213" t="e">
        <f t="shared" si="1219"/>
        <v>#DIV/0!</v>
      </c>
      <c r="BJ2982" s="141"/>
      <c r="BK2982" s="201"/>
      <c r="BL2982" s="4"/>
      <c r="BM2982" s="4"/>
    </row>
    <row r="2983" spans="1:65" s="38" customFormat="1" ht="21.95" customHeight="1">
      <c r="A2983" s="114">
        <v>137</v>
      </c>
      <c r="B2983" s="24" t="s">
        <v>824</v>
      </c>
      <c r="C2983" s="27" t="s">
        <v>825</v>
      </c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229">
        <f t="shared" si="1220"/>
        <v>0</v>
      </c>
      <c r="AC2983" s="228">
        <f t="shared" si="1215"/>
        <v>0</v>
      </c>
      <c r="AD2983" s="19">
        <v>0</v>
      </c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>
        <f>5+1</f>
        <v>6</v>
      </c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>
        <v>2</v>
      </c>
      <c r="BC2983" s="229">
        <f t="shared" si="1221"/>
        <v>0</v>
      </c>
      <c r="BD2983" s="48">
        <f t="shared" si="1216"/>
        <v>8</v>
      </c>
      <c r="BE2983" s="19">
        <v>2</v>
      </c>
      <c r="BF2983" s="229">
        <f t="shared" si="1222"/>
        <v>0</v>
      </c>
      <c r="BG2983" s="210">
        <f t="shared" si="1217"/>
        <v>8</v>
      </c>
      <c r="BH2983" s="210">
        <f t="shared" si="1218"/>
        <v>2</v>
      </c>
      <c r="BI2983" s="213">
        <f t="shared" si="1219"/>
        <v>400</v>
      </c>
      <c r="BJ2983" s="141"/>
      <c r="BK2983" s="201"/>
      <c r="BL2983" s="4"/>
      <c r="BM2983" s="4"/>
    </row>
    <row r="2984" spans="1:65" ht="18" customHeight="1">
      <c r="A2984" s="114">
        <v>138</v>
      </c>
      <c r="B2984" s="24" t="s">
        <v>1143</v>
      </c>
      <c r="C2984" s="25" t="s">
        <v>1144</v>
      </c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229">
        <f t="shared" si="1220"/>
        <v>0</v>
      </c>
      <c r="AC2984" s="228">
        <f t="shared" si="1215"/>
        <v>0</v>
      </c>
      <c r="AD2984" s="19">
        <v>0</v>
      </c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29">
        <f t="shared" si="1221"/>
        <v>0</v>
      </c>
      <c r="BD2984" s="48">
        <f t="shared" si="1216"/>
        <v>0</v>
      </c>
      <c r="BE2984" s="19">
        <v>0</v>
      </c>
      <c r="BF2984" s="229">
        <f t="shared" si="1222"/>
        <v>0</v>
      </c>
      <c r="BG2984" s="210">
        <f t="shared" si="1217"/>
        <v>0</v>
      </c>
      <c r="BH2984" s="210">
        <f t="shared" si="1218"/>
        <v>0</v>
      </c>
      <c r="BI2984" s="213" t="e">
        <f t="shared" si="1219"/>
        <v>#DIV/0!</v>
      </c>
      <c r="BJ2984" s="141"/>
      <c r="BK2984" s="201"/>
    </row>
    <row r="2985" spans="1:65" ht="18" customHeight="1">
      <c r="A2985" s="114">
        <v>139</v>
      </c>
      <c r="B2985" s="24" t="s">
        <v>998</v>
      </c>
      <c r="C2985" s="25" t="s">
        <v>999</v>
      </c>
      <c r="D2985" s="121"/>
      <c r="E2985" s="121"/>
      <c r="F2985" s="121"/>
      <c r="G2985" s="121"/>
      <c r="H2985" s="121"/>
      <c r="I2985" s="121">
        <f>759+1459+717+46</f>
        <v>2981</v>
      </c>
      <c r="J2985" s="121"/>
      <c r="K2985" s="121"/>
      <c r="L2985" s="121"/>
      <c r="M2985" s="121"/>
      <c r="N2985" s="121"/>
      <c r="O2985" s="121">
        <f>750+2+1699+901+56</f>
        <v>3408</v>
      </c>
      <c r="P2985" s="121"/>
      <c r="Q2985" s="121"/>
      <c r="R2985" s="121"/>
      <c r="S2985" s="121"/>
      <c r="T2985" s="121"/>
      <c r="U2985" s="121">
        <f>646+12+1899+877+2+43</f>
        <v>3479</v>
      </c>
      <c r="V2985" s="121"/>
      <c r="W2985" s="121"/>
      <c r="X2985" s="121"/>
      <c r="Y2985" s="121"/>
      <c r="Z2985" s="121"/>
      <c r="AA2985" s="121">
        <f>834+26+1755+1232+3+60</f>
        <v>3910</v>
      </c>
      <c r="AB2985" s="229">
        <f t="shared" si="1220"/>
        <v>0</v>
      </c>
      <c r="AC2985" s="228">
        <f t="shared" si="1215"/>
        <v>13778</v>
      </c>
      <c r="AD2985" s="19">
        <v>9732</v>
      </c>
      <c r="AE2985" s="28"/>
      <c r="AF2985" s="28"/>
      <c r="AG2985" s="28"/>
      <c r="AH2985" s="28"/>
      <c r="AI2985" s="28"/>
      <c r="AJ2985" s="28">
        <f>57+1+2+2</f>
        <v>62</v>
      </c>
      <c r="AK2985" s="28"/>
      <c r="AL2985" s="28"/>
      <c r="AM2985" s="28"/>
      <c r="AN2985" s="28"/>
      <c r="AO2985" s="28"/>
      <c r="AP2985" s="28">
        <f>59+1+57+10+1+1</f>
        <v>129</v>
      </c>
      <c r="AQ2985" s="28"/>
      <c r="AR2985" s="28"/>
      <c r="AS2985" s="28"/>
      <c r="AT2985" s="28"/>
      <c r="AU2985" s="28"/>
      <c r="AV2985" s="28">
        <f>14+189+1+2</f>
        <v>206</v>
      </c>
      <c r="AW2985" s="28"/>
      <c r="AX2985" s="28"/>
      <c r="AY2985" s="28"/>
      <c r="AZ2985" s="28"/>
      <c r="BA2985" s="28"/>
      <c r="BB2985" s="28">
        <f>13+368+1+1</f>
        <v>383</v>
      </c>
      <c r="BC2985" s="229">
        <f t="shared" si="1221"/>
        <v>0</v>
      </c>
      <c r="BD2985" s="48">
        <f t="shared" si="1216"/>
        <v>780</v>
      </c>
      <c r="BE2985" s="19">
        <v>320</v>
      </c>
      <c r="BF2985" s="229">
        <f t="shared" si="1222"/>
        <v>0</v>
      </c>
      <c r="BG2985" s="210">
        <f t="shared" si="1217"/>
        <v>14558</v>
      </c>
      <c r="BH2985" s="210">
        <f t="shared" si="1218"/>
        <v>10052</v>
      </c>
      <c r="BI2985" s="213">
        <f t="shared" si="1219"/>
        <v>144.82690011937922</v>
      </c>
      <c r="BJ2985" s="141"/>
      <c r="BK2985" s="201"/>
    </row>
    <row r="2986" spans="1:65" ht="18" customHeight="1">
      <c r="A2986" s="114">
        <v>140</v>
      </c>
      <c r="B2986" s="24" t="s">
        <v>1798</v>
      </c>
      <c r="C2986" s="25" t="s">
        <v>1047</v>
      </c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229">
        <f t="shared" si="1220"/>
        <v>0</v>
      </c>
      <c r="AC2986" s="228">
        <f t="shared" si="1215"/>
        <v>0</v>
      </c>
      <c r="AD2986" s="19">
        <v>0</v>
      </c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29">
        <f t="shared" si="1221"/>
        <v>0</v>
      </c>
      <c r="BD2986" s="48">
        <f t="shared" si="1216"/>
        <v>0</v>
      </c>
      <c r="BE2986" s="19">
        <v>0</v>
      </c>
      <c r="BF2986" s="229">
        <f t="shared" si="1222"/>
        <v>0</v>
      </c>
      <c r="BG2986" s="210">
        <f t="shared" si="1217"/>
        <v>0</v>
      </c>
      <c r="BH2986" s="210">
        <f t="shared" si="1218"/>
        <v>0</v>
      </c>
      <c r="BI2986" s="213" t="e">
        <f t="shared" si="1219"/>
        <v>#DIV/0!</v>
      </c>
      <c r="BJ2986" s="339" t="s">
        <v>2856</v>
      </c>
      <c r="BK2986" s="201"/>
    </row>
    <row r="2987" spans="1:65" ht="18" customHeight="1">
      <c r="A2987" s="114">
        <v>141</v>
      </c>
      <c r="B2987" s="24" t="s">
        <v>1821</v>
      </c>
      <c r="C2987" s="25" t="s">
        <v>1218</v>
      </c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229">
        <f t="shared" si="1220"/>
        <v>0</v>
      </c>
      <c r="AC2987" s="228">
        <f t="shared" si="1215"/>
        <v>0</v>
      </c>
      <c r="AD2987" s="19">
        <v>0</v>
      </c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29">
        <f t="shared" si="1221"/>
        <v>0</v>
      </c>
      <c r="BD2987" s="48">
        <f t="shared" si="1216"/>
        <v>0</v>
      </c>
      <c r="BE2987" s="19">
        <v>0</v>
      </c>
      <c r="BF2987" s="229">
        <f t="shared" si="1222"/>
        <v>0</v>
      </c>
      <c r="BG2987" s="210">
        <f t="shared" si="1217"/>
        <v>0</v>
      </c>
      <c r="BH2987" s="210">
        <f t="shared" si="1218"/>
        <v>0</v>
      </c>
      <c r="BI2987" s="213" t="e">
        <f t="shared" si="1219"/>
        <v>#DIV/0!</v>
      </c>
      <c r="BJ2987" s="339" t="s">
        <v>2856</v>
      </c>
      <c r="BK2987" s="201"/>
    </row>
    <row r="2988" spans="1:65" ht="18" customHeight="1">
      <c r="A2988" s="114">
        <v>142</v>
      </c>
      <c r="B2988" s="24" t="s">
        <v>1822</v>
      </c>
      <c r="C2988" s="25" t="s">
        <v>1219</v>
      </c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229">
        <f t="shared" si="1220"/>
        <v>0</v>
      </c>
      <c r="AC2988" s="228">
        <f t="shared" si="1215"/>
        <v>0</v>
      </c>
      <c r="AD2988" s="19">
        <v>0</v>
      </c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  <c r="AZ2988" s="28"/>
      <c r="BA2988" s="28"/>
      <c r="BB2988" s="28"/>
      <c r="BC2988" s="229">
        <f t="shared" si="1221"/>
        <v>0</v>
      </c>
      <c r="BD2988" s="48">
        <f t="shared" si="1216"/>
        <v>0</v>
      </c>
      <c r="BE2988" s="19">
        <v>0</v>
      </c>
      <c r="BF2988" s="229">
        <f t="shared" si="1222"/>
        <v>0</v>
      </c>
      <c r="BG2988" s="210">
        <f t="shared" si="1217"/>
        <v>0</v>
      </c>
      <c r="BH2988" s="210">
        <f t="shared" si="1218"/>
        <v>0</v>
      </c>
      <c r="BI2988" s="213" t="e">
        <f t="shared" si="1219"/>
        <v>#DIV/0!</v>
      </c>
      <c r="BJ2988" s="339" t="s">
        <v>2856</v>
      </c>
      <c r="BK2988" s="201"/>
    </row>
    <row r="2989" spans="1:65" ht="18" customHeight="1">
      <c r="A2989" s="114">
        <v>143</v>
      </c>
      <c r="B2989" s="24" t="s">
        <v>1823</v>
      </c>
      <c r="C2989" s="25" t="s">
        <v>1220</v>
      </c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229">
        <f t="shared" si="1220"/>
        <v>0</v>
      </c>
      <c r="AC2989" s="228">
        <f t="shared" si="1215"/>
        <v>0</v>
      </c>
      <c r="AD2989" s="19">
        <v>0</v>
      </c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  <c r="AZ2989" s="28"/>
      <c r="BA2989" s="28"/>
      <c r="BB2989" s="28"/>
      <c r="BC2989" s="229">
        <f t="shared" si="1221"/>
        <v>0</v>
      </c>
      <c r="BD2989" s="48">
        <f t="shared" si="1216"/>
        <v>0</v>
      </c>
      <c r="BE2989" s="19">
        <v>0</v>
      </c>
      <c r="BF2989" s="229">
        <f t="shared" si="1222"/>
        <v>0</v>
      </c>
      <c r="BG2989" s="210">
        <f t="shared" si="1217"/>
        <v>0</v>
      </c>
      <c r="BH2989" s="210">
        <f t="shared" si="1218"/>
        <v>0</v>
      </c>
      <c r="BI2989" s="213" t="e">
        <f t="shared" si="1219"/>
        <v>#DIV/0!</v>
      </c>
      <c r="BJ2989" s="339" t="s">
        <v>2856</v>
      </c>
      <c r="BK2989" s="201"/>
    </row>
    <row r="2990" spans="1:65" ht="18" customHeight="1">
      <c r="A2990" s="114">
        <v>144</v>
      </c>
      <c r="B2990" s="24" t="s">
        <v>1824</v>
      </c>
      <c r="C2990" s="25" t="s">
        <v>1221</v>
      </c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229">
        <f t="shared" si="1220"/>
        <v>0</v>
      </c>
      <c r="AC2990" s="228">
        <f t="shared" si="1215"/>
        <v>0</v>
      </c>
      <c r="AD2990" s="19">
        <v>0</v>
      </c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29">
        <f t="shared" si="1221"/>
        <v>0</v>
      </c>
      <c r="BD2990" s="48">
        <f t="shared" si="1216"/>
        <v>0</v>
      </c>
      <c r="BE2990" s="19">
        <v>0</v>
      </c>
      <c r="BF2990" s="229">
        <f t="shared" si="1222"/>
        <v>0</v>
      </c>
      <c r="BG2990" s="210">
        <f t="shared" si="1217"/>
        <v>0</v>
      </c>
      <c r="BH2990" s="210">
        <f t="shared" si="1218"/>
        <v>0</v>
      </c>
      <c r="BI2990" s="213" t="e">
        <f t="shared" si="1219"/>
        <v>#DIV/0!</v>
      </c>
      <c r="BJ2990" s="339" t="s">
        <v>2856</v>
      </c>
      <c r="BK2990" s="201"/>
    </row>
    <row r="2991" spans="1:65" ht="18" customHeight="1">
      <c r="A2991" s="114">
        <v>145</v>
      </c>
      <c r="B2991" s="24" t="s">
        <v>1825</v>
      </c>
      <c r="C2991" s="25" t="s">
        <v>1923</v>
      </c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229">
        <f t="shared" si="1220"/>
        <v>0</v>
      </c>
      <c r="AC2991" s="228">
        <f t="shared" si="1215"/>
        <v>0</v>
      </c>
      <c r="AD2991" s="19">
        <v>0</v>
      </c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29">
        <f t="shared" si="1221"/>
        <v>0</v>
      </c>
      <c r="BD2991" s="48">
        <f t="shared" si="1216"/>
        <v>0</v>
      </c>
      <c r="BE2991" s="19">
        <v>0</v>
      </c>
      <c r="BF2991" s="229">
        <f t="shared" si="1222"/>
        <v>0</v>
      </c>
      <c r="BG2991" s="210">
        <f t="shared" si="1217"/>
        <v>0</v>
      </c>
      <c r="BH2991" s="210">
        <f t="shared" si="1218"/>
        <v>0</v>
      </c>
      <c r="BI2991" s="213" t="e">
        <f t="shared" si="1219"/>
        <v>#DIV/0!</v>
      </c>
      <c r="BJ2991" s="339" t="s">
        <v>2856</v>
      </c>
      <c r="BK2991" s="201"/>
    </row>
    <row r="2992" spans="1:65" ht="18" customHeight="1">
      <c r="A2992" s="114">
        <v>146</v>
      </c>
      <c r="B2992" s="154" t="s">
        <v>1803</v>
      </c>
      <c r="C2992" s="320" t="s">
        <v>1804</v>
      </c>
      <c r="D2992" s="121"/>
      <c r="E2992" s="121"/>
      <c r="F2992" s="121"/>
      <c r="G2992" s="121"/>
      <c r="H2992" s="121"/>
      <c r="I2992" s="121">
        <v>175</v>
      </c>
      <c r="J2992" s="121"/>
      <c r="K2992" s="121"/>
      <c r="L2992" s="121"/>
      <c r="M2992" s="121"/>
      <c r="N2992" s="121"/>
      <c r="O2992" s="121">
        <v>151</v>
      </c>
      <c r="P2992" s="121"/>
      <c r="Q2992" s="121"/>
      <c r="R2992" s="121"/>
      <c r="S2992" s="121"/>
      <c r="T2992" s="121"/>
      <c r="U2992" s="121">
        <v>181</v>
      </c>
      <c r="V2992" s="121"/>
      <c r="W2992" s="121"/>
      <c r="X2992" s="121"/>
      <c r="Y2992" s="121"/>
      <c r="Z2992" s="121"/>
      <c r="AA2992" s="121">
        <f>266+1</f>
        <v>267</v>
      </c>
      <c r="AB2992" s="229">
        <f t="shared" si="1220"/>
        <v>0</v>
      </c>
      <c r="AC2992" s="228">
        <f t="shared" si="1215"/>
        <v>774</v>
      </c>
      <c r="AD2992" s="19">
        <v>685</v>
      </c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29">
        <f t="shared" si="1221"/>
        <v>0</v>
      </c>
      <c r="BD2992" s="48">
        <f t="shared" si="1216"/>
        <v>0</v>
      </c>
      <c r="BE2992" s="19">
        <v>0</v>
      </c>
      <c r="BF2992" s="229">
        <f t="shared" si="1222"/>
        <v>0</v>
      </c>
      <c r="BG2992" s="210">
        <f t="shared" si="1217"/>
        <v>774</v>
      </c>
      <c r="BH2992" s="210">
        <f t="shared" si="1218"/>
        <v>685</v>
      </c>
      <c r="BI2992" s="213">
        <f t="shared" si="1219"/>
        <v>112.99270072992699</v>
      </c>
      <c r="BJ2992" s="339" t="s">
        <v>2856</v>
      </c>
      <c r="BK2992" s="201"/>
    </row>
    <row r="2993" spans="1:63" ht="18" customHeight="1">
      <c r="A2993" s="114">
        <v>147</v>
      </c>
      <c r="B2993" s="154" t="s">
        <v>1805</v>
      </c>
      <c r="C2993" s="320" t="s">
        <v>1806</v>
      </c>
      <c r="D2993" s="121"/>
      <c r="E2993" s="121"/>
      <c r="F2993" s="121"/>
      <c r="G2993" s="121"/>
      <c r="H2993" s="121"/>
      <c r="I2993" s="121">
        <f>621+45+3</f>
        <v>669</v>
      </c>
      <c r="J2993" s="121"/>
      <c r="K2993" s="121"/>
      <c r="L2993" s="121"/>
      <c r="M2993" s="121"/>
      <c r="N2993" s="121"/>
      <c r="O2993" s="121">
        <f>666+57</f>
        <v>723</v>
      </c>
      <c r="P2993" s="121"/>
      <c r="Q2993" s="121"/>
      <c r="R2993" s="121"/>
      <c r="S2993" s="121"/>
      <c r="T2993" s="121"/>
      <c r="U2993" s="121">
        <f>584+2+42+2+1</f>
        <v>631</v>
      </c>
      <c r="V2993" s="121"/>
      <c r="W2993" s="121"/>
      <c r="X2993" s="121"/>
      <c r="Y2993" s="121"/>
      <c r="Z2993" s="121"/>
      <c r="AA2993" s="121">
        <f>745+1+59</f>
        <v>805</v>
      </c>
      <c r="AB2993" s="229">
        <f t="shared" si="1220"/>
        <v>0</v>
      </c>
      <c r="AC2993" s="228">
        <f t="shared" si="1215"/>
        <v>2828</v>
      </c>
      <c r="AD2993" s="19">
        <v>2294</v>
      </c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>
        <f>1+1+2</f>
        <v>4</v>
      </c>
      <c r="AQ2993" s="28"/>
      <c r="AR2993" s="28"/>
      <c r="AS2993" s="28"/>
      <c r="AT2993" s="28"/>
      <c r="AU2993" s="28"/>
      <c r="AV2993" s="28"/>
      <c r="AW2993" s="28"/>
      <c r="AX2993" s="28"/>
      <c r="AY2993" s="28"/>
      <c r="AZ2993" s="28"/>
      <c r="BA2993" s="28"/>
      <c r="BB2993" s="28"/>
      <c r="BC2993" s="229">
        <f t="shared" si="1221"/>
        <v>0</v>
      </c>
      <c r="BD2993" s="48">
        <f t="shared" si="1216"/>
        <v>4</v>
      </c>
      <c r="BE2993" s="19">
        <v>18</v>
      </c>
      <c r="BF2993" s="229">
        <f t="shared" si="1222"/>
        <v>0</v>
      </c>
      <c r="BG2993" s="210">
        <f t="shared" si="1217"/>
        <v>2832</v>
      </c>
      <c r="BH2993" s="210">
        <f t="shared" si="1218"/>
        <v>2312</v>
      </c>
      <c r="BI2993" s="213">
        <f t="shared" si="1219"/>
        <v>122.49134948096885</v>
      </c>
      <c r="BJ2993" s="339" t="s">
        <v>2856</v>
      </c>
      <c r="BK2993" s="201"/>
    </row>
    <row r="2994" spans="1:63" ht="18" customHeight="1">
      <c r="A2994" s="114">
        <v>148</v>
      </c>
      <c r="B2994" s="24" t="s">
        <v>1998</v>
      </c>
      <c r="C2994" s="25" t="s">
        <v>1999</v>
      </c>
      <c r="D2994" s="121"/>
      <c r="E2994" s="121"/>
      <c r="F2994" s="121"/>
      <c r="G2994" s="121"/>
      <c r="H2994" s="121"/>
      <c r="I2994" s="121">
        <v>44</v>
      </c>
      <c r="J2994" s="121"/>
      <c r="K2994" s="121"/>
      <c r="L2994" s="121"/>
      <c r="M2994" s="121"/>
      <c r="N2994" s="121"/>
      <c r="O2994" s="121">
        <f>57+1</f>
        <v>58</v>
      </c>
      <c r="P2994" s="121"/>
      <c r="Q2994" s="121"/>
      <c r="R2994" s="121"/>
      <c r="S2994" s="121"/>
      <c r="T2994" s="121"/>
      <c r="U2994" s="121">
        <v>41</v>
      </c>
      <c r="V2994" s="121"/>
      <c r="W2994" s="121"/>
      <c r="X2994" s="121"/>
      <c r="Y2994" s="121"/>
      <c r="Z2994" s="121"/>
      <c r="AA2994" s="121">
        <v>58</v>
      </c>
      <c r="AB2994" s="229">
        <f t="shared" si="1220"/>
        <v>0</v>
      </c>
      <c r="AC2994" s="228">
        <f t="shared" si="1215"/>
        <v>201</v>
      </c>
      <c r="AD2994" s="19">
        <v>150</v>
      </c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29">
        <f t="shared" si="1221"/>
        <v>0</v>
      </c>
      <c r="BD2994" s="48">
        <f t="shared" si="1216"/>
        <v>0</v>
      </c>
      <c r="BE2994" s="19">
        <v>0</v>
      </c>
      <c r="BF2994" s="229">
        <f t="shared" si="1222"/>
        <v>0</v>
      </c>
      <c r="BG2994" s="210">
        <f t="shared" si="1217"/>
        <v>201</v>
      </c>
      <c r="BH2994" s="210">
        <f t="shared" si="1218"/>
        <v>150</v>
      </c>
      <c r="BI2994" s="213">
        <f t="shared" si="1219"/>
        <v>134</v>
      </c>
      <c r="BJ2994" s="339" t="s">
        <v>2856</v>
      </c>
      <c r="BK2994" s="201"/>
    </row>
    <row r="2995" spans="1:63" ht="18" customHeight="1">
      <c r="A2995" s="114">
        <v>149</v>
      </c>
      <c r="B2995" s="24" t="s">
        <v>2000</v>
      </c>
      <c r="C2995" s="25" t="s">
        <v>2001</v>
      </c>
      <c r="D2995" s="121"/>
      <c r="E2995" s="121"/>
      <c r="F2995" s="121"/>
      <c r="G2995" s="121"/>
      <c r="H2995" s="121"/>
      <c r="I2995" s="121">
        <v>44</v>
      </c>
      <c r="J2995" s="121"/>
      <c r="K2995" s="121"/>
      <c r="L2995" s="121"/>
      <c r="M2995" s="121"/>
      <c r="N2995" s="121"/>
      <c r="O2995" s="121">
        <f>57+1</f>
        <v>58</v>
      </c>
      <c r="P2995" s="121"/>
      <c r="Q2995" s="121"/>
      <c r="R2995" s="121"/>
      <c r="S2995" s="121"/>
      <c r="T2995" s="121"/>
      <c r="U2995" s="121">
        <v>41</v>
      </c>
      <c r="V2995" s="121"/>
      <c r="W2995" s="121"/>
      <c r="X2995" s="121"/>
      <c r="Y2995" s="121"/>
      <c r="Z2995" s="121"/>
      <c r="AA2995" s="121">
        <v>58</v>
      </c>
      <c r="AB2995" s="229">
        <f t="shared" si="1220"/>
        <v>0</v>
      </c>
      <c r="AC2995" s="228">
        <f t="shared" si="1215"/>
        <v>201</v>
      </c>
      <c r="AD2995" s="19">
        <v>150</v>
      </c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29">
        <f t="shared" si="1221"/>
        <v>0</v>
      </c>
      <c r="BD2995" s="48">
        <f t="shared" si="1216"/>
        <v>0</v>
      </c>
      <c r="BE2995" s="19">
        <v>0</v>
      </c>
      <c r="BF2995" s="229">
        <f t="shared" si="1222"/>
        <v>0</v>
      </c>
      <c r="BG2995" s="210">
        <f t="shared" si="1217"/>
        <v>201</v>
      </c>
      <c r="BH2995" s="210">
        <f t="shared" si="1218"/>
        <v>150</v>
      </c>
      <c r="BI2995" s="213">
        <f t="shared" si="1219"/>
        <v>134</v>
      </c>
      <c r="BJ2995" s="339" t="s">
        <v>2856</v>
      </c>
      <c r="BK2995" s="201"/>
    </row>
    <row r="2996" spans="1:63" ht="18" customHeight="1">
      <c r="A2996" s="114">
        <v>150</v>
      </c>
      <c r="B2996" s="24" t="s">
        <v>2002</v>
      </c>
      <c r="C2996" s="25" t="s">
        <v>2003</v>
      </c>
      <c r="D2996" s="121"/>
      <c r="E2996" s="121"/>
      <c r="F2996" s="121"/>
      <c r="G2996" s="121"/>
      <c r="H2996" s="121"/>
      <c r="I2996" s="121">
        <v>92</v>
      </c>
      <c r="J2996" s="121"/>
      <c r="K2996" s="121"/>
      <c r="L2996" s="121"/>
      <c r="M2996" s="121"/>
      <c r="N2996" s="121"/>
      <c r="O2996" s="121">
        <f>91+1</f>
        <v>92</v>
      </c>
      <c r="P2996" s="121"/>
      <c r="Q2996" s="121"/>
      <c r="R2996" s="121"/>
      <c r="S2996" s="121"/>
      <c r="T2996" s="121"/>
      <c r="U2996" s="121">
        <v>105</v>
      </c>
      <c r="V2996" s="121"/>
      <c r="W2996" s="121"/>
      <c r="X2996" s="121"/>
      <c r="Y2996" s="121"/>
      <c r="Z2996" s="121"/>
      <c r="AA2996" s="121">
        <v>124</v>
      </c>
      <c r="AB2996" s="229">
        <f t="shared" si="1220"/>
        <v>0</v>
      </c>
      <c r="AC2996" s="228">
        <f t="shared" si="1215"/>
        <v>413</v>
      </c>
      <c r="AD2996" s="19">
        <v>378</v>
      </c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29">
        <f t="shared" si="1221"/>
        <v>0</v>
      </c>
      <c r="BD2996" s="48">
        <f t="shared" si="1216"/>
        <v>0</v>
      </c>
      <c r="BE2996" s="19">
        <v>3</v>
      </c>
      <c r="BF2996" s="229">
        <f t="shared" si="1222"/>
        <v>0</v>
      </c>
      <c r="BG2996" s="210">
        <f t="shared" si="1217"/>
        <v>413</v>
      </c>
      <c r="BH2996" s="210">
        <f t="shared" si="1218"/>
        <v>381</v>
      </c>
      <c r="BI2996" s="213">
        <f t="shared" si="1219"/>
        <v>108.39895013123359</v>
      </c>
      <c r="BJ2996" s="339" t="s">
        <v>2856</v>
      </c>
      <c r="BK2996" s="201"/>
    </row>
    <row r="2997" spans="1:63" ht="18" customHeight="1">
      <c r="A2997" s="114">
        <v>151</v>
      </c>
      <c r="B2997" s="24" t="s">
        <v>2004</v>
      </c>
      <c r="C2997" s="25" t="s">
        <v>2429</v>
      </c>
      <c r="D2997" s="121"/>
      <c r="E2997" s="121"/>
      <c r="F2997" s="121"/>
      <c r="G2997" s="121"/>
      <c r="H2997" s="121"/>
      <c r="I2997" s="121">
        <v>92</v>
      </c>
      <c r="J2997" s="121"/>
      <c r="K2997" s="121"/>
      <c r="L2997" s="121"/>
      <c r="M2997" s="121"/>
      <c r="N2997" s="121"/>
      <c r="O2997" s="121">
        <f>91+4</f>
        <v>95</v>
      </c>
      <c r="P2997" s="121"/>
      <c r="Q2997" s="121"/>
      <c r="R2997" s="121"/>
      <c r="S2997" s="121"/>
      <c r="T2997" s="121"/>
      <c r="U2997" s="121">
        <f>105+1+15+9</f>
        <v>130</v>
      </c>
      <c r="V2997" s="121"/>
      <c r="W2997" s="121"/>
      <c r="X2997" s="121"/>
      <c r="Y2997" s="121"/>
      <c r="Z2997" s="121"/>
      <c r="AA2997" s="121">
        <v>124</v>
      </c>
      <c r="AB2997" s="229">
        <f t="shared" si="1220"/>
        <v>0</v>
      </c>
      <c r="AC2997" s="228">
        <f t="shared" si="1215"/>
        <v>441</v>
      </c>
      <c r="AD2997" s="19">
        <v>378</v>
      </c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  <c r="AZ2997" s="28"/>
      <c r="BA2997" s="28"/>
      <c r="BB2997" s="28"/>
      <c r="BC2997" s="229">
        <f t="shared" si="1221"/>
        <v>0</v>
      </c>
      <c r="BD2997" s="48">
        <f t="shared" si="1216"/>
        <v>0</v>
      </c>
      <c r="BE2997" s="19">
        <v>3</v>
      </c>
      <c r="BF2997" s="229">
        <f t="shared" si="1222"/>
        <v>0</v>
      </c>
      <c r="BG2997" s="210">
        <f t="shared" si="1217"/>
        <v>441</v>
      </c>
      <c r="BH2997" s="210">
        <f t="shared" si="1218"/>
        <v>381</v>
      </c>
      <c r="BI2997" s="213">
        <f t="shared" si="1219"/>
        <v>115.74803149606299</v>
      </c>
      <c r="BJ2997" s="339" t="s">
        <v>2856</v>
      </c>
      <c r="BK2997" s="201"/>
    </row>
    <row r="2998" spans="1:63" ht="18" customHeight="1">
      <c r="A2998" s="114">
        <v>152</v>
      </c>
      <c r="B2998" s="24" t="s">
        <v>2005</v>
      </c>
      <c r="C2998" s="25" t="s">
        <v>2428</v>
      </c>
      <c r="D2998" s="121"/>
      <c r="E2998" s="121"/>
      <c r="F2998" s="121"/>
      <c r="G2998" s="121"/>
      <c r="H2998" s="121"/>
      <c r="I2998" s="121">
        <v>92</v>
      </c>
      <c r="J2998" s="121"/>
      <c r="K2998" s="121"/>
      <c r="L2998" s="121"/>
      <c r="M2998" s="121"/>
      <c r="N2998" s="121"/>
      <c r="O2998" s="121">
        <f>91+1</f>
        <v>92</v>
      </c>
      <c r="P2998" s="121"/>
      <c r="Q2998" s="121"/>
      <c r="R2998" s="121"/>
      <c r="S2998" s="121"/>
      <c r="T2998" s="121"/>
      <c r="U2998" s="121">
        <v>105</v>
      </c>
      <c r="V2998" s="121"/>
      <c r="W2998" s="121"/>
      <c r="X2998" s="121"/>
      <c r="Y2998" s="121"/>
      <c r="Z2998" s="121"/>
      <c r="AA2998" s="121">
        <v>124</v>
      </c>
      <c r="AB2998" s="229">
        <f t="shared" si="1220"/>
        <v>0</v>
      </c>
      <c r="AC2998" s="228">
        <f t="shared" si="1215"/>
        <v>413</v>
      </c>
      <c r="AD2998" s="19">
        <v>378</v>
      </c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29">
        <f t="shared" si="1221"/>
        <v>0</v>
      </c>
      <c r="BD2998" s="48">
        <f t="shared" si="1216"/>
        <v>0</v>
      </c>
      <c r="BE2998" s="19">
        <v>3</v>
      </c>
      <c r="BF2998" s="229">
        <f t="shared" si="1222"/>
        <v>0</v>
      </c>
      <c r="BG2998" s="210">
        <f t="shared" si="1217"/>
        <v>413</v>
      </c>
      <c r="BH2998" s="210">
        <f t="shared" si="1218"/>
        <v>381</v>
      </c>
      <c r="BI2998" s="213">
        <f t="shared" si="1219"/>
        <v>108.39895013123359</v>
      </c>
      <c r="BJ2998" s="339" t="s">
        <v>2856</v>
      </c>
      <c r="BK2998" s="201"/>
    </row>
    <row r="2999" spans="1:63" ht="18" customHeight="1">
      <c r="A2999" s="114">
        <v>153</v>
      </c>
      <c r="B2999" s="24" t="s">
        <v>2006</v>
      </c>
      <c r="C2999" s="25" t="s">
        <v>2427</v>
      </c>
      <c r="D2999" s="121"/>
      <c r="E2999" s="121"/>
      <c r="F2999" s="121"/>
      <c r="G2999" s="121"/>
      <c r="H2999" s="121"/>
      <c r="I2999" s="121">
        <v>92</v>
      </c>
      <c r="J2999" s="121"/>
      <c r="K2999" s="121"/>
      <c r="L2999" s="121"/>
      <c r="M2999" s="121"/>
      <c r="N2999" s="121"/>
      <c r="O2999" s="121">
        <f>91+1</f>
        <v>92</v>
      </c>
      <c r="P2999" s="121"/>
      <c r="Q2999" s="121"/>
      <c r="R2999" s="121"/>
      <c r="S2999" s="121"/>
      <c r="T2999" s="121"/>
      <c r="U2999" s="121">
        <v>105</v>
      </c>
      <c r="V2999" s="121"/>
      <c r="W2999" s="121"/>
      <c r="X2999" s="121"/>
      <c r="Y2999" s="121"/>
      <c r="Z2999" s="121"/>
      <c r="AA2999" s="121">
        <v>124</v>
      </c>
      <c r="AB2999" s="229">
        <f t="shared" si="1220"/>
        <v>0</v>
      </c>
      <c r="AC2999" s="228">
        <f t="shared" si="1215"/>
        <v>413</v>
      </c>
      <c r="AD2999" s="19">
        <v>378</v>
      </c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29">
        <f t="shared" si="1221"/>
        <v>0</v>
      </c>
      <c r="BD2999" s="48">
        <f t="shared" si="1216"/>
        <v>0</v>
      </c>
      <c r="BE2999" s="19">
        <v>3</v>
      </c>
      <c r="BF2999" s="229">
        <f t="shared" si="1222"/>
        <v>0</v>
      </c>
      <c r="BG2999" s="210">
        <f t="shared" si="1217"/>
        <v>413</v>
      </c>
      <c r="BH2999" s="210">
        <f t="shared" si="1218"/>
        <v>381</v>
      </c>
      <c r="BI2999" s="213">
        <f t="shared" si="1219"/>
        <v>108.39895013123359</v>
      </c>
      <c r="BJ2999" s="339" t="s">
        <v>2856</v>
      </c>
      <c r="BK2999" s="201"/>
    </row>
    <row r="3000" spans="1:63" ht="18" customHeight="1">
      <c r="A3000" s="114">
        <v>154</v>
      </c>
      <c r="B3000" s="24" t="s">
        <v>2007</v>
      </c>
      <c r="C3000" s="25" t="s">
        <v>2426</v>
      </c>
      <c r="D3000" s="121"/>
      <c r="E3000" s="121"/>
      <c r="F3000" s="121"/>
      <c r="G3000" s="121"/>
      <c r="H3000" s="121"/>
      <c r="I3000" s="121">
        <v>92</v>
      </c>
      <c r="J3000" s="121"/>
      <c r="K3000" s="121"/>
      <c r="L3000" s="121"/>
      <c r="M3000" s="121"/>
      <c r="N3000" s="121"/>
      <c r="O3000" s="121">
        <f>91+1</f>
        <v>92</v>
      </c>
      <c r="P3000" s="121"/>
      <c r="Q3000" s="121"/>
      <c r="R3000" s="121"/>
      <c r="S3000" s="121"/>
      <c r="T3000" s="121"/>
      <c r="U3000" s="121">
        <v>105</v>
      </c>
      <c r="V3000" s="121"/>
      <c r="W3000" s="121"/>
      <c r="X3000" s="121"/>
      <c r="Y3000" s="121"/>
      <c r="Z3000" s="121"/>
      <c r="AA3000" s="121">
        <v>124</v>
      </c>
      <c r="AB3000" s="229">
        <f t="shared" si="1220"/>
        <v>0</v>
      </c>
      <c r="AC3000" s="228">
        <f t="shared" si="1215"/>
        <v>413</v>
      </c>
      <c r="AD3000" s="19">
        <v>378</v>
      </c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  <c r="AZ3000" s="28"/>
      <c r="BA3000" s="28"/>
      <c r="BB3000" s="28"/>
      <c r="BC3000" s="229">
        <f t="shared" si="1221"/>
        <v>0</v>
      </c>
      <c r="BD3000" s="48">
        <f t="shared" si="1216"/>
        <v>0</v>
      </c>
      <c r="BE3000" s="19">
        <v>3</v>
      </c>
      <c r="BF3000" s="229">
        <f t="shared" si="1222"/>
        <v>0</v>
      </c>
      <c r="BG3000" s="210">
        <f t="shared" si="1217"/>
        <v>413</v>
      </c>
      <c r="BH3000" s="210">
        <f t="shared" si="1218"/>
        <v>381</v>
      </c>
      <c r="BI3000" s="213">
        <f t="shared" si="1219"/>
        <v>108.39895013123359</v>
      </c>
      <c r="BJ3000" s="339" t="s">
        <v>2856</v>
      </c>
      <c r="BK3000" s="201"/>
    </row>
    <row r="3001" spans="1:63" ht="18" customHeight="1">
      <c r="A3001" s="114">
        <v>155</v>
      </c>
      <c r="B3001" s="157" t="s">
        <v>1788</v>
      </c>
      <c r="C3001" s="162" t="s">
        <v>1789</v>
      </c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229">
        <f t="shared" si="1220"/>
        <v>0</v>
      </c>
      <c r="AC3001" s="228">
        <f t="shared" si="1215"/>
        <v>0</v>
      </c>
      <c r="AD3001" s="19">
        <v>1</v>
      </c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29">
        <f t="shared" si="1221"/>
        <v>0</v>
      </c>
      <c r="BD3001" s="48">
        <f t="shared" si="1216"/>
        <v>0</v>
      </c>
      <c r="BE3001" s="19">
        <v>0</v>
      </c>
      <c r="BF3001" s="229">
        <f t="shared" si="1222"/>
        <v>0</v>
      </c>
      <c r="BG3001" s="210">
        <f t="shared" si="1217"/>
        <v>0</v>
      </c>
      <c r="BH3001" s="210">
        <f t="shared" si="1218"/>
        <v>1</v>
      </c>
      <c r="BI3001" s="213">
        <f t="shared" ref="BI3001:BI3010" si="1223">BG3001/BH3001*100</f>
        <v>0</v>
      </c>
      <c r="BJ3001" s="339" t="s">
        <v>2856</v>
      </c>
      <c r="BK3001" s="201"/>
    </row>
    <row r="3002" spans="1:63" ht="18" customHeight="1">
      <c r="A3002" s="114">
        <v>156</v>
      </c>
      <c r="B3002" s="156" t="s">
        <v>2008</v>
      </c>
      <c r="C3002" s="251" t="s">
        <v>2009</v>
      </c>
      <c r="D3002" s="121"/>
      <c r="E3002" s="121"/>
      <c r="F3002" s="121"/>
      <c r="G3002" s="121"/>
      <c r="H3002" s="121"/>
      <c r="I3002" s="121">
        <v>44</v>
      </c>
      <c r="J3002" s="121"/>
      <c r="K3002" s="121"/>
      <c r="L3002" s="121"/>
      <c r="M3002" s="121"/>
      <c r="N3002" s="121"/>
      <c r="O3002" s="121">
        <v>57</v>
      </c>
      <c r="P3002" s="121"/>
      <c r="Q3002" s="121"/>
      <c r="R3002" s="121"/>
      <c r="S3002" s="121"/>
      <c r="T3002" s="121"/>
      <c r="U3002" s="121">
        <v>42</v>
      </c>
      <c r="V3002" s="121"/>
      <c r="W3002" s="121"/>
      <c r="X3002" s="121"/>
      <c r="Y3002" s="121"/>
      <c r="Z3002" s="121"/>
      <c r="AA3002" s="121">
        <v>58</v>
      </c>
      <c r="AB3002" s="229">
        <f t="shared" si="1220"/>
        <v>0</v>
      </c>
      <c r="AC3002" s="228">
        <f t="shared" ref="AC3002:AC3010" si="1224">E3002+G3002+I3002+K3002+M3002+O3002+Q3002+S3002+U3002+W3002+Y3002+AA3002</f>
        <v>201</v>
      </c>
      <c r="AD3002" s="19">
        <v>151</v>
      </c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  <c r="AZ3002" s="28"/>
      <c r="BA3002" s="28"/>
      <c r="BB3002" s="28"/>
      <c r="BC3002" s="229">
        <f t="shared" si="1221"/>
        <v>0</v>
      </c>
      <c r="BD3002" s="48">
        <f t="shared" ref="BD3002:BD3010" si="1225">AF3002+AH3002+AJ3002+AL3002+AN3002+AP3002+AR3002+AT3002+AV3002+AX3002+AZ3002+BB3002</f>
        <v>0</v>
      </c>
      <c r="BE3002" s="19">
        <v>0</v>
      </c>
      <c r="BF3002" s="229">
        <f t="shared" si="1222"/>
        <v>0</v>
      </c>
      <c r="BG3002" s="210">
        <f t="shared" ref="BG3002:BG3010" si="1226">AC3002+BD3002</f>
        <v>201</v>
      </c>
      <c r="BH3002" s="210">
        <f t="shared" ref="BH3002:BH3010" si="1227">AD3002+BE3002</f>
        <v>151</v>
      </c>
      <c r="BI3002" s="213">
        <f t="shared" si="1223"/>
        <v>133.11258278145695</v>
      </c>
      <c r="BJ3002" s="339" t="s">
        <v>2856</v>
      </c>
      <c r="BK3002" s="201"/>
    </row>
    <row r="3003" spans="1:63" ht="18" customHeight="1">
      <c r="A3003" s="114">
        <v>157</v>
      </c>
      <c r="B3003" s="156" t="s">
        <v>2010</v>
      </c>
      <c r="C3003" s="251" t="s">
        <v>2011</v>
      </c>
      <c r="D3003" s="121"/>
      <c r="E3003" s="121"/>
      <c r="F3003" s="121"/>
      <c r="G3003" s="121"/>
      <c r="H3003" s="121"/>
      <c r="I3003" s="121">
        <v>44</v>
      </c>
      <c r="J3003" s="121"/>
      <c r="K3003" s="121"/>
      <c r="L3003" s="121"/>
      <c r="M3003" s="121"/>
      <c r="N3003" s="121"/>
      <c r="O3003" s="121">
        <v>57</v>
      </c>
      <c r="P3003" s="121"/>
      <c r="Q3003" s="121"/>
      <c r="R3003" s="121"/>
      <c r="S3003" s="121"/>
      <c r="T3003" s="121"/>
      <c r="U3003" s="121">
        <v>42</v>
      </c>
      <c r="V3003" s="121"/>
      <c r="W3003" s="121"/>
      <c r="X3003" s="121"/>
      <c r="Y3003" s="121"/>
      <c r="Z3003" s="121"/>
      <c r="AA3003" s="121">
        <v>58</v>
      </c>
      <c r="AB3003" s="229">
        <f t="shared" si="1220"/>
        <v>0</v>
      </c>
      <c r="AC3003" s="228">
        <f t="shared" si="1224"/>
        <v>201</v>
      </c>
      <c r="AD3003" s="19">
        <v>151</v>
      </c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  <c r="AZ3003" s="28"/>
      <c r="BA3003" s="28"/>
      <c r="BB3003" s="28"/>
      <c r="BC3003" s="229">
        <f t="shared" si="1221"/>
        <v>0</v>
      </c>
      <c r="BD3003" s="48">
        <f t="shared" si="1225"/>
        <v>0</v>
      </c>
      <c r="BE3003" s="19">
        <v>0</v>
      </c>
      <c r="BF3003" s="229">
        <f t="shared" si="1222"/>
        <v>0</v>
      </c>
      <c r="BG3003" s="210">
        <f t="shared" si="1226"/>
        <v>201</v>
      </c>
      <c r="BH3003" s="210">
        <f t="shared" si="1227"/>
        <v>151</v>
      </c>
      <c r="BI3003" s="213">
        <f t="shared" si="1223"/>
        <v>133.11258278145695</v>
      </c>
      <c r="BJ3003" s="339" t="s">
        <v>2856</v>
      </c>
      <c r="BK3003" s="201"/>
    </row>
    <row r="3004" spans="1:63" ht="18" customHeight="1">
      <c r="A3004" s="114">
        <v>158</v>
      </c>
      <c r="B3004" s="156" t="s">
        <v>2012</v>
      </c>
      <c r="C3004" s="251" t="s">
        <v>2015</v>
      </c>
      <c r="D3004" s="121"/>
      <c r="E3004" s="121"/>
      <c r="F3004" s="121"/>
      <c r="G3004" s="121"/>
      <c r="H3004" s="121"/>
      <c r="I3004" s="121">
        <v>44</v>
      </c>
      <c r="J3004" s="121"/>
      <c r="K3004" s="121"/>
      <c r="L3004" s="121"/>
      <c r="M3004" s="121"/>
      <c r="N3004" s="121"/>
      <c r="O3004" s="121">
        <v>57</v>
      </c>
      <c r="P3004" s="121"/>
      <c r="Q3004" s="121"/>
      <c r="R3004" s="121"/>
      <c r="S3004" s="121"/>
      <c r="T3004" s="121"/>
      <c r="U3004" s="121">
        <v>42</v>
      </c>
      <c r="V3004" s="121"/>
      <c r="W3004" s="121"/>
      <c r="X3004" s="121"/>
      <c r="Y3004" s="121"/>
      <c r="Z3004" s="121"/>
      <c r="AA3004" s="121">
        <v>58</v>
      </c>
      <c r="AB3004" s="229">
        <f t="shared" si="1220"/>
        <v>0</v>
      </c>
      <c r="AC3004" s="228">
        <f t="shared" si="1224"/>
        <v>201</v>
      </c>
      <c r="AD3004" s="19">
        <v>151</v>
      </c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29">
        <f t="shared" si="1221"/>
        <v>0</v>
      </c>
      <c r="BD3004" s="48">
        <f t="shared" si="1225"/>
        <v>0</v>
      </c>
      <c r="BE3004" s="19">
        <v>0</v>
      </c>
      <c r="BF3004" s="229">
        <f t="shared" si="1222"/>
        <v>0</v>
      </c>
      <c r="BG3004" s="210">
        <f t="shared" si="1226"/>
        <v>201</v>
      </c>
      <c r="BH3004" s="210">
        <f t="shared" si="1227"/>
        <v>151</v>
      </c>
      <c r="BI3004" s="213">
        <f t="shared" si="1223"/>
        <v>133.11258278145695</v>
      </c>
      <c r="BJ3004" s="339" t="s">
        <v>2856</v>
      </c>
      <c r="BK3004" s="201"/>
    </row>
    <row r="3005" spans="1:63" ht="18" customHeight="1">
      <c r="A3005" s="114">
        <v>159</v>
      </c>
      <c r="B3005" s="156" t="s">
        <v>2013</v>
      </c>
      <c r="C3005" s="251" t="s">
        <v>2016</v>
      </c>
      <c r="D3005" s="121"/>
      <c r="E3005" s="121"/>
      <c r="F3005" s="121"/>
      <c r="G3005" s="121"/>
      <c r="H3005" s="121"/>
      <c r="I3005" s="121">
        <v>44</v>
      </c>
      <c r="J3005" s="121"/>
      <c r="K3005" s="121"/>
      <c r="L3005" s="121"/>
      <c r="M3005" s="121"/>
      <c r="N3005" s="121"/>
      <c r="O3005" s="121">
        <v>57</v>
      </c>
      <c r="P3005" s="121"/>
      <c r="Q3005" s="121"/>
      <c r="R3005" s="121"/>
      <c r="S3005" s="121"/>
      <c r="T3005" s="121"/>
      <c r="U3005" s="121">
        <v>42</v>
      </c>
      <c r="V3005" s="121"/>
      <c r="W3005" s="121"/>
      <c r="X3005" s="121"/>
      <c r="Y3005" s="121"/>
      <c r="Z3005" s="121"/>
      <c r="AA3005" s="121">
        <v>58</v>
      </c>
      <c r="AB3005" s="229">
        <f t="shared" si="1220"/>
        <v>0</v>
      </c>
      <c r="AC3005" s="228">
        <f t="shared" si="1224"/>
        <v>201</v>
      </c>
      <c r="AD3005" s="19">
        <v>151</v>
      </c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29">
        <f t="shared" si="1221"/>
        <v>0</v>
      </c>
      <c r="BD3005" s="48">
        <f t="shared" si="1225"/>
        <v>0</v>
      </c>
      <c r="BE3005" s="19">
        <v>0</v>
      </c>
      <c r="BF3005" s="229">
        <f t="shared" si="1222"/>
        <v>0</v>
      </c>
      <c r="BG3005" s="210">
        <f t="shared" si="1226"/>
        <v>201</v>
      </c>
      <c r="BH3005" s="210">
        <f t="shared" si="1227"/>
        <v>151</v>
      </c>
      <c r="BI3005" s="213">
        <f t="shared" si="1223"/>
        <v>133.11258278145695</v>
      </c>
      <c r="BJ3005" s="339" t="s">
        <v>2856</v>
      </c>
      <c r="BK3005" s="201"/>
    </row>
    <row r="3006" spans="1:63" ht="18" customHeight="1">
      <c r="A3006" s="114">
        <v>160</v>
      </c>
      <c r="B3006" s="156" t="s">
        <v>2014</v>
      </c>
      <c r="C3006" s="251" t="s">
        <v>2017</v>
      </c>
      <c r="D3006" s="121"/>
      <c r="E3006" s="121"/>
      <c r="F3006" s="121"/>
      <c r="G3006" s="121"/>
      <c r="H3006" s="121"/>
      <c r="I3006" s="121">
        <v>44</v>
      </c>
      <c r="J3006" s="121"/>
      <c r="K3006" s="121"/>
      <c r="L3006" s="121"/>
      <c r="M3006" s="121"/>
      <c r="N3006" s="121"/>
      <c r="O3006" s="121">
        <v>57</v>
      </c>
      <c r="P3006" s="121"/>
      <c r="Q3006" s="121"/>
      <c r="R3006" s="121"/>
      <c r="S3006" s="121"/>
      <c r="T3006" s="121"/>
      <c r="U3006" s="121">
        <v>42</v>
      </c>
      <c r="V3006" s="121"/>
      <c r="W3006" s="121"/>
      <c r="X3006" s="121"/>
      <c r="Y3006" s="121"/>
      <c r="Z3006" s="121"/>
      <c r="AA3006" s="121">
        <v>58</v>
      </c>
      <c r="AB3006" s="229">
        <f t="shared" si="1220"/>
        <v>0</v>
      </c>
      <c r="AC3006" s="228">
        <f t="shared" si="1224"/>
        <v>201</v>
      </c>
      <c r="AD3006" s="19">
        <v>151</v>
      </c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29">
        <f t="shared" si="1221"/>
        <v>0</v>
      </c>
      <c r="BD3006" s="48">
        <f t="shared" si="1225"/>
        <v>0</v>
      </c>
      <c r="BE3006" s="19">
        <v>0</v>
      </c>
      <c r="BF3006" s="229">
        <f t="shared" si="1222"/>
        <v>0</v>
      </c>
      <c r="BG3006" s="210">
        <f t="shared" si="1226"/>
        <v>201</v>
      </c>
      <c r="BH3006" s="210">
        <f t="shared" si="1227"/>
        <v>151</v>
      </c>
      <c r="BI3006" s="213">
        <f t="shared" si="1223"/>
        <v>133.11258278145695</v>
      </c>
      <c r="BJ3006" s="339" t="s">
        <v>2856</v>
      </c>
      <c r="BK3006" s="201"/>
    </row>
    <row r="3007" spans="1:63" ht="18" customHeight="1">
      <c r="A3007" s="114">
        <v>161</v>
      </c>
      <c r="B3007" s="24" t="s">
        <v>1811</v>
      </c>
      <c r="C3007" s="25" t="s">
        <v>1189</v>
      </c>
      <c r="D3007" s="121"/>
      <c r="E3007" s="121"/>
      <c r="F3007" s="121"/>
      <c r="G3007" s="121"/>
      <c r="H3007" s="121"/>
      <c r="I3007" s="121">
        <v>1</v>
      </c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>
        <v>5</v>
      </c>
      <c r="V3007" s="121"/>
      <c r="W3007" s="121"/>
      <c r="X3007" s="121"/>
      <c r="Y3007" s="121"/>
      <c r="Z3007" s="121"/>
      <c r="AA3007" s="121"/>
      <c r="AB3007" s="229">
        <f t="shared" si="1220"/>
        <v>0</v>
      </c>
      <c r="AC3007" s="228">
        <f t="shared" si="1224"/>
        <v>6</v>
      </c>
      <c r="AD3007" s="19">
        <v>0</v>
      </c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29">
        <f t="shared" si="1221"/>
        <v>0</v>
      </c>
      <c r="BD3007" s="48">
        <f t="shared" si="1225"/>
        <v>0</v>
      </c>
      <c r="BE3007" s="19">
        <v>0</v>
      </c>
      <c r="BF3007" s="229">
        <f t="shared" si="1222"/>
        <v>0</v>
      </c>
      <c r="BG3007" s="210">
        <f t="shared" si="1226"/>
        <v>6</v>
      </c>
      <c r="BH3007" s="210">
        <f t="shared" si="1227"/>
        <v>0</v>
      </c>
      <c r="BI3007" s="213" t="e">
        <f t="shared" si="1223"/>
        <v>#DIV/0!</v>
      </c>
      <c r="BJ3007" s="339" t="s">
        <v>2856</v>
      </c>
      <c r="BK3007" s="201"/>
    </row>
    <row r="3008" spans="1:63" ht="18" customHeight="1">
      <c r="A3008" s="114">
        <v>162</v>
      </c>
      <c r="B3008" s="24" t="s">
        <v>1893</v>
      </c>
      <c r="C3008" s="25" t="s">
        <v>2425</v>
      </c>
      <c r="D3008" s="121"/>
      <c r="E3008" s="121"/>
      <c r="F3008" s="121"/>
      <c r="G3008" s="121"/>
      <c r="H3008" s="121"/>
      <c r="I3008" s="121">
        <v>6</v>
      </c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>
        <v>5</v>
      </c>
      <c r="V3008" s="121"/>
      <c r="W3008" s="121"/>
      <c r="X3008" s="121"/>
      <c r="Y3008" s="121"/>
      <c r="Z3008" s="121"/>
      <c r="AA3008" s="121">
        <v>3</v>
      </c>
      <c r="AB3008" s="229">
        <f t="shared" si="1220"/>
        <v>0</v>
      </c>
      <c r="AC3008" s="228">
        <f t="shared" si="1224"/>
        <v>14</v>
      </c>
      <c r="AD3008" s="19">
        <v>12</v>
      </c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>
        <v>10</v>
      </c>
      <c r="BC3008" s="229">
        <f t="shared" si="1221"/>
        <v>0</v>
      </c>
      <c r="BD3008" s="48">
        <f t="shared" si="1225"/>
        <v>10</v>
      </c>
      <c r="BE3008" s="19">
        <v>19</v>
      </c>
      <c r="BF3008" s="229">
        <f t="shared" si="1222"/>
        <v>0</v>
      </c>
      <c r="BG3008" s="210">
        <f t="shared" si="1226"/>
        <v>24</v>
      </c>
      <c r="BH3008" s="210">
        <f t="shared" si="1227"/>
        <v>31</v>
      </c>
      <c r="BI3008" s="213">
        <f t="shared" si="1223"/>
        <v>77.41935483870968</v>
      </c>
      <c r="BJ3008" s="266" t="s">
        <v>2854</v>
      </c>
      <c r="BK3008" s="201"/>
    </row>
    <row r="3009" spans="1:65" ht="18" customHeight="1">
      <c r="A3009" s="114">
        <v>163</v>
      </c>
      <c r="B3009" s="24" t="s">
        <v>2018</v>
      </c>
      <c r="C3009" s="25" t="s">
        <v>2019</v>
      </c>
      <c r="D3009" s="121"/>
      <c r="E3009" s="121"/>
      <c r="F3009" s="121"/>
      <c r="G3009" s="121"/>
      <c r="H3009" s="121"/>
      <c r="I3009" s="121">
        <v>17</v>
      </c>
      <c r="J3009" s="121"/>
      <c r="K3009" s="121"/>
      <c r="L3009" s="121"/>
      <c r="M3009" s="121"/>
      <c r="N3009" s="121"/>
      <c r="O3009" s="121">
        <f>14+1</f>
        <v>15</v>
      </c>
      <c r="P3009" s="121"/>
      <c r="Q3009" s="121"/>
      <c r="R3009" s="121"/>
      <c r="S3009" s="121"/>
      <c r="T3009" s="121"/>
      <c r="U3009" s="121">
        <v>11</v>
      </c>
      <c r="V3009" s="121"/>
      <c r="W3009" s="121"/>
      <c r="X3009" s="121"/>
      <c r="Y3009" s="121"/>
      <c r="Z3009" s="121"/>
      <c r="AA3009" s="121">
        <f>15+1</f>
        <v>16</v>
      </c>
      <c r="AB3009" s="229">
        <f t="shared" si="1220"/>
        <v>0</v>
      </c>
      <c r="AC3009" s="228">
        <f t="shared" si="1224"/>
        <v>59</v>
      </c>
      <c r="AD3009" s="19">
        <v>35</v>
      </c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  <c r="AZ3009" s="28"/>
      <c r="BA3009" s="28"/>
      <c r="BB3009" s="28"/>
      <c r="BC3009" s="229">
        <f t="shared" si="1221"/>
        <v>0</v>
      </c>
      <c r="BD3009" s="48">
        <f t="shared" si="1225"/>
        <v>0</v>
      </c>
      <c r="BE3009" s="19">
        <v>0</v>
      </c>
      <c r="BF3009" s="229">
        <f t="shared" si="1222"/>
        <v>0</v>
      </c>
      <c r="BG3009" s="210">
        <f t="shared" si="1226"/>
        <v>59</v>
      </c>
      <c r="BH3009" s="210">
        <f t="shared" si="1227"/>
        <v>35</v>
      </c>
      <c r="BI3009" s="213">
        <f t="shared" si="1223"/>
        <v>168.57142857142858</v>
      </c>
      <c r="BJ3009" s="266" t="s">
        <v>2854</v>
      </c>
      <c r="BK3009" s="201"/>
    </row>
    <row r="3010" spans="1:65" ht="18" customHeight="1">
      <c r="A3010" s="114">
        <v>164</v>
      </c>
      <c r="B3010" s="160" t="s">
        <v>1809</v>
      </c>
      <c r="C3010" s="163" t="s">
        <v>1810</v>
      </c>
      <c r="D3010" s="121"/>
      <c r="E3010" s="121"/>
      <c r="F3010" s="121"/>
      <c r="G3010" s="121"/>
      <c r="H3010" s="121"/>
      <c r="I3010" s="121">
        <f>620+1+3</f>
        <v>624</v>
      </c>
      <c r="J3010" s="121"/>
      <c r="K3010" s="121"/>
      <c r="L3010" s="121"/>
      <c r="M3010" s="121"/>
      <c r="N3010" s="121"/>
      <c r="O3010" s="121">
        <v>666</v>
      </c>
      <c r="P3010" s="121"/>
      <c r="Q3010" s="121"/>
      <c r="R3010" s="121"/>
      <c r="S3010" s="121"/>
      <c r="T3010" s="121"/>
      <c r="U3010" s="121">
        <f>584+2+1+2+1</f>
        <v>590</v>
      </c>
      <c r="V3010" s="121"/>
      <c r="W3010" s="121"/>
      <c r="X3010" s="121"/>
      <c r="Y3010" s="121"/>
      <c r="Z3010" s="121"/>
      <c r="AA3010" s="121">
        <f>745+1+1</f>
        <v>747</v>
      </c>
      <c r="AB3010" s="229">
        <f t="shared" si="1220"/>
        <v>0</v>
      </c>
      <c r="AC3010" s="228">
        <f t="shared" si="1224"/>
        <v>2627</v>
      </c>
      <c r="AD3010" s="19">
        <v>2108</v>
      </c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>
        <f>1+1+1</f>
        <v>3</v>
      </c>
      <c r="AQ3010" s="28"/>
      <c r="AR3010" s="28"/>
      <c r="AS3010" s="28"/>
      <c r="AT3010" s="28"/>
      <c r="AU3010" s="28"/>
      <c r="AV3010" s="28"/>
      <c r="AW3010" s="28"/>
      <c r="AX3010" s="28"/>
      <c r="AY3010" s="28"/>
      <c r="AZ3010" s="28"/>
      <c r="BA3010" s="28"/>
      <c r="BB3010" s="28"/>
      <c r="BC3010" s="229">
        <f t="shared" si="1221"/>
        <v>0</v>
      </c>
      <c r="BD3010" s="48">
        <f t="shared" si="1225"/>
        <v>3</v>
      </c>
      <c r="BE3010" s="19">
        <v>20</v>
      </c>
      <c r="BF3010" s="229">
        <f t="shared" si="1222"/>
        <v>0</v>
      </c>
      <c r="BG3010" s="210">
        <f t="shared" si="1226"/>
        <v>2630</v>
      </c>
      <c r="BH3010" s="210">
        <f t="shared" si="1227"/>
        <v>2128</v>
      </c>
      <c r="BI3010" s="213">
        <f t="shared" si="1223"/>
        <v>123.59022556390977</v>
      </c>
      <c r="BJ3010" s="339" t="s">
        <v>2856</v>
      </c>
      <c r="BK3010" s="201"/>
    </row>
    <row r="3011" spans="1:65" s="38" customFormat="1" ht="21.95" customHeight="1">
      <c r="A3011" s="375" t="s">
        <v>2778</v>
      </c>
      <c r="B3011" s="375"/>
      <c r="C3011" s="375"/>
      <c r="D3011" s="220">
        <f t="shared" ref="D3011:BE3011" si="1228">SUM(D3012:D3114)</f>
        <v>0</v>
      </c>
      <c r="E3011" s="220">
        <f t="shared" si="1228"/>
        <v>0</v>
      </c>
      <c r="F3011" s="220">
        <f t="shared" si="1228"/>
        <v>0</v>
      </c>
      <c r="G3011" s="220">
        <f t="shared" si="1228"/>
        <v>0</v>
      </c>
      <c r="H3011" s="220">
        <f t="shared" si="1228"/>
        <v>0</v>
      </c>
      <c r="I3011" s="220">
        <f t="shared" si="1228"/>
        <v>8061</v>
      </c>
      <c r="J3011" s="220">
        <f t="shared" si="1228"/>
        <v>0</v>
      </c>
      <c r="K3011" s="220">
        <f t="shared" si="1228"/>
        <v>0</v>
      </c>
      <c r="L3011" s="220">
        <f t="shared" si="1228"/>
        <v>0</v>
      </c>
      <c r="M3011" s="220">
        <f t="shared" si="1228"/>
        <v>0</v>
      </c>
      <c r="N3011" s="220">
        <f t="shared" si="1228"/>
        <v>0</v>
      </c>
      <c r="O3011" s="220">
        <f t="shared" si="1228"/>
        <v>9524</v>
      </c>
      <c r="P3011" s="220">
        <f t="shared" si="1228"/>
        <v>0</v>
      </c>
      <c r="Q3011" s="220">
        <f t="shared" si="1228"/>
        <v>0</v>
      </c>
      <c r="R3011" s="220">
        <f t="shared" si="1228"/>
        <v>0</v>
      </c>
      <c r="S3011" s="220">
        <f t="shared" si="1228"/>
        <v>0</v>
      </c>
      <c r="T3011" s="220">
        <f t="shared" si="1228"/>
        <v>0</v>
      </c>
      <c r="U3011" s="220">
        <f t="shared" si="1228"/>
        <v>19732</v>
      </c>
      <c r="V3011" s="220">
        <f t="shared" si="1228"/>
        <v>0</v>
      </c>
      <c r="W3011" s="220">
        <f t="shared" si="1228"/>
        <v>0</v>
      </c>
      <c r="X3011" s="220">
        <f t="shared" si="1228"/>
        <v>0</v>
      </c>
      <c r="Y3011" s="220">
        <f t="shared" si="1228"/>
        <v>0</v>
      </c>
      <c r="Z3011" s="220">
        <f t="shared" si="1228"/>
        <v>0</v>
      </c>
      <c r="AA3011" s="220">
        <f t="shared" si="1228"/>
        <v>1401</v>
      </c>
      <c r="AB3011" s="220">
        <f t="shared" ref="AB3011" si="1229">D3011+F3011+H3011+J3011+L3011+N3011+P3011+R3011+T3011+V3011+X3011+Z3011</f>
        <v>0</v>
      </c>
      <c r="AC3011" s="220">
        <f t="shared" ref="AC3011" si="1230">E3011+G3011+I3011+K3011+M3011+O3011+Q3011+S3011+U3011+W3011+Y3011+AA3011</f>
        <v>38718</v>
      </c>
      <c r="AD3011" s="274">
        <f t="shared" si="1228"/>
        <v>30739</v>
      </c>
      <c r="AE3011" s="210">
        <f t="shared" si="1228"/>
        <v>0</v>
      </c>
      <c r="AF3011" s="210">
        <f t="shared" si="1228"/>
        <v>0</v>
      </c>
      <c r="AG3011" s="210">
        <f t="shared" si="1228"/>
        <v>0</v>
      </c>
      <c r="AH3011" s="210">
        <f t="shared" si="1228"/>
        <v>0</v>
      </c>
      <c r="AI3011" s="210">
        <f t="shared" si="1228"/>
        <v>0</v>
      </c>
      <c r="AJ3011" s="210">
        <f t="shared" si="1228"/>
        <v>13631</v>
      </c>
      <c r="AK3011" s="210">
        <f t="shared" si="1228"/>
        <v>0</v>
      </c>
      <c r="AL3011" s="210">
        <f t="shared" si="1228"/>
        <v>0</v>
      </c>
      <c r="AM3011" s="210">
        <f t="shared" si="1228"/>
        <v>0</v>
      </c>
      <c r="AN3011" s="210">
        <f t="shared" si="1228"/>
        <v>0</v>
      </c>
      <c r="AO3011" s="210">
        <f t="shared" si="1228"/>
        <v>0</v>
      </c>
      <c r="AP3011" s="210">
        <f t="shared" si="1228"/>
        <v>19478</v>
      </c>
      <c r="AQ3011" s="210">
        <f t="shared" si="1228"/>
        <v>0</v>
      </c>
      <c r="AR3011" s="210">
        <f t="shared" si="1228"/>
        <v>0</v>
      </c>
      <c r="AS3011" s="210">
        <f t="shared" si="1228"/>
        <v>0</v>
      </c>
      <c r="AT3011" s="210">
        <f t="shared" si="1228"/>
        <v>0</v>
      </c>
      <c r="AU3011" s="210">
        <f t="shared" si="1228"/>
        <v>0</v>
      </c>
      <c r="AV3011" s="210">
        <f t="shared" si="1228"/>
        <v>21128</v>
      </c>
      <c r="AW3011" s="210">
        <f t="shared" si="1228"/>
        <v>0</v>
      </c>
      <c r="AX3011" s="210">
        <f t="shared" si="1228"/>
        <v>0</v>
      </c>
      <c r="AY3011" s="210">
        <f t="shared" si="1228"/>
        <v>0</v>
      </c>
      <c r="AZ3011" s="210">
        <f t="shared" si="1228"/>
        <v>0</v>
      </c>
      <c r="BA3011" s="210">
        <f t="shared" si="1228"/>
        <v>0</v>
      </c>
      <c r="BB3011" s="210">
        <f t="shared" si="1228"/>
        <v>19562</v>
      </c>
      <c r="BC3011" s="220">
        <f t="shared" ref="BC3011" si="1231">AE3011+AG3011+AI3011+AK3011+AM3011+AO3011+AQ3011+AS3011+AU3011+AW3011+AY3011+BA3011</f>
        <v>0</v>
      </c>
      <c r="BD3011" s="210">
        <f t="shared" ref="BD3011" si="1232">AF3011+AH3011+AJ3011+AL3011+AN3011+AP3011+AR3011+AT3011+AV3011+AX3011+AZ3011+BB3011</f>
        <v>73799</v>
      </c>
      <c r="BE3011" s="210">
        <f t="shared" si="1228"/>
        <v>72992</v>
      </c>
      <c r="BF3011" s="220">
        <f t="shared" ref="BF3011" si="1233">AB3011+BC3011</f>
        <v>0</v>
      </c>
      <c r="BG3011" s="210">
        <f t="shared" ref="BG3011" si="1234">AC3011+BD3011</f>
        <v>112517</v>
      </c>
      <c r="BH3011" s="210">
        <f t="shared" ref="BH3011" si="1235">AD3011+BE3011</f>
        <v>103731</v>
      </c>
      <c r="BI3011" s="213">
        <f t="shared" ref="BI3011" si="1236">BG3011/BH3011*100</f>
        <v>108.46998486469812</v>
      </c>
      <c r="BJ3011" s="140">
        <v>103731</v>
      </c>
      <c r="BK3011" s="203">
        <f>BH3011-BJ3011</f>
        <v>0</v>
      </c>
      <c r="BL3011" s="198">
        <v>40754</v>
      </c>
      <c r="BM3011" s="199">
        <f>BG3011-BL3011</f>
        <v>71763</v>
      </c>
    </row>
    <row r="3012" spans="1:65" s="38" customFormat="1" ht="24" customHeight="1">
      <c r="A3012" s="114">
        <v>1</v>
      </c>
      <c r="B3012" s="24" t="s">
        <v>2712</v>
      </c>
      <c r="C3012" s="27" t="s">
        <v>2713</v>
      </c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229">
        <f t="shared" ref="AB3012:AB3043" si="1237">D3012+F3012+H3012+J3012+L3012+N3012+P3012+R3012+T3012+V3012+X3012+Z3012</f>
        <v>0</v>
      </c>
      <c r="AC3012" s="228">
        <f t="shared" ref="AC3012:AC3043" si="1238">E3012+G3012+I3012+K3012+M3012+O3012+Q3012+S3012+U3012+W3012+Y3012+AA3012</f>
        <v>0</v>
      </c>
      <c r="AD3012" s="19">
        <v>4</v>
      </c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29">
        <f t="shared" ref="BC3012:BC3043" si="1239">AE3012+AG3012+AI3012+AK3012+AM3012+AO3012+AQ3012+AS3012+AU3012+AW3012+AY3012+BA3012</f>
        <v>0</v>
      </c>
      <c r="BD3012" s="48">
        <f t="shared" ref="BD3012:BD3043" si="1240">AF3012+AH3012+AJ3012+AL3012+AN3012+AP3012+AR3012+AT3012+AV3012+AX3012+AZ3012+BB3012</f>
        <v>0</v>
      </c>
      <c r="BE3012" s="19">
        <v>0</v>
      </c>
      <c r="BF3012" s="229">
        <f t="shared" ref="BF3012:BF3043" si="1241">AB3012+BC3012</f>
        <v>0</v>
      </c>
      <c r="BG3012" s="210">
        <f t="shared" ref="BG3012:BG3043" si="1242">AC3012+BD3012</f>
        <v>0</v>
      </c>
      <c r="BH3012" s="210">
        <f t="shared" ref="BH3012:BH3043" si="1243">AD3012+BE3012</f>
        <v>4</v>
      </c>
      <c r="BI3012" s="213">
        <f t="shared" ref="BI3012:BI3043" si="1244">BG3012/BH3012*100</f>
        <v>0</v>
      </c>
      <c r="BJ3012" s="270" t="s">
        <v>2857</v>
      </c>
      <c r="BK3012" s="201"/>
      <c r="BL3012" s="4"/>
      <c r="BM3012" s="4"/>
    </row>
    <row r="3013" spans="1:65" s="38" customFormat="1" ht="21.95" customHeight="1">
      <c r="A3013" s="114">
        <v>2</v>
      </c>
      <c r="B3013" s="24" t="s">
        <v>705</v>
      </c>
      <c r="C3013" s="27" t="s">
        <v>706</v>
      </c>
      <c r="D3013" s="121"/>
      <c r="E3013" s="121"/>
      <c r="F3013" s="121"/>
      <c r="G3013" s="121"/>
      <c r="H3013" s="121"/>
      <c r="I3013" s="121">
        <f>98+13</f>
        <v>111</v>
      </c>
      <c r="J3013" s="121"/>
      <c r="K3013" s="121"/>
      <c r="L3013" s="121"/>
      <c r="M3013" s="121"/>
      <c r="N3013" s="121"/>
      <c r="O3013" s="121">
        <v>2</v>
      </c>
      <c r="P3013" s="121"/>
      <c r="Q3013" s="121"/>
      <c r="R3013" s="121"/>
      <c r="S3013" s="121"/>
      <c r="T3013" s="121"/>
      <c r="U3013" s="121">
        <v>49</v>
      </c>
      <c r="V3013" s="121"/>
      <c r="W3013" s="121"/>
      <c r="X3013" s="121"/>
      <c r="Y3013" s="121"/>
      <c r="Z3013" s="121"/>
      <c r="AA3013" s="121">
        <v>50</v>
      </c>
      <c r="AB3013" s="229">
        <f t="shared" si="1237"/>
        <v>0</v>
      </c>
      <c r="AC3013" s="228">
        <f t="shared" si="1238"/>
        <v>212</v>
      </c>
      <c r="AD3013" s="19">
        <v>714</v>
      </c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  <c r="AZ3013" s="28"/>
      <c r="BA3013" s="28"/>
      <c r="BB3013" s="28"/>
      <c r="BC3013" s="229">
        <f t="shared" si="1239"/>
        <v>0</v>
      </c>
      <c r="BD3013" s="48">
        <f t="shared" si="1240"/>
        <v>0</v>
      </c>
      <c r="BE3013" s="19">
        <v>0</v>
      </c>
      <c r="BF3013" s="229">
        <f t="shared" si="1241"/>
        <v>0</v>
      </c>
      <c r="BG3013" s="210">
        <f t="shared" si="1242"/>
        <v>212</v>
      </c>
      <c r="BH3013" s="210">
        <f t="shared" si="1243"/>
        <v>714</v>
      </c>
      <c r="BI3013" s="213">
        <f t="shared" si="1244"/>
        <v>29.691876750700281</v>
      </c>
      <c r="BJ3013" s="270" t="s">
        <v>2857</v>
      </c>
      <c r="BK3013" s="201"/>
      <c r="BL3013" s="4"/>
      <c r="BM3013" s="4"/>
    </row>
    <row r="3014" spans="1:65" s="38" customFormat="1" ht="31.5" customHeight="1">
      <c r="A3014" s="114">
        <v>3</v>
      </c>
      <c r="B3014" s="24" t="s">
        <v>1145</v>
      </c>
      <c r="C3014" s="37" t="s">
        <v>1146</v>
      </c>
      <c r="D3014" s="121"/>
      <c r="E3014" s="121"/>
      <c r="F3014" s="121"/>
      <c r="G3014" s="121"/>
      <c r="H3014" s="121"/>
      <c r="I3014" s="121">
        <v>704</v>
      </c>
      <c r="J3014" s="121"/>
      <c r="K3014" s="121"/>
      <c r="L3014" s="121"/>
      <c r="M3014" s="121"/>
      <c r="N3014" s="121"/>
      <c r="O3014" s="121">
        <v>913</v>
      </c>
      <c r="P3014" s="121"/>
      <c r="Q3014" s="121"/>
      <c r="R3014" s="121"/>
      <c r="S3014" s="121"/>
      <c r="T3014" s="121"/>
      <c r="U3014" s="121">
        <f>1085+1021</f>
        <v>2106</v>
      </c>
      <c r="V3014" s="121"/>
      <c r="W3014" s="121"/>
      <c r="X3014" s="121"/>
      <c r="Y3014" s="121"/>
      <c r="Z3014" s="121"/>
      <c r="AA3014" s="121"/>
      <c r="AB3014" s="229">
        <f t="shared" si="1237"/>
        <v>0</v>
      </c>
      <c r="AC3014" s="228">
        <f t="shared" si="1238"/>
        <v>3723</v>
      </c>
      <c r="AD3014" s="19">
        <v>2682</v>
      </c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29">
        <f t="shared" si="1239"/>
        <v>0</v>
      </c>
      <c r="BD3014" s="48">
        <f t="shared" si="1240"/>
        <v>0</v>
      </c>
      <c r="BE3014" s="19">
        <v>0</v>
      </c>
      <c r="BF3014" s="229">
        <f t="shared" si="1241"/>
        <v>0</v>
      </c>
      <c r="BG3014" s="210">
        <f t="shared" si="1242"/>
        <v>3723</v>
      </c>
      <c r="BH3014" s="210">
        <f t="shared" si="1243"/>
        <v>2682</v>
      </c>
      <c r="BI3014" s="213">
        <f t="shared" si="1244"/>
        <v>138.81431767337807</v>
      </c>
      <c r="BJ3014" s="270" t="s">
        <v>2857</v>
      </c>
      <c r="BK3014" s="201"/>
      <c r="BL3014" s="4"/>
      <c r="BM3014" s="4"/>
    </row>
    <row r="3015" spans="1:65" s="38" customFormat="1" ht="18" customHeight="1">
      <c r="A3015" s="114">
        <v>4</v>
      </c>
      <c r="B3015" s="24" t="s">
        <v>1147</v>
      </c>
      <c r="C3015" s="25" t="s">
        <v>1148</v>
      </c>
      <c r="D3015" s="121"/>
      <c r="E3015" s="121"/>
      <c r="F3015" s="121"/>
      <c r="G3015" s="121"/>
      <c r="H3015" s="121"/>
      <c r="I3015" s="121">
        <v>703</v>
      </c>
      <c r="J3015" s="121"/>
      <c r="K3015" s="121"/>
      <c r="L3015" s="121"/>
      <c r="M3015" s="121"/>
      <c r="N3015" s="121"/>
      <c r="O3015" s="121">
        <v>913</v>
      </c>
      <c r="P3015" s="121"/>
      <c r="Q3015" s="121"/>
      <c r="R3015" s="121"/>
      <c r="S3015" s="121"/>
      <c r="T3015" s="121"/>
      <c r="U3015" s="121">
        <f>1085+1021</f>
        <v>2106</v>
      </c>
      <c r="V3015" s="121"/>
      <c r="W3015" s="121"/>
      <c r="X3015" s="121"/>
      <c r="Y3015" s="121"/>
      <c r="Z3015" s="121"/>
      <c r="AA3015" s="121"/>
      <c r="AB3015" s="229">
        <f t="shared" si="1237"/>
        <v>0</v>
      </c>
      <c r="AC3015" s="228">
        <f t="shared" si="1238"/>
        <v>3722</v>
      </c>
      <c r="AD3015" s="19">
        <v>2698</v>
      </c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29">
        <f t="shared" si="1239"/>
        <v>0</v>
      </c>
      <c r="BD3015" s="48">
        <f t="shared" si="1240"/>
        <v>0</v>
      </c>
      <c r="BE3015" s="19">
        <v>0</v>
      </c>
      <c r="BF3015" s="229">
        <f t="shared" si="1241"/>
        <v>0</v>
      </c>
      <c r="BG3015" s="210">
        <f t="shared" si="1242"/>
        <v>3722</v>
      </c>
      <c r="BH3015" s="210">
        <f t="shared" si="1243"/>
        <v>2698</v>
      </c>
      <c r="BI3015" s="213">
        <f t="shared" si="1244"/>
        <v>137.95404002965159</v>
      </c>
      <c r="BJ3015" s="270" t="s">
        <v>2857</v>
      </c>
      <c r="BK3015" s="201"/>
      <c r="BL3015" s="4"/>
      <c r="BM3015" s="4"/>
    </row>
    <row r="3016" spans="1:65" s="38" customFormat="1" ht="18" customHeight="1">
      <c r="A3016" s="114">
        <v>5</v>
      </c>
      <c r="B3016" s="24" t="s">
        <v>805</v>
      </c>
      <c r="C3016" s="25" t="s">
        <v>2600</v>
      </c>
      <c r="D3016" s="121"/>
      <c r="E3016" s="121"/>
      <c r="F3016" s="121"/>
      <c r="G3016" s="121"/>
      <c r="H3016" s="121"/>
      <c r="I3016" s="121">
        <v>705</v>
      </c>
      <c r="J3016" s="121"/>
      <c r="K3016" s="121"/>
      <c r="L3016" s="121"/>
      <c r="M3016" s="121"/>
      <c r="N3016" s="121"/>
      <c r="O3016" s="121">
        <v>913</v>
      </c>
      <c r="P3016" s="121"/>
      <c r="Q3016" s="121"/>
      <c r="R3016" s="121"/>
      <c r="S3016" s="121"/>
      <c r="T3016" s="121"/>
      <c r="U3016" s="121">
        <f>1085+1021</f>
        <v>2106</v>
      </c>
      <c r="V3016" s="121"/>
      <c r="W3016" s="121"/>
      <c r="X3016" s="121"/>
      <c r="Y3016" s="121"/>
      <c r="Z3016" s="121"/>
      <c r="AA3016" s="121"/>
      <c r="AB3016" s="229">
        <f t="shared" si="1237"/>
        <v>0</v>
      </c>
      <c r="AC3016" s="228">
        <f t="shared" si="1238"/>
        <v>3724</v>
      </c>
      <c r="AD3016" s="19">
        <v>2692</v>
      </c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29">
        <f t="shared" si="1239"/>
        <v>0</v>
      </c>
      <c r="BD3016" s="48">
        <f t="shared" si="1240"/>
        <v>0</v>
      </c>
      <c r="BE3016" s="19">
        <v>0</v>
      </c>
      <c r="BF3016" s="229">
        <f t="shared" si="1241"/>
        <v>0</v>
      </c>
      <c r="BG3016" s="210">
        <f t="shared" si="1242"/>
        <v>3724</v>
      </c>
      <c r="BH3016" s="210">
        <f t="shared" si="1243"/>
        <v>2692</v>
      </c>
      <c r="BI3016" s="213">
        <f t="shared" si="1244"/>
        <v>138.33580980683507</v>
      </c>
      <c r="BJ3016" s="270" t="s">
        <v>2857</v>
      </c>
      <c r="BK3016" s="201"/>
      <c r="BL3016" s="4"/>
      <c r="BM3016" s="4"/>
    </row>
    <row r="3017" spans="1:65" s="38" customFormat="1" ht="18" customHeight="1">
      <c r="A3017" s="114">
        <v>6</v>
      </c>
      <c r="B3017" s="24" t="s">
        <v>1149</v>
      </c>
      <c r="C3017" s="25" t="s">
        <v>1150</v>
      </c>
      <c r="D3017" s="121"/>
      <c r="E3017" s="121"/>
      <c r="F3017" s="121"/>
      <c r="G3017" s="121"/>
      <c r="H3017" s="121"/>
      <c r="I3017" s="121">
        <v>704</v>
      </c>
      <c r="J3017" s="121"/>
      <c r="K3017" s="121"/>
      <c r="L3017" s="121"/>
      <c r="M3017" s="121"/>
      <c r="N3017" s="121"/>
      <c r="O3017" s="121">
        <v>913</v>
      </c>
      <c r="P3017" s="121"/>
      <c r="Q3017" s="121"/>
      <c r="R3017" s="121"/>
      <c r="S3017" s="121"/>
      <c r="T3017" s="121"/>
      <c r="U3017" s="121">
        <f>1085+1021</f>
        <v>2106</v>
      </c>
      <c r="V3017" s="121"/>
      <c r="W3017" s="121"/>
      <c r="X3017" s="121"/>
      <c r="Y3017" s="121"/>
      <c r="Z3017" s="121"/>
      <c r="AA3017" s="121"/>
      <c r="AB3017" s="229">
        <f t="shared" si="1237"/>
        <v>0</v>
      </c>
      <c r="AC3017" s="228">
        <f t="shared" si="1238"/>
        <v>3723</v>
      </c>
      <c r="AD3017" s="19">
        <v>2692</v>
      </c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29">
        <f t="shared" si="1239"/>
        <v>0</v>
      </c>
      <c r="BD3017" s="48">
        <f t="shared" si="1240"/>
        <v>0</v>
      </c>
      <c r="BE3017" s="19">
        <v>0</v>
      </c>
      <c r="BF3017" s="229">
        <f t="shared" si="1241"/>
        <v>0</v>
      </c>
      <c r="BG3017" s="210">
        <f t="shared" si="1242"/>
        <v>3723</v>
      </c>
      <c r="BH3017" s="210">
        <f t="shared" si="1243"/>
        <v>2692</v>
      </c>
      <c r="BI3017" s="213">
        <f t="shared" si="1244"/>
        <v>138.29866270430907</v>
      </c>
      <c r="BJ3017" s="270" t="s">
        <v>2857</v>
      </c>
      <c r="BK3017" s="201"/>
      <c r="BL3017" s="4"/>
      <c r="BM3017" s="4"/>
    </row>
    <row r="3018" spans="1:65" s="38" customFormat="1" ht="18" customHeight="1">
      <c r="A3018" s="114">
        <v>7</v>
      </c>
      <c r="B3018" s="24" t="s">
        <v>1151</v>
      </c>
      <c r="C3018" s="25" t="s">
        <v>1152</v>
      </c>
      <c r="D3018" s="121"/>
      <c r="E3018" s="121"/>
      <c r="F3018" s="121"/>
      <c r="G3018" s="121"/>
      <c r="H3018" s="121"/>
      <c r="I3018" s="121">
        <v>705</v>
      </c>
      <c r="J3018" s="121"/>
      <c r="K3018" s="121"/>
      <c r="L3018" s="121"/>
      <c r="M3018" s="121"/>
      <c r="N3018" s="121"/>
      <c r="O3018" s="121">
        <v>913</v>
      </c>
      <c r="P3018" s="121"/>
      <c r="Q3018" s="121"/>
      <c r="R3018" s="121"/>
      <c r="S3018" s="121"/>
      <c r="T3018" s="121"/>
      <c r="U3018" s="121">
        <f>1085+1021</f>
        <v>2106</v>
      </c>
      <c r="V3018" s="121"/>
      <c r="W3018" s="121"/>
      <c r="X3018" s="121"/>
      <c r="Y3018" s="121"/>
      <c r="Z3018" s="121"/>
      <c r="AA3018" s="121"/>
      <c r="AB3018" s="229">
        <f t="shared" si="1237"/>
        <v>0</v>
      </c>
      <c r="AC3018" s="228">
        <f t="shared" si="1238"/>
        <v>3724</v>
      </c>
      <c r="AD3018" s="19">
        <v>2692</v>
      </c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29">
        <f t="shared" si="1239"/>
        <v>0</v>
      </c>
      <c r="BD3018" s="48">
        <f t="shared" si="1240"/>
        <v>0</v>
      </c>
      <c r="BE3018" s="19">
        <v>0</v>
      </c>
      <c r="BF3018" s="229">
        <f t="shared" si="1241"/>
        <v>0</v>
      </c>
      <c r="BG3018" s="210">
        <f t="shared" si="1242"/>
        <v>3724</v>
      </c>
      <c r="BH3018" s="210">
        <f t="shared" si="1243"/>
        <v>2692</v>
      </c>
      <c r="BI3018" s="213">
        <f t="shared" si="1244"/>
        <v>138.33580980683507</v>
      </c>
      <c r="BJ3018" s="270" t="s">
        <v>2857</v>
      </c>
      <c r="BK3018" s="201"/>
      <c r="BL3018" s="4"/>
      <c r="BM3018" s="4"/>
    </row>
    <row r="3019" spans="1:65" s="38" customFormat="1" ht="18" customHeight="1">
      <c r="A3019" s="114">
        <v>8</v>
      </c>
      <c r="B3019" s="24" t="s">
        <v>1153</v>
      </c>
      <c r="C3019" s="25" t="s">
        <v>1154</v>
      </c>
      <c r="D3019" s="121"/>
      <c r="E3019" s="121"/>
      <c r="F3019" s="121"/>
      <c r="G3019" s="121"/>
      <c r="H3019" s="121"/>
      <c r="I3019" s="121">
        <v>1181</v>
      </c>
      <c r="J3019" s="121"/>
      <c r="K3019" s="121"/>
      <c r="L3019" s="121"/>
      <c r="M3019" s="121"/>
      <c r="N3019" s="121"/>
      <c r="O3019" s="121">
        <v>1380</v>
      </c>
      <c r="P3019" s="121"/>
      <c r="Q3019" s="121"/>
      <c r="R3019" s="121"/>
      <c r="S3019" s="121"/>
      <c r="T3019" s="121"/>
      <c r="U3019" s="121">
        <f>1544+1245</f>
        <v>2789</v>
      </c>
      <c r="V3019" s="121"/>
      <c r="W3019" s="121"/>
      <c r="X3019" s="121"/>
      <c r="Y3019" s="121"/>
      <c r="Z3019" s="121"/>
      <c r="AA3019" s="121"/>
      <c r="AB3019" s="229">
        <f t="shared" si="1237"/>
        <v>0</v>
      </c>
      <c r="AC3019" s="228">
        <f t="shared" si="1238"/>
        <v>5350</v>
      </c>
      <c r="AD3019" s="19">
        <v>4588</v>
      </c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29">
        <f t="shared" si="1239"/>
        <v>0</v>
      </c>
      <c r="BD3019" s="48">
        <f t="shared" si="1240"/>
        <v>0</v>
      </c>
      <c r="BE3019" s="19">
        <v>0</v>
      </c>
      <c r="BF3019" s="229">
        <f t="shared" si="1241"/>
        <v>0</v>
      </c>
      <c r="BG3019" s="210">
        <f t="shared" si="1242"/>
        <v>5350</v>
      </c>
      <c r="BH3019" s="210">
        <f t="shared" si="1243"/>
        <v>4588</v>
      </c>
      <c r="BI3019" s="213">
        <f t="shared" si="1244"/>
        <v>116.60854402789886</v>
      </c>
      <c r="BJ3019" s="270" t="s">
        <v>2857</v>
      </c>
      <c r="BK3019" s="201"/>
      <c r="BL3019" s="4"/>
      <c r="BM3019" s="4"/>
    </row>
    <row r="3020" spans="1:65" s="38" customFormat="1" ht="18" customHeight="1">
      <c r="A3020" s="114">
        <v>9</v>
      </c>
      <c r="B3020" s="24" t="s">
        <v>937</v>
      </c>
      <c r="C3020" s="25" t="s">
        <v>938</v>
      </c>
      <c r="D3020" s="121"/>
      <c r="E3020" s="121"/>
      <c r="F3020" s="121"/>
      <c r="G3020" s="121"/>
      <c r="H3020" s="121"/>
      <c r="I3020" s="121">
        <v>102</v>
      </c>
      <c r="J3020" s="121"/>
      <c r="K3020" s="121"/>
      <c r="L3020" s="121"/>
      <c r="M3020" s="121"/>
      <c r="N3020" s="121"/>
      <c r="O3020" s="121">
        <f>2+83</f>
        <v>85</v>
      </c>
      <c r="P3020" s="121"/>
      <c r="Q3020" s="121"/>
      <c r="R3020" s="121"/>
      <c r="S3020" s="121"/>
      <c r="T3020" s="121"/>
      <c r="U3020" s="121">
        <f>2+93+85</f>
        <v>180</v>
      </c>
      <c r="V3020" s="121"/>
      <c r="W3020" s="121"/>
      <c r="X3020" s="121"/>
      <c r="Y3020" s="121"/>
      <c r="Z3020" s="121"/>
      <c r="AA3020" s="121"/>
      <c r="AB3020" s="229">
        <f t="shared" si="1237"/>
        <v>0</v>
      </c>
      <c r="AC3020" s="228">
        <f t="shared" si="1238"/>
        <v>367</v>
      </c>
      <c r="AD3020" s="19">
        <v>462</v>
      </c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29">
        <f t="shared" si="1239"/>
        <v>0</v>
      </c>
      <c r="BD3020" s="48">
        <f t="shared" si="1240"/>
        <v>0</v>
      </c>
      <c r="BE3020" s="19">
        <v>0</v>
      </c>
      <c r="BF3020" s="229">
        <f t="shared" si="1241"/>
        <v>0</v>
      </c>
      <c r="BG3020" s="210">
        <f t="shared" si="1242"/>
        <v>367</v>
      </c>
      <c r="BH3020" s="210">
        <f t="shared" si="1243"/>
        <v>462</v>
      </c>
      <c r="BI3020" s="213">
        <f t="shared" si="1244"/>
        <v>79.437229437229433</v>
      </c>
      <c r="BJ3020" s="270" t="s">
        <v>2857</v>
      </c>
      <c r="BK3020" s="201"/>
      <c r="BL3020" s="4"/>
      <c r="BM3020" s="4"/>
    </row>
    <row r="3021" spans="1:65" s="38" customFormat="1" ht="18" customHeight="1">
      <c r="A3021" s="114">
        <v>10</v>
      </c>
      <c r="B3021" s="24" t="s">
        <v>1468</v>
      </c>
      <c r="C3021" s="25" t="s">
        <v>1471</v>
      </c>
      <c r="D3021" s="121"/>
      <c r="E3021" s="121"/>
      <c r="F3021" s="121"/>
      <c r="G3021" s="121"/>
      <c r="H3021" s="121"/>
      <c r="I3021" s="121">
        <f>273+1005</f>
        <v>1278</v>
      </c>
      <c r="J3021" s="121"/>
      <c r="K3021" s="121"/>
      <c r="L3021" s="121"/>
      <c r="M3021" s="121"/>
      <c r="N3021" s="121"/>
      <c r="O3021" s="121">
        <f>234+1148</f>
        <v>1382</v>
      </c>
      <c r="P3021" s="121"/>
      <c r="Q3021" s="121"/>
      <c r="R3021" s="121"/>
      <c r="S3021" s="121"/>
      <c r="T3021" s="121"/>
      <c r="U3021" s="121">
        <f>127+1408+1380</f>
        <v>2915</v>
      </c>
      <c r="V3021" s="121"/>
      <c r="W3021" s="121"/>
      <c r="X3021" s="121"/>
      <c r="Y3021" s="121"/>
      <c r="Z3021" s="121"/>
      <c r="AA3021" s="121">
        <v>213</v>
      </c>
      <c r="AB3021" s="229">
        <f t="shared" si="1237"/>
        <v>0</v>
      </c>
      <c r="AC3021" s="228">
        <f t="shared" si="1238"/>
        <v>5788</v>
      </c>
      <c r="AD3021" s="19">
        <v>4586</v>
      </c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  <c r="AZ3021" s="28"/>
      <c r="BA3021" s="28"/>
      <c r="BB3021" s="28"/>
      <c r="BC3021" s="229">
        <f t="shared" si="1239"/>
        <v>0</v>
      </c>
      <c r="BD3021" s="48">
        <f t="shared" si="1240"/>
        <v>0</v>
      </c>
      <c r="BE3021" s="19">
        <v>0</v>
      </c>
      <c r="BF3021" s="229">
        <f t="shared" si="1241"/>
        <v>0</v>
      </c>
      <c r="BG3021" s="210">
        <f t="shared" si="1242"/>
        <v>5788</v>
      </c>
      <c r="BH3021" s="210">
        <f t="shared" si="1243"/>
        <v>4586</v>
      </c>
      <c r="BI3021" s="213">
        <f t="shared" si="1244"/>
        <v>126.21020497165286</v>
      </c>
      <c r="BJ3021" s="270" t="s">
        <v>2857</v>
      </c>
      <c r="BK3021" s="201"/>
      <c r="BL3021" s="4"/>
      <c r="BM3021" s="4"/>
    </row>
    <row r="3022" spans="1:65" s="38" customFormat="1" ht="18" customHeight="1">
      <c r="A3022" s="114">
        <v>11</v>
      </c>
      <c r="B3022" s="24" t="s">
        <v>1482</v>
      </c>
      <c r="C3022" s="25" t="s">
        <v>1483</v>
      </c>
      <c r="D3022" s="121"/>
      <c r="E3022" s="121"/>
      <c r="F3022" s="121"/>
      <c r="G3022" s="121"/>
      <c r="H3022" s="121"/>
      <c r="I3022" s="121">
        <v>235</v>
      </c>
      <c r="J3022" s="121"/>
      <c r="K3022" s="121"/>
      <c r="L3022" s="121"/>
      <c r="M3022" s="121"/>
      <c r="N3022" s="121"/>
      <c r="O3022" s="121">
        <f>269+113</f>
        <v>382</v>
      </c>
      <c r="P3022" s="121"/>
      <c r="Q3022" s="121"/>
      <c r="R3022" s="121"/>
      <c r="S3022" s="121"/>
      <c r="T3022" s="121"/>
      <c r="U3022" s="121">
        <f>261+86+108</f>
        <v>455</v>
      </c>
      <c r="V3022" s="121"/>
      <c r="W3022" s="121"/>
      <c r="X3022" s="121"/>
      <c r="Y3022" s="121"/>
      <c r="Z3022" s="121"/>
      <c r="AA3022" s="121">
        <v>285</v>
      </c>
      <c r="AB3022" s="229">
        <f t="shared" si="1237"/>
        <v>0</v>
      </c>
      <c r="AC3022" s="228">
        <f t="shared" si="1238"/>
        <v>1357</v>
      </c>
      <c r="AD3022" s="19">
        <v>1487</v>
      </c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29">
        <f t="shared" si="1239"/>
        <v>0</v>
      </c>
      <c r="BD3022" s="48">
        <f t="shared" si="1240"/>
        <v>0</v>
      </c>
      <c r="BE3022" s="19">
        <v>0</v>
      </c>
      <c r="BF3022" s="229">
        <f t="shared" si="1241"/>
        <v>0</v>
      </c>
      <c r="BG3022" s="210">
        <f t="shared" si="1242"/>
        <v>1357</v>
      </c>
      <c r="BH3022" s="210">
        <f t="shared" si="1243"/>
        <v>1487</v>
      </c>
      <c r="BI3022" s="213">
        <f t="shared" si="1244"/>
        <v>91.257565568258229</v>
      </c>
      <c r="BJ3022" s="270" t="s">
        <v>2857</v>
      </c>
      <c r="BK3022" s="201"/>
      <c r="BL3022" s="4"/>
      <c r="BM3022" s="4"/>
    </row>
    <row r="3023" spans="1:65" s="38" customFormat="1" ht="21.95" customHeight="1">
      <c r="A3023" s="114">
        <v>12</v>
      </c>
      <c r="B3023" s="24" t="s">
        <v>1155</v>
      </c>
      <c r="C3023" s="27" t="s">
        <v>2597</v>
      </c>
      <c r="D3023" s="121"/>
      <c r="E3023" s="121"/>
      <c r="F3023" s="121"/>
      <c r="G3023" s="121"/>
      <c r="H3023" s="121"/>
      <c r="I3023" s="121">
        <v>704</v>
      </c>
      <c r="J3023" s="121"/>
      <c r="K3023" s="121"/>
      <c r="L3023" s="121"/>
      <c r="M3023" s="121"/>
      <c r="N3023" s="121"/>
      <c r="O3023" s="121">
        <v>913</v>
      </c>
      <c r="P3023" s="121"/>
      <c r="Q3023" s="121"/>
      <c r="R3023" s="121"/>
      <c r="S3023" s="121"/>
      <c r="T3023" s="121"/>
      <c r="U3023" s="121">
        <f>1085+1019</f>
        <v>2104</v>
      </c>
      <c r="V3023" s="121"/>
      <c r="W3023" s="121"/>
      <c r="X3023" s="121"/>
      <c r="Y3023" s="121"/>
      <c r="Z3023" s="121"/>
      <c r="AA3023" s="121"/>
      <c r="AB3023" s="229">
        <f t="shared" si="1237"/>
        <v>0</v>
      </c>
      <c r="AC3023" s="228">
        <f t="shared" si="1238"/>
        <v>3721</v>
      </c>
      <c r="AD3023" s="19">
        <v>2692</v>
      </c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29">
        <f t="shared" si="1239"/>
        <v>0</v>
      </c>
      <c r="BD3023" s="48">
        <f t="shared" si="1240"/>
        <v>0</v>
      </c>
      <c r="BE3023" s="19">
        <v>0</v>
      </c>
      <c r="BF3023" s="229">
        <f t="shared" si="1241"/>
        <v>0</v>
      </c>
      <c r="BG3023" s="210">
        <f t="shared" si="1242"/>
        <v>3721</v>
      </c>
      <c r="BH3023" s="210">
        <f t="shared" si="1243"/>
        <v>2692</v>
      </c>
      <c r="BI3023" s="213">
        <f t="shared" si="1244"/>
        <v>138.22436849925705</v>
      </c>
      <c r="BJ3023" s="270" t="s">
        <v>2857</v>
      </c>
      <c r="BK3023" s="201"/>
      <c r="BL3023" s="4"/>
      <c r="BM3023" s="4"/>
    </row>
    <row r="3024" spans="1:65" s="38" customFormat="1" ht="18" customHeight="1">
      <c r="A3024" s="114">
        <v>13</v>
      </c>
      <c r="B3024" s="24" t="s">
        <v>2287</v>
      </c>
      <c r="C3024" s="25" t="s">
        <v>2288</v>
      </c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229">
        <f t="shared" si="1237"/>
        <v>0</v>
      </c>
      <c r="AC3024" s="228">
        <f t="shared" si="1238"/>
        <v>0</v>
      </c>
      <c r="AD3024" s="19">
        <v>0</v>
      </c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29">
        <f t="shared" si="1239"/>
        <v>0</v>
      </c>
      <c r="BD3024" s="48">
        <f t="shared" si="1240"/>
        <v>0</v>
      </c>
      <c r="BE3024" s="19">
        <v>6</v>
      </c>
      <c r="BF3024" s="229">
        <f t="shared" si="1241"/>
        <v>0</v>
      </c>
      <c r="BG3024" s="210">
        <f t="shared" si="1242"/>
        <v>0</v>
      </c>
      <c r="BH3024" s="210">
        <f t="shared" si="1243"/>
        <v>6</v>
      </c>
      <c r="BI3024" s="213">
        <f t="shared" si="1244"/>
        <v>0</v>
      </c>
      <c r="BJ3024" s="165"/>
      <c r="BK3024" s="201"/>
      <c r="BL3024" s="4"/>
      <c r="BM3024" s="4"/>
    </row>
    <row r="3025" spans="1:65" s="38" customFormat="1" ht="18" customHeight="1">
      <c r="A3025" s="114">
        <v>14</v>
      </c>
      <c r="B3025" s="24" t="s">
        <v>2390</v>
      </c>
      <c r="C3025" s="25" t="s">
        <v>2391</v>
      </c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229">
        <f t="shared" si="1237"/>
        <v>0</v>
      </c>
      <c r="AC3025" s="228">
        <f t="shared" si="1238"/>
        <v>0</v>
      </c>
      <c r="AD3025" s="19">
        <v>0</v>
      </c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>
        <v>1</v>
      </c>
      <c r="AW3025" s="28"/>
      <c r="AX3025" s="28"/>
      <c r="AY3025" s="28"/>
      <c r="AZ3025" s="28"/>
      <c r="BA3025" s="28"/>
      <c r="BB3025" s="28"/>
      <c r="BC3025" s="229">
        <f t="shared" si="1239"/>
        <v>0</v>
      </c>
      <c r="BD3025" s="48">
        <f t="shared" si="1240"/>
        <v>1</v>
      </c>
      <c r="BE3025" s="19">
        <v>6</v>
      </c>
      <c r="BF3025" s="229">
        <f t="shared" si="1241"/>
        <v>0</v>
      </c>
      <c r="BG3025" s="210">
        <f t="shared" si="1242"/>
        <v>1</v>
      </c>
      <c r="BH3025" s="210">
        <f t="shared" si="1243"/>
        <v>6</v>
      </c>
      <c r="BI3025" s="213">
        <f t="shared" si="1244"/>
        <v>16.666666666666664</v>
      </c>
      <c r="BJ3025" s="165"/>
      <c r="BK3025" s="201"/>
      <c r="BL3025" s="4"/>
      <c r="BM3025" s="4"/>
    </row>
    <row r="3026" spans="1:65" s="38" customFormat="1" ht="18" customHeight="1">
      <c r="A3026" s="114">
        <v>15</v>
      </c>
      <c r="B3026" s="24" t="s">
        <v>2715</v>
      </c>
      <c r="C3026" s="25" t="s">
        <v>2716</v>
      </c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229">
        <f t="shared" si="1237"/>
        <v>0</v>
      </c>
      <c r="AC3026" s="228">
        <f t="shared" si="1238"/>
        <v>0</v>
      </c>
      <c r="AD3026" s="19">
        <v>0</v>
      </c>
      <c r="AE3026" s="28"/>
      <c r="AF3026" s="28"/>
      <c r="AG3026" s="28"/>
      <c r="AH3026" s="28"/>
      <c r="AI3026" s="28"/>
      <c r="AJ3026" s="28">
        <v>1</v>
      </c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>
        <v>1</v>
      </c>
      <c r="AW3026" s="28"/>
      <c r="AX3026" s="28"/>
      <c r="AY3026" s="28"/>
      <c r="AZ3026" s="28"/>
      <c r="BA3026" s="28"/>
      <c r="BB3026" s="28">
        <v>1</v>
      </c>
      <c r="BC3026" s="229">
        <f t="shared" si="1239"/>
        <v>0</v>
      </c>
      <c r="BD3026" s="48">
        <f t="shared" si="1240"/>
        <v>3</v>
      </c>
      <c r="BE3026" s="19">
        <v>0</v>
      </c>
      <c r="BF3026" s="229">
        <f t="shared" si="1241"/>
        <v>0</v>
      </c>
      <c r="BG3026" s="210">
        <f t="shared" si="1242"/>
        <v>3</v>
      </c>
      <c r="BH3026" s="210">
        <f t="shared" si="1243"/>
        <v>0</v>
      </c>
      <c r="BI3026" s="213" t="e">
        <f t="shared" si="1244"/>
        <v>#DIV/0!</v>
      </c>
      <c r="BJ3026" s="165"/>
      <c r="BK3026" s="201"/>
      <c r="BL3026" s="4"/>
      <c r="BM3026" s="4"/>
    </row>
    <row r="3027" spans="1:65" s="38" customFormat="1" ht="18" customHeight="1">
      <c r="A3027" s="114">
        <v>16</v>
      </c>
      <c r="B3027" s="24" t="s">
        <v>2694</v>
      </c>
      <c r="C3027" s="25" t="s">
        <v>2695</v>
      </c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229">
        <f t="shared" si="1237"/>
        <v>0</v>
      </c>
      <c r="AC3027" s="228">
        <f t="shared" si="1238"/>
        <v>0</v>
      </c>
      <c r="AD3027" s="19">
        <v>0</v>
      </c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  <c r="AZ3027" s="28"/>
      <c r="BA3027" s="28"/>
      <c r="BB3027" s="28"/>
      <c r="BC3027" s="229">
        <f t="shared" si="1239"/>
        <v>0</v>
      </c>
      <c r="BD3027" s="48">
        <f t="shared" si="1240"/>
        <v>0</v>
      </c>
      <c r="BE3027" s="19">
        <v>4</v>
      </c>
      <c r="BF3027" s="229">
        <f t="shared" si="1241"/>
        <v>0</v>
      </c>
      <c r="BG3027" s="210">
        <f t="shared" si="1242"/>
        <v>0</v>
      </c>
      <c r="BH3027" s="210">
        <f t="shared" si="1243"/>
        <v>4</v>
      </c>
      <c r="BI3027" s="213">
        <f t="shared" si="1244"/>
        <v>0</v>
      </c>
      <c r="BJ3027" s="165"/>
      <c r="BK3027" s="201"/>
      <c r="BL3027" s="4"/>
      <c r="BM3027" s="4"/>
    </row>
    <row r="3028" spans="1:65" s="38" customFormat="1" ht="18" customHeight="1">
      <c r="A3028" s="114">
        <v>17</v>
      </c>
      <c r="B3028" s="24" t="s">
        <v>2289</v>
      </c>
      <c r="C3028" s="25" t="s">
        <v>2290</v>
      </c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229">
        <f t="shared" si="1237"/>
        <v>0</v>
      </c>
      <c r="AC3028" s="228">
        <f t="shared" si="1238"/>
        <v>0</v>
      </c>
      <c r="AD3028" s="19">
        <v>0</v>
      </c>
      <c r="AE3028" s="28"/>
      <c r="AF3028" s="28"/>
      <c r="AG3028" s="28"/>
      <c r="AH3028" s="28"/>
      <c r="AI3028" s="28"/>
      <c r="AJ3028" s="28">
        <f>1+1</f>
        <v>2</v>
      </c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>
        <v>2</v>
      </c>
      <c r="AW3028" s="28"/>
      <c r="AX3028" s="28"/>
      <c r="AY3028" s="28"/>
      <c r="AZ3028" s="28"/>
      <c r="BA3028" s="28"/>
      <c r="BB3028" s="28">
        <f>1+1</f>
        <v>2</v>
      </c>
      <c r="BC3028" s="229">
        <f t="shared" si="1239"/>
        <v>0</v>
      </c>
      <c r="BD3028" s="48">
        <f t="shared" si="1240"/>
        <v>6</v>
      </c>
      <c r="BE3028" s="19">
        <v>9</v>
      </c>
      <c r="BF3028" s="229">
        <f t="shared" si="1241"/>
        <v>0</v>
      </c>
      <c r="BG3028" s="210">
        <f t="shared" si="1242"/>
        <v>6</v>
      </c>
      <c r="BH3028" s="210">
        <f t="shared" si="1243"/>
        <v>9</v>
      </c>
      <c r="BI3028" s="213">
        <f t="shared" si="1244"/>
        <v>66.666666666666657</v>
      </c>
      <c r="BJ3028" s="165"/>
      <c r="BK3028" s="201"/>
      <c r="BL3028" s="4"/>
      <c r="BM3028" s="4"/>
    </row>
    <row r="3029" spans="1:65" s="38" customFormat="1" ht="18" customHeight="1">
      <c r="A3029" s="114">
        <v>18</v>
      </c>
      <c r="B3029" s="24" t="s">
        <v>670</v>
      </c>
      <c r="C3029" s="25" t="s">
        <v>671</v>
      </c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229">
        <f t="shared" si="1237"/>
        <v>0</v>
      </c>
      <c r="AC3029" s="228">
        <f t="shared" si="1238"/>
        <v>0</v>
      </c>
      <c r="AD3029" s="19">
        <v>0</v>
      </c>
      <c r="AE3029" s="28"/>
      <c r="AF3029" s="28"/>
      <c r="AG3029" s="28"/>
      <c r="AH3029" s="28"/>
      <c r="AI3029" s="28"/>
      <c r="AJ3029" s="28">
        <v>1</v>
      </c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>
        <v>1</v>
      </c>
      <c r="AW3029" s="28"/>
      <c r="AX3029" s="28"/>
      <c r="AY3029" s="28"/>
      <c r="AZ3029" s="28"/>
      <c r="BA3029" s="28"/>
      <c r="BB3029" s="28">
        <v>1</v>
      </c>
      <c r="BC3029" s="229">
        <f t="shared" si="1239"/>
        <v>0</v>
      </c>
      <c r="BD3029" s="48">
        <f t="shared" si="1240"/>
        <v>3</v>
      </c>
      <c r="BE3029" s="19">
        <v>0</v>
      </c>
      <c r="BF3029" s="229">
        <f t="shared" si="1241"/>
        <v>0</v>
      </c>
      <c r="BG3029" s="210">
        <f t="shared" si="1242"/>
        <v>3</v>
      </c>
      <c r="BH3029" s="210">
        <f t="shared" si="1243"/>
        <v>0</v>
      </c>
      <c r="BI3029" s="213" t="e">
        <f t="shared" si="1244"/>
        <v>#DIV/0!</v>
      </c>
      <c r="BJ3029" s="165"/>
      <c r="BK3029" s="201"/>
      <c r="BL3029" s="4"/>
      <c r="BM3029" s="4"/>
    </row>
    <row r="3030" spans="1:65" s="38" customFormat="1" ht="18" customHeight="1">
      <c r="A3030" s="114">
        <v>19</v>
      </c>
      <c r="B3030" s="24" t="s">
        <v>555</v>
      </c>
      <c r="C3030" s="25" t="s">
        <v>556</v>
      </c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229">
        <f t="shared" si="1237"/>
        <v>0</v>
      </c>
      <c r="AC3030" s="228">
        <f t="shared" si="1238"/>
        <v>0</v>
      </c>
      <c r="AD3030" s="19">
        <v>0</v>
      </c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29">
        <f t="shared" si="1239"/>
        <v>0</v>
      </c>
      <c r="BD3030" s="48">
        <f t="shared" si="1240"/>
        <v>0</v>
      </c>
      <c r="BE3030" s="19">
        <v>1</v>
      </c>
      <c r="BF3030" s="229">
        <f t="shared" si="1241"/>
        <v>0</v>
      </c>
      <c r="BG3030" s="210">
        <f t="shared" si="1242"/>
        <v>0</v>
      </c>
      <c r="BH3030" s="210">
        <f t="shared" si="1243"/>
        <v>1</v>
      </c>
      <c r="BI3030" s="213">
        <f t="shared" si="1244"/>
        <v>0</v>
      </c>
      <c r="BJ3030" s="141"/>
      <c r="BK3030" s="201"/>
      <c r="BL3030" s="4"/>
      <c r="BM3030" s="4"/>
    </row>
    <row r="3031" spans="1:65" s="38" customFormat="1" ht="18" customHeight="1">
      <c r="A3031" s="114">
        <v>20</v>
      </c>
      <c r="B3031" s="24" t="s">
        <v>561</v>
      </c>
      <c r="C3031" s="25" t="s">
        <v>562</v>
      </c>
      <c r="D3031" s="121"/>
      <c r="E3031" s="121"/>
      <c r="F3031" s="121"/>
      <c r="G3031" s="121"/>
      <c r="H3031" s="121"/>
      <c r="I3031" s="121">
        <v>282</v>
      </c>
      <c r="J3031" s="121"/>
      <c r="K3031" s="121"/>
      <c r="L3031" s="121"/>
      <c r="M3031" s="121"/>
      <c r="N3031" s="121"/>
      <c r="O3031" s="121">
        <v>259</v>
      </c>
      <c r="P3031" s="121"/>
      <c r="Q3031" s="121"/>
      <c r="R3031" s="121"/>
      <c r="S3031" s="121"/>
      <c r="T3031" s="121"/>
      <c r="U3031" s="121">
        <v>198</v>
      </c>
      <c r="V3031" s="121"/>
      <c r="W3031" s="121"/>
      <c r="X3031" s="121"/>
      <c r="Y3031" s="121"/>
      <c r="Z3031" s="121"/>
      <c r="AA3031" s="121">
        <v>230</v>
      </c>
      <c r="AB3031" s="229">
        <f t="shared" si="1237"/>
        <v>0</v>
      </c>
      <c r="AC3031" s="228">
        <f t="shared" si="1238"/>
        <v>969</v>
      </c>
      <c r="AD3031" s="19">
        <v>795</v>
      </c>
      <c r="AE3031" s="28"/>
      <c r="AF3031" s="28"/>
      <c r="AG3031" s="28"/>
      <c r="AH3031" s="28"/>
      <c r="AI3031" s="28"/>
      <c r="AJ3031" s="28">
        <f>1732+82+1+404+1</f>
        <v>2220</v>
      </c>
      <c r="AK3031" s="28"/>
      <c r="AL3031" s="28"/>
      <c r="AM3031" s="28"/>
      <c r="AN3031" s="28"/>
      <c r="AO3031" s="28"/>
      <c r="AP3031" s="28">
        <f>1848+99+1+497</f>
        <v>2445</v>
      </c>
      <c r="AQ3031" s="28"/>
      <c r="AR3031" s="28"/>
      <c r="AS3031" s="28"/>
      <c r="AT3031" s="28"/>
      <c r="AU3031" s="28"/>
      <c r="AV3031" s="28">
        <f>2316+122+681</f>
        <v>3119</v>
      </c>
      <c r="AW3031" s="28"/>
      <c r="AX3031" s="28"/>
      <c r="AY3031" s="28"/>
      <c r="AZ3031" s="28"/>
      <c r="BA3031" s="28"/>
      <c r="BB3031" s="28">
        <f>2123+73+1+2</f>
        <v>2199</v>
      </c>
      <c r="BC3031" s="229">
        <f t="shared" si="1239"/>
        <v>0</v>
      </c>
      <c r="BD3031" s="48">
        <f t="shared" si="1240"/>
        <v>9983</v>
      </c>
      <c r="BE3031" s="19">
        <v>8294</v>
      </c>
      <c r="BF3031" s="229">
        <f t="shared" si="1241"/>
        <v>0</v>
      </c>
      <c r="BG3031" s="210">
        <f t="shared" si="1242"/>
        <v>10952</v>
      </c>
      <c r="BH3031" s="210">
        <f t="shared" si="1243"/>
        <v>9089</v>
      </c>
      <c r="BI3031" s="213">
        <f t="shared" si="1244"/>
        <v>120.49730443393112</v>
      </c>
      <c r="BJ3031" s="141"/>
      <c r="BK3031" s="201"/>
      <c r="BL3031" s="4"/>
      <c r="BM3031" s="4"/>
    </row>
    <row r="3032" spans="1:65" s="38" customFormat="1" ht="18" customHeight="1">
      <c r="A3032" s="114">
        <v>21</v>
      </c>
      <c r="B3032" s="24" t="s">
        <v>672</v>
      </c>
      <c r="C3032" s="25" t="s">
        <v>1028</v>
      </c>
      <c r="D3032" s="121"/>
      <c r="E3032" s="121"/>
      <c r="F3032" s="121"/>
      <c r="G3032" s="121"/>
      <c r="H3032" s="121"/>
      <c r="I3032" s="121">
        <v>3</v>
      </c>
      <c r="J3032" s="121"/>
      <c r="K3032" s="121"/>
      <c r="L3032" s="121"/>
      <c r="M3032" s="121"/>
      <c r="N3032" s="121"/>
      <c r="O3032" s="121">
        <v>1</v>
      </c>
      <c r="P3032" s="121"/>
      <c r="Q3032" s="121"/>
      <c r="R3032" s="121"/>
      <c r="S3032" s="121"/>
      <c r="T3032" s="121"/>
      <c r="U3032" s="121">
        <v>1</v>
      </c>
      <c r="V3032" s="121"/>
      <c r="W3032" s="121"/>
      <c r="X3032" s="121"/>
      <c r="Y3032" s="121"/>
      <c r="Z3032" s="121"/>
      <c r="AA3032" s="121"/>
      <c r="AB3032" s="229">
        <f t="shared" si="1237"/>
        <v>0</v>
      </c>
      <c r="AC3032" s="228">
        <f t="shared" si="1238"/>
        <v>5</v>
      </c>
      <c r="AD3032" s="19">
        <v>5</v>
      </c>
      <c r="AE3032" s="28"/>
      <c r="AF3032" s="28"/>
      <c r="AG3032" s="28"/>
      <c r="AH3032" s="28"/>
      <c r="AI3032" s="28"/>
      <c r="AJ3032" s="28">
        <f>305+228+5</f>
        <v>538</v>
      </c>
      <c r="AK3032" s="28"/>
      <c r="AL3032" s="28"/>
      <c r="AM3032" s="28"/>
      <c r="AN3032" s="28"/>
      <c r="AO3032" s="28"/>
      <c r="AP3032" s="28">
        <f>281+272+318+1</f>
        <v>872</v>
      </c>
      <c r="AQ3032" s="28"/>
      <c r="AR3032" s="28"/>
      <c r="AS3032" s="28"/>
      <c r="AT3032" s="28"/>
      <c r="AU3032" s="28"/>
      <c r="AV3032" s="28">
        <f>296+301+378</f>
        <v>975</v>
      </c>
      <c r="AW3032" s="28"/>
      <c r="AX3032" s="28"/>
      <c r="AY3032" s="28"/>
      <c r="AZ3032" s="28"/>
      <c r="BA3032" s="28"/>
      <c r="BB3032" s="28">
        <f>250+366+289</f>
        <v>905</v>
      </c>
      <c r="BC3032" s="229">
        <f t="shared" si="1239"/>
        <v>0</v>
      </c>
      <c r="BD3032" s="48">
        <f t="shared" si="1240"/>
        <v>3290</v>
      </c>
      <c r="BE3032" s="19">
        <v>3498</v>
      </c>
      <c r="BF3032" s="229">
        <f t="shared" si="1241"/>
        <v>0</v>
      </c>
      <c r="BG3032" s="210">
        <f t="shared" si="1242"/>
        <v>3295</v>
      </c>
      <c r="BH3032" s="210">
        <f t="shared" si="1243"/>
        <v>3503</v>
      </c>
      <c r="BI3032" s="213">
        <f t="shared" si="1244"/>
        <v>94.062232372252353</v>
      </c>
      <c r="BJ3032" s="141"/>
      <c r="BK3032" s="201"/>
      <c r="BL3032" s="4"/>
      <c r="BM3032" s="4"/>
    </row>
    <row r="3033" spans="1:65" s="38" customFormat="1" ht="18" customHeight="1">
      <c r="A3033" s="114">
        <v>22</v>
      </c>
      <c r="B3033" s="24" t="s">
        <v>565</v>
      </c>
      <c r="C3033" s="25" t="s">
        <v>566</v>
      </c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229">
        <f t="shared" si="1237"/>
        <v>0</v>
      </c>
      <c r="AC3033" s="228">
        <f t="shared" si="1238"/>
        <v>0</v>
      </c>
      <c r="AD3033" s="19">
        <v>5</v>
      </c>
      <c r="AE3033" s="28"/>
      <c r="AF3033" s="28"/>
      <c r="AG3033" s="28"/>
      <c r="AH3033" s="28"/>
      <c r="AI3033" s="28"/>
      <c r="AJ3033" s="28">
        <f>36+60+13+2</f>
        <v>111</v>
      </c>
      <c r="AK3033" s="28"/>
      <c r="AL3033" s="28"/>
      <c r="AM3033" s="28"/>
      <c r="AN3033" s="28"/>
      <c r="AO3033" s="28"/>
      <c r="AP3033" s="28">
        <f>18+41+67+13</f>
        <v>139</v>
      </c>
      <c r="AQ3033" s="28"/>
      <c r="AR3033" s="28"/>
      <c r="AS3033" s="28"/>
      <c r="AT3033" s="28"/>
      <c r="AU3033" s="28"/>
      <c r="AV3033" s="28">
        <f>15+47+104+30</f>
        <v>196</v>
      </c>
      <c r="AW3033" s="28"/>
      <c r="AX3033" s="28"/>
      <c r="AY3033" s="28"/>
      <c r="AZ3033" s="28"/>
      <c r="BA3033" s="28"/>
      <c r="BB3033" s="28">
        <f>13+59+55+2</f>
        <v>129</v>
      </c>
      <c r="BC3033" s="229">
        <f t="shared" si="1239"/>
        <v>0</v>
      </c>
      <c r="BD3033" s="48">
        <f t="shared" si="1240"/>
        <v>575</v>
      </c>
      <c r="BE3033" s="19">
        <v>597</v>
      </c>
      <c r="BF3033" s="229">
        <f t="shared" si="1241"/>
        <v>0</v>
      </c>
      <c r="BG3033" s="210">
        <f t="shared" si="1242"/>
        <v>575</v>
      </c>
      <c r="BH3033" s="210">
        <f t="shared" si="1243"/>
        <v>602</v>
      </c>
      <c r="BI3033" s="213">
        <f t="shared" si="1244"/>
        <v>95.514950166112953</v>
      </c>
      <c r="BJ3033" s="141"/>
      <c r="BK3033" s="201"/>
      <c r="BL3033" s="4"/>
      <c r="BM3033" s="4"/>
    </row>
    <row r="3034" spans="1:65" s="38" customFormat="1" ht="18" customHeight="1">
      <c r="A3034" s="114">
        <v>23</v>
      </c>
      <c r="B3034" s="24" t="s">
        <v>707</v>
      </c>
      <c r="C3034" s="25" t="s">
        <v>708</v>
      </c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229">
        <f t="shared" si="1237"/>
        <v>0</v>
      </c>
      <c r="AC3034" s="228">
        <f t="shared" si="1238"/>
        <v>0</v>
      </c>
      <c r="AD3034" s="19">
        <v>0</v>
      </c>
      <c r="AE3034" s="28"/>
      <c r="AF3034" s="28"/>
      <c r="AG3034" s="28"/>
      <c r="AH3034" s="28"/>
      <c r="AI3034" s="28"/>
      <c r="AJ3034" s="28">
        <f>5+4</f>
        <v>9</v>
      </c>
      <c r="AK3034" s="28"/>
      <c r="AL3034" s="28"/>
      <c r="AM3034" s="28"/>
      <c r="AN3034" s="28"/>
      <c r="AO3034" s="28"/>
      <c r="AP3034" s="28">
        <v>6</v>
      </c>
      <c r="AQ3034" s="28"/>
      <c r="AR3034" s="28"/>
      <c r="AS3034" s="28"/>
      <c r="AT3034" s="28"/>
      <c r="AU3034" s="28"/>
      <c r="AV3034" s="28">
        <f>21+41</f>
        <v>62</v>
      </c>
      <c r="AW3034" s="28"/>
      <c r="AX3034" s="28"/>
      <c r="AY3034" s="28"/>
      <c r="AZ3034" s="28"/>
      <c r="BA3034" s="28"/>
      <c r="BB3034" s="28">
        <f>13+40</f>
        <v>53</v>
      </c>
      <c r="BC3034" s="229">
        <f t="shared" si="1239"/>
        <v>0</v>
      </c>
      <c r="BD3034" s="48">
        <f t="shared" si="1240"/>
        <v>130</v>
      </c>
      <c r="BE3034" s="19">
        <v>126</v>
      </c>
      <c r="BF3034" s="229">
        <f t="shared" si="1241"/>
        <v>0</v>
      </c>
      <c r="BG3034" s="210">
        <f t="shared" si="1242"/>
        <v>130</v>
      </c>
      <c r="BH3034" s="210">
        <f t="shared" si="1243"/>
        <v>126</v>
      </c>
      <c r="BI3034" s="213">
        <f t="shared" si="1244"/>
        <v>103.17460317460319</v>
      </c>
      <c r="BJ3034" s="141"/>
      <c r="BK3034" s="201"/>
      <c r="BL3034" s="4"/>
      <c r="BM3034" s="4"/>
    </row>
    <row r="3035" spans="1:65" s="38" customFormat="1" ht="18" customHeight="1">
      <c r="A3035" s="114">
        <v>24</v>
      </c>
      <c r="B3035" s="24" t="s">
        <v>567</v>
      </c>
      <c r="C3035" s="25" t="s">
        <v>568</v>
      </c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229">
        <f t="shared" si="1237"/>
        <v>0</v>
      </c>
      <c r="AC3035" s="228">
        <f t="shared" si="1238"/>
        <v>0</v>
      </c>
      <c r="AD3035" s="19">
        <v>0</v>
      </c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>
        <v>10</v>
      </c>
      <c r="AQ3035" s="28"/>
      <c r="AR3035" s="28"/>
      <c r="AS3035" s="28"/>
      <c r="AT3035" s="28"/>
      <c r="AU3035" s="28"/>
      <c r="AV3035" s="28">
        <v>4</v>
      </c>
      <c r="AW3035" s="28"/>
      <c r="AX3035" s="28"/>
      <c r="AY3035" s="28"/>
      <c r="AZ3035" s="28"/>
      <c r="BA3035" s="28"/>
      <c r="BB3035" s="28">
        <f>1+5</f>
        <v>6</v>
      </c>
      <c r="BC3035" s="229">
        <f t="shared" si="1239"/>
        <v>0</v>
      </c>
      <c r="BD3035" s="48">
        <f t="shared" si="1240"/>
        <v>20</v>
      </c>
      <c r="BE3035" s="19">
        <v>36</v>
      </c>
      <c r="BF3035" s="229">
        <f t="shared" si="1241"/>
        <v>0</v>
      </c>
      <c r="BG3035" s="210">
        <f t="shared" si="1242"/>
        <v>20</v>
      </c>
      <c r="BH3035" s="210">
        <f t="shared" si="1243"/>
        <v>36</v>
      </c>
      <c r="BI3035" s="213">
        <f t="shared" si="1244"/>
        <v>55.555555555555557</v>
      </c>
      <c r="BJ3035" s="141"/>
      <c r="BK3035" s="201"/>
      <c r="BL3035" s="4"/>
      <c r="BM3035" s="4"/>
    </row>
    <row r="3036" spans="1:65" s="38" customFormat="1" ht="18" customHeight="1">
      <c r="A3036" s="114">
        <v>25</v>
      </c>
      <c r="B3036" s="24" t="s">
        <v>569</v>
      </c>
      <c r="C3036" s="25" t="s">
        <v>680</v>
      </c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229">
        <f t="shared" si="1237"/>
        <v>0</v>
      </c>
      <c r="AC3036" s="228">
        <f t="shared" si="1238"/>
        <v>0</v>
      </c>
      <c r="AD3036" s="19">
        <v>0</v>
      </c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>
        <f>3+3</f>
        <v>6</v>
      </c>
      <c r="AQ3036" s="28"/>
      <c r="AR3036" s="28"/>
      <c r="AS3036" s="28"/>
      <c r="AT3036" s="28"/>
      <c r="AU3036" s="28"/>
      <c r="AV3036" s="28"/>
      <c r="AW3036" s="28"/>
      <c r="AX3036" s="28"/>
      <c r="AY3036" s="28"/>
      <c r="AZ3036" s="28"/>
      <c r="BA3036" s="28"/>
      <c r="BB3036" s="28"/>
      <c r="BC3036" s="229">
        <f t="shared" si="1239"/>
        <v>0</v>
      </c>
      <c r="BD3036" s="48">
        <f t="shared" si="1240"/>
        <v>6</v>
      </c>
      <c r="BE3036" s="19">
        <v>1</v>
      </c>
      <c r="BF3036" s="229">
        <f t="shared" si="1241"/>
        <v>0</v>
      </c>
      <c r="BG3036" s="210">
        <f t="shared" si="1242"/>
        <v>6</v>
      </c>
      <c r="BH3036" s="210">
        <f t="shared" si="1243"/>
        <v>1</v>
      </c>
      <c r="BI3036" s="213">
        <f t="shared" si="1244"/>
        <v>600</v>
      </c>
      <c r="BJ3036" s="141"/>
      <c r="BK3036" s="201"/>
      <c r="BL3036" s="4"/>
      <c r="BM3036" s="4"/>
    </row>
    <row r="3037" spans="1:65" s="38" customFormat="1" ht="18" customHeight="1">
      <c r="A3037" s="114">
        <v>26</v>
      </c>
      <c r="B3037" s="24" t="s">
        <v>571</v>
      </c>
      <c r="C3037" s="25" t="s">
        <v>572</v>
      </c>
      <c r="D3037" s="121"/>
      <c r="E3037" s="121"/>
      <c r="F3037" s="121"/>
      <c r="G3037" s="121"/>
      <c r="H3037" s="121"/>
      <c r="I3037" s="121">
        <v>169</v>
      </c>
      <c r="J3037" s="121"/>
      <c r="K3037" s="121"/>
      <c r="L3037" s="121"/>
      <c r="M3037" s="121"/>
      <c r="N3037" s="121"/>
      <c r="O3037" s="121">
        <v>179</v>
      </c>
      <c r="P3037" s="121"/>
      <c r="Q3037" s="121"/>
      <c r="R3037" s="121"/>
      <c r="S3037" s="121"/>
      <c r="T3037" s="121"/>
      <c r="U3037" s="121">
        <v>153</v>
      </c>
      <c r="V3037" s="121"/>
      <c r="W3037" s="121"/>
      <c r="X3037" s="121"/>
      <c r="Y3037" s="121"/>
      <c r="Z3037" s="121"/>
      <c r="AA3037" s="121">
        <v>227</v>
      </c>
      <c r="AB3037" s="229">
        <f t="shared" si="1237"/>
        <v>0</v>
      </c>
      <c r="AC3037" s="228">
        <f t="shared" si="1238"/>
        <v>728</v>
      </c>
      <c r="AD3037" s="19">
        <v>645</v>
      </c>
      <c r="AE3037" s="28"/>
      <c r="AF3037" s="28"/>
      <c r="AG3037" s="28"/>
      <c r="AH3037" s="28"/>
      <c r="AI3037" s="28"/>
      <c r="AJ3037" s="28">
        <f>532+220+1+96+8</f>
        <v>857</v>
      </c>
      <c r="AK3037" s="28"/>
      <c r="AL3037" s="28"/>
      <c r="AM3037" s="28"/>
      <c r="AN3037" s="28"/>
      <c r="AO3037" s="28"/>
      <c r="AP3037" s="28">
        <f>520+470+260+1+113</f>
        <v>1364</v>
      </c>
      <c r="AQ3037" s="28"/>
      <c r="AR3037" s="28"/>
      <c r="AS3037" s="28"/>
      <c r="AT3037" s="28"/>
      <c r="AU3037" s="28"/>
      <c r="AV3037" s="28">
        <f>400+545+291+122</f>
        <v>1358</v>
      </c>
      <c r="AW3037" s="28"/>
      <c r="AX3037" s="28"/>
      <c r="AY3037" s="28"/>
      <c r="AZ3037" s="28"/>
      <c r="BA3037" s="28"/>
      <c r="BB3037" s="28">
        <f>462+573+205+1</f>
        <v>1241</v>
      </c>
      <c r="BC3037" s="229">
        <f t="shared" si="1239"/>
        <v>0</v>
      </c>
      <c r="BD3037" s="48">
        <f t="shared" si="1240"/>
        <v>4820</v>
      </c>
      <c r="BE3037" s="19">
        <v>5996</v>
      </c>
      <c r="BF3037" s="229">
        <f t="shared" si="1241"/>
        <v>0</v>
      </c>
      <c r="BG3037" s="210">
        <f t="shared" si="1242"/>
        <v>5548</v>
      </c>
      <c r="BH3037" s="210">
        <f t="shared" si="1243"/>
        <v>6641</v>
      </c>
      <c r="BI3037" s="213">
        <f t="shared" si="1244"/>
        <v>83.541635295889165</v>
      </c>
      <c r="BJ3037" s="141"/>
      <c r="BK3037" s="201"/>
      <c r="BL3037" s="4"/>
      <c r="BM3037" s="4"/>
    </row>
    <row r="3038" spans="1:65" s="38" customFormat="1" ht="18" customHeight="1">
      <c r="A3038" s="114">
        <v>27</v>
      </c>
      <c r="B3038" s="24" t="s">
        <v>573</v>
      </c>
      <c r="C3038" s="25" t="s">
        <v>574</v>
      </c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229">
        <f t="shared" si="1237"/>
        <v>0</v>
      </c>
      <c r="AC3038" s="228">
        <f t="shared" si="1238"/>
        <v>0</v>
      </c>
      <c r="AD3038" s="19">
        <v>0</v>
      </c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>
        <v>2</v>
      </c>
      <c r="AW3038" s="28"/>
      <c r="AX3038" s="28"/>
      <c r="AY3038" s="28"/>
      <c r="AZ3038" s="28"/>
      <c r="BA3038" s="28"/>
      <c r="BB3038" s="28"/>
      <c r="BC3038" s="229">
        <f t="shared" si="1239"/>
        <v>0</v>
      </c>
      <c r="BD3038" s="48">
        <f t="shared" si="1240"/>
        <v>2</v>
      </c>
      <c r="BE3038" s="19">
        <v>1</v>
      </c>
      <c r="BF3038" s="229">
        <f t="shared" si="1241"/>
        <v>0</v>
      </c>
      <c r="BG3038" s="210">
        <f t="shared" si="1242"/>
        <v>2</v>
      </c>
      <c r="BH3038" s="210">
        <f t="shared" si="1243"/>
        <v>1</v>
      </c>
      <c r="BI3038" s="213">
        <f t="shared" si="1244"/>
        <v>200</v>
      </c>
      <c r="BJ3038" s="141"/>
      <c r="BK3038" s="201"/>
      <c r="BL3038" s="4"/>
      <c r="BM3038" s="4"/>
    </row>
    <row r="3039" spans="1:65" s="38" customFormat="1" ht="18" customHeight="1">
      <c r="A3039" s="114">
        <v>28</v>
      </c>
      <c r="B3039" s="24" t="s">
        <v>582</v>
      </c>
      <c r="C3039" s="25" t="s">
        <v>1157</v>
      </c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229">
        <f t="shared" si="1237"/>
        <v>0</v>
      </c>
      <c r="AC3039" s="228">
        <f t="shared" si="1238"/>
        <v>0</v>
      </c>
      <c r="AD3039" s="19">
        <v>0</v>
      </c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29">
        <f t="shared" si="1239"/>
        <v>0</v>
      </c>
      <c r="BD3039" s="48">
        <f t="shared" si="1240"/>
        <v>0</v>
      </c>
      <c r="BE3039" s="19">
        <v>1</v>
      </c>
      <c r="BF3039" s="229">
        <f t="shared" si="1241"/>
        <v>0</v>
      </c>
      <c r="BG3039" s="210">
        <f t="shared" si="1242"/>
        <v>0</v>
      </c>
      <c r="BH3039" s="210">
        <f t="shared" si="1243"/>
        <v>1</v>
      </c>
      <c r="BI3039" s="213">
        <f t="shared" si="1244"/>
        <v>0</v>
      </c>
      <c r="BJ3039" s="141"/>
      <c r="BK3039" s="201"/>
      <c r="BL3039" s="4"/>
      <c r="BM3039" s="4"/>
    </row>
    <row r="3040" spans="1:65" s="38" customFormat="1" ht="18" customHeight="1">
      <c r="A3040" s="114">
        <v>29</v>
      </c>
      <c r="B3040" s="24" t="s">
        <v>584</v>
      </c>
      <c r="C3040" s="25" t="s">
        <v>2603</v>
      </c>
      <c r="D3040" s="207"/>
      <c r="E3040" s="207"/>
      <c r="F3040" s="207"/>
      <c r="G3040" s="207"/>
      <c r="H3040" s="207"/>
      <c r="I3040" s="207"/>
      <c r="J3040" s="207"/>
      <c r="K3040" s="207"/>
      <c r="L3040" s="207"/>
      <c r="M3040" s="207"/>
      <c r="N3040" s="207"/>
      <c r="O3040" s="207"/>
      <c r="P3040" s="207"/>
      <c r="Q3040" s="207"/>
      <c r="R3040" s="207"/>
      <c r="S3040" s="207"/>
      <c r="T3040" s="207"/>
      <c r="U3040" s="207"/>
      <c r="V3040" s="227"/>
      <c r="W3040" s="227"/>
      <c r="X3040" s="227"/>
      <c r="Y3040" s="227"/>
      <c r="Z3040" s="207"/>
      <c r="AA3040" s="207"/>
      <c r="AB3040" s="229">
        <f t="shared" si="1237"/>
        <v>0</v>
      </c>
      <c r="AC3040" s="228">
        <f t="shared" si="1238"/>
        <v>0</v>
      </c>
      <c r="AD3040" s="19">
        <v>0</v>
      </c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29">
        <f t="shared" si="1239"/>
        <v>0</v>
      </c>
      <c r="BD3040" s="48">
        <f t="shared" si="1240"/>
        <v>0</v>
      </c>
      <c r="BE3040" s="19">
        <v>1</v>
      </c>
      <c r="BF3040" s="229">
        <f t="shared" si="1241"/>
        <v>0</v>
      </c>
      <c r="BG3040" s="210">
        <f t="shared" si="1242"/>
        <v>0</v>
      </c>
      <c r="BH3040" s="210">
        <f t="shared" si="1243"/>
        <v>1</v>
      </c>
      <c r="BI3040" s="213">
        <f t="shared" si="1244"/>
        <v>0</v>
      </c>
      <c r="BJ3040" s="141"/>
      <c r="BK3040" s="201"/>
      <c r="BL3040" s="4"/>
      <c r="BM3040" s="4"/>
    </row>
    <row r="3041" spans="1:65" s="38" customFormat="1" ht="18" customHeight="1">
      <c r="A3041" s="114">
        <v>30</v>
      </c>
      <c r="B3041" s="24" t="s">
        <v>585</v>
      </c>
      <c r="C3041" s="25" t="s">
        <v>586</v>
      </c>
      <c r="D3041" s="121"/>
      <c r="E3041" s="121"/>
      <c r="F3041" s="121"/>
      <c r="G3041" s="121"/>
      <c r="H3041" s="121"/>
      <c r="I3041" s="121">
        <v>11</v>
      </c>
      <c r="J3041" s="121"/>
      <c r="K3041" s="121"/>
      <c r="L3041" s="121"/>
      <c r="M3041" s="121"/>
      <c r="N3041" s="121"/>
      <c r="O3041" s="121">
        <v>4</v>
      </c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>
        <v>1</v>
      </c>
      <c r="AB3041" s="229">
        <f t="shared" si="1237"/>
        <v>0</v>
      </c>
      <c r="AC3041" s="228">
        <f t="shared" si="1238"/>
        <v>16</v>
      </c>
      <c r="AD3041" s="19">
        <v>14</v>
      </c>
      <c r="AE3041" s="28"/>
      <c r="AF3041" s="28"/>
      <c r="AG3041" s="28"/>
      <c r="AH3041" s="28"/>
      <c r="AI3041" s="28"/>
      <c r="AJ3041" s="28">
        <f>5+19</f>
        <v>24</v>
      </c>
      <c r="AK3041" s="28"/>
      <c r="AL3041" s="28"/>
      <c r="AM3041" s="28"/>
      <c r="AN3041" s="28"/>
      <c r="AO3041" s="28"/>
      <c r="AP3041" s="28">
        <f>635+5+25</f>
        <v>665</v>
      </c>
      <c r="AQ3041" s="28"/>
      <c r="AR3041" s="28"/>
      <c r="AS3041" s="28"/>
      <c r="AT3041" s="28"/>
      <c r="AU3041" s="28"/>
      <c r="AV3041" s="28">
        <f>497+19+43+5</f>
        <v>564</v>
      </c>
      <c r="AW3041" s="28"/>
      <c r="AX3041" s="28"/>
      <c r="AY3041" s="28"/>
      <c r="AZ3041" s="28"/>
      <c r="BA3041" s="28"/>
      <c r="BB3041" s="28">
        <f>511+18+51+3</f>
        <v>583</v>
      </c>
      <c r="BC3041" s="229">
        <f t="shared" si="1239"/>
        <v>0</v>
      </c>
      <c r="BD3041" s="48">
        <f t="shared" si="1240"/>
        <v>1836</v>
      </c>
      <c r="BE3041" s="19">
        <v>1697</v>
      </c>
      <c r="BF3041" s="229">
        <f t="shared" si="1241"/>
        <v>0</v>
      </c>
      <c r="BG3041" s="210">
        <f t="shared" si="1242"/>
        <v>1852</v>
      </c>
      <c r="BH3041" s="210">
        <f t="shared" si="1243"/>
        <v>1711</v>
      </c>
      <c r="BI3041" s="213">
        <f t="shared" si="1244"/>
        <v>108.24079485680889</v>
      </c>
      <c r="BJ3041" s="141"/>
      <c r="BK3041" s="201"/>
      <c r="BL3041" s="4"/>
      <c r="BM3041" s="4"/>
    </row>
    <row r="3042" spans="1:65" s="38" customFormat="1" ht="18" customHeight="1">
      <c r="A3042" s="114">
        <v>31</v>
      </c>
      <c r="B3042" s="24" t="s">
        <v>682</v>
      </c>
      <c r="C3042" s="25" t="s">
        <v>683</v>
      </c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229">
        <f t="shared" si="1237"/>
        <v>0</v>
      </c>
      <c r="AC3042" s="228">
        <f t="shared" si="1238"/>
        <v>0</v>
      </c>
      <c r="AD3042" s="19">
        <v>0</v>
      </c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29">
        <f t="shared" si="1239"/>
        <v>0</v>
      </c>
      <c r="BD3042" s="48">
        <f t="shared" si="1240"/>
        <v>0</v>
      </c>
      <c r="BE3042" s="19">
        <v>1</v>
      </c>
      <c r="BF3042" s="229">
        <f t="shared" si="1241"/>
        <v>0</v>
      </c>
      <c r="BG3042" s="210">
        <f t="shared" si="1242"/>
        <v>0</v>
      </c>
      <c r="BH3042" s="210">
        <f t="shared" si="1243"/>
        <v>1</v>
      </c>
      <c r="BI3042" s="213">
        <f t="shared" si="1244"/>
        <v>0</v>
      </c>
      <c r="BJ3042" s="141"/>
      <c r="BK3042" s="201"/>
      <c r="BL3042" s="4"/>
      <c r="BM3042" s="4"/>
    </row>
    <row r="3043" spans="1:65" s="38" customFormat="1" ht="18" customHeight="1">
      <c r="A3043" s="114">
        <v>32</v>
      </c>
      <c r="B3043" s="24" t="s">
        <v>826</v>
      </c>
      <c r="C3043" s="25" t="s">
        <v>827</v>
      </c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229">
        <f t="shared" si="1237"/>
        <v>0</v>
      </c>
      <c r="AC3043" s="228">
        <f t="shared" si="1238"/>
        <v>0</v>
      </c>
      <c r="AD3043" s="19">
        <v>0</v>
      </c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>
        <v>9</v>
      </c>
      <c r="AQ3043" s="28"/>
      <c r="AR3043" s="28"/>
      <c r="AS3043" s="28"/>
      <c r="AT3043" s="28"/>
      <c r="AU3043" s="28"/>
      <c r="AV3043" s="28">
        <v>4</v>
      </c>
      <c r="AW3043" s="28"/>
      <c r="AX3043" s="28"/>
      <c r="AY3043" s="28"/>
      <c r="AZ3043" s="28"/>
      <c r="BA3043" s="28"/>
      <c r="BB3043" s="28">
        <v>4</v>
      </c>
      <c r="BC3043" s="229">
        <f t="shared" si="1239"/>
        <v>0</v>
      </c>
      <c r="BD3043" s="48">
        <f t="shared" si="1240"/>
        <v>17</v>
      </c>
      <c r="BE3043" s="19">
        <v>11</v>
      </c>
      <c r="BF3043" s="229">
        <f t="shared" si="1241"/>
        <v>0</v>
      </c>
      <c r="BG3043" s="210">
        <f t="shared" si="1242"/>
        <v>17</v>
      </c>
      <c r="BH3043" s="210">
        <f t="shared" si="1243"/>
        <v>11</v>
      </c>
      <c r="BI3043" s="213">
        <f t="shared" si="1244"/>
        <v>154.54545454545453</v>
      </c>
      <c r="BJ3043" s="141"/>
      <c r="BK3043" s="201"/>
      <c r="BL3043" s="4"/>
      <c r="BM3043" s="4"/>
    </row>
    <row r="3044" spans="1:65" s="38" customFormat="1" ht="18" customHeight="1">
      <c r="A3044" s="114">
        <v>33</v>
      </c>
      <c r="B3044" s="24" t="s">
        <v>596</v>
      </c>
      <c r="C3044" s="25" t="s">
        <v>597</v>
      </c>
      <c r="D3044" s="121"/>
      <c r="E3044" s="121"/>
      <c r="F3044" s="121"/>
      <c r="G3044" s="121"/>
      <c r="H3044" s="121"/>
      <c r="I3044" s="121">
        <v>6</v>
      </c>
      <c r="J3044" s="121"/>
      <c r="K3044" s="121"/>
      <c r="L3044" s="121"/>
      <c r="M3044" s="121"/>
      <c r="N3044" s="121"/>
      <c r="O3044" s="121">
        <v>4</v>
      </c>
      <c r="P3044" s="121"/>
      <c r="Q3044" s="121"/>
      <c r="R3044" s="121"/>
      <c r="S3044" s="121"/>
      <c r="T3044" s="121"/>
      <c r="U3044" s="121">
        <v>2</v>
      </c>
      <c r="V3044" s="121"/>
      <c r="W3044" s="121"/>
      <c r="X3044" s="121"/>
      <c r="Y3044" s="121"/>
      <c r="Z3044" s="121"/>
      <c r="AA3044" s="121"/>
      <c r="AB3044" s="229">
        <f t="shared" ref="AB3044:AB3075" si="1245">D3044+F3044+H3044+J3044+L3044+N3044+P3044+R3044+T3044+V3044+X3044+Z3044</f>
        <v>0</v>
      </c>
      <c r="AC3044" s="228">
        <f t="shared" ref="AC3044:AC3075" si="1246">E3044+G3044+I3044+K3044+M3044+O3044+Q3044+S3044+U3044+W3044+Y3044+AA3044</f>
        <v>12</v>
      </c>
      <c r="AD3044" s="19">
        <v>20</v>
      </c>
      <c r="AE3044" s="28"/>
      <c r="AF3044" s="28"/>
      <c r="AG3044" s="28"/>
      <c r="AH3044" s="28"/>
      <c r="AI3044" s="28"/>
      <c r="AJ3044" s="28">
        <f>11+36</f>
        <v>47</v>
      </c>
      <c r="AK3044" s="28"/>
      <c r="AL3044" s="28"/>
      <c r="AM3044" s="28"/>
      <c r="AN3044" s="28"/>
      <c r="AO3044" s="28"/>
      <c r="AP3044" s="28">
        <f>27+11+42</f>
        <v>80</v>
      </c>
      <c r="AQ3044" s="28"/>
      <c r="AR3044" s="28"/>
      <c r="AS3044" s="28"/>
      <c r="AT3044" s="28"/>
      <c r="AU3044" s="28"/>
      <c r="AV3044" s="28">
        <f>38+7+53</f>
        <v>98</v>
      </c>
      <c r="AW3044" s="28"/>
      <c r="AX3044" s="28"/>
      <c r="AY3044" s="28"/>
      <c r="AZ3044" s="28"/>
      <c r="BA3044" s="28"/>
      <c r="BB3044" s="28">
        <f>13+18+42</f>
        <v>73</v>
      </c>
      <c r="BC3044" s="229">
        <f t="shared" ref="BC3044:BC3075" si="1247">AE3044+AG3044+AI3044+AK3044+AM3044+AO3044+AQ3044+AS3044+AU3044+AW3044+AY3044+BA3044</f>
        <v>0</v>
      </c>
      <c r="BD3044" s="48">
        <f t="shared" ref="BD3044:BD3075" si="1248">AF3044+AH3044+AJ3044+AL3044+AN3044+AP3044+AR3044+AT3044+AV3044+AX3044+AZ3044+BB3044</f>
        <v>298</v>
      </c>
      <c r="BE3044" s="19">
        <v>310</v>
      </c>
      <c r="BF3044" s="229">
        <f t="shared" ref="BF3044:BF3075" si="1249">AB3044+BC3044</f>
        <v>0</v>
      </c>
      <c r="BG3044" s="210">
        <f t="shared" ref="BG3044:BG3075" si="1250">AC3044+BD3044</f>
        <v>310</v>
      </c>
      <c r="BH3044" s="210">
        <f t="shared" ref="BH3044:BH3075" si="1251">AD3044+BE3044</f>
        <v>330</v>
      </c>
      <c r="BI3044" s="213">
        <f t="shared" ref="BI3044:BI3075" si="1252">BG3044/BH3044*100</f>
        <v>93.939393939393938</v>
      </c>
      <c r="BJ3044" s="141"/>
      <c r="BK3044" s="201"/>
      <c r="BL3044" s="4"/>
      <c r="BM3044" s="4"/>
    </row>
    <row r="3045" spans="1:65" s="38" customFormat="1" ht="18" customHeight="1">
      <c r="A3045" s="114">
        <v>34</v>
      </c>
      <c r="B3045" s="24" t="s">
        <v>868</v>
      </c>
      <c r="C3045" s="25" t="s">
        <v>869</v>
      </c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229">
        <f t="shared" si="1245"/>
        <v>0</v>
      </c>
      <c r="AC3045" s="228">
        <f t="shared" si="1246"/>
        <v>0</v>
      </c>
      <c r="AD3045" s="19">
        <v>0</v>
      </c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29">
        <f t="shared" si="1247"/>
        <v>0</v>
      </c>
      <c r="BD3045" s="48">
        <f t="shared" si="1248"/>
        <v>0</v>
      </c>
      <c r="BE3045" s="19">
        <v>1</v>
      </c>
      <c r="BF3045" s="229">
        <f t="shared" si="1249"/>
        <v>0</v>
      </c>
      <c r="BG3045" s="210">
        <f t="shared" si="1250"/>
        <v>0</v>
      </c>
      <c r="BH3045" s="210">
        <f t="shared" si="1251"/>
        <v>1</v>
      </c>
      <c r="BI3045" s="213">
        <f t="shared" si="1252"/>
        <v>0</v>
      </c>
      <c r="BJ3045" s="141"/>
      <c r="BK3045" s="201"/>
      <c r="BL3045" s="4"/>
      <c r="BM3045" s="4"/>
    </row>
    <row r="3046" spans="1:65" s="38" customFormat="1" ht="18" customHeight="1">
      <c r="A3046" s="114">
        <v>35</v>
      </c>
      <c r="B3046" s="24" t="s">
        <v>1763</v>
      </c>
      <c r="C3046" s="25" t="s">
        <v>1764</v>
      </c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229">
        <f t="shared" si="1245"/>
        <v>0</v>
      </c>
      <c r="AC3046" s="228">
        <f t="shared" si="1246"/>
        <v>0</v>
      </c>
      <c r="AD3046" s="19">
        <v>0</v>
      </c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29">
        <f t="shared" si="1247"/>
        <v>0</v>
      </c>
      <c r="BD3046" s="48">
        <f t="shared" si="1248"/>
        <v>0</v>
      </c>
      <c r="BE3046" s="19">
        <v>4</v>
      </c>
      <c r="BF3046" s="229">
        <f t="shared" si="1249"/>
        <v>0</v>
      </c>
      <c r="BG3046" s="210">
        <f t="shared" si="1250"/>
        <v>0</v>
      </c>
      <c r="BH3046" s="210">
        <f t="shared" si="1251"/>
        <v>4</v>
      </c>
      <c r="BI3046" s="213">
        <f t="shared" si="1252"/>
        <v>0</v>
      </c>
      <c r="BJ3046" s="141"/>
      <c r="BK3046" s="201"/>
      <c r="BL3046" s="4"/>
      <c r="BM3046" s="4"/>
    </row>
    <row r="3047" spans="1:65" s="38" customFormat="1" ht="18" customHeight="1">
      <c r="A3047" s="114">
        <v>36</v>
      </c>
      <c r="B3047" s="24" t="s">
        <v>622</v>
      </c>
      <c r="C3047" s="25" t="s">
        <v>1158</v>
      </c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229">
        <f t="shared" si="1245"/>
        <v>0</v>
      </c>
      <c r="AC3047" s="228">
        <f t="shared" si="1246"/>
        <v>0</v>
      </c>
      <c r="AD3047" s="19">
        <v>0</v>
      </c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  <c r="AZ3047" s="28"/>
      <c r="BA3047" s="28"/>
      <c r="BB3047" s="28"/>
      <c r="BC3047" s="229">
        <f t="shared" si="1247"/>
        <v>0</v>
      </c>
      <c r="BD3047" s="48">
        <f t="shared" si="1248"/>
        <v>0</v>
      </c>
      <c r="BE3047" s="19">
        <v>1</v>
      </c>
      <c r="BF3047" s="229">
        <f t="shared" si="1249"/>
        <v>0</v>
      </c>
      <c r="BG3047" s="210">
        <f t="shared" si="1250"/>
        <v>0</v>
      </c>
      <c r="BH3047" s="210">
        <f t="shared" si="1251"/>
        <v>1</v>
      </c>
      <c r="BI3047" s="213">
        <f t="shared" si="1252"/>
        <v>0</v>
      </c>
      <c r="BJ3047" s="141"/>
      <c r="BK3047" s="201"/>
      <c r="BL3047" s="4"/>
      <c r="BM3047" s="4"/>
    </row>
    <row r="3048" spans="1:65" s="38" customFormat="1" ht="18" customHeight="1">
      <c r="A3048" s="114">
        <v>37</v>
      </c>
      <c r="B3048" s="24" t="s">
        <v>624</v>
      </c>
      <c r="C3048" s="25" t="s">
        <v>625</v>
      </c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229">
        <f t="shared" si="1245"/>
        <v>0</v>
      </c>
      <c r="AC3048" s="228">
        <f t="shared" si="1246"/>
        <v>0</v>
      </c>
      <c r="AD3048" s="19">
        <v>0</v>
      </c>
      <c r="AE3048" s="28"/>
      <c r="AF3048" s="28"/>
      <c r="AG3048" s="28"/>
      <c r="AH3048" s="28"/>
      <c r="AI3048" s="28"/>
      <c r="AJ3048" s="28">
        <v>1</v>
      </c>
      <c r="AK3048" s="28"/>
      <c r="AL3048" s="28"/>
      <c r="AM3048" s="28"/>
      <c r="AN3048" s="28"/>
      <c r="AO3048" s="28"/>
      <c r="AP3048" s="28">
        <f>1+1</f>
        <v>2</v>
      </c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29">
        <f t="shared" si="1247"/>
        <v>0</v>
      </c>
      <c r="BD3048" s="48">
        <f t="shared" si="1248"/>
        <v>3</v>
      </c>
      <c r="BE3048" s="19">
        <v>12</v>
      </c>
      <c r="BF3048" s="229">
        <f t="shared" si="1249"/>
        <v>0</v>
      </c>
      <c r="BG3048" s="210">
        <f t="shared" si="1250"/>
        <v>3</v>
      </c>
      <c r="BH3048" s="210">
        <f t="shared" si="1251"/>
        <v>12</v>
      </c>
      <c r="BI3048" s="213">
        <f t="shared" si="1252"/>
        <v>25</v>
      </c>
      <c r="BJ3048" s="141"/>
      <c r="BK3048" s="201"/>
      <c r="BL3048" s="4"/>
      <c r="BM3048" s="4"/>
    </row>
    <row r="3049" spans="1:65" s="38" customFormat="1" ht="21.95" customHeight="1">
      <c r="A3049" s="114">
        <v>38</v>
      </c>
      <c r="B3049" s="24" t="s">
        <v>626</v>
      </c>
      <c r="C3049" s="25" t="s">
        <v>627</v>
      </c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229">
        <f t="shared" si="1245"/>
        <v>0</v>
      </c>
      <c r="AC3049" s="228">
        <f t="shared" si="1246"/>
        <v>0</v>
      </c>
      <c r="AD3049" s="19">
        <v>0</v>
      </c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29">
        <f t="shared" si="1247"/>
        <v>0</v>
      </c>
      <c r="BD3049" s="48">
        <f t="shared" si="1248"/>
        <v>0</v>
      </c>
      <c r="BE3049" s="19">
        <v>1</v>
      </c>
      <c r="BF3049" s="229">
        <f t="shared" si="1249"/>
        <v>0</v>
      </c>
      <c r="BG3049" s="210">
        <f t="shared" si="1250"/>
        <v>0</v>
      </c>
      <c r="BH3049" s="210">
        <f t="shared" si="1251"/>
        <v>1</v>
      </c>
      <c r="BI3049" s="213">
        <f t="shared" si="1252"/>
        <v>0</v>
      </c>
      <c r="BJ3049" s="141"/>
      <c r="BK3049" s="201"/>
      <c r="BL3049" s="4"/>
      <c r="BM3049" s="4"/>
    </row>
    <row r="3050" spans="1:65" s="38" customFormat="1" ht="18" customHeight="1">
      <c r="A3050" s="114">
        <v>39</v>
      </c>
      <c r="B3050" s="24" t="s">
        <v>695</v>
      </c>
      <c r="C3050" s="25" t="s">
        <v>1856</v>
      </c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229">
        <f t="shared" si="1245"/>
        <v>0</v>
      </c>
      <c r="AC3050" s="228">
        <f t="shared" si="1246"/>
        <v>0</v>
      </c>
      <c r="AD3050" s="19">
        <v>0</v>
      </c>
      <c r="AE3050" s="28"/>
      <c r="AF3050" s="28"/>
      <c r="AG3050" s="28"/>
      <c r="AH3050" s="28"/>
      <c r="AI3050" s="28"/>
      <c r="AJ3050" s="28">
        <v>1</v>
      </c>
      <c r="AK3050" s="28"/>
      <c r="AL3050" s="28"/>
      <c r="AM3050" s="28"/>
      <c r="AN3050" s="28"/>
      <c r="AO3050" s="28"/>
      <c r="AP3050" s="28">
        <v>1</v>
      </c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29">
        <f t="shared" si="1247"/>
        <v>0</v>
      </c>
      <c r="BD3050" s="48">
        <f t="shared" si="1248"/>
        <v>2</v>
      </c>
      <c r="BE3050" s="19">
        <v>8</v>
      </c>
      <c r="BF3050" s="229">
        <f t="shared" si="1249"/>
        <v>0</v>
      </c>
      <c r="BG3050" s="210">
        <f t="shared" si="1250"/>
        <v>2</v>
      </c>
      <c r="BH3050" s="210">
        <f t="shared" si="1251"/>
        <v>8</v>
      </c>
      <c r="BI3050" s="213">
        <f t="shared" si="1252"/>
        <v>25</v>
      </c>
      <c r="BJ3050" s="141"/>
      <c r="BK3050" s="201"/>
      <c r="BL3050" s="4"/>
      <c r="BM3050" s="4"/>
    </row>
    <row r="3051" spans="1:65" s="38" customFormat="1" ht="18" customHeight="1">
      <c r="A3051" s="114">
        <v>40</v>
      </c>
      <c r="B3051" s="24" t="s">
        <v>628</v>
      </c>
      <c r="C3051" s="25" t="s">
        <v>629</v>
      </c>
      <c r="D3051" s="121"/>
      <c r="E3051" s="121"/>
      <c r="F3051" s="121"/>
      <c r="G3051" s="121"/>
      <c r="H3051" s="121"/>
      <c r="I3051" s="121">
        <v>117</v>
      </c>
      <c r="J3051" s="121"/>
      <c r="K3051" s="121"/>
      <c r="L3051" s="121"/>
      <c r="M3051" s="121"/>
      <c r="N3051" s="121"/>
      <c r="O3051" s="121">
        <v>101</v>
      </c>
      <c r="P3051" s="121"/>
      <c r="Q3051" s="121"/>
      <c r="R3051" s="121"/>
      <c r="S3051" s="121"/>
      <c r="T3051" s="121"/>
      <c r="U3051" s="121">
        <v>97</v>
      </c>
      <c r="V3051" s="121"/>
      <c r="W3051" s="121"/>
      <c r="X3051" s="121"/>
      <c r="Y3051" s="121"/>
      <c r="Z3051" s="121"/>
      <c r="AA3051" s="121">
        <v>112</v>
      </c>
      <c r="AB3051" s="229">
        <f t="shared" si="1245"/>
        <v>0</v>
      </c>
      <c r="AC3051" s="228">
        <f t="shared" si="1246"/>
        <v>427</v>
      </c>
      <c r="AD3051" s="19">
        <v>238</v>
      </c>
      <c r="AE3051" s="28"/>
      <c r="AF3051" s="28"/>
      <c r="AG3051" s="28"/>
      <c r="AH3051" s="28"/>
      <c r="AI3051" s="28"/>
      <c r="AJ3051" s="28">
        <f>761+144+359+2</f>
        <v>1266</v>
      </c>
      <c r="AK3051" s="28"/>
      <c r="AL3051" s="28"/>
      <c r="AM3051" s="28"/>
      <c r="AN3051" s="28"/>
      <c r="AO3051" s="28"/>
      <c r="AP3051" s="28">
        <f>490+825+137+417</f>
        <v>1869</v>
      </c>
      <c r="AQ3051" s="28"/>
      <c r="AR3051" s="28"/>
      <c r="AS3051" s="28"/>
      <c r="AT3051" s="28"/>
      <c r="AU3051" s="28"/>
      <c r="AV3051" s="28">
        <f>281+844+221+1+540</f>
        <v>1887</v>
      </c>
      <c r="AW3051" s="28"/>
      <c r="AX3051" s="28"/>
      <c r="AY3051" s="28"/>
      <c r="AZ3051" s="28"/>
      <c r="BA3051" s="28"/>
      <c r="BB3051" s="28">
        <f>458+905+153+485+4</f>
        <v>2005</v>
      </c>
      <c r="BC3051" s="229">
        <f t="shared" si="1247"/>
        <v>0</v>
      </c>
      <c r="BD3051" s="48">
        <f t="shared" si="1248"/>
        <v>7027</v>
      </c>
      <c r="BE3051" s="19">
        <v>5224</v>
      </c>
      <c r="BF3051" s="229">
        <f t="shared" si="1249"/>
        <v>0</v>
      </c>
      <c r="BG3051" s="210">
        <f t="shared" si="1250"/>
        <v>7454</v>
      </c>
      <c r="BH3051" s="210">
        <f t="shared" si="1251"/>
        <v>5462</v>
      </c>
      <c r="BI3051" s="213">
        <f t="shared" si="1252"/>
        <v>136.47015745148298</v>
      </c>
      <c r="BJ3051" s="141"/>
      <c r="BK3051" s="201"/>
      <c r="BL3051" s="4"/>
      <c r="BM3051" s="4"/>
    </row>
    <row r="3052" spans="1:65" s="38" customFormat="1" ht="18" customHeight="1">
      <c r="A3052" s="114">
        <v>41</v>
      </c>
      <c r="B3052" s="24" t="s">
        <v>1586</v>
      </c>
      <c r="C3052" s="25" t="s">
        <v>697</v>
      </c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229">
        <f t="shared" si="1245"/>
        <v>0</v>
      </c>
      <c r="AC3052" s="228">
        <f t="shared" si="1246"/>
        <v>0</v>
      </c>
      <c r="AD3052" s="19">
        <v>0</v>
      </c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  <c r="AZ3052" s="28"/>
      <c r="BA3052" s="28"/>
      <c r="BB3052" s="28"/>
      <c r="BC3052" s="229">
        <f t="shared" si="1247"/>
        <v>0</v>
      </c>
      <c r="BD3052" s="48">
        <f t="shared" si="1248"/>
        <v>0</v>
      </c>
      <c r="BE3052" s="19">
        <v>1</v>
      </c>
      <c r="BF3052" s="229">
        <f t="shared" si="1249"/>
        <v>0</v>
      </c>
      <c r="BG3052" s="210">
        <f t="shared" si="1250"/>
        <v>0</v>
      </c>
      <c r="BH3052" s="210">
        <f t="shared" si="1251"/>
        <v>1</v>
      </c>
      <c r="BI3052" s="213">
        <f t="shared" si="1252"/>
        <v>0</v>
      </c>
      <c r="BJ3052" s="141"/>
      <c r="BK3052" s="201"/>
      <c r="BL3052" s="4"/>
      <c r="BM3052" s="4"/>
    </row>
    <row r="3053" spans="1:65" s="38" customFormat="1" ht="18" customHeight="1">
      <c r="A3053" s="114">
        <v>42</v>
      </c>
      <c r="B3053" s="24" t="s">
        <v>944</v>
      </c>
      <c r="C3053" s="25" t="s">
        <v>945</v>
      </c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>
        <v>1</v>
      </c>
      <c r="V3053" s="121"/>
      <c r="W3053" s="121"/>
      <c r="X3053" s="121"/>
      <c r="Y3053" s="121"/>
      <c r="Z3053" s="121"/>
      <c r="AA3053" s="121"/>
      <c r="AB3053" s="229">
        <f t="shared" si="1245"/>
        <v>0</v>
      </c>
      <c r="AC3053" s="228">
        <f t="shared" si="1246"/>
        <v>1</v>
      </c>
      <c r="AD3053" s="19">
        <v>0</v>
      </c>
      <c r="AE3053" s="28"/>
      <c r="AF3053" s="28"/>
      <c r="AG3053" s="28"/>
      <c r="AH3053" s="28"/>
      <c r="AI3053" s="28"/>
      <c r="AJ3053" s="28">
        <f>1+3</f>
        <v>4</v>
      </c>
      <c r="AK3053" s="28"/>
      <c r="AL3053" s="28"/>
      <c r="AM3053" s="28"/>
      <c r="AN3053" s="28"/>
      <c r="AO3053" s="28"/>
      <c r="AP3053" s="28">
        <f>8+4</f>
        <v>12</v>
      </c>
      <c r="AQ3053" s="28"/>
      <c r="AR3053" s="28"/>
      <c r="AS3053" s="28"/>
      <c r="AT3053" s="28"/>
      <c r="AU3053" s="28"/>
      <c r="AV3053" s="28">
        <f>5+7</f>
        <v>12</v>
      </c>
      <c r="AW3053" s="28"/>
      <c r="AX3053" s="28"/>
      <c r="AY3053" s="28"/>
      <c r="AZ3053" s="28"/>
      <c r="BA3053" s="28"/>
      <c r="BB3053" s="28">
        <f>1+6</f>
        <v>7</v>
      </c>
      <c r="BC3053" s="229">
        <f t="shared" si="1247"/>
        <v>0</v>
      </c>
      <c r="BD3053" s="48">
        <f t="shared" si="1248"/>
        <v>35</v>
      </c>
      <c r="BE3053" s="19">
        <v>38</v>
      </c>
      <c r="BF3053" s="229">
        <f t="shared" si="1249"/>
        <v>0</v>
      </c>
      <c r="BG3053" s="210">
        <f t="shared" si="1250"/>
        <v>36</v>
      </c>
      <c r="BH3053" s="210">
        <f t="shared" si="1251"/>
        <v>38</v>
      </c>
      <c r="BI3053" s="213">
        <f t="shared" si="1252"/>
        <v>94.73684210526315</v>
      </c>
      <c r="BJ3053" s="141"/>
      <c r="BK3053" s="201"/>
      <c r="BL3053" s="4"/>
      <c r="BM3053" s="4"/>
    </row>
    <row r="3054" spans="1:65" s="38" customFormat="1" ht="18" customHeight="1">
      <c r="A3054" s="114">
        <v>43</v>
      </c>
      <c r="B3054" s="24" t="s">
        <v>630</v>
      </c>
      <c r="C3054" s="25" t="s">
        <v>631</v>
      </c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>
        <v>1</v>
      </c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229">
        <f t="shared" si="1245"/>
        <v>0</v>
      </c>
      <c r="AC3054" s="228">
        <f t="shared" si="1246"/>
        <v>1</v>
      </c>
      <c r="AD3054" s="19">
        <v>0</v>
      </c>
      <c r="AE3054" s="28"/>
      <c r="AF3054" s="28"/>
      <c r="AG3054" s="28"/>
      <c r="AH3054" s="28"/>
      <c r="AI3054" s="28"/>
      <c r="AJ3054" s="28">
        <v>1</v>
      </c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>
        <f>2+2+5</f>
        <v>9</v>
      </c>
      <c r="AW3054" s="28"/>
      <c r="AX3054" s="28"/>
      <c r="AY3054" s="28"/>
      <c r="AZ3054" s="28"/>
      <c r="BA3054" s="28"/>
      <c r="BB3054" s="28">
        <v>1</v>
      </c>
      <c r="BC3054" s="229">
        <f t="shared" si="1247"/>
        <v>0</v>
      </c>
      <c r="BD3054" s="48">
        <f t="shared" si="1248"/>
        <v>11</v>
      </c>
      <c r="BE3054" s="19">
        <v>17</v>
      </c>
      <c r="BF3054" s="229">
        <f t="shared" si="1249"/>
        <v>0</v>
      </c>
      <c r="BG3054" s="210">
        <f t="shared" si="1250"/>
        <v>12</v>
      </c>
      <c r="BH3054" s="210">
        <f t="shared" si="1251"/>
        <v>17</v>
      </c>
      <c r="BI3054" s="213">
        <f t="shared" si="1252"/>
        <v>70.588235294117652</v>
      </c>
      <c r="BJ3054" s="141"/>
      <c r="BK3054" s="201"/>
      <c r="BL3054" s="4"/>
      <c r="BM3054" s="4"/>
    </row>
    <row r="3055" spans="1:65" s="38" customFormat="1" ht="18" customHeight="1">
      <c r="A3055" s="114">
        <v>44</v>
      </c>
      <c r="B3055" s="24" t="s">
        <v>770</v>
      </c>
      <c r="C3055" s="25" t="s">
        <v>771</v>
      </c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229">
        <f t="shared" si="1245"/>
        <v>0</v>
      </c>
      <c r="AC3055" s="228">
        <f t="shared" si="1246"/>
        <v>0</v>
      </c>
      <c r="AD3055" s="19">
        <v>0</v>
      </c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>
        <v>3</v>
      </c>
      <c r="AQ3055" s="28"/>
      <c r="AR3055" s="28"/>
      <c r="AS3055" s="28"/>
      <c r="AT3055" s="28"/>
      <c r="AU3055" s="28"/>
      <c r="AV3055" s="28">
        <v>2</v>
      </c>
      <c r="AW3055" s="28"/>
      <c r="AX3055" s="28"/>
      <c r="AY3055" s="28"/>
      <c r="AZ3055" s="28"/>
      <c r="BA3055" s="28"/>
      <c r="BB3055" s="28"/>
      <c r="BC3055" s="229">
        <f t="shared" si="1247"/>
        <v>0</v>
      </c>
      <c r="BD3055" s="48">
        <f t="shared" si="1248"/>
        <v>5</v>
      </c>
      <c r="BE3055" s="19">
        <v>6</v>
      </c>
      <c r="BF3055" s="229">
        <f t="shared" si="1249"/>
        <v>0</v>
      </c>
      <c r="BG3055" s="210">
        <f t="shared" si="1250"/>
        <v>5</v>
      </c>
      <c r="BH3055" s="210">
        <f t="shared" si="1251"/>
        <v>6</v>
      </c>
      <c r="BI3055" s="213">
        <f t="shared" si="1252"/>
        <v>83.333333333333343</v>
      </c>
      <c r="BJ3055" s="141"/>
      <c r="BK3055" s="201"/>
      <c r="BL3055" s="4"/>
      <c r="BM3055" s="4"/>
    </row>
    <row r="3056" spans="1:65" s="38" customFormat="1" ht="18" customHeight="1">
      <c r="A3056" s="114">
        <v>45</v>
      </c>
      <c r="B3056" s="24" t="s">
        <v>632</v>
      </c>
      <c r="C3056" s="25" t="s">
        <v>633</v>
      </c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229">
        <f t="shared" si="1245"/>
        <v>0</v>
      </c>
      <c r="AC3056" s="228">
        <f t="shared" si="1246"/>
        <v>0</v>
      </c>
      <c r="AD3056" s="19">
        <v>0</v>
      </c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>
        <v>8</v>
      </c>
      <c r="BC3056" s="229">
        <f t="shared" si="1247"/>
        <v>0</v>
      </c>
      <c r="BD3056" s="48">
        <f t="shared" si="1248"/>
        <v>8</v>
      </c>
      <c r="BE3056" s="19">
        <v>22</v>
      </c>
      <c r="BF3056" s="229">
        <f t="shared" si="1249"/>
        <v>0</v>
      </c>
      <c r="BG3056" s="210">
        <f t="shared" si="1250"/>
        <v>8</v>
      </c>
      <c r="BH3056" s="210">
        <f t="shared" si="1251"/>
        <v>22</v>
      </c>
      <c r="BI3056" s="213">
        <f t="shared" si="1252"/>
        <v>36.363636363636367</v>
      </c>
      <c r="BJ3056" s="141"/>
      <c r="BK3056" s="201"/>
      <c r="BL3056" s="4"/>
      <c r="BM3056" s="4"/>
    </row>
    <row r="3057" spans="1:65" s="38" customFormat="1" ht="18" customHeight="1">
      <c r="A3057" s="114">
        <v>46</v>
      </c>
      <c r="B3057" s="24" t="s">
        <v>634</v>
      </c>
      <c r="C3057" s="25" t="s">
        <v>696</v>
      </c>
      <c r="D3057" s="121"/>
      <c r="E3057" s="121"/>
      <c r="F3057" s="121"/>
      <c r="G3057" s="121"/>
      <c r="H3057" s="121"/>
      <c r="I3057" s="121">
        <v>2</v>
      </c>
      <c r="J3057" s="121"/>
      <c r="K3057" s="121"/>
      <c r="L3057" s="121"/>
      <c r="M3057" s="121"/>
      <c r="N3057" s="121"/>
      <c r="O3057" s="121">
        <v>1</v>
      </c>
      <c r="P3057" s="121"/>
      <c r="Q3057" s="121"/>
      <c r="R3057" s="121"/>
      <c r="S3057" s="121"/>
      <c r="T3057" s="121"/>
      <c r="U3057" s="121">
        <v>5</v>
      </c>
      <c r="V3057" s="121"/>
      <c r="W3057" s="121"/>
      <c r="X3057" s="121"/>
      <c r="Y3057" s="121"/>
      <c r="Z3057" s="121"/>
      <c r="AA3057" s="121">
        <v>2</v>
      </c>
      <c r="AB3057" s="229">
        <f t="shared" si="1245"/>
        <v>0</v>
      </c>
      <c r="AC3057" s="228">
        <f t="shared" si="1246"/>
        <v>10</v>
      </c>
      <c r="AD3057" s="19">
        <v>20</v>
      </c>
      <c r="AE3057" s="28"/>
      <c r="AF3057" s="28"/>
      <c r="AG3057" s="28"/>
      <c r="AH3057" s="28"/>
      <c r="AI3057" s="28"/>
      <c r="AJ3057" s="28">
        <f>1+20</f>
        <v>21</v>
      </c>
      <c r="AK3057" s="28"/>
      <c r="AL3057" s="28"/>
      <c r="AM3057" s="28"/>
      <c r="AN3057" s="28"/>
      <c r="AO3057" s="28"/>
      <c r="AP3057" s="28">
        <f>3+25</f>
        <v>28</v>
      </c>
      <c r="AQ3057" s="28"/>
      <c r="AR3057" s="28"/>
      <c r="AS3057" s="28"/>
      <c r="AT3057" s="28"/>
      <c r="AU3057" s="28"/>
      <c r="AV3057" s="28">
        <f>15+3+33</f>
        <v>51</v>
      </c>
      <c r="AW3057" s="28"/>
      <c r="AX3057" s="28"/>
      <c r="AY3057" s="28"/>
      <c r="AZ3057" s="28"/>
      <c r="BA3057" s="28"/>
      <c r="BB3057" s="28">
        <f>1+11+30+4</f>
        <v>46</v>
      </c>
      <c r="BC3057" s="229">
        <f t="shared" si="1247"/>
        <v>0</v>
      </c>
      <c r="BD3057" s="48">
        <f t="shared" si="1248"/>
        <v>146</v>
      </c>
      <c r="BE3057" s="19">
        <v>285</v>
      </c>
      <c r="BF3057" s="229">
        <f t="shared" si="1249"/>
        <v>0</v>
      </c>
      <c r="BG3057" s="210">
        <f t="shared" si="1250"/>
        <v>156</v>
      </c>
      <c r="BH3057" s="210">
        <f t="shared" si="1251"/>
        <v>305</v>
      </c>
      <c r="BI3057" s="213">
        <f t="shared" si="1252"/>
        <v>51.147540983606554</v>
      </c>
      <c r="BJ3057" s="141"/>
      <c r="BK3057" s="201"/>
      <c r="BL3057" s="4"/>
      <c r="BM3057" s="4"/>
    </row>
    <row r="3058" spans="1:65" s="38" customFormat="1" ht="18" customHeight="1">
      <c r="A3058" s="114">
        <v>47</v>
      </c>
      <c r="B3058" s="24" t="s">
        <v>1056</v>
      </c>
      <c r="C3058" s="25" t="s">
        <v>1057</v>
      </c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229">
        <f t="shared" si="1245"/>
        <v>0</v>
      </c>
      <c r="AC3058" s="228">
        <f t="shared" si="1246"/>
        <v>0</v>
      </c>
      <c r="AD3058" s="19">
        <v>0</v>
      </c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29">
        <f t="shared" si="1247"/>
        <v>0</v>
      </c>
      <c r="BD3058" s="48">
        <f t="shared" si="1248"/>
        <v>0</v>
      </c>
      <c r="BE3058" s="19">
        <v>1</v>
      </c>
      <c r="BF3058" s="229">
        <f t="shared" si="1249"/>
        <v>0</v>
      </c>
      <c r="BG3058" s="210">
        <f t="shared" si="1250"/>
        <v>0</v>
      </c>
      <c r="BH3058" s="210">
        <f t="shared" si="1251"/>
        <v>1</v>
      </c>
      <c r="BI3058" s="213">
        <f t="shared" si="1252"/>
        <v>0</v>
      </c>
      <c r="BJ3058" s="141"/>
      <c r="BK3058" s="201"/>
      <c r="BL3058" s="4"/>
      <c r="BM3058" s="4"/>
    </row>
    <row r="3059" spans="1:65" s="38" customFormat="1" ht="18" customHeight="1">
      <c r="A3059" s="114">
        <v>48</v>
      </c>
      <c r="B3059" s="24" t="s">
        <v>636</v>
      </c>
      <c r="C3059" s="25" t="s">
        <v>637</v>
      </c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229">
        <f t="shared" si="1245"/>
        <v>0</v>
      </c>
      <c r="AC3059" s="228">
        <f t="shared" si="1246"/>
        <v>0</v>
      </c>
      <c r="AD3059" s="19">
        <v>0</v>
      </c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>
        <v>1</v>
      </c>
      <c r="AQ3059" s="28"/>
      <c r="AR3059" s="28"/>
      <c r="AS3059" s="28"/>
      <c r="AT3059" s="28"/>
      <c r="AU3059" s="28"/>
      <c r="AV3059" s="28">
        <v>4</v>
      </c>
      <c r="AW3059" s="28"/>
      <c r="AX3059" s="28"/>
      <c r="AY3059" s="28"/>
      <c r="AZ3059" s="28"/>
      <c r="BA3059" s="28"/>
      <c r="BB3059" s="28">
        <v>1</v>
      </c>
      <c r="BC3059" s="229">
        <f t="shared" si="1247"/>
        <v>0</v>
      </c>
      <c r="BD3059" s="48">
        <f t="shared" si="1248"/>
        <v>6</v>
      </c>
      <c r="BE3059" s="19">
        <v>8</v>
      </c>
      <c r="BF3059" s="229">
        <f t="shared" si="1249"/>
        <v>0</v>
      </c>
      <c r="BG3059" s="210">
        <f t="shared" si="1250"/>
        <v>6</v>
      </c>
      <c r="BH3059" s="210">
        <f t="shared" si="1251"/>
        <v>8</v>
      </c>
      <c r="BI3059" s="213">
        <f t="shared" si="1252"/>
        <v>75</v>
      </c>
      <c r="BJ3059" s="141"/>
      <c r="BK3059" s="201"/>
      <c r="BL3059" s="4"/>
      <c r="BM3059" s="4"/>
    </row>
    <row r="3060" spans="1:65" s="38" customFormat="1" ht="18" customHeight="1">
      <c r="A3060" s="114">
        <v>49</v>
      </c>
      <c r="B3060" s="24" t="s">
        <v>643</v>
      </c>
      <c r="C3060" s="25" t="s">
        <v>722</v>
      </c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229">
        <f t="shared" si="1245"/>
        <v>0</v>
      </c>
      <c r="AC3060" s="228">
        <f t="shared" si="1246"/>
        <v>0</v>
      </c>
      <c r="AD3060" s="19">
        <v>0</v>
      </c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>
        <f>23+9+3</f>
        <v>35</v>
      </c>
      <c r="AQ3060" s="28"/>
      <c r="AR3060" s="28"/>
      <c r="AS3060" s="28"/>
      <c r="AT3060" s="28"/>
      <c r="AU3060" s="28"/>
      <c r="AV3060" s="28">
        <f>7+6</f>
        <v>13</v>
      </c>
      <c r="AW3060" s="28"/>
      <c r="AX3060" s="28"/>
      <c r="AY3060" s="28"/>
      <c r="AZ3060" s="28"/>
      <c r="BA3060" s="28"/>
      <c r="BB3060" s="28">
        <f>11+5</f>
        <v>16</v>
      </c>
      <c r="BC3060" s="229">
        <f t="shared" si="1247"/>
        <v>0</v>
      </c>
      <c r="BD3060" s="48">
        <f t="shared" si="1248"/>
        <v>64</v>
      </c>
      <c r="BE3060" s="19">
        <v>208</v>
      </c>
      <c r="BF3060" s="229">
        <f t="shared" si="1249"/>
        <v>0</v>
      </c>
      <c r="BG3060" s="210">
        <f t="shared" si="1250"/>
        <v>64</v>
      </c>
      <c r="BH3060" s="210">
        <f t="shared" si="1251"/>
        <v>208</v>
      </c>
      <c r="BI3060" s="213">
        <f t="shared" si="1252"/>
        <v>30.76923076923077</v>
      </c>
      <c r="BJ3060" s="141"/>
      <c r="BK3060" s="201"/>
      <c r="BL3060" s="4"/>
      <c r="BM3060" s="4"/>
    </row>
    <row r="3061" spans="1:65" s="38" customFormat="1" ht="18" customHeight="1">
      <c r="A3061" s="114">
        <v>50</v>
      </c>
      <c r="B3061" s="24" t="s">
        <v>773</v>
      </c>
      <c r="C3061" s="25" t="s">
        <v>1159</v>
      </c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229">
        <f t="shared" si="1245"/>
        <v>0</v>
      </c>
      <c r="AC3061" s="228">
        <f t="shared" si="1246"/>
        <v>0</v>
      </c>
      <c r="AD3061" s="19">
        <v>0</v>
      </c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>
        <v>6</v>
      </c>
      <c r="AQ3061" s="28"/>
      <c r="AR3061" s="28"/>
      <c r="AS3061" s="28"/>
      <c r="AT3061" s="28"/>
      <c r="AU3061" s="28"/>
      <c r="AV3061" s="28">
        <v>5</v>
      </c>
      <c r="AW3061" s="28"/>
      <c r="AX3061" s="28"/>
      <c r="AY3061" s="28"/>
      <c r="AZ3061" s="28"/>
      <c r="BA3061" s="28"/>
      <c r="BB3061" s="28">
        <v>26</v>
      </c>
      <c r="BC3061" s="229">
        <f t="shared" si="1247"/>
        <v>0</v>
      </c>
      <c r="BD3061" s="48">
        <f t="shared" si="1248"/>
        <v>37</v>
      </c>
      <c r="BE3061" s="19">
        <v>40</v>
      </c>
      <c r="BF3061" s="229">
        <f t="shared" si="1249"/>
        <v>0</v>
      </c>
      <c r="BG3061" s="210">
        <f t="shared" si="1250"/>
        <v>37</v>
      </c>
      <c r="BH3061" s="210">
        <f t="shared" si="1251"/>
        <v>40</v>
      </c>
      <c r="BI3061" s="213">
        <f t="shared" si="1252"/>
        <v>92.5</v>
      </c>
      <c r="BJ3061" s="141"/>
      <c r="BK3061" s="201"/>
      <c r="BL3061" s="4"/>
      <c r="BM3061" s="4"/>
    </row>
    <row r="3062" spans="1:65" s="38" customFormat="1" ht="18" customHeight="1">
      <c r="A3062" s="114">
        <v>51</v>
      </c>
      <c r="B3062" s="24" t="s">
        <v>644</v>
      </c>
      <c r="C3062" s="25" t="s">
        <v>645</v>
      </c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229">
        <f t="shared" si="1245"/>
        <v>0</v>
      </c>
      <c r="AC3062" s="228">
        <f t="shared" si="1246"/>
        <v>0</v>
      </c>
      <c r="AD3062" s="19">
        <v>0</v>
      </c>
      <c r="AE3062" s="28"/>
      <c r="AF3062" s="28"/>
      <c r="AG3062" s="28"/>
      <c r="AH3062" s="28"/>
      <c r="AI3062" s="28"/>
      <c r="AJ3062" s="28">
        <f>2+1</f>
        <v>3</v>
      </c>
      <c r="AK3062" s="28"/>
      <c r="AL3062" s="28"/>
      <c r="AM3062" s="28"/>
      <c r="AN3062" s="28"/>
      <c r="AO3062" s="28"/>
      <c r="AP3062" s="28">
        <f>4+19</f>
        <v>23</v>
      </c>
      <c r="AQ3062" s="28"/>
      <c r="AR3062" s="28"/>
      <c r="AS3062" s="28"/>
      <c r="AT3062" s="28"/>
      <c r="AU3062" s="28"/>
      <c r="AV3062" s="28">
        <f>8+13</f>
        <v>21</v>
      </c>
      <c r="AW3062" s="28"/>
      <c r="AX3062" s="28"/>
      <c r="AY3062" s="28"/>
      <c r="AZ3062" s="28"/>
      <c r="BA3062" s="28"/>
      <c r="BB3062" s="28">
        <f>3+18</f>
        <v>21</v>
      </c>
      <c r="BC3062" s="229">
        <f t="shared" si="1247"/>
        <v>0</v>
      </c>
      <c r="BD3062" s="48">
        <f t="shared" si="1248"/>
        <v>68</v>
      </c>
      <c r="BE3062" s="19">
        <v>42</v>
      </c>
      <c r="BF3062" s="229">
        <f t="shared" si="1249"/>
        <v>0</v>
      </c>
      <c r="BG3062" s="210">
        <f t="shared" si="1250"/>
        <v>68</v>
      </c>
      <c r="BH3062" s="210">
        <f t="shared" si="1251"/>
        <v>42</v>
      </c>
      <c r="BI3062" s="213">
        <f t="shared" si="1252"/>
        <v>161.9047619047619</v>
      </c>
      <c r="BJ3062" s="141"/>
      <c r="BK3062" s="201"/>
      <c r="BL3062" s="4"/>
      <c r="BM3062" s="4"/>
    </row>
    <row r="3063" spans="1:65" s="38" customFormat="1" ht="18" customHeight="1">
      <c r="A3063" s="114">
        <v>52</v>
      </c>
      <c r="B3063" s="24" t="s">
        <v>646</v>
      </c>
      <c r="C3063" s="25" t="s">
        <v>647</v>
      </c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229">
        <f t="shared" si="1245"/>
        <v>0</v>
      </c>
      <c r="AC3063" s="228">
        <f t="shared" si="1246"/>
        <v>0</v>
      </c>
      <c r="AD3063" s="19">
        <v>0</v>
      </c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  <c r="AZ3063" s="28"/>
      <c r="BA3063" s="28"/>
      <c r="BB3063" s="28"/>
      <c r="BC3063" s="229">
        <f t="shared" si="1247"/>
        <v>0</v>
      </c>
      <c r="BD3063" s="48">
        <f t="shared" si="1248"/>
        <v>0</v>
      </c>
      <c r="BE3063" s="19">
        <v>3</v>
      </c>
      <c r="BF3063" s="229">
        <f t="shared" si="1249"/>
        <v>0</v>
      </c>
      <c r="BG3063" s="210">
        <f t="shared" si="1250"/>
        <v>0</v>
      </c>
      <c r="BH3063" s="210">
        <f t="shared" si="1251"/>
        <v>3</v>
      </c>
      <c r="BI3063" s="213">
        <f t="shared" si="1252"/>
        <v>0</v>
      </c>
      <c r="BJ3063" s="141"/>
      <c r="BK3063" s="201"/>
      <c r="BL3063" s="4"/>
      <c r="BM3063" s="4"/>
    </row>
    <row r="3064" spans="1:65" s="38" customFormat="1" ht="18" customHeight="1">
      <c r="A3064" s="114">
        <v>53</v>
      </c>
      <c r="B3064" s="24" t="s">
        <v>1011</v>
      </c>
      <c r="C3064" s="25" t="s">
        <v>1596</v>
      </c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229">
        <f t="shared" si="1245"/>
        <v>0</v>
      </c>
      <c r="AC3064" s="228">
        <f t="shared" si="1246"/>
        <v>0</v>
      </c>
      <c r="AD3064" s="19">
        <v>0</v>
      </c>
      <c r="AE3064" s="28"/>
      <c r="AF3064" s="28"/>
      <c r="AG3064" s="28"/>
      <c r="AH3064" s="28"/>
      <c r="AI3064" s="28"/>
      <c r="AJ3064" s="28">
        <f>18+15</f>
        <v>33</v>
      </c>
      <c r="AK3064" s="28"/>
      <c r="AL3064" s="28"/>
      <c r="AM3064" s="28"/>
      <c r="AN3064" s="28"/>
      <c r="AO3064" s="28"/>
      <c r="AP3064" s="28">
        <f>3+20</f>
        <v>23</v>
      </c>
      <c r="AQ3064" s="28"/>
      <c r="AR3064" s="28"/>
      <c r="AS3064" s="28"/>
      <c r="AT3064" s="28"/>
      <c r="AU3064" s="28"/>
      <c r="AV3064" s="28">
        <v>15</v>
      </c>
      <c r="AW3064" s="28"/>
      <c r="AX3064" s="28"/>
      <c r="AY3064" s="28"/>
      <c r="AZ3064" s="28"/>
      <c r="BA3064" s="28"/>
      <c r="BB3064" s="28">
        <f>20+11</f>
        <v>31</v>
      </c>
      <c r="BC3064" s="229">
        <f t="shared" si="1247"/>
        <v>0</v>
      </c>
      <c r="BD3064" s="48">
        <f t="shared" si="1248"/>
        <v>102</v>
      </c>
      <c r="BE3064" s="19">
        <v>145</v>
      </c>
      <c r="BF3064" s="229">
        <f t="shared" si="1249"/>
        <v>0</v>
      </c>
      <c r="BG3064" s="210">
        <f t="shared" si="1250"/>
        <v>102</v>
      </c>
      <c r="BH3064" s="210">
        <f t="shared" si="1251"/>
        <v>145</v>
      </c>
      <c r="BI3064" s="213">
        <f t="shared" si="1252"/>
        <v>70.34482758620689</v>
      </c>
      <c r="BJ3064" s="141"/>
      <c r="BK3064" s="201"/>
      <c r="BL3064" s="4"/>
      <c r="BM3064" s="4"/>
    </row>
    <row r="3065" spans="1:65" s="38" customFormat="1" ht="18" customHeight="1">
      <c r="A3065" s="114">
        <v>54</v>
      </c>
      <c r="B3065" s="24" t="s">
        <v>698</v>
      </c>
      <c r="C3065" s="25" t="s">
        <v>1160</v>
      </c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>
        <v>2</v>
      </c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>
        <v>2</v>
      </c>
      <c r="AB3065" s="229">
        <f t="shared" si="1245"/>
        <v>0</v>
      </c>
      <c r="AC3065" s="228">
        <f t="shared" si="1246"/>
        <v>4</v>
      </c>
      <c r="AD3065" s="19">
        <v>3</v>
      </c>
      <c r="AE3065" s="28"/>
      <c r="AF3065" s="28"/>
      <c r="AG3065" s="28"/>
      <c r="AH3065" s="28"/>
      <c r="AI3065" s="28"/>
      <c r="AJ3065" s="28">
        <f>5+4</f>
        <v>9</v>
      </c>
      <c r="AK3065" s="28"/>
      <c r="AL3065" s="28"/>
      <c r="AM3065" s="28"/>
      <c r="AN3065" s="28"/>
      <c r="AO3065" s="28"/>
      <c r="AP3065" s="28">
        <f>15+2</f>
        <v>17</v>
      </c>
      <c r="AQ3065" s="28"/>
      <c r="AR3065" s="28"/>
      <c r="AS3065" s="28"/>
      <c r="AT3065" s="28"/>
      <c r="AU3065" s="28"/>
      <c r="AV3065" s="28">
        <f>2+16</f>
        <v>18</v>
      </c>
      <c r="AW3065" s="28"/>
      <c r="AX3065" s="28"/>
      <c r="AY3065" s="28"/>
      <c r="AZ3065" s="28"/>
      <c r="BA3065" s="28"/>
      <c r="BB3065" s="28">
        <f>4+3+7</f>
        <v>14</v>
      </c>
      <c r="BC3065" s="229">
        <f t="shared" si="1247"/>
        <v>0</v>
      </c>
      <c r="BD3065" s="48">
        <f t="shared" si="1248"/>
        <v>58</v>
      </c>
      <c r="BE3065" s="19">
        <v>74</v>
      </c>
      <c r="BF3065" s="229">
        <f t="shared" si="1249"/>
        <v>0</v>
      </c>
      <c r="BG3065" s="210">
        <f t="shared" si="1250"/>
        <v>62</v>
      </c>
      <c r="BH3065" s="210">
        <f t="shared" si="1251"/>
        <v>77</v>
      </c>
      <c r="BI3065" s="213">
        <f t="shared" si="1252"/>
        <v>80.519480519480524</v>
      </c>
      <c r="BJ3065" s="141"/>
      <c r="BK3065" s="201"/>
      <c r="BL3065" s="4"/>
      <c r="BM3065" s="4"/>
    </row>
    <row r="3066" spans="1:65" s="38" customFormat="1" ht="18" customHeight="1">
      <c r="A3066" s="114">
        <v>55</v>
      </c>
      <c r="B3066" s="24" t="s">
        <v>648</v>
      </c>
      <c r="C3066" s="25" t="s">
        <v>649</v>
      </c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229">
        <f t="shared" si="1245"/>
        <v>0</v>
      </c>
      <c r="AC3066" s="228">
        <f t="shared" si="1246"/>
        <v>0</v>
      </c>
      <c r="AD3066" s="19">
        <v>0</v>
      </c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  <c r="AZ3066" s="28"/>
      <c r="BA3066" s="28"/>
      <c r="BB3066" s="28"/>
      <c r="BC3066" s="229">
        <f t="shared" si="1247"/>
        <v>0</v>
      </c>
      <c r="BD3066" s="48">
        <f t="shared" si="1248"/>
        <v>0</v>
      </c>
      <c r="BE3066" s="19">
        <v>1</v>
      </c>
      <c r="BF3066" s="229">
        <f t="shared" si="1249"/>
        <v>0</v>
      </c>
      <c r="BG3066" s="210">
        <f t="shared" si="1250"/>
        <v>0</v>
      </c>
      <c r="BH3066" s="210">
        <f t="shared" si="1251"/>
        <v>1</v>
      </c>
      <c r="BI3066" s="213">
        <f t="shared" si="1252"/>
        <v>0</v>
      </c>
      <c r="BJ3066" s="141"/>
      <c r="BK3066" s="201"/>
      <c r="BL3066" s="4"/>
      <c r="BM3066" s="4"/>
    </row>
    <row r="3067" spans="1:65" s="38" customFormat="1" ht="18" customHeight="1">
      <c r="A3067" s="114">
        <v>56</v>
      </c>
      <c r="B3067" s="24" t="s">
        <v>700</v>
      </c>
      <c r="C3067" s="25" t="s">
        <v>845</v>
      </c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229">
        <f t="shared" si="1245"/>
        <v>0</v>
      </c>
      <c r="AC3067" s="228">
        <f t="shared" si="1246"/>
        <v>0</v>
      </c>
      <c r="AD3067" s="19">
        <v>0</v>
      </c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>
        <v>2</v>
      </c>
      <c r="AW3067" s="28"/>
      <c r="AX3067" s="28"/>
      <c r="AY3067" s="28"/>
      <c r="AZ3067" s="28"/>
      <c r="BA3067" s="28"/>
      <c r="BB3067" s="28"/>
      <c r="BC3067" s="229">
        <f t="shared" si="1247"/>
        <v>0</v>
      </c>
      <c r="BD3067" s="48">
        <f t="shared" si="1248"/>
        <v>2</v>
      </c>
      <c r="BE3067" s="19">
        <v>1</v>
      </c>
      <c r="BF3067" s="229">
        <f t="shared" si="1249"/>
        <v>0</v>
      </c>
      <c r="BG3067" s="210">
        <f t="shared" si="1250"/>
        <v>2</v>
      </c>
      <c r="BH3067" s="210">
        <f t="shared" si="1251"/>
        <v>1</v>
      </c>
      <c r="BI3067" s="213">
        <f t="shared" si="1252"/>
        <v>200</v>
      </c>
      <c r="BJ3067" s="141"/>
      <c r="BK3067" s="201"/>
      <c r="BL3067" s="4"/>
      <c r="BM3067" s="4"/>
    </row>
    <row r="3068" spans="1:65" s="38" customFormat="1" ht="18" customHeight="1">
      <c r="A3068" s="114">
        <v>57</v>
      </c>
      <c r="B3068" s="24" t="s">
        <v>835</v>
      </c>
      <c r="C3068" s="25" t="s">
        <v>1962</v>
      </c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229">
        <f t="shared" si="1245"/>
        <v>0</v>
      </c>
      <c r="AC3068" s="228">
        <f t="shared" si="1246"/>
        <v>0</v>
      </c>
      <c r="AD3068" s="19">
        <v>0</v>
      </c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>
        <v>25</v>
      </c>
      <c r="AQ3068" s="28"/>
      <c r="AR3068" s="28"/>
      <c r="AS3068" s="28"/>
      <c r="AT3068" s="28"/>
      <c r="AU3068" s="28"/>
      <c r="AV3068" s="28">
        <v>17</v>
      </c>
      <c r="AW3068" s="28"/>
      <c r="AX3068" s="28"/>
      <c r="AY3068" s="28"/>
      <c r="AZ3068" s="28"/>
      <c r="BA3068" s="28"/>
      <c r="BB3068" s="28">
        <v>18</v>
      </c>
      <c r="BC3068" s="229">
        <f t="shared" si="1247"/>
        <v>0</v>
      </c>
      <c r="BD3068" s="48">
        <f t="shared" si="1248"/>
        <v>60</v>
      </c>
      <c r="BE3068" s="19">
        <v>48</v>
      </c>
      <c r="BF3068" s="229">
        <f t="shared" si="1249"/>
        <v>0</v>
      </c>
      <c r="BG3068" s="210">
        <f t="shared" si="1250"/>
        <v>60</v>
      </c>
      <c r="BH3068" s="210">
        <f t="shared" si="1251"/>
        <v>48</v>
      </c>
      <c r="BI3068" s="213">
        <f t="shared" si="1252"/>
        <v>125</v>
      </c>
      <c r="BJ3068" s="141"/>
      <c r="BK3068" s="201"/>
      <c r="BL3068" s="4"/>
      <c r="BM3068" s="4"/>
    </row>
    <row r="3069" spans="1:65" s="38" customFormat="1" ht="18" customHeight="1">
      <c r="A3069" s="114">
        <v>58</v>
      </c>
      <c r="B3069" s="24" t="s">
        <v>1395</v>
      </c>
      <c r="C3069" s="25" t="s">
        <v>1404</v>
      </c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229">
        <f t="shared" si="1245"/>
        <v>0</v>
      </c>
      <c r="AC3069" s="228">
        <f t="shared" si="1246"/>
        <v>0</v>
      </c>
      <c r="AD3069" s="19">
        <v>0</v>
      </c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>
        <v>34</v>
      </c>
      <c r="AQ3069" s="28"/>
      <c r="AR3069" s="28"/>
      <c r="AS3069" s="28"/>
      <c r="AT3069" s="28"/>
      <c r="AU3069" s="28"/>
      <c r="AV3069" s="28">
        <v>28</v>
      </c>
      <c r="AW3069" s="28"/>
      <c r="AX3069" s="28"/>
      <c r="AY3069" s="28"/>
      <c r="AZ3069" s="28"/>
      <c r="BA3069" s="28"/>
      <c r="BB3069" s="28">
        <v>24</v>
      </c>
      <c r="BC3069" s="229">
        <f t="shared" si="1247"/>
        <v>0</v>
      </c>
      <c r="BD3069" s="48">
        <f t="shared" si="1248"/>
        <v>86</v>
      </c>
      <c r="BE3069" s="19">
        <v>98</v>
      </c>
      <c r="BF3069" s="229">
        <f t="shared" si="1249"/>
        <v>0</v>
      </c>
      <c r="BG3069" s="210">
        <f t="shared" si="1250"/>
        <v>86</v>
      </c>
      <c r="BH3069" s="210">
        <f t="shared" si="1251"/>
        <v>98</v>
      </c>
      <c r="BI3069" s="213">
        <f t="shared" si="1252"/>
        <v>87.755102040816325</v>
      </c>
      <c r="BJ3069" s="141"/>
      <c r="BK3069" s="201"/>
      <c r="BL3069" s="4"/>
      <c r="BM3069" s="4"/>
    </row>
    <row r="3070" spans="1:65" s="38" customFormat="1" ht="18" customHeight="1">
      <c r="A3070" s="114">
        <v>59</v>
      </c>
      <c r="B3070" s="24" t="s">
        <v>892</v>
      </c>
      <c r="C3070" s="25" t="s">
        <v>893</v>
      </c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229">
        <f t="shared" si="1245"/>
        <v>0</v>
      </c>
      <c r="AC3070" s="228">
        <f t="shared" si="1246"/>
        <v>0</v>
      </c>
      <c r="AD3070" s="19">
        <v>0</v>
      </c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>
        <v>3</v>
      </c>
      <c r="AQ3070" s="28"/>
      <c r="AR3070" s="28"/>
      <c r="AS3070" s="28"/>
      <c r="AT3070" s="28"/>
      <c r="AU3070" s="28"/>
      <c r="AV3070" s="28"/>
      <c r="AW3070" s="28"/>
      <c r="AX3070" s="28"/>
      <c r="AY3070" s="28"/>
      <c r="AZ3070" s="28"/>
      <c r="BA3070" s="28"/>
      <c r="BB3070" s="28"/>
      <c r="BC3070" s="229">
        <f t="shared" si="1247"/>
        <v>0</v>
      </c>
      <c r="BD3070" s="48">
        <f t="shared" si="1248"/>
        <v>3</v>
      </c>
      <c r="BE3070" s="19">
        <v>3</v>
      </c>
      <c r="BF3070" s="229">
        <f t="shared" si="1249"/>
        <v>0</v>
      </c>
      <c r="BG3070" s="210">
        <f t="shared" si="1250"/>
        <v>3</v>
      </c>
      <c r="BH3070" s="210">
        <f t="shared" si="1251"/>
        <v>3</v>
      </c>
      <c r="BI3070" s="213">
        <f t="shared" si="1252"/>
        <v>100</v>
      </c>
      <c r="BJ3070" s="141"/>
      <c r="BK3070" s="201"/>
      <c r="BL3070" s="4"/>
      <c r="BM3070" s="4"/>
    </row>
    <row r="3071" spans="1:65" s="38" customFormat="1" ht="18" customHeight="1">
      <c r="A3071" s="114">
        <v>60</v>
      </c>
      <c r="B3071" s="24" t="s">
        <v>651</v>
      </c>
      <c r="C3071" s="25" t="s">
        <v>1453</v>
      </c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229">
        <f t="shared" si="1245"/>
        <v>0</v>
      </c>
      <c r="AC3071" s="228">
        <f t="shared" si="1246"/>
        <v>0</v>
      </c>
      <c r="AD3071" s="19">
        <v>0</v>
      </c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  <c r="AZ3071" s="28"/>
      <c r="BA3071" s="28"/>
      <c r="BB3071" s="28"/>
      <c r="BC3071" s="229">
        <f t="shared" si="1247"/>
        <v>0</v>
      </c>
      <c r="BD3071" s="48">
        <f t="shared" si="1248"/>
        <v>0</v>
      </c>
      <c r="BE3071" s="19">
        <v>1</v>
      </c>
      <c r="BF3071" s="229">
        <f t="shared" si="1249"/>
        <v>0</v>
      </c>
      <c r="BG3071" s="210">
        <f t="shared" si="1250"/>
        <v>0</v>
      </c>
      <c r="BH3071" s="210">
        <f t="shared" si="1251"/>
        <v>1</v>
      </c>
      <c r="BI3071" s="213">
        <f t="shared" si="1252"/>
        <v>0</v>
      </c>
      <c r="BJ3071" s="141"/>
      <c r="BK3071" s="201"/>
      <c r="BL3071" s="4"/>
      <c r="BM3071" s="4"/>
    </row>
    <row r="3072" spans="1:65" s="38" customFormat="1" ht="18" customHeight="1">
      <c r="A3072" s="114">
        <v>61</v>
      </c>
      <c r="B3072" s="24" t="s">
        <v>814</v>
      </c>
      <c r="C3072" s="25" t="s">
        <v>815</v>
      </c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229">
        <f t="shared" si="1245"/>
        <v>0</v>
      </c>
      <c r="AC3072" s="228">
        <f t="shared" si="1246"/>
        <v>0</v>
      </c>
      <c r="AD3072" s="19">
        <v>0</v>
      </c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  <c r="AZ3072" s="28"/>
      <c r="BA3072" s="28"/>
      <c r="BB3072" s="28"/>
      <c r="BC3072" s="229">
        <f t="shared" si="1247"/>
        <v>0</v>
      </c>
      <c r="BD3072" s="48">
        <f t="shared" si="1248"/>
        <v>0</v>
      </c>
      <c r="BE3072" s="19">
        <v>1</v>
      </c>
      <c r="BF3072" s="229">
        <f t="shared" si="1249"/>
        <v>0</v>
      </c>
      <c r="BG3072" s="210">
        <f t="shared" si="1250"/>
        <v>0</v>
      </c>
      <c r="BH3072" s="210">
        <f t="shared" si="1251"/>
        <v>1</v>
      </c>
      <c r="BI3072" s="213">
        <f t="shared" si="1252"/>
        <v>0</v>
      </c>
      <c r="BJ3072" s="141"/>
      <c r="BK3072" s="201"/>
      <c r="BL3072" s="4"/>
      <c r="BM3072" s="4"/>
    </row>
    <row r="3073" spans="1:65" s="38" customFormat="1" ht="18" customHeight="1">
      <c r="A3073" s="114">
        <v>62</v>
      </c>
      <c r="B3073" s="24" t="s">
        <v>987</v>
      </c>
      <c r="C3073" s="25" t="s">
        <v>1394</v>
      </c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229">
        <f t="shared" si="1245"/>
        <v>0</v>
      </c>
      <c r="AC3073" s="228">
        <f t="shared" si="1246"/>
        <v>0</v>
      </c>
      <c r="AD3073" s="19">
        <v>0</v>
      </c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/>
      <c r="BC3073" s="229">
        <f t="shared" si="1247"/>
        <v>0</v>
      </c>
      <c r="BD3073" s="48">
        <f t="shared" si="1248"/>
        <v>0</v>
      </c>
      <c r="BE3073" s="19">
        <v>1</v>
      </c>
      <c r="BF3073" s="229">
        <f t="shared" si="1249"/>
        <v>0</v>
      </c>
      <c r="BG3073" s="210">
        <f t="shared" si="1250"/>
        <v>0</v>
      </c>
      <c r="BH3073" s="210">
        <f t="shared" si="1251"/>
        <v>1</v>
      </c>
      <c r="BI3073" s="213">
        <f t="shared" si="1252"/>
        <v>0</v>
      </c>
      <c r="BJ3073" s="141"/>
      <c r="BK3073" s="201"/>
      <c r="BL3073" s="4"/>
      <c r="BM3073" s="4"/>
    </row>
    <row r="3074" spans="1:65" s="38" customFormat="1" ht="18" customHeight="1">
      <c r="A3074" s="114">
        <v>63</v>
      </c>
      <c r="B3074" s="24" t="s">
        <v>703</v>
      </c>
      <c r="C3074" s="25" t="s">
        <v>774</v>
      </c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229">
        <f t="shared" si="1245"/>
        <v>0</v>
      </c>
      <c r="AC3074" s="228">
        <f t="shared" si="1246"/>
        <v>0</v>
      </c>
      <c r="AD3074" s="19">
        <v>0</v>
      </c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  <c r="AZ3074" s="28"/>
      <c r="BA3074" s="28"/>
      <c r="BB3074" s="28"/>
      <c r="BC3074" s="229">
        <f t="shared" si="1247"/>
        <v>0</v>
      </c>
      <c r="BD3074" s="48">
        <f t="shared" si="1248"/>
        <v>0</v>
      </c>
      <c r="BE3074" s="19">
        <v>1</v>
      </c>
      <c r="BF3074" s="229">
        <f t="shared" si="1249"/>
        <v>0</v>
      </c>
      <c r="BG3074" s="210">
        <f t="shared" si="1250"/>
        <v>0</v>
      </c>
      <c r="BH3074" s="210">
        <f t="shared" si="1251"/>
        <v>1</v>
      </c>
      <c r="BI3074" s="213">
        <f t="shared" si="1252"/>
        <v>0</v>
      </c>
      <c r="BJ3074" s="141"/>
      <c r="BK3074" s="201"/>
      <c r="BL3074" s="4"/>
      <c r="BM3074" s="4"/>
    </row>
    <row r="3075" spans="1:65" s="38" customFormat="1" ht="18" customHeight="1">
      <c r="A3075" s="114">
        <v>64</v>
      </c>
      <c r="B3075" s="24" t="s">
        <v>819</v>
      </c>
      <c r="C3075" s="25" t="s">
        <v>993</v>
      </c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229">
        <f t="shared" si="1245"/>
        <v>0</v>
      </c>
      <c r="AC3075" s="228">
        <f t="shared" si="1246"/>
        <v>0</v>
      </c>
      <c r="AD3075" s="19">
        <v>0</v>
      </c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29">
        <f t="shared" si="1247"/>
        <v>0</v>
      </c>
      <c r="BD3075" s="48">
        <f t="shared" si="1248"/>
        <v>0</v>
      </c>
      <c r="BE3075" s="19">
        <v>1</v>
      </c>
      <c r="BF3075" s="229">
        <f t="shared" si="1249"/>
        <v>0</v>
      </c>
      <c r="BG3075" s="210">
        <f t="shared" si="1250"/>
        <v>0</v>
      </c>
      <c r="BH3075" s="210">
        <f t="shared" si="1251"/>
        <v>1</v>
      </c>
      <c r="BI3075" s="213">
        <f t="shared" si="1252"/>
        <v>0</v>
      </c>
      <c r="BJ3075" s="141"/>
      <c r="BK3075" s="201"/>
      <c r="BL3075" s="4"/>
      <c r="BM3075" s="4"/>
    </row>
    <row r="3076" spans="1:65" s="38" customFormat="1" ht="18" customHeight="1">
      <c r="A3076" s="114">
        <v>65</v>
      </c>
      <c r="B3076" s="24" t="s">
        <v>730</v>
      </c>
      <c r="C3076" s="25" t="s">
        <v>731</v>
      </c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229">
        <f t="shared" ref="AB3076:AB3105" si="1253">D3076+F3076+H3076+J3076+L3076+N3076+P3076+R3076+T3076+V3076+X3076+Z3076</f>
        <v>0</v>
      </c>
      <c r="AC3076" s="228">
        <f t="shared" ref="AC3076:AC3105" si="1254">E3076+G3076+I3076+K3076+M3076+O3076+Q3076+S3076+U3076+W3076+Y3076+AA3076</f>
        <v>0</v>
      </c>
      <c r="AD3076" s="19">
        <v>0</v>
      </c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29">
        <f t="shared" ref="BC3076:BC3105" si="1255">AE3076+AG3076+AI3076+AK3076+AM3076+AO3076+AQ3076+AS3076+AU3076+AW3076+AY3076+BA3076</f>
        <v>0</v>
      </c>
      <c r="BD3076" s="48">
        <f t="shared" ref="BD3076:BD3105" si="1256">AF3076+AH3076+AJ3076+AL3076+AN3076+AP3076+AR3076+AT3076+AV3076+AX3076+AZ3076+BB3076</f>
        <v>0</v>
      </c>
      <c r="BE3076" s="19">
        <v>1</v>
      </c>
      <c r="BF3076" s="229">
        <f t="shared" ref="BF3076:BF3105" si="1257">AB3076+BC3076</f>
        <v>0</v>
      </c>
      <c r="BG3076" s="210">
        <f t="shared" ref="BG3076:BG3105" si="1258">AC3076+BD3076</f>
        <v>0</v>
      </c>
      <c r="BH3076" s="210">
        <f t="shared" ref="BH3076:BH3105" si="1259">AD3076+BE3076</f>
        <v>1</v>
      </c>
      <c r="BI3076" s="213">
        <f t="shared" ref="BI3076:BI3107" si="1260">BG3076/BH3076*100</f>
        <v>0</v>
      </c>
      <c r="BJ3076" s="141"/>
      <c r="BK3076" s="201"/>
      <c r="BL3076" s="4"/>
      <c r="BM3076" s="4"/>
    </row>
    <row r="3077" spans="1:65" s="38" customFormat="1" ht="18" customHeight="1">
      <c r="A3077" s="114">
        <v>66</v>
      </c>
      <c r="B3077" s="24" t="s">
        <v>732</v>
      </c>
      <c r="C3077" s="34" t="s">
        <v>733</v>
      </c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229">
        <f t="shared" si="1253"/>
        <v>0</v>
      </c>
      <c r="AC3077" s="228">
        <f t="shared" si="1254"/>
        <v>0</v>
      </c>
      <c r="AD3077" s="19">
        <v>0</v>
      </c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29">
        <f t="shared" si="1255"/>
        <v>0</v>
      </c>
      <c r="BD3077" s="48">
        <f t="shared" si="1256"/>
        <v>0</v>
      </c>
      <c r="BE3077" s="19">
        <v>1</v>
      </c>
      <c r="BF3077" s="229">
        <f t="shared" si="1257"/>
        <v>0</v>
      </c>
      <c r="BG3077" s="210">
        <f t="shared" si="1258"/>
        <v>0</v>
      </c>
      <c r="BH3077" s="210">
        <f t="shared" si="1259"/>
        <v>1</v>
      </c>
      <c r="BI3077" s="213">
        <f t="shared" si="1260"/>
        <v>0</v>
      </c>
      <c r="BJ3077" s="141"/>
      <c r="BK3077" s="201"/>
      <c r="BL3077" s="4"/>
      <c r="BM3077" s="4"/>
    </row>
    <row r="3078" spans="1:65" s="38" customFormat="1" ht="18" customHeight="1">
      <c r="A3078" s="114">
        <v>67</v>
      </c>
      <c r="B3078" s="24" t="s">
        <v>739</v>
      </c>
      <c r="C3078" s="25" t="s">
        <v>820</v>
      </c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229">
        <f t="shared" si="1253"/>
        <v>0</v>
      </c>
      <c r="AC3078" s="228">
        <f t="shared" si="1254"/>
        <v>0</v>
      </c>
      <c r="AD3078" s="19">
        <v>0</v>
      </c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  <c r="AZ3078" s="28"/>
      <c r="BA3078" s="28"/>
      <c r="BB3078" s="28"/>
      <c r="BC3078" s="229">
        <f t="shared" si="1255"/>
        <v>0</v>
      </c>
      <c r="BD3078" s="48">
        <f t="shared" si="1256"/>
        <v>0</v>
      </c>
      <c r="BE3078" s="19">
        <v>1</v>
      </c>
      <c r="BF3078" s="229">
        <f t="shared" si="1257"/>
        <v>0</v>
      </c>
      <c r="BG3078" s="210">
        <f t="shared" si="1258"/>
        <v>0</v>
      </c>
      <c r="BH3078" s="210">
        <f t="shared" si="1259"/>
        <v>1</v>
      </c>
      <c r="BI3078" s="213">
        <f t="shared" si="1260"/>
        <v>0</v>
      </c>
      <c r="BJ3078" s="141"/>
      <c r="BK3078" s="201"/>
      <c r="BL3078" s="4"/>
      <c r="BM3078" s="4"/>
    </row>
    <row r="3079" spans="1:65" s="38" customFormat="1" ht="18" customHeight="1">
      <c r="A3079" s="114">
        <v>68</v>
      </c>
      <c r="B3079" s="24" t="s">
        <v>797</v>
      </c>
      <c r="C3079" s="25" t="s">
        <v>798</v>
      </c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229">
        <f t="shared" si="1253"/>
        <v>0</v>
      </c>
      <c r="AC3079" s="228">
        <f t="shared" si="1254"/>
        <v>0</v>
      </c>
      <c r="AD3079" s="19">
        <v>3</v>
      </c>
      <c r="AE3079" s="28"/>
      <c r="AF3079" s="28"/>
      <c r="AG3079" s="28"/>
      <c r="AH3079" s="28"/>
      <c r="AI3079" s="28"/>
      <c r="AJ3079" s="28">
        <f>4+34</f>
        <v>38</v>
      </c>
      <c r="AK3079" s="28"/>
      <c r="AL3079" s="28"/>
      <c r="AM3079" s="28"/>
      <c r="AN3079" s="28"/>
      <c r="AO3079" s="28"/>
      <c r="AP3079" s="28">
        <v>15</v>
      </c>
      <c r="AQ3079" s="28"/>
      <c r="AR3079" s="28"/>
      <c r="AS3079" s="28"/>
      <c r="AT3079" s="28"/>
      <c r="AU3079" s="28"/>
      <c r="AV3079" s="28">
        <f>9+36</f>
        <v>45</v>
      </c>
      <c r="AW3079" s="28"/>
      <c r="AX3079" s="28"/>
      <c r="AY3079" s="28"/>
      <c r="AZ3079" s="28"/>
      <c r="BA3079" s="28"/>
      <c r="BB3079" s="28">
        <f>11+35</f>
        <v>46</v>
      </c>
      <c r="BC3079" s="229">
        <f t="shared" si="1255"/>
        <v>0</v>
      </c>
      <c r="BD3079" s="48">
        <f t="shared" si="1256"/>
        <v>144</v>
      </c>
      <c r="BE3079" s="19">
        <v>136</v>
      </c>
      <c r="BF3079" s="229">
        <f t="shared" si="1257"/>
        <v>0</v>
      </c>
      <c r="BG3079" s="210">
        <f t="shared" si="1258"/>
        <v>144</v>
      </c>
      <c r="BH3079" s="210">
        <f t="shared" si="1259"/>
        <v>139</v>
      </c>
      <c r="BI3079" s="213">
        <f t="shared" si="1260"/>
        <v>103.59712230215827</v>
      </c>
      <c r="BJ3079" s="141"/>
      <c r="BK3079" s="201"/>
      <c r="BL3079" s="4"/>
      <c r="BM3079" s="4"/>
    </row>
    <row r="3080" spans="1:65" s="38" customFormat="1" ht="18" customHeight="1">
      <c r="A3080" s="114">
        <v>69</v>
      </c>
      <c r="B3080" s="24" t="s">
        <v>653</v>
      </c>
      <c r="C3080" s="25" t="s">
        <v>2725</v>
      </c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>
        <v>1</v>
      </c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>
        <v>2</v>
      </c>
      <c r="AB3080" s="229">
        <f t="shared" si="1253"/>
        <v>0</v>
      </c>
      <c r="AC3080" s="228">
        <f t="shared" si="1254"/>
        <v>3</v>
      </c>
      <c r="AD3080" s="19">
        <v>0</v>
      </c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>
        <v>43</v>
      </c>
      <c r="AQ3080" s="28"/>
      <c r="AR3080" s="28"/>
      <c r="AS3080" s="28"/>
      <c r="AT3080" s="28"/>
      <c r="AU3080" s="28"/>
      <c r="AV3080" s="28">
        <v>45</v>
      </c>
      <c r="AW3080" s="28"/>
      <c r="AX3080" s="28"/>
      <c r="AY3080" s="28"/>
      <c r="AZ3080" s="28"/>
      <c r="BA3080" s="28"/>
      <c r="BB3080" s="28">
        <f>36+2</f>
        <v>38</v>
      </c>
      <c r="BC3080" s="229">
        <f t="shared" si="1255"/>
        <v>0</v>
      </c>
      <c r="BD3080" s="48">
        <f t="shared" si="1256"/>
        <v>126</v>
      </c>
      <c r="BE3080" s="19">
        <v>44</v>
      </c>
      <c r="BF3080" s="229">
        <f t="shared" si="1257"/>
        <v>0</v>
      </c>
      <c r="BG3080" s="210">
        <f t="shared" si="1258"/>
        <v>129</v>
      </c>
      <c r="BH3080" s="210">
        <f t="shared" si="1259"/>
        <v>44</v>
      </c>
      <c r="BI3080" s="213">
        <f t="shared" si="1260"/>
        <v>293.18181818181819</v>
      </c>
      <c r="BJ3080" s="141"/>
      <c r="BK3080" s="201"/>
      <c r="BL3080" s="4"/>
      <c r="BM3080" s="4"/>
    </row>
    <row r="3081" spans="1:65" s="38" customFormat="1" ht="18" customHeight="1">
      <c r="A3081" s="114">
        <v>70</v>
      </c>
      <c r="B3081" s="24" t="s">
        <v>655</v>
      </c>
      <c r="C3081" s="25" t="s">
        <v>997</v>
      </c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229">
        <f t="shared" si="1253"/>
        <v>0</v>
      </c>
      <c r="AC3081" s="228">
        <f t="shared" si="1254"/>
        <v>0</v>
      </c>
      <c r="AD3081" s="19">
        <v>0</v>
      </c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  <c r="AZ3081" s="28"/>
      <c r="BA3081" s="28"/>
      <c r="BB3081" s="28"/>
      <c r="BC3081" s="229">
        <f t="shared" si="1255"/>
        <v>0</v>
      </c>
      <c r="BD3081" s="48">
        <f t="shared" si="1256"/>
        <v>0</v>
      </c>
      <c r="BE3081" s="19">
        <v>1</v>
      </c>
      <c r="BF3081" s="229">
        <f t="shared" si="1257"/>
        <v>0</v>
      </c>
      <c r="BG3081" s="210">
        <f t="shared" si="1258"/>
        <v>0</v>
      </c>
      <c r="BH3081" s="210">
        <f t="shared" si="1259"/>
        <v>1</v>
      </c>
      <c r="BI3081" s="213">
        <f t="shared" si="1260"/>
        <v>0</v>
      </c>
      <c r="BJ3081" s="141"/>
      <c r="BK3081" s="201"/>
      <c r="BL3081" s="4"/>
      <c r="BM3081" s="4"/>
    </row>
    <row r="3082" spans="1:65" s="38" customFormat="1" ht="18" customHeight="1">
      <c r="A3082" s="114">
        <v>71</v>
      </c>
      <c r="B3082" s="24" t="s">
        <v>822</v>
      </c>
      <c r="C3082" s="25" t="s">
        <v>823</v>
      </c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229">
        <f t="shared" si="1253"/>
        <v>0</v>
      </c>
      <c r="AC3082" s="228">
        <f t="shared" si="1254"/>
        <v>0</v>
      </c>
      <c r="AD3082" s="19">
        <v>0</v>
      </c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29">
        <f t="shared" si="1255"/>
        <v>0</v>
      </c>
      <c r="BD3082" s="48">
        <f t="shared" si="1256"/>
        <v>0</v>
      </c>
      <c r="BE3082" s="19">
        <v>1</v>
      </c>
      <c r="BF3082" s="229">
        <f t="shared" si="1257"/>
        <v>0</v>
      </c>
      <c r="BG3082" s="210">
        <f t="shared" si="1258"/>
        <v>0</v>
      </c>
      <c r="BH3082" s="210">
        <f t="shared" si="1259"/>
        <v>1</v>
      </c>
      <c r="BI3082" s="213">
        <f t="shared" si="1260"/>
        <v>0</v>
      </c>
      <c r="BJ3082" s="141"/>
      <c r="BK3082" s="201"/>
      <c r="BL3082" s="4"/>
      <c r="BM3082" s="4"/>
    </row>
    <row r="3083" spans="1:65" s="38" customFormat="1" ht="18" customHeight="1">
      <c r="A3083" s="114">
        <v>72</v>
      </c>
      <c r="B3083" s="24" t="s">
        <v>776</v>
      </c>
      <c r="C3083" s="25" t="s">
        <v>777</v>
      </c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229">
        <f t="shared" si="1253"/>
        <v>0</v>
      </c>
      <c r="AC3083" s="228">
        <f t="shared" si="1254"/>
        <v>0</v>
      </c>
      <c r="AD3083" s="19">
        <v>0</v>
      </c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29">
        <f t="shared" si="1255"/>
        <v>0</v>
      </c>
      <c r="BD3083" s="48">
        <f t="shared" si="1256"/>
        <v>0</v>
      </c>
      <c r="BE3083" s="19">
        <v>2</v>
      </c>
      <c r="BF3083" s="229">
        <f t="shared" si="1257"/>
        <v>0</v>
      </c>
      <c r="BG3083" s="210">
        <f t="shared" si="1258"/>
        <v>0</v>
      </c>
      <c r="BH3083" s="210">
        <f t="shared" si="1259"/>
        <v>2</v>
      </c>
      <c r="BI3083" s="213">
        <f t="shared" si="1260"/>
        <v>0</v>
      </c>
      <c r="BJ3083" s="141"/>
      <c r="BK3083" s="201"/>
      <c r="BL3083" s="4"/>
      <c r="BM3083" s="4"/>
    </row>
    <row r="3084" spans="1:65" s="38" customFormat="1" ht="21.95" customHeight="1">
      <c r="A3084" s="114">
        <v>73</v>
      </c>
      <c r="B3084" s="24" t="s">
        <v>900</v>
      </c>
      <c r="C3084" s="27" t="s">
        <v>2714</v>
      </c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>
        <v>3</v>
      </c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229">
        <f t="shared" si="1253"/>
        <v>0</v>
      </c>
      <c r="AC3084" s="228">
        <f t="shared" si="1254"/>
        <v>3</v>
      </c>
      <c r="AD3084" s="19">
        <v>0</v>
      </c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>
        <v>5</v>
      </c>
      <c r="AQ3084" s="28"/>
      <c r="AR3084" s="28"/>
      <c r="AS3084" s="28"/>
      <c r="AT3084" s="28"/>
      <c r="AU3084" s="28"/>
      <c r="AV3084" s="28">
        <v>12</v>
      </c>
      <c r="AW3084" s="28"/>
      <c r="AX3084" s="28"/>
      <c r="AY3084" s="28"/>
      <c r="AZ3084" s="28"/>
      <c r="BA3084" s="28"/>
      <c r="BB3084" s="28">
        <v>7</v>
      </c>
      <c r="BC3084" s="229">
        <f t="shared" si="1255"/>
        <v>0</v>
      </c>
      <c r="BD3084" s="48">
        <f t="shared" si="1256"/>
        <v>24</v>
      </c>
      <c r="BE3084" s="19">
        <v>4</v>
      </c>
      <c r="BF3084" s="229">
        <f t="shared" si="1257"/>
        <v>0</v>
      </c>
      <c r="BG3084" s="210">
        <f t="shared" si="1258"/>
        <v>27</v>
      </c>
      <c r="BH3084" s="210">
        <f t="shared" si="1259"/>
        <v>4</v>
      </c>
      <c r="BI3084" s="213">
        <f t="shared" si="1260"/>
        <v>675</v>
      </c>
      <c r="BJ3084" s="141"/>
      <c r="BK3084" s="201"/>
      <c r="BL3084" s="4"/>
      <c r="BM3084" s="4"/>
    </row>
    <row r="3085" spans="1:65" s="38" customFormat="1" ht="21.95" customHeight="1">
      <c r="A3085" s="114">
        <v>74</v>
      </c>
      <c r="B3085" s="24" t="s">
        <v>799</v>
      </c>
      <c r="C3085" s="27" t="s">
        <v>1860</v>
      </c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229">
        <f t="shared" si="1253"/>
        <v>0</v>
      </c>
      <c r="AC3085" s="228">
        <f t="shared" si="1254"/>
        <v>0</v>
      </c>
      <c r="AD3085" s="19">
        <v>0</v>
      </c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29">
        <f t="shared" si="1255"/>
        <v>0</v>
      </c>
      <c r="BD3085" s="48">
        <f t="shared" si="1256"/>
        <v>0</v>
      </c>
      <c r="BE3085" s="19">
        <v>68</v>
      </c>
      <c r="BF3085" s="229">
        <f t="shared" si="1257"/>
        <v>0</v>
      </c>
      <c r="BG3085" s="210">
        <f t="shared" si="1258"/>
        <v>0</v>
      </c>
      <c r="BH3085" s="210">
        <f t="shared" si="1259"/>
        <v>68</v>
      </c>
      <c r="BI3085" s="213">
        <f t="shared" si="1260"/>
        <v>0</v>
      </c>
      <c r="BJ3085" s="141"/>
      <c r="BK3085" s="201"/>
      <c r="BL3085" s="4"/>
      <c r="BM3085" s="4"/>
    </row>
    <row r="3086" spans="1:65" s="38" customFormat="1" ht="18" customHeight="1">
      <c r="A3086" s="114">
        <v>75</v>
      </c>
      <c r="B3086" s="24" t="s">
        <v>800</v>
      </c>
      <c r="C3086" s="25" t="s">
        <v>801</v>
      </c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229">
        <f t="shared" si="1253"/>
        <v>0</v>
      </c>
      <c r="AC3086" s="228">
        <f t="shared" si="1254"/>
        <v>0</v>
      </c>
      <c r="AD3086" s="19">
        <v>0</v>
      </c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>
        <v>13</v>
      </c>
      <c r="AQ3086" s="28"/>
      <c r="AR3086" s="28"/>
      <c r="AS3086" s="28"/>
      <c r="AT3086" s="28"/>
      <c r="AU3086" s="28"/>
      <c r="AV3086" s="28">
        <v>39</v>
      </c>
      <c r="AW3086" s="28"/>
      <c r="AX3086" s="28"/>
      <c r="AY3086" s="28"/>
      <c r="AZ3086" s="28"/>
      <c r="BA3086" s="28"/>
      <c r="BB3086" s="28">
        <v>64</v>
      </c>
      <c r="BC3086" s="229">
        <f t="shared" si="1255"/>
        <v>0</v>
      </c>
      <c r="BD3086" s="48">
        <f t="shared" si="1256"/>
        <v>116</v>
      </c>
      <c r="BE3086" s="19">
        <v>142</v>
      </c>
      <c r="BF3086" s="229">
        <f t="shared" si="1257"/>
        <v>0</v>
      </c>
      <c r="BG3086" s="210">
        <f t="shared" si="1258"/>
        <v>116</v>
      </c>
      <c r="BH3086" s="210">
        <f t="shared" si="1259"/>
        <v>142</v>
      </c>
      <c r="BI3086" s="213">
        <f t="shared" si="1260"/>
        <v>81.690140845070431</v>
      </c>
      <c r="BJ3086" s="141"/>
      <c r="BK3086" s="201"/>
      <c r="BL3086" s="4"/>
      <c r="BM3086" s="4"/>
    </row>
    <row r="3087" spans="1:65" s="38" customFormat="1" ht="18" customHeight="1">
      <c r="A3087" s="114">
        <v>76</v>
      </c>
      <c r="B3087" s="24" t="s">
        <v>902</v>
      </c>
      <c r="C3087" s="25" t="s">
        <v>660</v>
      </c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229">
        <f t="shared" si="1253"/>
        <v>0</v>
      </c>
      <c r="AC3087" s="228">
        <f t="shared" si="1254"/>
        <v>0</v>
      </c>
      <c r="AD3087" s="19">
        <v>0</v>
      </c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29">
        <f t="shared" si="1255"/>
        <v>0</v>
      </c>
      <c r="BD3087" s="48">
        <f t="shared" si="1256"/>
        <v>0</v>
      </c>
      <c r="BE3087" s="19">
        <v>4</v>
      </c>
      <c r="BF3087" s="229">
        <f t="shared" si="1257"/>
        <v>0</v>
      </c>
      <c r="BG3087" s="210">
        <f t="shared" si="1258"/>
        <v>0</v>
      </c>
      <c r="BH3087" s="210">
        <f t="shared" si="1259"/>
        <v>4</v>
      </c>
      <c r="BI3087" s="213">
        <f t="shared" si="1260"/>
        <v>0</v>
      </c>
      <c r="BJ3087" s="141"/>
      <c r="BK3087" s="201"/>
      <c r="BL3087" s="4"/>
      <c r="BM3087" s="4"/>
    </row>
    <row r="3088" spans="1:65" s="38" customFormat="1" ht="21.95" customHeight="1">
      <c r="A3088" s="114">
        <v>77</v>
      </c>
      <c r="B3088" s="24" t="s">
        <v>657</v>
      </c>
      <c r="C3088" s="27" t="s">
        <v>1401</v>
      </c>
      <c r="D3088" s="121"/>
      <c r="E3088" s="121"/>
      <c r="F3088" s="121"/>
      <c r="G3088" s="121"/>
      <c r="H3088" s="121"/>
      <c r="I3088" s="121">
        <v>2</v>
      </c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>
        <v>6</v>
      </c>
      <c r="AB3088" s="229">
        <f t="shared" si="1253"/>
        <v>0</v>
      </c>
      <c r="AC3088" s="228">
        <f t="shared" si="1254"/>
        <v>8</v>
      </c>
      <c r="AD3088" s="19">
        <v>17</v>
      </c>
      <c r="AE3088" s="28"/>
      <c r="AF3088" s="28"/>
      <c r="AG3088" s="28"/>
      <c r="AH3088" s="28"/>
      <c r="AI3088" s="28"/>
      <c r="AJ3088" s="28">
        <f>84+16+81</f>
        <v>181</v>
      </c>
      <c r="AK3088" s="28"/>
      <c r="AL3088" s="28"/>
      <c r="AM3088" s="28"/>
      <c r="AN3088" s="28"/>
      <c r="AO3088" s="28"/>
      <c r="AP3088" s="28">
        <f>1+54+27+71</f>
        <v>153</v>
      </c>
      <c r="AQ3088" s="28"/>
      <c r="AR3088" s="28"/>
      <c r="AS3088" s="28"/>
      <c r="AT3088" s="28"/>
      <c r="AU3088" s="28"/>
      <c r="AV3088" s="28">
        <f>3+103+10+99</f>
        <v>215</v>
      </c>
      <c r="AW3088" s="28"/>
      <c r="AX3088" s="28"/>
      <c r="AY3088" s="28"/>
      <c r="AZ3088" s="28"/>
      <c r="BA3088" s="28"/>
      <c r="BB3088" s="28">
        <f>105+14+155</f>
        <v>274</v>
      </c>
      <c r="BC3088" s="229">
        <f t="shared" si="1255"/>
        <v>0</v>
      </c>
      <c r="BD3088" s="48">
        <f t="shared" si="1256"/>
        <v>823</v>
      </c>
      <c r="BE3088" s="19">
        <v>1842</v>
      </c>
      <c r="BF3088" s="229">
        <f t="shared" si="1257"/>
        <v>0</v>
      </c>
      <c r="BG3088" s="210">
        <f t="shared" si="1258"/>
        <v>831</v>
      </c>
      <c r="BH3088" s="210">
        <f t="shared" si="1259"/>
        <v>1859</v>
      </c>
      <c r="BI3088" s="213">
        <f t="shared" si="1260"/>
        <v>44.701452393760086</v>
      </c>
      <c r="BJ3088" s="141"/>
      <c r="BK3088" s="201"/>
      <c r="BL3088" s="4"/>
      <c r="BM3088" s="4"/>
    </row>
    <row r="3089" spans="1:65" s="38" customFormat="1" ht="21.95" customHeight="1">
      <c r="A3089" s="114">
        <v>78</v>
      </c>
      <c r="B3089" s="24" t="s">
        <v>742</v>
      </c>
      <c r="C3089" s="27" t="s">
        <v>778</v>
      </c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229">
        <f t="shared" si="1253"/>
        <v>0</v>
      </c>
      <c r="AC3089" s="228">
        <f t="shared" si="1254"/>
        <v>0</v>
      </c>
      <c r="AD3089" s="19">
        <v>0</v>
      </c>
      <c r="AE3089" s="28"/>
      <c r="AF3089" s="28"/>
      <c r="AG3089" s="28"/>
      <c r="AH3089" s="28"/>
      <c r="AI3089" s="28"/>
      <c r="AJ3089" s="28">
        <f>910+1+307</f>
        <v>1218</v>
      </c>
      <c r="AK3089" s="28"/>
      <c r="AL3089" s="28"/>
      <c r="AM3089" s="28"/>
      <c r="AN3089" s="28"/>
      <c r="AO3089" s="28"/>
      <c r="AP3089" s="28">
        <f>1002+388</f>
        <v>1390</v>
      </c>
      <c r="AQ3089" s="28"/>
      <c r="AR3089" s="28"/>
      <c r="AS3089" s="28"/>
      <c r="AT3089" s="28"/>
      <c r="AU3089" s="28"/>
      <c r="AV3089" s="28">
        <f>1130+3+454</f>
        <v>1587</v>
      </c>
      <c r="AW3089" s="28"/>
      <c r="AX3089" s="28"/>
      <c r="AY3089" s="28"/>
      <c r="AZ3089" s="28"/>
      <c r="BA3089" s="28"/>
      <c r="BB3089" s="28">
        <f>982+1+436</f>
        <v>1419</v>
      </c>
      <c r="BC3089" s="229">
        <f t="shared" si="1255"/>
        <v>0</v>
      </c>
      <c r="BD3089" s="48">
        <f t="shared" si="1256"/>
        <v>5614</v>
      </c>
      <c r="BE3089" s="19">
        <v>4648</v>
      </c>
      <c r="BF3089" s="229">
        <f t="shared" si="1257"/>
        <v>0</v>
      </c>
      <c r="BG3089" s="210">
        <f t="shared" si="1258"/>
        <v>5614</v>
      </c>
      <c r="BH3089" s="210">
        <f t="shared" si="1259"/>
        <v>4648</v>
      </c>
      <c r="BI3089" s="213">
        <f t="shared" si="1260"/>
        <v>120.78313253012047</v>
      </c>
      <c r="BJ3089" s="141"/>
      <c r="BK3089" s="201"/>
      <c r="BL3089" s="4"/>
      <c r="BM3089" s="4"/>
    </row>
    <row r="3090" spans="1:65" s="38" customFormat="1" ht="21.95" customHeight="1">
      <c r="A3090" s="114">
        <v>79</v>
      </c>
      <c r="B3090" s="24" t="s">
        <v>802</v>
      </c>
      <c r="C3090" s="25" t="s">
        <v>803</v>
      </c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229">
        <f t="shared" si="1253"/>
        <v>0</v>
      </c>
      <c r="AC3090" s="228">
        <f t="shared" si="1254"/>
        <v>0</v>
      </c>
      <c r="AD3090" s="19">
        <v>0</v>
      </c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29">
        <f t="shared" si="1255"/>
        <v>0</v>
      </c>
      <c r="BD3090" s="48">
        <f t="shared" si="1256"/>
        <v>0</v>
      </c>
      <c r="BE3090" s="19">
        <v>12</v>
      </c>
      <c r="BF3090" s="229">
        <f t="shared" si="1257"/>
        <v>0</v>
      </c>
      <c r="BG3090" s="210">
        <f t="shared" si="1258"/>
        <v>0</v>
      </c>
      <c r="BH3090" s="210">
        <f t="shared" si="1259"/>
        <v>12</v>
      </c>
      <c r="BI3090" s="213">
        <f t="shared" si="1260"/>
        <v>0</v>
      </c>
      <c r="BJ3090" s="141"/>
      <c r="BK3090" s="201"/>
      <c r="BL3090" s="4"/>
      <c r="BM3090" s="4"/>
    </row>
    <row r="3091" spans="1:65" s="38" customFormat="1" ht="21.95" customHeight="1">
      <c r="A3091" s="114">
        <v>80</v>
      </c>
      <c r="B3091" s="24" t="s">
        <v>658</v>
      </c>
      <c r="C3091" s="25" t="s">
        <v>779</v>
      </c>
      <c r="D3091" s="121"/>
      <c r="E3091" s="121"/>
      <c r="F3091" s="121"/>
      <c r="G3091" s="121"/>
      <c r="H3091" s="121"/>
      <c r="I3091" s="121">
        <v>1</v>
      </c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229">
        <f t="shared" si="1253"/>
        <v>0</v>
      </c>
      <c r="AC3091" s="228">
        <f t="shared" si="1254"/>
        <v>1</v>
      </c>
      <c r="AD3091" s="19">
        <v>4</v>
      </c>
      <c r="AE3091" s="28"/>
      <c r="AF3091" s="28"/>
      <c r="AG3091" s="28"/>
      <c r="AH3091" s="28"/>
      <c r="AI3091" s="28"/>
      <c r="AJ3091" s="28">
        <f>90+175+11</f>
        <v>276</v>
      </c>
      <c r="AK3091" s="28"/>
      <c r="AL3091" s="28"/>
      <c r="AM3091" s="28"/>
      <c r="AN3091" s="28"/>
      <c r="AO3091" s="28"/>
      <c r="AP3091" s="28">
        <f>84+199</f>
        <v>283</v>
      </c>
      <c r="AQ3091" s="28"/>
      <c r="AR3091" s="28"/>
      <c r="AS3091" s="28"/>
      <c r="AT3091" s="28"/>
      <c r="AU3091" s="28"/>
      <c r="AV3091" s="28">
        <f>107+265</f>
        <v>372</v>
      </c>
      <c r="AW3091" s="28"/>
      <c r="AX3091" s="28"/>
      <c r="AY3091" s="28"/>
      <c r="AZ3091" s="28"/>
      <c r="BA3091" s="28"/>
      <c r="BB3091" s="28">
        <f>133+127+4</f>
        <v>264</v>
      </c>
      <c r="BC3091" s="229">
        <f t="shared" si="1255"/>
        <v>0</v>
      </c>
      <c r="BD3091" s="48">
        <f t="shared" si="1256"/>
        <v>1195</v>
      </c>
      <c r="BE3091" s="19">
        <v>1273</v>
      </c>
      <c r="BF3091" s="229">
        <f t="shared" si="1257"/>
        <v>0</v>
      </c>
      <c r="BG3091" s="210">
        <f t="shared" si="1258"/>
        <v>1196</v>
      </c>
      <c r="BH3091" s="210">
        <f t="shared" si="1259"/>
        <v>1277</v>
      </c>
      <c r="BI3091" s="213">
        <f t="shared" si="1260"/>
        <v>93.657008613938913</v>
      </c>
      <c r="BJ3091" s="141"/>
      <c r="BK3091" s="201"/>
      <c r="BL3091" s="4"/>
      <c r="BM3091" s="4"/>
    </row>
    <row r="3092" spans="1:65" s="38" customFormat="1" ht="18" customHeight="1">
      <c r="A3092" s="114">
        <v>81</v>
      </c>
      <c r="B3092" s="24" t="s">
        <v>780</v>
      </c>
      <c r="C3092" s="25" t="s">
        <v>781</v>
      </c>
      <c r="D3092" s="121"/>
      <c r="E3092" s="121"/>
      <c r="F3092" s="121"/>
      <c r="G3092" s="121"/>
      <c r="H3092" s="121"/>
      <c r="I3092" s="121">
        <v>92</v>
      </c>
      <c r="J3092" s="121"/>
      <c r="K3092" s="121"/>
      <c r="L3092" s="121"/>
      <c r="M3092" s="121"/>
      <c r="N3092" s="121"/>
      <c r="O3092" s="121">
        <v>44</v>
      </c>
      <c r="P3092" s="121"/>
      <c r="Q3092" s="121"/>
      <c r="R3092" s="121"/>
      <c r="S3092" s="121"/>
      <c r="T3092" s="121"/>
      <c r="U3092" s="121">
        <v>49</v>
      </c>
      <c r="V3092" s="121"/>
      <c r="W3092" s="121"/>
      <c r="X3092" s="121"/>
      <c r="Y3092" s="121"/>
      <c r="Z3092" s="121"/>
      <c r="AA3092" s="121">
        <v>70</v>
      </c>
      <c r="AB3092" s="229">
        <f t="shared" si="1253"/>
        <v>0</v>
      </c>
      <c r="AC3092" s="228">
        <f t="shared" si="1254"/>
        <v>255</v>
      </c>
      <c r="AD3092" s="19">
        <v>182</v>
      </c>
      <c r="AE3092" s="28"/>
      <c r="AF3092" s="28"/>
      <c r="AG3092" s="28"/>
      <c r="AH3092" s="28"/>
      <c r="AI3092" s="28"/>
      <c r="AJ3092" s="28">
        <f>972+212+305</f>
        <v>1489</v>
      </c>
      <c r="AK3092" s="28"/>
      <c r="AL3092" s="28"/>
      <c r="AM3092" s="28"/>
      <c r="AN3092" s="28"/>
      <c r="AO3092" s="28"/>
      <c r="AP3092" s="28">
        <f>1024+206+309</f>
        <v>1539</v>
      </c>
      <c r="AQ3092" s="28"/>
      <c r="AR3092" s="28"/>
      <c r="AS3092" s="28"/>
      <c r="AT3092" s="28"/>
      <c r="AU3092" s="28"/>
      <c r="AV3092" s="28">
        <f>1253+234+361</f>
        <v>1848</v>
      </c>
      <c r="AW3092" s="28"/>
      <c r="AX3092" s="28"/>
      <c r="AY3092" s="28"/>
      <c r="AZ3092" s="28"/>
      <c r="BA3092" s="28"/>
      <c r="BB3092" s="28">
        <f>1257+218+353+4</f>
        <v>1832</v>
      </c>
      <c r="BC3092" s="229">
        <f t="shared" si="1255"/>
        <v>0</v>
      </c>
      <c r="BD3092" s="48">
        <f t="shared" si="1256"/>
        <v>6708</v>
      </c>
      <c r="BE3092" s="19">
        <v>6042</v>
      </c>
      <c r="BF3092" s="229">
        <f t="shared" si="1257"/>
        <v>0</v>
      </c>
      <c r="BG3092" s="210">
        <f t="shared" si="1258"/>
        <v>6963</v>
      </c>
      <c r="BH3092" s="210">
        <f t="shared" si="1259"/>
        <v>6224</v>
      </c>
      <c r="BI3092" s="213">
        <f t="shared" si="1260"/>
        <v>111.87339331619538</v>
      </c>
      <c r="BJ3092" s="141"/>
      <c r="BK3092" s="201"/>
      <c r="BL3092" s="4"/>
      <c r="BM3092" s="4"/>
    </row>
    <row r="3093" spans="1:65" s="38" customFormat="1" ht="18" customHeight="1">
      <c r="A3093" s="114">
        <v>82</v>
      </c>
      <c r="B3093" s="24" t="s">
        <v>804</v>
      </c>
      <c r="C3093" s="25" t="s">
        <v>1386</v>
      </c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229">
        <f t="shared" si="1253"/>
        <v>0</v>
      </c>
      <c r="AC3093" s="228">
        <f t="shared" si="1254"/>
        <v>0</v>
      </c>
      <c r="AD3093" s="19">
        <v>0</v>
      </c>
      <c r="AE3093" s="28"/>
      <c r="AF3093" s="28"/>
      <c r="AG3093" s="28"/>
      <c r="AH3093" s="28"/>
      <c r="AI3093" s="28"/>
      <c r="AJ3093" s="28">
        <f>2+6</f>
        <v>8</v>
      </c>
      <c r="AK3093" s="28"/>
      <c r="AL3093" s="28"/>
      <c r="AM3093" s="28"/>
      <c r="AN3093" s="28"/>
      <c r="AO3093" s="28"/>
      <c r="AP3093" s="28">
        <f>5+4+2</f>
        <v>11</v>
      </c>
      <c r="AQ3093" s="28"/>
      <c r="AR3093" s="28"/>
      <c r="AS3093" s="28"/>
      <c r="AT3093" s="28"/>
      <c r="AU3093" s="28"/>
      <c r="AV3093" s="28">
        <f>11+3</f>
        <v>14</v>
      </c>
      <c r="AW3093" s="28"/>
      <c r="AX3093" s="28"/>
      <c r="AY3093" s="28"/>
      <c r="AZ3093" s="28"/>
      <c r="BA3093" s="28"/>
      <c r="BB3093" s="28">
        <f>3+4</f>
        <v>7</v>
      </c>
      <c r="BC3093" s="229">
        <f t="shared" si="1255"/>
        <v>0</v>
      </c>
      <c r="BD3093" s="48">
        <f t="shared" si="1256"/>
        <v>40</v>
      </c>
      <c r="BE3093" s="19">
        <v>32</v>
      </c>
      <c r="BF3093" s="229">
        <f t="shared" si="1257"/>
        <v>0</v>
      </c>
      <c r="BG3093" s="210">
        <f t="shared" si="1258"/>
        <v>40</v>
      </c>
      <c r="BH3093" s="210">
        <f t="shared" si="1259"/>
        <v>32</v>
      </c>
      <c r="BI3093" s="213">
        <f t="shared" si="1260"/>
        <v>125</v>
      </c>
      <c r="BJ3093" s="141"/>
      <c r="BK3093" s="201"/>
      <c r="BL3093" s="4"/>
      <c r="BM3093" s="4"/>
    </row>
    <row r="3094" spans="1:65" s="38" customFormat="1" ht="18" customHeight="1">
      <c r="A3094" s="114">
        <v>83</v>
      </c>
      <c r="B3094" s="24" t="s">
        <v>903</v>
      </c>
      <c r="C3094" s="25" t="s">
        <v>1165</v>
      </c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229">
        <f t="shared" si="1253"/>
        <v>0</v>
      </c>
      <c r="AC3094" s="228">
        <f t="shared" si="1254"/>
        <v>0</v>
      </c>
      <c r="AD3094" s="19">
        <v>0</v>
      </c>
      <c r="AE3094" s="28"/>
      <c r="AF3094" s="28"/>
      <c r="AG3094" s="28"/>
      <c r="AH3094" s="28"/>
      <c r="AI3094" s="28"/>
      <c r="AJ3094" s="28">
        <v>1</v>
      </c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29">
        <f t="shared" si="1255"/>
        <v>0</v>
      </c>
      <c r="BD3094" s="48">
        <f t="shared" si="1256"/>
        <v>1</v>
      </c>
      <c r="BE3094" s="19">
        <v>1</v>
      </c>
      <c r="BF3094" s="229">
        <f t="shared" si="1257"/>
        <v>0</v>
      </c>
      <c r="BG3094" s="210">
        <f t="shared" si="1258"/>
        <v>1</v>
      </c>
      <c r="BH3094" s="210">
        <f t="shared" si="1259"/>
        <v>1</v>
      </c>
      <c r="BI3094" s="213">
        <f t="shared" si="1260"/>
        <v>100</v>
      </c>
      <c r="BJ3094" s="141"/>
      <c r="BK3094" s="201"/>
      <c r="BL3094" s="4"/>
      <c r="BM3094" s="4"/>
    </row>
    <row r="3095" spans="1:65" s="38" customFormat="1" ht="18" customHeight="1">
      <c r="A3095" s="114">
        <v>84</v>
      </c>
      <c r="B3095" s="24" t="s">
        <v>659</v>
      </c>
      <c r="C3095" s="25" t="s">
        <v>660</v>
      </c>
      <c r="D3095" s="121"/>
      <c r="E3095" s="121"/>
      <c r="F3095" s="121"/>
      <c r="G3095" s="121"/>
      <c r="H3095" s="121"/>
      <c r="I3095" s="121">
        <v>92</v>
      </c>
      <c r="J3095" s="121"/>
      <c r="K3095" s="121"/>
      <c r="L3095" s="121"/>
      <c r="M3095" s="121"/>
      <c r="N3095" s="121"/>
      <c r="O3095" s="121">
        <v>84</v>
      </c>
      <c r="P3095" s="121"/>
      <c r="Q3095" s="121"/>
      <c r="R3095" s="121"/>
      <c r="S3095" s="121"/>
      <c r="T3095" s="121"/>
      <c r="U3095" s="121">
        <v>90</v>
      </c>
      <c r="V3095" s="121"/>
      <c r="W3095" s="121"/>
      <c r="X3095" s="121"/>
      <c r="Y3095" s="121"/>
      <c r="Z3095" s="121"/>
      <c r="AA3095" s="121">
        <v>70</v>
      </c>
      <c r="AB3095" s="229">
        <f t="shared" si="1253"/>
        <v>0</v>
      </c>
      <c r="AC3095" s="228">
        <f t="shared" si="1254"/>
        <v>336</v>
      </c>
      <c r="AD3095" s="19">
        <v>383</v>
      </c>
      <c r="AE3095" s="28"/>
      <c r="AF3095" s="28"/>
      <c r="AG3095" s="28"/>
      <c r="AH3095" s="28"/>
      <c r="AI3095" s="28"/>
      <c r="AJ3095" s="28">
        <f>691+337+22+6</f>
        <v>1056</v>
      </c>
      <c r="AK3095" s="28"/>
      <c r="AL3095" s="28"/>
      <c r="AM3095" s="28"/>
      <c r="AN3095" s="28"/>
      <c r="AO3095" s="28"/>
      <c r="AP3095" s="28">
        <f>748+636+363+22</f>
        <v>1769</v>
      </c>
      <c r="AQ3095" s="28"/>
      <c r="AR3095" s="28"/>
      <c r="AS3095" s="28"/>
      <c r="AT3095" s="28"/>
      <c r="AU3095" s="28"/>
      <c r="AV3095" s="28">
        <f>571+646+468+1+26</f>
        <v>1712</v>
      </c>
      <c r="AW3095" s="28"/>
      <c r="AX3095" s="28"/>
      <c r="AY3095" s="28"/>
      <c r="AZ3095" s="28"/>
      <c r="BA3095" s="28"/>
      <c r="BB3095" s="28">
        <f>611+656+319+14+4</f>
        <v>1604</v>
      </c>
      <c r="BC3095" s="229">
        <f t="shared" si="1255"/>
        <v>0</v>
      </c>
      <c r="BD3095" s="48">
        <f t="shared" si="1256"/>
        <v>6141</v>
      </c>
      <c r="BE3095" s="19">
        <v>7205</v>
      </c>
      <c r="BF3095" s="229">
        <f t="shared" si="1257"/>
        <v>0</v>
      </c>
      <c r="BG3095" s="210">
        <f t="shared" si="1258"/>
        <v>6477</v>
      </c>
      <c r="BH3095" s="210">
        <f t="shared" si="1259"/>
        <v>7588</v>
      </c>
      <c r="BI3095" s="213">
        <f t="shared" si="1260"/>
        <v>85.358460727464418</v>
      </c>
      <c r="BJ3095" s="141"/>
      <c r="BK3095" s="201"/>
      <c r="BL3095" s="4"/>
      <c r="BM3095" s="4"/>
    </row>
    <row r="3096" spans="1:65" s="38" customFormat="1" ht="21.95" customHeight="1">
      <c r="A3096" s="114">
        <v>85</v>
      </c>
      <c r="B3096" s="24" t="s">
        <v>661</v>
      </c>
      <c r="C3096" s="27" t="s">
        <v>1166</v>
      </c>
      <c r="D3096" s="121"/>
      <c r="E3096" s="121"/>
      <c r="F3096" s="121"/>
      <c r="G3096" s="121"/>
      <c r="H3096" s="121"/>
      <c r="I3096" s="121">
        <v>82</v>
      </c>
      <c r="J3096" s="121"/>
      <c r="K3096" s="121"/>
      <c r="L3096" s="121"/>
      <c r="M3096" s="121"/>
      <c r="N3096" s="121"/>
      <c r="O3096" s="121">
        <v>81</v>
      </c>
      <c r="P3096" s="121"/>
      <c r="Q3096" s="121"/>
      <c r="R3096" s="121"/>
      <c r="S3096" s="121"/>
      <c r="T3096" s="121"/>
      <c r="U3096" s="121">
        <v>73</v>
      </c>
      <c r="V3096" s="121"/>
      <c r="W3096" s="121"/>
      <c r="X3096" s="121"/>
      <c r="Y3096" s="121"/>
      <c r="Z3096" s="121"/>
      <c r="AA3096" s="121">
        <v>68</v>
      </c>
      <c r="AB3096" s="229">
        <f t="shared" si="1253"/>
        <v>0</v>
      </c>
      <c r="AC3096" s="228">
        <f t="shared" si="1254"/>
        <v>304</v>
      </c>
      <c r="AD3096" s="19">
        <v>237</v>
      </c>
      <c r="AE3096" s="28"/>
      <c r="AF3096" s="28"/>
      <c r="AG3096" s="28"/>
      <c r="AH3096" s="28"/>
      <c r="AI3096" s="28"/>
      <c r="AJ3096" s="28">
        <f>955+313+215+11</f>
        <v>1494</v>
      </c>
      <c r="AK3096" s="28"/>
      <c r="AL3096" s="28"/>
      <c r="AM3096" s="28"/>
      <c r="AN3096" s="28"/>
      <c r="AO3096" s="28"/>
      <c r="AP3096" s="28">
        <f>853+942+344+217</f>
        <v>2356</v>
      </c>
      <c r="AQ3096" s="28"/>
      <c r="AR3096" s="28"/>
      <c r="AS3096" s="28"/>
      <c r="AT3096" s="28"/>
      <c r="AU3096" s="28"/>
      <c r="AV3096" s="28">
        <f>837+1080+375+1+294</f>
        <v>2587</v>
      </c>
      <c r="AW3096" s="28"/>
      <c r="AX3096" s="28"/>
      <c r="AY3096" s="28"/>
      <c r="AZ3096" s="28"/>
      <c r="BA3096" s="28"/>
      <c r="BB3096" s="28">
        <f>816+1068+220+216</f>
        <v>2320</v>
      </c>
      <c r="BC3096" s="229">
        <f t="shared" si="1255"/>
        <v>0</v>
      </c>
      <c r="BD3096" s="48">
        <f t="shared" si="1256"/>
        <v>8757</v>
      </c>
      <c r="BE3096" s="19">
        <v>6980</v>
      </c>
      <c r="BF3096" s="229">
        <f t="shared" si="1257"/>
        <v>0</v>
      </c>
      <c r="BG3096" s="210">
        <f t="shared" si="1258"/>
        <v>9061</v>
      </c>
      <c r="BH3096" s="210">
        <f t="shared" si="1259"/>
        <v>7217</v>
      </c>
      <c r="BI3096" s="213">
        <f t="shared" si="1260"/>
        <v>125.55078287377026</v>
      </c>
      <c r="BJ3096" s="141"/>
      <c r="BK3096" s="201"/>
      <c r="BL3096" s="4"/>
      <c r="BM3096" s="4"/>
    </row>
    <row r="3097" spans="1:65" s="38" customFormat="1" ht="21.95" customHeight="1">
      <c r="A3097" s="114">
        <v>86</v>
      </c>
      <c r="B3097" s="24" t="s">
        <v>784</v>
      </c>
      <c r="C3097" s="27" t="s">
        <v>1369</v>
      </c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229">
        <f t="shared" si="1253"/>
        <v>0</v>
      </c>
      <c r="AC3097" s="228">
        <f t="shared" si="1254"/>
        <v>0</v>
      </c>
      <c r="AD3097" s="19">
        <v>0</v>
      </c>
      <c r="AE3097" s="28"/>
      <c r="AF3097" s="28"/>
      <c r="AG3097" s="28"/>
      <c r="AH3097" s="28"/>
      <c r="AI3097" s="28"/>
      <c r="AJ3097" s="28">
        <f>5+6</f>
        <v>11</v>
      </c>
      <c r="AK3097" s="28"/>
      <c r="AL3097" s="28"/>
      <c r="AM3097" s="28"/>
      <c r="AN3097" s="28"/>
      <c r="AO3097" s="28"/>
      <c r="AP3097" s="28">
        <f>4+8</f>
        <v>12</v>
      </c>
      <c r="AQ3097" s="28"/>
      <c r="AR3097" s="28"/>
      <c r="AS3097" s="28"/>
      <c r="AT3097" s="28"/>
      <c r="AU3097" s="28"/>
      <c r="AV3097" s="28">
        <f>1+10</f>
        <v>11</v>
      </c>
      <c r="AW3097" s="28"/>
      <c r="AX3097" s="28"/>
      <c r="AY3097" s="28"/>
      <c r="AZ3097" s="28"/>
      <c r="BA3097" s="28"/>
      <c r="BB3097" s="28">
        <v>28</v>
      </c>
      <c r="BC3097" s="229">
        <f t="shared" si="1255"/>
        <v>0</v>
      </c>
      <c r="BD3097" s="48">
        <f t="shared" si="1256"/>
        <v>62</v>
      </c>
      <c r="BE3097" s="19">
        <v>34</v>
      </c>
      <c r="BF3097" s="229">
        <f t="shared" si="1257"/>
        <v>0</v>
      </c>
      <c r="BG3097" s="210">
        <f t="shared" si="1258"/>
        <v>62</v>
      </c>
      <c r="BH3097" s="210">
        <f t="shared" si="1259"/>
        <v>34</v>
      </c>
      <c r="BI3097" s="213">
        <f t="shared" si="1260"/>
        <v>182.35294117647058</v>
      </c>
      <c r="BJ3097" s="141"/>
      <c r="BK3097" s="201"/>
      <c r="BL3097" s="4"/>
      <c r="BM3097" s="4"/>
    </row>
    <row r="3098" spans="1:65" s="38" customFormat="1" ht="18" customHeight="1">
      <c r="A3098" s="114">
        <v>87</v>
      </c>
      <c r="B3098" s="24" t="s">
        <v>662</v>
      </c>
      <c r="C3098" s="25" t="s">
        <v>1096</v>
      </c>
      <c r="D3098" s="121"/>
      <c r="E3098" s="121"/>
      <c r="F3098" s="121"/>
      <c r="G3098" s="121"/>
      <c r="H3098" s="121"/>
      <c r="I3098" s="121">
        <v>5</v>
      </c>
      <c r="J3098" s="121"/>
      <c r="K3098" s="121"/>
      <c r="L3098" s="121"/>
      <c r="M3098" s="121"/>
      <c r="N3098" s="121"/>
      <c r="O3098" s="121">
        <v>3</v>
      </c>
      <c r="P3098" s="121"/>
      <c r="Q3098" s="121"/>
      <c r="R3098" s="121"/>
      <c r="S3098" s="121"/>
      <c r="T3098" s="121"/>
      <c r="U3098" s="121">
        <v>1</v>
      </c>
      <c r="V3098" s="121"/>
      <c r="W3098" s="121"/>
      <c r="X3098" s="121"/>
      <c r="Y3098" s="121"/>
      <c r="Z3098" s="121"/>
      <c r="AA3098" s="121">
        <v>5</v>
      </c>
      <c r="AB3098" s="229">
        <f t="shared" si="1253"/>
        <v>0</v>
      </c>
      <c r="AC3098" s="228">
        <f t="shared" si="1254"/>
        <v>14</v>
      </c>
      <c r="AD3098" s="19">
        <v>7</v>
      </c>
      <c r="AE3098" s="28"/>
      <c r="AF3098" s="28"/>
      <c r="AG3098" s="28"/>
      <c r="AH3098" s="28"/>
      <c r="AI3098" s="28"/>
      <c r="AJ3098" s="28">
        <f>33+90+5</f>
        <v>128</v>
      </c>
      <c r="AK3098" s="28"/>
      <c r="AL3098" s="28"/>
      <c r="AM3098" s="28"/>
      <c r="AN3098" s="28"/>
      <c r="AO3098" s="28"/>
      <c r="AP3098" s="28">
        <f>636+61+110+2</f>
        <v>809</v>
      </c>
      <c r="AQ3098" s="28"/>
      <c r="AR3098" s="28"/>
      <c r="AS3098" s="28"/>
      <c r="AT3098" s="28"/>
      <c r="AU3098" s="28"/>
      <c r="AV3098" s="28">
        <f>410+64+107</f>
        <v>581</v>
      </c>
      <c r="AW3098" s="28"/>
      <c r="AX3098" s="28"/>
      <c r="AY3098" s="28"/>
      <c r="AZ3098" s="28"/>
      <c r="BA3098" s="28"/>
      <c r="BB3098" s="28">
        <f>522+41+67+5</f>
        <v>635</v>
      </c>
      <c r="BC3098" s="229">
        <f t="shared" si="1255"/>
        <v>0</v>
      </c>
      <c r="BD3098" s="48">
        <f t="shared" si="1256"/>
        <v>2153</v>
      </c>
      <c r="BE3098" s="19">
        <v>2138</v>
      </c>
      <c r="BF3098" s="229">
        <f t="shared" si="1257"/>
        <v>0</v>
      </c>
      <c r="BG3098" s="210">
        <f t="shared" si="1258"/>
        <v>2167</v>
      </c>
      <c r="BH3098" s="210">
        <f t="shared" si="1259"/>
        <v>2145</v>
      </c>
      <c r="BI3098" s="213">
        <f t="shared" si="1260"/>
        <v>101.02564102564102</v>
      </c>
      <c r="BJ3098" s="141"/>
      <c r="BK3098" s="201"/>
      <c r="BL3098" s="4"/>
      <c r="BM3098" s="4"/>
    </row>
    <row r="3099" spans="1:65" s="38" customFormat="1" ht="18" customHeight="1">
      <c r="A3099" s="114">
        <v>88</v>
      </c>
      <c r="B3099" s="24" t="s">
        <v>663</v>
      </c>
      <c r="C3099" s="25" t="s">
        <v>1097</v>
      </c>
      <c r="D3099" s="121"/>
      <c r="E3099" s="121"/>
      <c r="F3099" s="121"/>
      <c r="G3099" s="121"/>
      <c r="H3099" s="121"/>
      <c r="I3099" s="121">
        <v>2</v>
      </c>
      <c r="J3099" s="121"/>
      <c r="K3099" s="121"/>
      <c r="L3099" s="121"/>
      <c r="M3099" s="121"/>
      <c r="N3099" s="121"/>
      <c r="O3099" s="121">
        <v>1</v>
      </c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>
        <v>2</v>
      </c>
      <c r="AB3099" s="229">
        <f t="shared" si="1253"/>
        <v>0</v>
      </c>
      <c r="AC3099" s="228">
        <f t="shared" si="1254"/>
        <v>5</v>
      </c>
      <c r="AD3099" s="19">
        <v>4</v>
      </c>
      <c r="AE3099" s="28"/>
      <c r="AF3099" s="28"/>
      <c r="AG3099" s="28"/>
      <c r="AH3099" s="28"/>
      <c r="AI3099" s="28"/>
      <c r="AJ3099" s="28">
        <f>39+6+5</f>
        <v>50</v>
      </c>
      <c r="AK3099" s="28"/>
      <c r="AL3099" s="28"/>
      <c r="AM3099" s="28"/>
      <c r="AN3099" s="28"/>
      <c r="AO3099" s="28"/>
      <c r="AP3099" s="28">
        <f>13+17+1</f>
        <v>31</v>
      </c>
      <c r="AQ3099" s="28"/>
      <c r="AR3099" s="28"/>
      <c r="AS3099" s="28"/>
      <c r="AT3099" s="28"/>
      <c r="AU3099" s="28"/>
      <c r="AV3099" s="28">
        <f>39+13</f>
        <v>52</v>
      </c>
      <c r="AW3099" s="28"/>
      <c r="AX3099" s="28"/>
      <c r="AY3099" s="28"/>
      <c r="AZ3099" s="28"/>
      <c r="BA3099" s="28"/>
      <c r="BB3099" s="28">
        <f>15+90+1</f>
        <v>106</v>
      </c>
      <c r="BC3099" s="229">
        <f t="shared" si="1255"/>
        <v>0</v>
      </c>
      <c r="BD3099" s="48">
        <f t="shared" si="1256"/>
        <v>239</v>
      </c>
      <c r="BE3099" s="19">
        <v>55</v>
      </c>
      <c r="BF3099" s="229">
        <f t="shared" si="1257"/>
        <v>0</v>
      </c>
      <c r="BG3099" s="210">
        <f t="shared" si="1258"/>
        <v>244</v>
      </c>
      <c r="BH3099" s="210">
        <f t="shared" si="1259"/>
        <v>59</v>
      </c>
      <c r="BI3099" s="213">
        <f t="shared" si="1260"/>
        <v>413.5593220338983</v>
      </c>
      <c r="BJ3099" s="141"/>
      <c r="BK3099" s="201"/>
      <c r="BL3099" s="4"/>
      <c r="BM3099" s="4"/>
    </row>
    <row r="3100" spans="1:65" s="38" customFormat="1" ht="21.95" customHeight="1">
      <c r="A3100" s="114">
        <v>89</v>
      </c>
      <c r="B3100" s="24" t="s">
        <v>664</v>
      </c>
      <c r="C3100" s="27" t="s">
        <v>1167</v>
      </c>
      <c r="D3100" s="121"/>
      <c r="E3100" s="121"/>
      <c r="F3100" s="121"/>
      <c r="G3100" s="121"/>
      <c r="H3100" s="121"/>
      <c r="I3100" s="121">
        <v>2</v>
      </c>
      <c r="J3100" s="121"/>
      <c r="K3100" s="121"/>
      <c r="L3100" s="121"/>
      <c r="M3100" s="121"/>
      <c r="N3100" s="121"/>
      <c r="O3100" s="121">
        <v>3</v>
      </c>
      <c r="P3100" s="121"/>
      <c r="Q3100" s="121"/>
      <c r="R3100" s="121"/>
      <c r="S3100" s="121"/>
      <c r="T3100" s="121"/>
      <c r="U3100" s="121">
        <v>3</v>
      </c>
      <c r="V3100" s="121"/>
      <c r="W3100" s="121"/>
      <c r="X3100" s="121"/>
      <c r="Y3100" s="121"/>
      <c r="Z3100" s="121"/>
      <c r="AA3100" s="121">
        <v>6</v>
      </c>
      <c r="AB3100" s="229">
        <f t="shared" si="1253"/>
        <v>0</v>
      </c>
      <c r="AC3100" s="228">
        <f t="shared" si="1254"/>
        <v>14</v>
      </c>
      <c r="AD3100" s="19">
        <v>9</v>
      </c>
      <c r="AE3100" s="28"/>
      <c r="AF3100" s="28"/>
      <c r="AG3100" s="28"/>
      <c r="AH3100" s="28"/>
      <c r="AI3100" s="28"/>
      <c r="AJ3100" s="28">
        <f>66+23+79</f>
        <v>168</v>
      </c>
      <c r="AK3100" s="28"/>
      <c r="AL3100" s="28"/>
      <c r="AM3100" s="28"/>
      <c r="AN3100" s="28"/>
      <c r="AO3100" s="28"/>
      <c r="AP3100" s="28">
        <f>93+38+96</f>
        <v>227</v>
      </c>
      <c r="AQ3100" s="28"/>
      <c r="AR3100" s="28"/>
      <c r="AS3100" s="28"/>
      <c r="AT3100" s="28"/>
      <c r="AU3100" s="28"/>
      <c r="AV3100" s="28">
        <f>117+53+108</f>
        <v>278</v>
      </c>
      <c r="AW3100" s="28"/>
      <c r="AX3100" s="28"/>
      <c r="AY3100" s="28"/>
      <c r="AZ3100" s="28"/>
      <c r="BA3100" s="28"/>
      <c r="BB3100" s="28">
        <f>99+4+112</f>
        <v>215</v>
      </c>
      <c r="BC3100" s="229">
        <f t="shared" si="1255"/>
        <v>0</v>
      </c>
      <c r="BD3100" s="48">
        <f t="shared" si="1256"/>
        <v>888</v>
      </c>
      <c r="BE3100" s="19">
        <v>505</v>
      </c>
      <c r="BF3100" s="229">
        <f t="shared" si="1257"/>
        <v>0</v>
      </c>
      <c r="BG3100" s="210">
        <f t="shared" si="1258"/>
        <v>902</v>
      </c>
      <c r="BH3100" s="210">
        <f t="shared" si="1259"/>
        <v>514</v>
      </c>
      <c r="BI3100" s="213">
        <f t="shared" si="1260"/>
        <v>175.48638132295719</v>
      </c>
      <c r="BJ3100" s="141"/>
      <c r="BK3100" s="201"/>
      <c r="BL3100" s="4"/>
      <c r="BM3100" s="4"/>
    </row>
    <row r="3101" spans="1:65" ht="18" customHeight="1">
      <c r="A3101" s="114">
        <v>90</v>
      </c>
      <c r="B3101" s="24" t="s">
        <v>1170</v>
      </c>
      <c r="C3101" s="25" t="s">
        <v>2693</v>
      </c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229">
        <f t="shared" si="1253"/>
        <v>0</v>
      </c>
      <c r="AC3101" s="228">
        <f t="shared" si="1254"/>
        <v>0</v>
      </c>
      <c r="AD3101" s="19">
        <v>0</v>
      </c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29">
        <f t="shared" si="1255"/>
        <v>0</v>
      </c>
      <c r="BD3101" s="48">
        <f t="shared" si="1256"/>
        <v>0</v>
      </c>
      <c r="BE3101" s="19">
        <v>8</v>
      </c>
      <c r="BF3101" s="229">
        <f t="shared" si="1257"/>
        <v>0</v>
      </c>
      <c r="BG3101" s="210">
        <f t="shared" si="1258"/>
        <v>0</v>
      </c>
      <c r="BH3101" s="210">
        <f t="shared" si="1259"/>
        <v>8</v>
      </c>
      <c r="BI3101" s="213">
        <f t="shared" si="1260"/>
        <v>0</v>
      </c>
      <c r="BJ3101" s="141"/>
      <c r="BK3101" s="201"/>
    </row>
    <row r="3102" spans="1:65" ht="18" customHeight="1">
      <c r="A3102" s="114">
        <v>91</v>
      </c>
      <c r="B3102" s="24" t="s">
        <v>704</v>
      </c>
      <c r="C3102" s="25" t="s">
        <v>1383</v>
      </c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229">
        <f t="shared" si="1253"/>
        <v>0</v>
      </c>
      <c r="AC3102" s="228">
        <f t="shared" si="1254"/>
        <v>0</v>
      </c>
      <c r="AD3102" s="19">
        <v>3</v>
      </c>
      <c r="AE3102" s="28"/>
      <c r="AF3102" s="28"/>
      <c r="AG3102" s="28"/>
      <c r="AH3102" s="28"/>
      <c r="AI3102" s="28"/>
      <c r="AJ3102" s="28">
        <f>13+5+121</f>
        <v>139</v>
      </c>
      <c r="AK3102" s="28"/>
      <c r="AL3102" s="28"/>
      <c r="AM3102" s="28"/>
      <c r="AN3102" s="28"/>
      <c r="AO3102" s="28"/>
      <c r="AP3102" s="28">
        <f>267+4+3+152</f>
        <v>426</v>
      </c>
      <c r="AQ3102" s="28"/>
      <c r="AR3102" s="28"/>
      <c r="AS3102" s="28"/>
      <c r="AT3102" s="28"/>
      <c r="AU3102" s="28"/>
      <c r="AV3102" s="28">
        <f>213+158</f>
        <v>371</v>
      </c>
      <c r="AW3102" s="28"/>
      <c r="AX3102" s="28"/>
      <c r="AY3102" s="28"/>
      <c r="AZ3102" s="28"/>
      <c r="BA3102" s="28"/>
      <c r="BB3102" s="28">
        <f>168+2+153</f>
        <v>323</v>
      </c>
      <c r="BC3102" s="229">
        <f t="shared" si="1255"/>
        <v>0</v>
      </c>
      <c r="BD3102" s="48">
        <f t="shared" si="1256"/>
        <v>1259</v>
      </c>
      <c r="BE3102" s="19">
        <v>1075</v>
      </c>
      <c r="BF3102" s="229">
        <f t="shared" si="1257"/>
        <v>0</v>
      </c>
      <c r="BG3102" s="210">
        <f t="shared" si="1258"/>
        <v>1259</v>
      </c>
      <c r="BH3102" s="210">
        <f t="shared" si="1259"/>
        <v>1078</v>
      </c>
      <c r="BI3102" s="213">
        <f t="shared" si="1260"/>
        <v>116.79035250463824</v>
      </c>
      <c r="BJ3102" s="141"/>
      <c r="BK3102" s="201"/>
    </row>
    <row r="3103" spans="1:65" ht="18" customHeight="1">
      <c r="A3103" s="114">
        <v>92</v>
      </c>
      <c r="B3103" s="24" t="s">
        <v>787</v>
      </c>
      <c r="C3103" s="25" t="s">
        <v>1171</v>
      </c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229">
        <f t="shared" si="1253"/>
        <v>0</v>
      </c>
      <c r="AC3103" s="228">
        <f t="shared" si="1254"/>
        <v>0</v>
      </c>
      <c r="AD3103" s="19">
        <v>0</v>
      </c>
      <c r="AE3103" s="28"/>
      <c r="AF3103" s="28"/>
      <c r="AG3103" s="28"/>
      <c r="AH3103" s="28"/>
      <c r="AI3103" s="28"/>
      <c r="AJ3103" s="28">
        <v>5</v>
      </c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29">
        <f t="shared" si="1255"/>
        <v>0</v>
      </c>
      <c r="BD3103" s="48">
        <f t="shared" si="1256"/>
        <v>5</v>
      </c>
      <c r="BE3103" s="19">
        <v>385</v>
      </c>
      <c r="BF3103" s="229">
        <f t="shared" si="1257"/>
        <v>0</v>
      </c>
      <c r="BG3103" s="210">
        <f t="shared" si="1258"/>
        <v>5</v>
      </c>
      <c r="BH3103" s="210">
        <f t="shared" si="1259"/>
        <v>385</v>
      </c>
      <c r="BI3103" s="213">
        <f t="shared" si="1260"/>
        <v>1.2987012987012987</v>
      </c>
      <c r="BJ3103" s="141"/>
      <c r="BK3103" s="201"/>
    </row>
    <row r="3104" spans="1:65" ht="18" customHeight="1">
      <c r="A3104" s="114">
        <v>93</v>
      </c>
      <c r="B3104" s="24" t="s">
        <v>788</v>
      </c>
      <c r="C3104" s="25" t="s">
        <v>1172</v>
      </c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229">
        <f t="shared" si="1253"/>
        <v>0</v>
      </c>
      <c r="AC3104" s="228">
        <f t="shared" si="1254"/>
        <v>0</v>
      </c>
      <c r="AD3104" s="19">
        <v>4</v>
      </c>
      <c r="AE3104" s="28"/>
      <c r="AF3104" s="28"/>
      <c r="AG3104" s="28"/>
      <c r="AH3104" s="28"/>
      <c r="AI3104" s="28"/>
      <c r="AJ3104" s="28">
        <f>55+32</f>
        <v>87</v>
      </c>
      <c r="AK3104" s="28"/>
      <c r="AL3104" s="28"/>
      <c r="AM3104" s="28"/>
      <c r="AN3104" s="28"/>
      <c r="AO3104" s="28"/>
      <c r="AP3104" s="28">
        <f>16+29</f>
        <v>45</v>
      </c>
      <c r="AQ3104" s="28"/>
      <c r="AR3104" s="28"/>
      <c r="AS3104" s="28"/>
      <c r="AT3104" s="28"/>
      <c r="AU3104" s="28"/>
      <c r="AV3104" s="28">
        <f>40+28</f>
        <v>68</v>
      </c>
      <c r="AW3104" s="28"/>
      <c r="AX3104" s="28"/>
      <c r="AY3104" s="28"/>
      <c r="AZ3104" s="28"/>
      <c r="BA3104" s="28"/>
      <c r="BB3104" s="28">
        <f>42+11</f>
        <v>53</v>
      </c>
      <c r="BC3104" s="229">
        <f t="shared" si="1255"/>
        <v>0</v>
      </c>
      <c r="BD3104" s="48">
        <f t="shared" si="1256"/>
        <v>253</v>
      </c>
      <c r="BE3104" s="19">
        <v>259</v>
      </c>
      <c r="BF3104" s="229">
        <f t="shared" si="1257"/>
        <v>0</v>
      </c>
      <c r="BG3104" s="210">
        <f t="shared" si="1258"/>
        <v>253</v>
      </c>
      <c r="BH3104" s="210">
        <f t="shared" si="1259"/>
        <v>263</v>
      </c>
      <c r="BI3104" s="213">
        <f t="shared" si="1260"/>
        <v>96.197718631178702</v>
      </c>
      <c r="BJ3104" s="141"/>
      <c r="BK3104" s="201"/>
    </row>
    <row r="3105" spans="1:65" ht="18" customHeight="1">
      <c r="A3105" s="114">
        <v>94</v>
      </c>
      <c r="B3105" s="24" t="s">
        <v>789</v>
      </c>
      <c r="C3105" s="25" t="s">
        <v>2127</v>
      </c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229">
        <f t="shared" si="1253"/>
        <v>0</v>
      </c>
      <c r="AC3105" s="228">
        <f t="shared" si="1254"/>
        <v>0</v>
      </c>
      <c r="AD3105" s="19">
        <v>0</v>
      </c>
      <c r="AE3105" s="28"/>
      <c r="AF3105" s="28"/>
      <c r="AG3105" s="28"/>
      <c r="AH3105" s="28"/>
      <c r="AI3105" s="28"/>
      <c r="AJ3105" s="28">
        <f>5+5</f>
        <v>10</v>
      </c>
      <c r="AK3105" s="28"/>
      <c r="AL3105" s="28"/>
      <c r="AM3105" s="28"/>
      <c r="AN3105" s="28"/>
      <c r="AO3105" s="28"/>
      <c r="AP3105" s="28">
        <f>5+4+2</f>
        <v>11</v>
      </c>
      <c r="AQ3105" s="28"/>
      <c r="AR3105" s="28"/>
      <c r="AS3105" s="28"/>
      <c r="AT3105" s="28"/>
      <c r="AU3105" s="28"/>
      <c r="AV3105" s="28">
        <v>4</v>
      </c>
      <c r="AW3105" s="28"/>
      <c r="AX3105" s="28"/>
      <c r="AY3105" s="28"/>
      <c r="AZ3105" s="28"/>
      <c r="BA3105" s="28"/>
      <c r="BB3105" s="28">
        <f>2+3</f>
        <v>5</v>
      </c>
      <c r="BC3105" s="229">
        <f t="shared" si="1255"/>
        <v>0</v>
      </c>
      <c r="BD3105" s="48">
        <f t="shared" si="1256"/>
        <v>30</v>
      </c>
      <c r="BE3105" s="19">
        <v>17</v>
      </c>
      <c r="BF3105" s="229">
        <f t="shared" si="1257"/>
        <v>0</v>
      </c>
      <c r="BG3105" s="210">
        <f t="shared" si="1258"/>
        <v>30</v>
      </c>
      <c r="BH3105" s="210">
        <f t="shared" si="1259"/>
        <v>17</v>
      </c>
      <c r="BI3105" s="213">
        <f t="shared" si="1260"/>
        <v>176.47058823529412</v>
      </c>
      <c r="BJ3105" s="141"/>
      <c r="BK3105" s="201"/>
    </row>
    <row r="3106" spans="1:65" ht="18" customHeight="1">
      <c r="A3106" s="114">
        <v>95</v>
      </c>
      <c r="B3106" s="24" t="s">
        <v>1173</v>
      </c>
      <c r="C3106" s="25" t="s">
        <v>3181</v>
      </c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229"/>
      <c r="AC3106" s="228">
        <f t="shared" ref="AC3106:AC3114" si="1261">E3106+G3106+I3106+K3106+M3106+O3106+Q3106+S3106+U3106+W3106+Y3106+AA3106</f>
        <v>0</v>
      </c>
      <c r="AD3106" s="19">
        <v>0</v>
      </c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>
        <v>2</v>
      </c>
      <c r="AW3106" s="28"/>
      <c r="AX3106" s="28"/>
      <c r="AY3106" s="28"/>
      <c r="AZ3106" s="28"/>
      <c r="BA3106" s="28"/>
      <c r="BB3106" s="28"/>
      <c r="BC3106" s="229"/>
      <c r="BD3106" s="48">
        <f t="shared" ref="BD3106:BD3114" si="1262">AF3106+AH3106+AJ3106+AL3106+AN3106+AP3106+AR3106+AT3106+AV3106+AX3106+AZ3106+BB3106</f>
        <v>2</v>
      </c>
      <c r="BE3106" s="19">
        <v>0</v>
      </c>
      <c r="BF3106" s="229"/>
      <c r="BG3106" s="210">
        <f t="shared" ref="BG3106:BG3114" si="1263">AC3106+BD3106</f>
        <v>2</v>
      </c>
      <c r="BH3106" s="210">
        <f t="shared" ref="BH3106:BH3114" si="1264">AD3106+BE3106</f>
        <v>0</v>
      </c>
      <c r="BI3106" s="213" t="e">
        <f t="shared" si="1260"/>
        <v>#DIV/0!</v>
      </c>
      <c r="BJ3106" s="141"/>
      <c r="BK3106" s="201"/>
    </row>
    <row r="3107" spans="1:65" ht="18" customHeight="1">
      <c r="A3107" s="114">
        <v>96</v>
      </c>
      <c r="B3107" s="24" t="s">
        <v>1174</v>
      </c>
      <c r="C3107" s="25" t="s">
        <v>1175</v>
      </c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229">
        <f>D3107+F3107+H3107+J3107+L3107+N3107+P3107+R3107+T3107+V3107+X3107+Z3107</f>
        <v>0</v>
      </c>
      <c r="AC3107" s="228">
        <f t="shared" si="1261"/>
        <v>0</v>
      </c>
      <c r="AD3107" s="19">
        <v>0</v>
      </c>
      <c r="AE3107" s="28"/>
      <c r="AF3107" s="28"/>
      <c r="AG3107" s="28"/>
      <c r="AH3107" s="28"/>
      <c r="AI3107" s="28"/>
      <c r="AJ3107" s="28">
        <f>51+65</f>
        <v>116</v>
      </c>
      <c r="AK3107" s="28"/>
      <c r="AL3107" s="28"/>
      <c r="AM3107" s="28"/>
      <c r="AN3107" s="28"/>
      <c r="AO3107" s="28"/>
      <c r="AP3107" s="28">
        <f>13+31</f>
        <v>44</v>
      </c>
      <c r="AQ3107" s="28"/>
      <c r="AR3107" s="28"/>
      <c r="AS3107" s="28"/>
      <c r="AT3107" s="28"/>
      <c r="AU3107" s="28"/>
      <c r="AV3107" s="28">
        <f>47+52</f>
        <v>99</v>
      </c>
      <c r="AW3107" s="28"/>
      <c r="AX3107" s="28"/>
      <c r="AY3107" s="28"/>
      <c r="AZ3107" s="28"/>
      <c r="BA3107" s="28"/>
      <c r="BB3107" s="28">
        <f>44+73</f>
        <v>117</v>
      </c>
      <c r="BC3107" s="229">
        <f>AE3107+AG3107+AI3107+AK3107+AM3107+AO3107+AQ3107+AS3107+AU3107+AW3107+AY3107+BA3107</f>
        <v>0</v>
      </c>
      <c r="BD3107" s="48">
        <f t="shared" si="1262"/>
        <v>376</v>
      </c>
      <c r="BE3107" s="19">
        <v>359</v>
      </c>
      <c r="BF3107" s="229">
        <f>AB3107+BC3107</f>
        <v>0</v>
      </c>
      <c r="BG3107" s="210">
        <f t="shared" si="1263"/>
        <v>376</v>
      </c>
      <c r="BH3107" s="210">
        <f t="shared" si="1264"/>
        <v>359</v>
      </c>
      <c r="BI3107" s="213">
        <f t="shared" si="1260"/>
        <v>104.73537604456824</v>
      </c>
      <c r="BJ3107" s="141"/>
      <c r="BK3107" s="201"/>
    </row>
    <row r="3108" spans="1:65" ht="18" customHeight="1">
      <c r="A3108" s="114">
        <v>97</v>
      </c>
      <c r="B3108" s="24" t="s">
        <v>1176</v>
      </c>
      <c r="C3108" s="25" t="s">
        <v>3183</v>
      </c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229"/>
      <c r="AC3108" s="228">
        <f t="shared" si="1261"/>
        <v>0</v>
      </c>
      <c r="AD3108" s="19">
        <v>0</v>
      </c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>
        <v>1</v>
      </c>
      <c r="AW3108" s="28"/>
      <c r="AX3108" s="28"/>
      <c r="AY3108" s="28"/>
      <c r="AZ3108" s="28"/>
      <c r="BA3108" s="28"/>
      <c r="BB3108" s="28"/>
      <c r="BC3108" s="229"/>
      <c r="BD3108" s="48">
        <f t="shared" si="1262"/>
        <v>1</v>
      </c>
      <c r="BE3108" s="19">
        <v>0</v>
      </c>
      <c r="BF3108" s="229"/>
      <c r="BG3108" s="210">
        <f t="shared" si="1263"/>
        <v>1</v>
      </c>
      <c r="BH3108" s="210">
        <f t="shared" si="1264"/>
        <v>0</v>
      </c>
      <c r="BI3108" s="213" t="e">
        <f t="shared" ref="BI3108:BI3114" si="1265">BG3108/BH3108*100</f>
        <v>#DIV/0!</v>
      </c>
      <c r="BJ3108" s="141"/>
      <c r="BK3108" s="201"/>
    </row>
    <row r="3109" spans="1:65" s="38" customFormat="1" ht="21.95" customHeight="1">
      <c r="A3109" s="114">
        <v>98</v>
      </c>
      <c r="B3109" s="24" t="s">
        <v>790</v>
      </c>
      <c r="C3109" s="27" t="s">
        <v>2431</v>
      </c>
      <c r="D3109" s="121"/>
      <c r="E3109" s="121"/>
      <c r="F3109" s="121"/>
      <c r="G3109" s="121"/>
      <c r="H3109" s="121"/>
      <c r="I3109" s="121">
        <v>44</v>
      </c>
      <c r="J3109" s="121"/>
      <c r="K3109" s="121"/>
      <c r="L3109" s="121"/>
      <c r="M3109" s="121"/>
      <c r="N3109" s="121"/>
      <c r="O3109" s="121">
        <v>31</v>
      </c>
      <c r="P3109" s="121"/>
      <c r="Q3109" s="121"/>
      <c r="R3109" s="121"/>
      <c r="S3109" s="121"/>
      <c r="T3109" s="121"/>
      <c r="U3109" s="121">
        <v>28</v>
      </c>
      <c r="V3109" s="121"/>
      <c r="W3109" s="121"/>
      <c r="X3109" s="121"/>
      <c r="Y3109" s="121"/>
      <c r="Z3109" s="121"/>
      <c r="AA3109" s="121">
        <v>45</v>
      </c>
      <c r="AB3109" s="229">
        <f t="shared" ref="AB3109:AB3114" si="1266">D3109+F3109+H3109+J3109+L3109+N3109+P3109+R3109+T3109+V3109+X3109+Z3109</f>
        <v>0</v>
      </c>
      <c r="AC3109" s="228">
        <f t="shared" si="1261"/>
        <v>148</v>
      </c>
      <c r="AD3109" s="19">
        <v>127</v>
      </c>
      <c r="AE3109" s="28"/>
      <c r="AF3109" s="28"/>
      <c r="AG3109" s="28"/>
      <c r="AH3109" s="28"/>
      <c r="AI3109" s="28"/>
      <c r="AJ3109" s="28">
        <f>1261+340+1+319+7</f>
        <v>1928</v>
      </c>
      <c r="AK3109" s="28"/>
      <c r="AL3109" s="28"/>
      <c r="AM3109" s="28"/>
      <c r="AN3109" s="28"/>
      <c r="AO3109" s="28"/>
      <c r="AP3109" s="28">
        <f>549+1337+284+374</f>
        <v>2544</v>
      </c>
      <c r="AQ3109" s="28"/>
      <c r="AR3109" s="28"/>
      <c r="AS3109" s="28"/>
      <c r="AT3109" s="28"/>
      <c r="AU3109" s="28"/>
      <c r="AV3109" s="28">
        <f>345+1464+387+462</f>
        <v>2658</v>
      </c>
      <c r="AW3109" s="28"/>
      <c r="AX3109" s="28"/>
      <c r="AY3109" s="28"/>
      <c r="AZ3109" s="28"/>
      <c r="BA3109" s="28"/>
      <c r="BB3109" s="28">
        <f>521+1464+310+426+4</f>
        <v>2725</v>
      </c>
      <c r="BC3109" s="229">
        <f t="shared" ref="BC3109:BC3114" si="1267">AE3109+AG3109+AI3109+AK3109+AM3109+AO3109+AQ3109+AS3109+AU3109+AW3109+AY3109+BA3109</f>
        <v>0</v>
      </c>
      <c r="BD3109" s="48">
        <f t="shared" si="1262"/>
        <v>9855</v>
      </c>
      <c r="BE3109" s="19">
        <v>8132</v>
      </c>
      <c r="BF3109" s="229">
        <f t="shared" ref="BF3109:BF3114" si="1268">AB3109+BC3109</f>
        <v>0</v>
      </c>
      <c r="BG3109" s="210">
        <f t="shared" si="1263"/>
        <v>10003</v>
      </c>
      <c r="BH3109" s="210">
        <f t="shared" si="1264"/>
        <v>8259</v>
      </c>
      <c r="BI3109" s="213">
        <f t="shared" si="1265"/>
        <v>121.11635791258021</v>
      </c>
      <c r="BJ3109" s="141"/>
      <c r="BK3109" s="201"/>
      <c r="BL3109" s="4"/>
      <c r="BM3109" s="4"/>
    </row>
    <row r="3110" spans="1:65" s="38" customFormat="1" ht="21.95" customHeight="1">
      <c r="A3110" s="114">
        <v>99</v>
      </c>
      <c r="B3110" s="24" t="s">
        <v>791</v>
      </c>
      <c r="C3110" s="27" t="s">
        <v>2318</v>
      </c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229">
        <f t="shared" si="1266"/>
        <v>0</v>
      </c>
      <c r="AC3110" s="228">
        <f t="shared" si="1261"/>
        <v>0</v>
      </c>
      <c r="AD3110" s="19">
        <v>0</v>
      </c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29">
        <f t="shared" si="1267"/>
        <v>0</v>
      </c>
      <c r="BD3110" s="48">
        <f t="shared" si="1262"/>
        <v>0</v>
      </c>
      <c r="BE3110" s="19">
        <v>8</v>
      </c>
      <c r="BF3110" s="229">
        <f t="shared" si="1268"/>
        <v>0</v>
      </c>
      <c r="BG3110" s="210">
        <f t="shared" si="1263"/>
        <v>0</v>
      </c>
      <c r="BH3110" s="210">
        <f t="shared" si="1264"/>
        <v>8</v>
      </c>
      <c r="BI3110" s="213">
        <f t="shared" si="1265"/>
        <v>0</v>
      </c>
      <c r="BJ3110" s="141"/>
      <c r="BK3110" s="201"/>
      <c r="BL3110" s="4"/>
      <c r="BM3110" s="4"/>
    </row>
    <row r="3111" spans="1:65" s="38" customFormat="1" ht="21.95" customHeight="1">
      <c r="A3111" s="114">
        <v>100</v>
      </c>
      <c r="B3111" s="24" t="s">
        <v>744</v>
      </c>
      <c r="C3111" s="27" t="s">
        <v>745</v>
      </c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229">
        <f t="shared" si="1266"/>
        <v>0</v>
      </c>
      <c r="AC3111" s="228">
        <f t="shared" si="1261"/>
        <v>0</v>
      </c>
      <c r="AD3111" s="19">
        <v>0</v>
      </c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8"/>
      <c r="BA3111" s="28"/>
      <c r="BB3111" s="28"/>
      <c r="BC3111" s="229">
        <f t="shared" si="1267"/>
        <v>0</v>
      </c>
      <c r="BD3111" s="48">
        <f t="shared" si="1262"/>
        <v>0</v>
      </c>
      <c r="BE3111" s="19">
        <v>5</v>
      </c>
      <c r="BF3111" s="229">
        <f t="shared" si="1268"/>
        <v>0</v>
      </c>
      <c r="BG3111" s="210">
        <f t="shared" si="1263"/>
        <v>0</v>
      </c>
      <c r="BH3111" s="210">
        <f t="shared" si="1264"/>
        <v>5</v>
      </c>
      <c r="BI3111" s="213">
        <f t="shared" si="1265"/>
        <v>0</v>
      </c>
      <c r="BJ3111" s="141"/>
      <c r="BK3111" s="201"/>
      <c r="BL3111" s="4"/>
      <c r="BM3111" s="4"/>
    </row>
    <row r="3112" spans="1:65" s="38" customFormat="1" ht="21.95" customHeight="1">
      <c r="A3112" s="114">
        <v>101</v>
      </c>
      <c r="B3112" s="24" t="s">
        <v>824</v>
      </c>
      <c r="C3112" s="27" t="s">
        <v>825</v>
      </c>
      <c r="D3112" s="121"/>
      <c r="E3112" s="121"/>
      <c r="F3112" s="121"/>
      <c r="G3112" s="121"/>
      <c r="H3112" s="121"/>
      <c r="I3112" s="121">
        <v>17</v>
      </c>
      <c r="J3112" s="121"/>
      <c r="K3112" s="121"/>
      <c r="L3112" s="121"/>
      <c r="M3112" s="121"/>
      <c r="N3112" s="121"/>
      <c r="O3112" s="121">
        <v>12</v>
      </c>
      <c r="P3112" s="121"/>
      <c r="Q3112" s="121"/>
      <c r="R3112" s="121"/>
      <c r="S3112" s="121"/>
      <c r="T3112" s="121"/>
      <c r="U3112" s="121">
        <v>9</v>
      </c>
      <c r="V3112" s="121"/>
      <c r="W3112" s="121"/>
      <c r="X3112" s="121"/>
      <c r="Y3112" s="121"/>
      <c r="Z3112" s="121"/>
      <c r="AA3112" s="121">
        <v>5</v>
      </c>
      <c r="AB3112" s="229">
        <f t="shared" si="1266"/>
        <v>0</v>
      </c>
      <c r="AC3112" s="228">
        <f t="shared" si="1261"/>
        <v>43</v>
      </c>
      <c r="AD3112" s="19">
        <v>24</v>
      </c>
      <c r="AE3112" s="28"/>
      <c r="AF3112" s="28"/>
      <c r="AG3112" s="28"/>
      <c r="AH3112" s="28"/>
      <c r="AI3112" s="28"/>
      <c r="AJ3112" s="28">
        <f>44+35</f>
        <v>79</v>
      </c>
      <c r="AK3112" s="28"/>
      <c r="AL3112" s="28"/>
      <c r="AM3112" s="28"/>
      <c r="AN3112" s="28"/>
      <c r="AO3112" s="28"/>
      <c r="AP3112" s="28">
        <f>32+42</f>
        <v>74</v>
      </c>
      <c r="AQ3112" s="28"/>
      <c r="AR3112" s="28"/>
      <c r="AS3112" s="28"/>
      <c r="AT3112" s="28"/>
      <c r="AU3112" s="28"/>
      <c r="AV3112" s="28">
        <f>25+30+1</f>
        <v>56</v>
      </c>
      <c r="AW3112" s="28"/>
      <c r="AX3112" s="28"/>
      <c r="AY3112" s="28"/>
      <c r="AZ3112" s="28"/>
      <c r="BA3112" s="28"/>
      <c r="BB3112" s="28">
        <f>46+18+1</f>
        <v>65</v>
      </c>
      <c r="BC3112" s="229">
        <f t="shared" si="1267"/>
        <v>0</v>
      </c>
      <c r="BD3112" s="48">
        <f t="shared" si="1262"/>
        <v>274</v>
      </c>
      <c r="BE3112" s="19">
        <v>198</v>
      </c>
      <c r="BF3112" s="229">
        <f t="shared" si="1268"/>
        <v>0</v>
      </c>
      <c r="BG3112" s="210">
        <f t="shared" si="1263"/>
        <v>317</v>
      </c>
      <c r="BH3112" s="210">
        <f t="shared" si="1264"/>
        <v>222</v>
      </c>
      <c r="BI3112" s="213">
        <f t="shared" si="1265"/>
        <v>142.7927927927928</v>
      </c>
      <c r="BJ3112" s="141"/>
      <c r="BK3112" s="201"/>
      <c r="BL3112" s="4"/>
      <c r="BM3112" s="4"/>
    </row>
    <row r="3113" spans="1:65" s="38" customFormat="1" ht="18" customHeight="1">
      <c r="A3113" s="114">
        <v>102</v>
      </c>
      <c r="B3113" s="24" t="s">
        <v>665</v>
      </c>
      <c r="C3113" s="25" t="s">
        <v>666</v>
      </c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229">
        <f t="shared" si="1266"/>
        <v>0</v>
      </c>
      <c r="AC3113" s="228">
        <f t="shared" si="1261"/>
        <v>0</v>
      </c>
      <c r="AD3113" s="19">
        <v>0</v>
      </c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29">
        <f t="shared" si="1267"/>
        <v>0</v>
      </c>
      <c r="BD3113" s="48">
        <f t="shared" si="1262"/>
        <v>0</v>
      </c>
      <c r="BE3113" s="19">
        <v>4481</v>
      </c>
      <c r="BF3113" s="229">
        <f t="shared" si="1268"/>
        <v>0</v>
      </c>
      <c r="BG3113" s="210">
        <f t="shared" si="1263"/>
        <v>0</v>
      </c>
      <c r="BH3113" s="210">
        <f t="shared" si="1264"/>
        <v>4481</v>
      </c>
      <c r="BI3113" s="213">
        <f t="shared" si="1265"/>
        <v>0</v>
      </c>
      <c r="BJ3113" s="141"/>
      <c r="BK3113" s="201"/>
      <c r="BL3113" s="4"/>
      <c r="BM3113" s="4"/>
    </row>
    <row r="3114" spans="1:65" s="38" customFormat="1" ht="18" customHeight="1">
      <c r="A3114" s="114">
        <v>103</v>
      </c>
      <c r="B3114" s="156" t="s">
        <v>1788</v>
      </c>
      <c r="C3114" s="159" t="s">
        <v>1789</v>
      </c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229">
        <f t="shared" si="1266"/>
        <v>0</v>
      </c>
      <c r="AC3114" s="228">
        <f t="shared" si="1261"/>
        <v>0</v>
      </c>
      <c r="AD3114" s="19">
        <v>1</v>
      </c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29">
        <f t="shared" si="1267"/>
        <v>0</v>
      </c>
      <c r="BD3114" s="48">
        <f t="shared" si="1262"/>
        <v>0</v>
      </c>
      <c r="BE3114" s="19">
        <v>0</v>
      </c>
      <c r="BF3114" s="229">
        <f t="shared" si="1268"/>
        <v>0</v>
      </c>
      <c r="BG3114" s="210">
        <f t="shared" si="1263"/>
        <v>0</v>
      </c>
      <c r="BH3114" s="210">
        <f t="shared" si="1264"/>
        <v>1</v>
      </c>
      <c r="BI3114" s="213">
        <f t="shared" si="1265"/>
        <v>0</v>
      </c>
      <c r="BJ3114" s="269" t="s">
        <v>2856</v>
      </c>
      <c r="BK3114" s="201"/>
      <c r="BL3114" s="4"/>
      <c r="BM3114" s="4"/>
    </row>
    <row r="3115" spans="1:65" s="38" customFormat="1" ht="21.95" customHeight="1">
      <c r="A3115" s="373" t="s">
        <v>2779</v>
      </c>
      <c r="B3115" s="373"/>
      <c r="C3115" s="373"/>
      <c r="D3115" s="220">
        <f t="shared" ref="D3115:AA3115" si="1269">SUM(D3116:D3135)</f>
        <v>0</v>
      </c>
      <c r="E3115" s="220">
        <f t="shared" si="1269"/>
        <v>0</v>
      </c>
      <c r="F3115" s="220">
        <f t="shared" si="1269"/>
        <v>0</v>
      </c>
      <c r="G3115" s="220">
        <f t="shared" si="1269"/>
        <v>0</v>
      </c>
      <c r="H3115" s="220">
        <f t="shared" si="1269"/>
        <v>0</v>
      </c>
      <c r="I3115" s="220">
        <f t="shared" si="1269"/>
        <v>3069</v>
      </c>
      <c r="J3115" s="220">
        <f t="shared" si="1269"/>
        <v>0</v>
      </c>
      <c r="K3115" s="220">
        <f t="shared" si="1269"/>
        <v>0</v>
      </c>
      <c r="L3115" s="220">
        <f t="shared" si="1269"/>
        <v>0</v>
      </c>
      <c r="M3115" s="220">
        <f t="shared" si="1269"/>
        <v>0</v>
      </c>
      <c r="N3115" s="220">
        <f t="shared" si="1269"/>
        <v>0</v>
      </c>
      <c r="O3115" s="220">
        <f t="shared" si="1269"/>
        <v>1745</v>
      </c>
      <c r="P3115" s="220">
        <f t="shared" si="1269"/>
        <v>0</v>
      </c>
      <c r="Q3115" s="220">
        <f t="shared" si="1269"/>
        <v>0</v>
      </c>
      <c r="R3115" s="220">
        <f t="shared" si="1269"/>
        <v>0</v>
      </c>
      <c r="S3115" s="220">
        <f t="shared" si="1269"/>
        <v>0</v>
      </c>
      <c r="T3115" s="220">
        <f t="shared" si="1269"/>
        <v>0</v>
      </c>
      <c r="U3115" s="220">
        <f t="shared" si="1269"/>
        <v>1767</v>
      </c>
      <c r="V3115" s="220">
        <f t="shared" si="1269"/>
        <v>0</v>
      </c>
      <c r="W3115" s="220">
        <f t="shared" si="1269"/>
        <v>0</v>
      </c>
      <c r="X3115" s="220">
        <f t="shared" si="1269"/>
        <v>0</v>
      </c>
      <c r="Y3115" s="220">
        <f t="shared" si="1269"/>
        <v>0</v>
      </c>
      <c r="Z3115" s="220">
        <f t="shared" si="1269"/>
        <v>0</v>
      </c>
      <c r="AA3115" s="220">
        <f t="shared" si="1269"/>
        <v>2091</v>
      </c>
      <c r="AB3115" s="220">
        <f t="shared" ref="AB3115:AB3136" si="1270">D3115+F3115+H3115+J3115+L3115+N3115+P3115+R3115+T3115+V3115+X3115+Z3115</f>
        <v>0</v>
      </c>
      <c r="AC3115" s="220">
        <f t="shared" ref="AC3115:AC3136" si="1271">E3115+G3115+I3115+K3115+M3115+O3115+Q3115+S3115+U3115+W3115+Y3115+AA3115</f>
        <v>8672</v>
      </c>
      <c r="AD3115" s="274">
        <f t="shared" ref="AD3115:BB3115" si="1272">SUM(AD3116:AD3135)</f>
        <v>4886</v>
      </c>
      <c r="AE3115" s="210">
        <f t="shared" si="1272"/>
        <v>0</v>
      </c>
      <c r="AF3115" s="210">
        <f t="shared" si="1272"/>
        <v>0</v>
      </c>
      <c r="AG3115" s="210">
        <f t="shared" si="1272"/>
        <v>0</v>
      </c>
      <c r="AH3115" s="210">
        <f t="shared" si="1272"/>
        <v>0</v>
      </c>
      <c r="AI3115" s="210">
        <f t="shared" si="1272"/>
        <v>0</v>
      </c>
      <c r="AJ3115" s="210">
        <f t="shared" si="1272"/>
        <v>1678</v>
      </c>
      <c r="AK3115" s="210">
        <f t="shared" si="1272"/>
        <v>0</v>
      </c>
      <c r="AL3115" s="210">
        <f t="shared" si="1272"/>
        <v>0</v>
      </c>
      <c r="AM3115" s="210">
        <f t="shared" si="1272"/>
        <v>0</v>
      </c>
      <c r="AN3115" s="210">
        <f t="shared" si="1272"/>
        <v>0</v>
      </c>
      <c r="AO3115" s="210">
        <f t="shared" si="1272"/>
        <v>0</v>
      </c>
      <c r="AP3115" s="210">
        <f t="shared" si="1272"/>
        <v>1961</v>
      </c>
      <c r="AQ3115" s="210">
        <f t="shared" si="1272"/>
        <v>0</v>
      </c>
      <c r="AR3115" s="210">
        <f t="shared" si="1272"/>
        <v>0</v>
      </c>
      <c r="AS3115" s="210">
        <f t="shared" si="1272"/>
        <v>0</v>
      </c>
      <c r="AT3115" s="210">
        <f t="shared" si="1272"/>
        <v>0</v>
      </c>
      <c r="AU3115" s="210">
        <f t="shared" si="1272"/>
        <v>0</v>
      </c>
      <c r="AV3115" s="210">
        <f t="shared" si="1272"/>
        <v>2102</v>
      </c>
      <c r="AW3115" s="210">
        <f t="shared" si="1272"/>
        <v>0</v>
      </c>
      <c r="AX3115" s="210">
        <f t="shared" si="1272"/>
        <v>0</v>
      </c>
      <c r="AY3115" s="210">
        <f t="shared" si="1272"/>
        <v>0</v>
      </c>
      <c r="AZ3115" s="210">
        <f t="shared" si="1272"/>
        <v>0</v>
      </c>
      <c r="BA3115" s="210">
        <f t="shared" si="1272"/>
        <v>0</v>
      </c>
      <c r="BB3115" s="210">
        <f t="shared" si="1272"/>
        <v>2114</v>
      </c>
      <c r="BC3115" s="220">
        <f t="shared" ref="BC3115:BC3136" si="1273">AE3115+AG3115+AI3115+AK3115+AM3115+AO3115+AQ3115+AS3115+AU3115+AW3115+AY3115+BA3115</f>
        <v>0</v>
      </c>
      <c r="BD3115" s="210">
        <f t="shared" ref="BD3115:BD3136" si="1274">AF3115+AH3115+AJ3115+AL3115+AN3115+AP3115+AR3115+AT3115+AV3115+AX3115+AZ3115+BB3115</f>
        <v>7855</v>
      </c>
      <c r="BE3115" s="210">
        <f>SUM(BE3116:BE3135)</f>
        <v>4220</v>
      </c>
      <c r="BF3115" s="220">
        <f t="shared" ref="BF3115:BF3136" si="1275">AB3115+BC3115</f>
        <v>0</v>
      </c>
      <c r="BG3115" s="210">
        <f t="shared" ref="BG3115:BG3136" si="1276">AC3115+BD3115</f>
        <v>16527</v>
      </c>
      <c r="BH3115" s="210">
        <f t="shared" ref="BH3115:BH3136" si="1277">AD3115+BE3115</f>
        <v>9106</v>
      </c>
      <c r="BI3115" s="213">
        <f t="shared" ref="BI3115" si="1278">BG3115/BH3115*100</f>
        <v>181.49571710959808</v>
      </c>
      <c r="BJ3115" s="140">
        <v>9106</v>
      </c>
      <c r="BK3115" s="203">
        <f>BH3115-BJ3115</f>
        <v>0</v>
      </c>
      <c r="BL3115" s="198">
        <v>5635</v>
      </c>
      <c r="BM3115" s="199">
        <f>BG3115-BL3115</f>
        <v>10892</v>
      </c>
    </row>
    <row r="3116" spans="1:65" s="38" customFormat="1" ht="18" customHeight="1">
      <c r="A3116" s="124">
        <v>1</v>
      </c>
      <c r="B3116" s="24" t="s">
        <v>1482</v>
      </c>
      <c r="C3116" s="25" t="s">
        <v>1483</v>
      </c>
      <c r="D3116" s="121"/>
      <c r="E3116" s="121"/>
      <c r="F3116" s="121"/>
      <c r="G3116" s="121"/>
      <c r="H3116" s="121"/>
      <c r="I3116" s="121">
        <f>903+87+249+6+1</f>
        <v>1246</v>
      </c>
      <c r="J3116" s="121"/>
      <c r="K3116" s="121"/>
      <c r="L3116" s="121"/>
      <c r="M3116" s="121"/>
      <c r="N3116" s="121"/>
      <c r="O3116" s="121">
        <f>896+153+3</f>
        <v>1052</v>
      </c>
      <c r="P3116" s="121"/>
      <c r="Q3116" s="121"/>
      <c r="R3116" s="121"/>
      <c r="S3116" s="121"/>
      <c r="T3116" s="121"/>
      <c r="U3116" s="121">
        <f>818+168+2+36</f>
        <v>1024</v>
      </c>
      <c r="V3116" s="121"/>
      <c r="W3116" s="121"/>
      <c r="X3116" s="121"/>
      <c r="Y3116" s="121"/>
      <c r="Z3116" s="121"/>
      <c r="AA3116" s="121">
        <f>965+356</f>
        <v>1321</v>
      </c>
      <c r="AB3116" s="229">
        <f>D3116+F3116+H3116+J3116+L3116+N3116+P3116+R3116+T3116+V3116+X3116+Z3116</f>
        <v>0</v>
      </c>
      <c r="AC3116" s="228">
        <f>E3116+G3116+I3116+K3116+M3116+O3116+Q3116+S3116+U3116+W3116+Y3116+AA3116</f>
        <v>4643</v>
      </c>
      <c r="AD3116" s="19">
        <v>3696</v>
      </c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29">
        <f>AE3116+AG3116+AI3116+AK3116+AM3116+AO3116+AQ3116+AS3116+AU3116+AW3116+AY3116+BA3116</f>
        <v>0</v>
      </c>
      <c r="BD3116" s="48">
        <f>AF3116+AH3116+AJ3116+AL3116+AN3116+AP3116+AR3116+AT3116+AV3116+AX3116+AZ3116+BB3116</f>
        <v>0</v>
      </c>
      <c r="BE3116" s="19">
        <v>0</v>
      </c>
      <c r="BF3116" s="229">
        <f>AB3116+BC3116</f>
        <v>0</v>
      </c>
      <c r="BG3116" s="210">
        <f>AC3116+BD3116</f>
        <v>4643</v>
      </c>
      <c r="BH3116" s="210">
        <f>AD3116+BE3116</f>
        <v>3696</v>
      </c>
      <c r="BI3116" s="213">
        <f t="shared" ref="BI3116:BI3135" si="1279">BG3116/BH3116*100</f>
        <v>125.62229437229438</v>
      </c>
      <c r="BJ3116" s="270" t="s">
        <v>2857</v>
      </c>
      <c r="BK3116" s="201"/>
      <c r="BL3116" s="4"/>
      <c r="BM3116" s="4"/>
    </row>
    <row r="3117" spans="1:65" s="38" customFormat="1" ht="18" customHeight="1">
      <c r="A3117" s="124">
        <v>2</v>
      </c>
      <c r="B3117" s="24" t="s">
        <v>553</v>
      </c>
      <c r="C3117" s="25" t="s">
        <v>3045</v>
      </c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>
        <v>1</v>
      </c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229"/>
      <c r="AC3117" s="228">
        <f t="shared" ref="AC3117:AC3135" si="1280">E3117+G3117+I3117+K3117+M3117+O3117+Q3117+S3117+U3117+W3117+Y3117+AA3117</f>
        <v>1</v>
      </c>
      <c r="AD3117" s="19">
        <v>0</v>
      </c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  <c r="AZ3117" s="28"/>
      <c r="BA3117" s="28"/>
      <c r="BB3117" s="28"/>
      <c r="BC3117" s="229"/>
      <c r="BD3117" s="48">
        <f t="shared" ref="BD3117:BD3135" si="1281">AF3117+AH3117+AJ3117+AL3117+AN3117+AP3117+AR3117+AT3117+AV3117+AX3117+AZ3117+BB3117</f>
        <v>0</v>
      </c>
      <c r="BE3117" s="19">
        <v>0</v>
      </c>
      <c r="BF3117" s="229"/>
      <c r="BG3117" s="210">
        <f t="shared" ref="BG3117:BG3135" si="1282">AC3117+BD3117</f>
        <v>1</v>
      </c>
      <c r="BH3117" s="210">
        <f t="shared" ref="BH3117:BH3135" si="1283">AD3117+BE3117</f>
        <v>0</v>
      </c>
      <c r="BI3117" s="213" t="e">
        <f t="shared" si="1279"/>
        <v>#DIV/0!</v>
      </c>
      <c r="BJ3117" s="270"/>
      <c r="BK3117" s="201"/>
      <c r="BL3117" s="4"/>
      <c r="BM3117" s="4"/>
    </row>
    <row r="3118" spans="1:65" s="38" customFormat="1" ht="18" customHeight="1">
      <c r="A3118" s="124">
        <v>3</v>
      </c>
      <c r="B3118" s="24" t="s">
        <v>571</v>
      </c>
      <c r="C3118" s="25" t="s">
        <v>572</v>
      </c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>
        <v>1</v>
      </c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229"/>
      <c r="AC3118" s="228">
        <f t="shared" si="1280"/>
        <v>1</v>
      </c>
      <c r="AD3118" s="19">
        <v>0</v>
      </c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29"/>
      <c r="BD3118" s="48">
        <f t="shared" si="1281"/>
        <v>0</v>
      </c>
      <c r="BE3118" s="19">
        <v>0</v>
      </c>
      <c r="BF3118" s="229"/>
      <c r="BG3118" s="210">
        <f t="shared" si="1282"/>
        <v>1</v>
      </c>
      <c r="BH3118" s="210">
        <f t="shared" si="1283"/>
        <v>0</v>
      </c>
      <c r="BI3118" s="213" t="e">
        <f t="shared" si="1279"/>
        <v>#DIV/0!</v>
      </c>
      <c r="BJ3118" s="270"/>
      <c r="BK3118" s="201"/>
      <c r="BL3118" s="4"/>
      <c r="BM3118" s="4"/>
    </row>
    <row r="3119" spans="1:65" s="38" customFormat="1" ht="21.95" customHeight="1">
      <c r="A3119" s="124">
        <v>4</v>
      </c>
      <c r="B3119" s="24" t="s">
        <v>626</v>
      </c>
      <c r="C3119" s="27" t="s">
        <v>627</v>
      </c>
      <c r="D3119" s="121"/>
      <c r="E3119" s="121"/>
      <c r="F3119" s="121"/>
      <c r="G3119" s="121"/>
      <c r="H3119" s="121"/>
      <c r="I3119" s="121">
        <f>216+32+1120</f>
        <v>1368</v>
      </c>
      <c r="J3119" s="121"/>
      <c r="K3119" s="121"/>
      <c r="L3119" s="121"/>
      <c r="M3119" s="121"/>
      <c r="N3119" s="121"/>
      <c r="O3119" s="121">
        <f>93+42</f>
        <v>135</v>
      </c>
      <c r="P3119" s="121"/>
      <c r="Q3119" s="121"/>
      <c r="R3119" s="121"/>
      <c r="S3119" s="121"/>
      <c r="T3119" s="121"/>
      <c r="U3119" s="121">
        <f>154+70</f>
        <v>224</v>
      </c>
      <c r="V3119" s="121"/>
      <c r="W3119" s="121"/>
      <c r="X3119" s="121"/>
      <c r="Y3119" s="121"/>
      <c r="Z3119" s="121"/>
      <c r="AA3119" s="121">
        <f>153+37</f>
        <v>190</v>
      </c>
      <c r="AB3119" s="229">
        <f>D3119+F3119+H3119+J3119+L3119+N3119+P3119+R3119+T3119+V3119+X3119+Z3119</f>
        <v>0</v>
      </c>
      <c r="AC3119" s="228">
        <f t="shared" si="1280"/>
        <v>1917</v>
      </c>
      <c r="AD3119" s="19">
        <v>655</v>
      </c>
      <c r="AE3119" s="28"/>
      <c r="AF3119" s="28"/>
      <c r="AG3119" s="28"/>
      <c r="AH3119" s="28"/>
      <c r="AI3119" s="28"/>
      <c r="AJ3119" s="28">
        <v>1120</v>
      </c>
      <c r="AK3119" s="28"/>
      <c r="AL3119" s="28"/>
      <c r="AM3119" s="28"/>
      <c r="AN3119" s="28"/>
      <c r="AO3119" s="28"/>
      <c r="AP3119" s="28">
        <f>2+1436</f>
        <v>1438</v>
      </c>
      <c r="AQ3119" s="28"/>
      <c r="AR3119" s="28"/>
      <c r="AS3119" s="28"/>
      <c r="AT3119" s="28"/>
      <c r="AU3119" s="28"/>
      <c r="AV3119" s="28">
        <v>1563</v>
      </c>
      <c r="AW3119" s="28"/>
      <c r="AX3119" s="28"/>
      <c r="AY3119" s="28"/>
      <c r="AZ3119" s="28"/>
      <c r="BA3119" s="28"/>
      <c r="BB3119" s="28">
        <f>1+1558</f>
        <v>1559</v>
      </c>
      <c r="BC3119" s="229">
        <f>AE3119+AG3119+AI3119+AK3119+AM3119+AO3119+AQ3119+AS3119+AU3119+AW3119+AY3119+BA3119</f>
        <v>0</v>
      </c>
      <c r="BD3119" s="48">
        <f t="shared" si="1281"/>
        <v>5680</v>
      </c>
      <c r="BE3119" s="19">
        <v>2894</v>
      </c>
      <c r="BF3119" s="229">
        <f>AB3119+BC3119</f>
        <v>0</v>
      </c>
      <c r="BG3119" s="210">
        <f t="shared" si="1282"/>
        <v>7597</v>
      </c>
      <c r="BH3119" s="210">
        <f t="shared" si="1283"/>
        <v>3549</v>
      </c>
      <c r="BI3119" s="213">
        <f t="shared" si="1279"/>
        <v>214.0602986756833</v>
      </c>
      <c r="BJ3119" s="141"/>
      <c r="BK3119" s="201"/>
      <c r="BL3119" s="4"/>
      <c r="BM3119" s="4"/>
    </row>
    <row r="3120" spans="1:65" s="38" customFormat="1" ht="24" customHeight="1">
      <c r="A3120" s="124">
        <v>5</v>
      </c>
      <c r="B3120" s="24" t="s">
        <v>1599</v>
      </c>
      <c r="C3120" s="27" t="s">
        <v>1600</v>
      </c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229">
        <f>D3120+F3120+H3120+J3120+L3120+N3120+P3120+R3120+T3120+V3120+X3120+Z3120</f>
        <v>0</v>
      </c>
      <c r="AC3120" s="228">
        <f t="shared" si="1280"/>
        <v>0</v>
      </c>
      <c r="AD3120" s="19">
        <v>0</v>
      </c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29">
        <f>AE3120+AG3120+AI3120+AK3120+AM3120+AO3120+AQ3120+AS3120+AU3120+AW3120+AY3120+BA3120</f>
        <v>0</v>
      </c>
      <c r="BD3120" s="48">
        <f t="shared" si="1281"/>
        <v>0</v>
      </c>
      <c r="BE3120" s="19">
        <v>1</v>
      </c>
      <c r="BF3120" s="229">
        <f>AB3120+BC3120</f>
        <v>0</v>
      </c>
      <c r="BG3120" s="210">
        <f t="shared" si="1282"/>
        <v>0</v>
      </c>
      <c r="BH3120" s="210">
        <f t="shared" si="1283"/>
        <v>1</v>
      </c>
      <c r="BI3120" s="213">
        <f t="shared" si="1279"/>
        <v>0</v>
      </c>
      <c r="BJ3120" s="141"/>
      <c r="BK3120" s="201"/>
      <c r="BL3120" s="4"/>
      <c r="BM3120" s="4"/>
    </row>
    <row r="3121" spans="1:65" s="38" customFormat="1" ht="21.95" customHeight="1">
      <c r="A3121" s="124">
        <v>6</v>
      </c>
      <c r="B3121" s="24" t="s">
        <v>1869</v>
      </c>
      <c r="C3121" s="27" t="s">
        <v>1870</v>
      </c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229">
        <f>D3121+F3121+H3121+J3121+L3121+N3121+P3121+R3121+T3121+V3121+X3121+Z3121</f>
        <v>0</v>
      </c>
      <c r="AC3121" s="228">
        <f t="shared" si="1280"/>
        <v>0</v>
      </c>
      <c r="AD3121" s="19">
        <v>0</v>
      </c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  <c r="AZ3121" s="28"/>
      <c r="BA3121" s="28"/>
      <c r="BB3121" s="28"/>
      <c r="BC3121" s="229">
        <f>AE3121+AG3121+AI3121+AK3121+AM3121+AO3121+AQ3121+AS3121+AU3121+AW3121+AY3121+BA3121</f>
        <v>0</v>
      </c>
      <c r="BD3121" s="48">
        <f t="shared" si="1281"/>
        <v>0</v>
      </c>
      <c r="BE3121" s="19">
        <v>1</v>
      </c>
      <c r="BF3121" s="229">
        <f>AB3121+BC3121</f>
        <v>0</v>
      </c>
      <c r="BG3121" s="210">
        <f t="shared" si="1282"/>
        <v>0</v>
      </c>
      <c r="BH3121" s="210">
        <f t="shared" si="1283"/>
        <v>1</v>
      </c>
      <c r="BI3121" s="213">
        <f t="shared" si="1279"/>
        <v>0</v>
      </c>
      <c r="BJ3121" s="141"/>
      <c r="BK3121" s="201"/>
      <c r="BL3121" s="4"/>
      <c r="BM3121" s="4"/>
    </row>
    <row r="3122" spans="1:65" s="38" customFormat="1" ht="18" customHeight="1">
      <c r="A3122" s="124">
        <v>7</v>
      </c>
      <c r="B3122" s="24" t="s">
        <v>628</v>
      </c>
      <c r="C3122" s="25" t="s">
        <v>629</v>
      </c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>
        <v>1</v>
      </c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229"/>
      <c r="AC3122" s="228">
        <f t="shared" si="1280"/>
        <v>1</v>
      </c>
      <c r="AD3122" s="19">
        <v>0</v>
      </c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  <c r="AZ3122" s="28"/>
      <c r="BA3122" s="28"/>
      <c r="BB3122" s="28"/>
      <c r="BC3122" s="229"/>
      <c r="BD3122" s="48">
        <f t="shared" si="1281"/>
        <v>0</v>
      </c>
      <c r="BE3122" s="19">
        <v>0</v>
      </c>
      <c r="BF3122" s="229"/>
      <c r="BG3122" s="210">
        <f t="shared" si="1282"/>
        <v>1</v>
      </c>
      <c r="BH3122" s="210">
        <f t="shared" si="1283"/>
        <v>0</v>
      </c>
      <c r="BI3122" s="213" t="e">
        <f t="shared" si="1279"/>
        <v>#DIV/0!</v>
      </c>
      <c r="BJ3122" s="141"/>
      <c r="BK3122" s="201"/>
      <c r="BL3122" s="4"/>
      <c r="BM3122" s="4"/>
    </row>
    <row r="3123" spans="1:65" s="38" customFormat="1" ht="18" customHeight="1">
      <c r="A3123" s="124">
        <v>8</v>
      </c>
      <c r="B3123" s="24" t="s">
        <v>935</v>
      </c>
      <c r="C3123" s="25" t="s">
        <v>936</v>
      </c>
      <c r="D3123" s="121"/>
      <c r="E3123" s="121"/>
      <c r="F3123" s="121"/>
      <c r="G3123" s="121"/>
      <c r="H3123" s="121"/>
      <c r="I3123" s="121">
        <v>133</v>
      </c>
      <c r="J3123" s="121"/>
      <c r="K3123" s="121"/>
      <c r="L3123" s="121"/>
      <c r="M3123" s="121"/>
      <c r="N3123" s="121"/>
      <c r="O3123" s="121">
        <v>53</v>
      </c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>
        <v>18</v>
      </c>
      <c r="AB3123" s="229">
        <f t="shared" ref="AB3123:AB3132" si="1284">D3123+F3123+H3123+J3123+L3123+N3123+P3123+R3123+T3123+V3123+X3123+Z3123</f>
        <v>0</v>
      </c>
      <c r="AC3123" s="228">
        <f t="shared" si="1280"/>
        <v>204</v>
      </c>
      <c r="AD3123" s="19">
        <v>226</v>
      </c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  <c r="AZ3123" s="28"/>
      <c r="BA3123" s="28"/>
      <c r="BB3123" s="28"/>
      <c r="BC3123" s="229">
        <f t="shared" ref="BC3123:BC3132" si="1285">AE3123+AG3123+AI3123+AK3123+AM3123+AO3123+AQ3123+AS3123+AU3123+AW3123+AY3123+BA3123</f>
        <v>0</v>
      </c>
      <c r="BD3123" s="48">
        <f t="shared" si="1281"/>
        <v>0</v>
      </c>
      <c r="BE3123" s="19">
        <v>0</v>
      </c>
      <c r="BF3123" s="229">
        <f t="shared" ref="BF3123:BF3132" si="1286">AB3123+BC3123</f>
        <v>0</v>
      </c>
      <c r="BG3123" s="210">
        <f t="shared" si="1282"/>
        <v>204</v>
      </c>
      <c r="BH3123" s="210">
        <f t="shared" si="1283"/>
        <v>226</v>
      </c>
      <c r="BI3123" s="213">
        <f t="shared" si="1279"/>
        <v>90.265486725663706</v>
      </c>
      <c r="BJ3123" s="141"/>
      <c r="BK3123" s="201"/>
      <c r="BL3123" s="4"/>
      <c r="BM3123" s="4"/>
    </row>
    <row r="3124" spans="1:65" s="38" customFormat="1" ht="18" customHeight="1">
      <c r="A3124" s="124">
        <v>9</v>
      </c>
      <c r="B3124" s="24" t="s">
        <v>653</v>
      </c>
      <c r="C3124" s="25" t="s">
        <v>654</v>
      </c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229">
        <f t="shared" si="1284"/>
        <v>0</v>
      </c>
      <c r="AC3124" s="228">
        <f t="shared" si="1280"/>
        <v>0</v>
      </c>
      <c r="AD3124" s="19">
        <v>1</v>
      </c>
      <c r="AE3124" s="28"/>
      <c r="AF3124" s="28"/>
      <c r="AG3124" s="28"/>
      <c r="AH3124" s="28"/>
      <c r="AI3124" s="28"/>
      <c r="AJ3124" s="28">
        <f>3+2</f>
        <v>5</v>
      </c>
      <c r="AK3124" s="28"/>
      <c r="AL3124" s="28"/>
      <c r="AM3124" s="28"/>
      <c r="AN3124" s="28"/>
      <c r="AO3124" s="28"/>
      <c r="AP3124" s="28">
        <v>5</v>
      </c>
      <c r="AQ3124" s="28"/>
      <c r="AR3124" s="28"/>
      <c r="AS3124" s="28"/>
      <c r="AT3124" s="28"/>
      <c r="AU3124" s="28"/>
      <c r="AV3124" s="28">
        <v>10</v>
      </c>
      <c r="AW3124" s="28"/>
      <c r="AX3124" s="28"/>
      <c r="AY3124" s="28"/>
      <c r="AZ3124" s="28"/>
      <c r="BA3124" s="28"/>
      <c r="BB3124" s="28"/>
      <c r="BC3124" s="229">
        <f t="shared" si="1285"/>
        <v>0</v>
      </c>
      <c r="BD3124" s="48">
        <f t="shared" si="1281"/>
        <v>20</v>
      </c>
      <c r="BE3124" s="19">
        <v>93</v>
      </c>
      <c r="BF3124" s="229">
        <f t="shared" si="1286"/>
        <v>0</v>
      </c>
      <c r="BG3124" s="210">
        <f t="shared" si="1282"/>
        <v>20</v>
      </c>
      <c r="BH3124" s="210">
        <f t="shared" si="1283"/>
        <v>94</v>
      </c>
      <c r="BI3124" s="213">
        <f t="shared" si="1279"/>
        <v>21.276595744680851</v>
      </c>
      <c r="BJ3124" s="141"/>
      <c r="BK3124" s="201"/>
      <c r="BL3124" s="4"/>
      <c r="BM3124" s="4"/>
    </row>
    <row r="3125" spans="1:65" s="38" customFormat="1" ht="18" customHeight="1">
      <c r="A3125" s="124">
        <v>10</v>
      </c>
      <c r="B3125" s="24" t="s">
        <v>1685</v>
      </c>
      <c r="C3125" s="25" t="s">
        <v>1686</v>
      </c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229">
        <f t="shared" si="1284"/>
        <v>0</v>
      </c>
      <c r="AC3125" s="228">
        <f t="shared" si="1280"/>
        <v>0</v>
      </c>
      <c r="AD3125" s="19">
        <v>0</v>
      </c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  <c r="AZ3125" s="28"/>
      <c r="BA3125" s="28"/>
      <c r="BB3125" s="28"/>
      <c r="BC3125" s="229">
        <f t="shared" si="1285"/>
        <v>0</v>
      </c>
      <c r="BD3125" s="48">
        <f t="shared" si="1281"/>
        <v>0</v>
      </c>
      <c r="BE3125" s="19">
        <v>0</v>
      </c>
      <c r="BF3125" s="229">
        <f t="shared" si="1286"/>
        <v>0</v>
      </c>
      <c r="BG3125" s="210">
        <f t="shared" si="1282"/>
        <v>0</v>
      </c>
      <c r="BH3125" s="210">
        <f t="shared" si="1283"/>
        <v>0</v>
      </c>
      <c r="BI3125" s="213" t="e">
        <f t="shared" si="1279"/>
        <v>#DIV/0!</v>
      </c>
      <c r="BJ3125" s="141"/>
      <c r="BK3125" s="201"/>
      <c r="BL3125" s="4"/>
      <c r="BM3125" s="4"/>
    </row>
    <row r="3126" spans="1:65" s="38" customFormat="1" ht="18" customHeight="1">
      <c r="A3126" s="124">
        <v>11</v>
      </c>
      <c r="B3126" s="24" t="s">
        <v>655</v>
      </c>
      <c r="C3126" s="25" t="s">
        <v>997</v>
      </c>
      <c r="D3126" s="121"/>
      <c r="E3126" s="121"/>
      <c r="F3126" s="121"/>
      <c r="G3126" s="121"/>
      <c r="H3126" s="121"/>
      <c r="I3126" s="121">
        <f>50+27</f>
        <v>77</v>
      </c>
      <c r="J3126" s="121"/>
      <c r="K3126" s="121"/>
      <c r="L3126" s="121"/>
      <c r="M3126" s="121"/>
      <c r="N3126" s="121"/>
      <c r="O3126" s="121">
        <f>93+5</f>
        <v>98</v>
      </c>
      <c r="P3126" s="121"/>
      <c r="Q3126" s="121"/>
      <c r="R3126" s="121"/>
      <c r="S3126" s="121"/>
      <c r="T3126" s="121"/>
      <c r="U3126" s="121">
        <f>41+24</f>
        <v>65</v>
      </c>
      <c r="V3126" s="121"/>
      <c r="W3126" s="121"/>
      <c r="X3126" s="121"/>
      <c r="Y3126" s="121"/>
      <c r="Z3126" s="121"/>
      <c r="AA3126" s="121">
        <f>18+16</f>
        <v>34</v>
      </c>
      <c r="AB3126" s="229">
        <f t="shared" si="1284"/>
        <v>0</v>
      </c>
      <c r="AC3126" s="228">
        <f t="shared" si="1280"/>
        <v>274</v>
      </c>
      <c r="AD3126" s="19">
        <v>232</v>
      </c>
      <c r="AE3126" s="28"/>
      <c r="AF3126" s="28"/>
      <c r="AG3126" s="28"/>
      <c r="AH3126" s="28"/>
      <c r="AI3126" s="28"/>
      <c r="AJ3126" s="28">
        <v>414</v>
      </c>
      <c r="AK3126" s="28"/>
      <c r="AL3126" s="28"/>
      <c r="AM3126" s="28"/>
      <c r="AN3126" s="28"/>
      <c r="AO3126" s="28"/>
      <c r="AP3126" s="28">
        <v>379</v>
      </c>
      <c r="AQ3126" s="28"/>
      <c r="AR3126" s="28"/>
      <c r="AS3126" s="28"/>
      <c r="AT3126" s="28"/>
      <c r="AU3126" s="28"/>
      <c r="AV3126" s="28">
        <v>366</v>
      </c>
      <c r="AW3126" s="28"/>
      <c r="AX3126" s="28"/>
      <c r="AY3126" s="28"/>
      <c r="AZ3126" s="28"/>
      <c r="BA3126" s="28"/>
      <c r="BB3126" s="28">
        <v>311</v>
      </c>
      <c r="BC3126" s="229">
        <f t="shared" si="1285"/>
        <v>0</v>
      </c>
      <c r="BD3126" s="48">
        <f t="shared" si="1281"/>
        <v>1470</v>
      </c>
      <c r="BE3126" s="19">
        <v>515</v>
      </c>
      <c r="BF3126" s="229">
        <f t="shared" si="1286"/>
        <v>0</v>
      </c>
      <c r="BG3126" s="210">
        <f t="shared" si="1282"/>
        <v>1744</v>
      </c>
      <c r="BH3126" s="210">
        <f t="shared" si="1283"/>
        <v>747</v>
      </c>
      <c r="BI3126" s="213">
        <f t="shared" si="1279"/>
        <v>233.46720214190094</v>
      </c>
      <c r="BJ3126" s="141"/>
      <c r="BK3126" s="201"/>
      <c r="BL3126" s="4"/>
      <c r="BM3126" s="4"/>
    </row>
    <row r="3127" spans="1:65" s="38" customFormat="1" ht="21.95" customHeight="1">
      <c r="A3127" s="124">
        <v>12</v>
      </c>
      <c r="B3127" s="24" t="s">
        <v>2681</v>
      </c>
      <c r="C3127" s="27" t="s">
        <v>2682</v>
      </c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229">
        <f t="shared" si="1284"/>
        <v>0</v>
      </c>
      <c r="AC3127" s="228">
        <f t="shared" si="1280"/>
        <v>0</v>
      </c>
      <c r="AD3127" s="19">
        <v>0</v>
      </c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  <c r="AZ3127" s="28"/>
      <c r="BA3127" s="28"/>
      <c r="BB3127" s="28"/>
      <c r="BC3127" s="229">
        <f t="shared" si="1285"/>
        <v>0</v>
      </c>
      <c r="BD3127" s="48">
        <f t="shared" si="1281"/>
        <v>0</v>
      </c>
      <c r="BE3127" s="19">
        <v>4</v>
      </c>
      <c r="BF3127" s="229">
        <f t="shared" si="1286"/>
        <v>0</v>
      </c>
      <c r="BG3127" s="210">
        <f t="shared" si="1282"/>
        <v>0</v>
      </c>
      <c r="BH3127" s="210">
        <f t="shared" si="1283"/>
        <v>4</v>
      </c>
      <c r="BI3127" s="213">
        <f t="shared" si="1279"/>
        <v>0</v>
      </c>
      <c r="BJ3127" s="141"/>
      <c r="BK3127" s="201"/>
      <c r="BL3127" s="4"/>
      <c r="BM3127" s="4"/>
    </row>
    <row r="3128" spans="1:65" s="38" customFormat="1" ht="18" customHeight="1">
      <c r="A3128" s="124">
        <v>13</v>
      </c>
      <c r="B3128" s="24" t="s">
        <v>2285</v>
      </c>
      <c r="C3128" s="25" t="s">
        <v>2683</v>
      </c>
      <c r="D3128" s="121"/>
      <c r="E3128" s="121"/>
      <c r="F3128" s="121"/>
      <c r="G3128" s="121"/>
      <c r="H3128" s="121"/>
      <c r="I3128" s="121">
        <v>230</v>
      </c>
      <c r="J3128" s="121"/>
      <c r="K3128" s="121"/>
      <c r="L3128" s="121"/>
      <c r="M3128" s="121"/>
      <c r="N3128" s="121"/>
      <c r="O3128" s="121">
        <f>388+4</f>
        <v>392</v>
      </c>
      <c r="P3128" s="121"/>
      <c r="Q3128" s="121"/>
      <c r="R3128" s="121"/>
      <c r="S3128" s="121"/>
      <c r="T3128" s="121"/>
      <c r="U3128" s="121">
        <f>288+5</f>
        <v>293</v>
      </c>
      <c r="V3128" s="121"/>
      <c r="W3128" s="121"/>
      <c r="X3128" s="121"/>
      <c r="Y3128" s="121"/>
      <c r="Z3128" s="121"/>
      <c r="AA3128" s="121">
        <v>504</v>
      </c>
      <c r="AB3128" s="229">
        <f t="shared" si="1284"/>
        <v>0</v>
      </c>
      <c r="AC3128" s="228">
        <f t="shared" si="1280"/>
        <v>1419</v>
      </c>
      <c r="AD3128" s="19">
        <v>0</v>
      </c>
      <c r="AE3128" s="28"/>
      <c r="AF3128" s="28"/>
      <c r="AG3128" s="28"/>
      <c r="AH3128" s="28"/>
      <c r="AI3128" s="28"/>
      <c r="AJ3128" s="28">
        <v>1</v>
      </c>
      <c r="AK3128" s="28"/>
      <c r="AL3128" s="28"/>
      <c r="AM3128" s="28"/>
      <c r="AN3128" s="28"/>
      <c r="AO3128" s="28"/>
      <c r="AP3128" s="28">
        <v>1</v>
      </c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29">
        <f t="shared" si="1285"/>
        <v>0</v>
      </c>
      <c r="BD3128" s="48">
        <f t="shared" si="1281"/>
        <v>2</v>
      </c>
      <c r="BE3128" s="19">
        <v>6</v>
      </c>
      <c r="BF3128" s="229">
        <f t="shared" si="1286"/>
        <v>0</v>
      </c>
      <c r="BG3128" s="210">
        <f t="shared" si="1282"/>
        <v>1421</v>
      </c>
      <c r="BH3128" s="210">
        <f t="shared" si="1283"/>
        <v>6</v>
      </c>
      <c r="BI3128" s="313">
        <f t="shared" si="1279"/>
        <v>23683.333333333336</v>
      </c>
      <c r="BJ3128" s="141"/>
      <c r="BK3128" s="201"/>
      <c r="BL3128" s="4"/>
      <c r="BM3128" s="4"/>
    </row>
    <row r="3129" spans="1:65" s="38" customFormat="1" ht="18" customHeight="1">
      <c r="A3129" s="124">
        <v>14</v>
      </c>
      <c r="B3129" s="24" t="s">
        <v>822</v>
      </c>
      <c r="C3129" s="25" t="s">
        <v>823</v>
      </c>
      <c r="D3129" s="121"/>
      <c r="E3129" s="121"/>
      <c r="F3129" s="121"/>
      <c r="G3129" s="121"/>
      <c r="H3129" s="121"/>
      <c r="I3129" s="121">
        <f>1+10</f>
        <v>11</v>
      </c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>
        <f>2+7</f>
        <v>9</v>
      </c>
      <c r="V3129" s="121"/>
      <c r="W3129" s="121"/>
      <c r="X3129" s="121"/>
      <c r="Y3129" s="121"/>
      <c r="Z3129" s="121"/>
      <c r="AA3129" s="121">
        <v>16</v>
      </c>
      <c r="AB3129" s="229">
        <f t="shared" si="1284"/>
        <v>0</v>
      </c>
      <c r="AC3129" s="228">
        <f t="shared" si="1280"/>
        <v>36</v>
      </c>
      <c r="AD3129" s="19">
        <v>43</v>
      </c>
      <c r="AE3129" s="28"/>
      <c r="AF3129" s="28"/>
      <c r="AG3129" s="28"/>
      <c r="AH3129" s="28"/>
      <c r="AI3129" s="28"/>
      <c r="AJ3129" s="28">
        <f>1+75</f>
        <v>76</v>
      </c>
      <c r="AK3129" s="28"/>
      <c r="AL3129" s="28"/>
      <c r="AM3129" s="28"/>
      <c r="AN3129" s="28"/>
      <c r="AO3129" s="28"/>
      <c r="AP3129" s="28">
        <v>51</v>
      </c>
      <c r="AQ3129" s="28"/>
      <c r="AR3129" s="28"/>
      <c r="AS3129" s="28"/>
      <c r="AT3129" s="28"/>
      <c r="AU3129" s="28"/>
      <c r="AV3129" s="28">
        <v>78</v>
      </c>
      <c r="AW3129" s="28"/>
      <c r="AX3129" s="28"/>
      <c r="AY3129" s="28"/>
      <c r="AZ3129" s="28"/>
      <c r="BA3129" s="28"/>
      <c r="BB3129" s="28">
        <v>152</v>
      </c>
      <c r="BC3129" s="229">
        <f t="shared" si="1285"/>
        <v>0</v>
      </c>
      <c r="BD3129" s="48">
        <f t="shared" si="1281"/>
        <v>357</v>
      </c>
      <c r="BE3129" s="19">
        <v>274</v>
      </c>
      <c r="BF3129" s="229">
        <f t="shared" si="1286"/>
        <v>0</v>
      </c>
      <c r="BG3129" s="210">
        <f t="shared" si="1282"/>
        <v>393</v>
      </c>
      <c r="BH3129" s="210">
        <f t="shared" si="1283"/>
        <v>317</v>
      </c>
      <c r="BI3129" s="213">
        <f t="shared" si="1279"/>
        <v>123.97476340694007</v>
      </c>
      <c r="BJ3129" s="141"/>
      <c r="BK3129" s="201"/>
      <c r="BL3129" s="4"/>
      <c r="BM3129" s="4"/>
    </row>
    <row r="3130" spans="1:65" s="38" customFormat="1" ht="18" customHeight="1">
      <c r="A3130" s="124">
        <v>15</v>
      </c>
      <c r="B3130" s="24" t="s">
        <v>1250</v>
      </c>
      <c r="C3130" s="25" t="s">
        <v>1583</v>
      </c>
      <c r="D3130" s="121"/>
      <c r="E3130" s="121"/>
      <c r="F3130" s="121"/>
      <c r="G3130" s="121"/>
      <c r="H3130" s="121"/>
      <c r="I3130" s="121">
        <v>2</v>
      </c>
      <c r="J3130" s="121"/>
      <c r="K3130" s="121"/>
      <c r="L3130" s="121"/>
      <c r="M3130" s="121"/>
      <c r="N3130" s="121"/>
      <c r="O3130" s="121">
        <f>3+3</f>
        <v>6</v>
      </c>
      <c r="P3130" s="121"/>
      <c r="Q3130" s="121"/>
      <c r="R3130" s="121"/>
      <c r="S3130" s="121"/>
      <c r="T3130" s="121"/>
      <c r="U3130" s="121">
        <f>4+2</f>
        <v>6</v>
      </c>
      <c r="V3130" s="121"/>
      <c r="W3130" s="121"/>
      <c r="X3130" s="121"/>
      <c r="Y3130" s="121"/>
      <c r="Z3130" s="121"/>
      <c r="AA3130" s="121">
        <v>4</v>
      </c>
      <c r="AB3130" s="229">
        <f t="shared" si="1284"/>
        <v>0</v>
      </c>
      <c r="AC3130" s="228">
        <f t="shared" si="1280"/>
        <v>18</v>
      </c>
      <c r="AD3130" s="19">
        <v>32</v>
      </c>
      <c r="AE3130" s="28"/>
      <c r="AF3130" s="28"/>
      <c r="AG3130" s="28"/>
      <c r="AH3130" s="28"/>
      <c r="AI3130" s="28"/>
      <c r="AJ3130" s="28">
        <v>62</v>
      </c>
      <c r="AK3130" s="28"/>
      <c r="AL3130" s="28"/>
      <c r="AM3130" s="28"/>
      <c r="AN3130" s="28"/>
      <c r="AO3130" s="28"/>
      <c r="AP3130" s="28">
        <v>62</v>
      </c>
      <c r="AQ3130" s="28"/>
      <c r="AR3130" s="28"/>
      <c r="AS3130" s="28"/>
      <c r="AT3130" s="28"/>
      <c r="AU3130" s="28"/>
      <c r="AV3130" s="28">
        <v>71</v>
      </c>
      <c r="AW3130" s="28"/>
      <c r="AX3130" s="28"/>
      <c r="AY3130" s="28"/>
      <c r="AZ3130" s="28"/>
      <c r="BA3130" s="28"/>
      <c r="BB3130" s="28">
        <v>92</v>
      </c>
      <c r="BC3130" s="229">
        <f t="shared" si="1285"/>
        <v>0</v>
      </c>
      <c r="BD3130" s="48">
        <f t="shared" si="1281"/>
        <v>287</v>
      </c>
      <c r="BE3130" s="19">
        <v>428</v>
      </c>
      <c r="BF3130" s="229">
        <f t="shared" si="1286"/>
        <v>0</v>
      </c>
      <c r="BG3130" s="210">
        <f t="shared" si="1282"/>
        <v>305</v>
      </c>
      <c r="BH3130" s="210">
        <f t="shared" si="1283"/>
        <v>460</v>
      </c>
      <c r="BI3130" s="213">
        <f t="shared" si="1279"/>
        <v>66.304347826086953</v>
      </c>
      <c r="BJ3130" s="141"/>
      <c r="BK3130" s="201"/>
      <c r="BL3130" s="4"/>
      <c r="BM3130" s="4"/>
    </row>
    <row r="3131" spans="1:65" s="38" customFormat="1" ht="18" customHeight="1">
      <c r="A3131" s="124">
        <v>16</v>
      </c>
      <c r="B3131" s="24" t="s">
        <v>2684</v>
      </c>
      <c r="C3131" s="25" t="s">
        <v>2685</v>
      </c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229">
        <f t="shared" si="1284"/>
        <v>0</v>
      </c>
      <c r="AC3131" s="228">
        <f t="shared" si="1280"/>
        <v>0</v>
      </c>
      <c r="AD3131" s="19">
        <v>0</v>
      </c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29">
        <f t="shared" si="1285"/>
        <v>0</v>
      </c>
      <c r="BD3131" s="48">
        <f t="shared" si="1281"/>
        <v>0</v>
      </c>
      <c r="BE3131" s="19">
        <v>4</v>
      </c>
      <c r="BF3131" s="229">
        <f t="shared" si="1286"/>
        <v>0</v>
      </c>
      <c r="BG3131" s="210">
        <f t="shared" si="1282"/>
        <v>0</v>
      </c>
      <c r="BH3131" s="210">
        <f t="shared" si="1283"/>
        <v>4</v>
      </c>
      <c r="BI3131" s="213">
        <f t="shared" si="1279"/>
        <v>0</v>
      </c>
      <c r="BJ3131" s="141"/>
      <c r="BK3131" s="201"/>
      <c r="BL3131" s="4"/>
      <c r="BM3131" s="4"/>
    </row>
    <row r="3132" spans="1:65" s="38" customFormat="1" ht="21.75" customHeight="1">
      <c r="A3132" s="124">
        <v>17</v>
      </c>
      <c r="B3132" s="24" t="s">
        <v>657</v>
      </c>
      <c r="C3132" s="27" t="s">
        <v>1401</v>
      </c>
      <c r="D3132" s="121"/>
      <c r="E3132" s="121"/>
      <c r="F3132" s="121"/>
      <c r="G3132" s="121"/>
      <c r="H3132" s="121"/>
      <c r="I3132" s="121">
        <v>2</v>
      </c>
      <c r="J3132" s="121"/>
      <c r="K3132" s="121"/>
      <c r="L3132" s="121"/>
      <c r="M3132" s="121"/>
      <c r="N3132" s="121"/>
      <c r="O3132" s="121">
        <v>4</v>
      </c>
      <c r="P3132" s="121"/>
      <c r="Q3132" s="121"/>
      <c r="R3132" s="121"/>
      <c r="S3132" s="121"/>
      <c r="T3132" s="121"/>
      <c r="U3132" s="121">
        <v>1</v>
      </c>
      <c r="V3132" s="121"/>
      <c r="W3132" s="121"/>
      <c r="X3132" s="121"/>
      <c r="Y3132" s="121"/>
      <c r="Z3132" s="121"/>
      <c r="AA3132" s="121">
        <f>2+2</f>
        <v>4</v>
      </c>
      <c r="AB3132" s="229">
        <f t="shared" si="1284"/>
        <v>0</v>
      </c>
      <c r="AC3132" s="228">
        <f t="shared" si="1280"/>
        <v>11</v>
      </c>
      <c r="AD3132" s="19">
        <v>1</v>
      </c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29">
        <f t="shared" si="1285"/>
        <v>0</v>
      </c>
      <c r="BD3132" s="48">
        <f t="shared" si="1281"/>
        <v>0</v>
      </c>
      <c r="BE3132" s="19">
        <v>0</v>
      </c>
      <c r="BF3132" s="229">
        <f t="shared" si="1286"/>
        <v>0</v>
      </c>
      <c r="BG3132" s="210">
        <f t="shared" si="1282"/>
        <v>11</v>
      </c>
      <c r="BH3132" s="210">
        <f t="shared" si="1283"/>
        <v>1</v>
      </c>
      <c r="BI3132" s="213">
        <f t="shared" si="1279"/>
        <v>1100</v>
      </c>
      <c r="BJ3132" s="141"/>
      <c r="BK3132" s="201"/>
      <c r="BL3132" s="4"/>
      <c r="BM3132" s="4"/>
    </row>
    <row r="3133" spans="1:65" s="38" customFormat="1" ht="20.100000000000001" customHeight="1">
      <c r="A3133" s="124">
        <v>18</v>
      </c>
      <c r="B3133" s="24" t="s">
        <v>659</v>
      </c>
      <c r="C3133" s="25" t="s">
        <v>660</v>
      </c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>
        <v>1</v>
      </c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229"/>
      <c r="AC3133" s="228">
        <f t="shared" si="1280"/>
        <v>1</v>
      </c>
      <c r="AD3133" s="19">
        <v>0</v>
      </c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  <c r="AZ3133" s="28"/>
      <c r="BA3133" s="28"/>
      <c r="BB3133" s="28"/>
      <c r="BC3133" s="229"/>
      <c r="BD3133" s="48">
        <f t="shared" si="1281"/>
        <v>0</v>
      </c>
      <c r="BE3133" s="19">
        <v>0</v>
      </c>
      <c r="BF3133" s="229"/>
      <c r="BG3133" s="210">
        <f t="shared" si="1282"/>
        <v>1</v>
      </c>
      <c r="BH3133" s="210">
        <f t="shared" si="1283"/>
        <v>0</v>
      </c>
      <c r="BI3133" s="213" t="e">
        <f t="shared" si="1279"/>
        <v>#DIV/0!</v>
      </c>
      <c r="BJ3133" s="141"/>
      <c r="BK3133" s="201"/>
      <c r="BL3133" s="4"/>
      <c r="BM3133" s="4"/>
    </row>
    <row r="3134" spans="1:65" s="38" customFormat="1" ht="21.75" customHeight="1">
      <c r="A3134" s="124">
        <v>19</v>
      </c>
      <c r="B3134" s="24" t="s">
        <v>661</v>
      </c>
      <c r="C3134" s="27" t="s">
        <v>1166</v>
      </c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>
        <v>1</v>
      </c>
      <c r="P3134" s="121"/>
      <c r="Q3134" s="121"/>
      <c r="R3134" s="121"/>
      <c r="S3134" s="121"/>
      <c r="T3134" s="121"/>
      <c r="U3134" s="121">
        <v>75</v>
      </c>
      <c r="V3134" s="121"/>
      <c r="W3134" s="121"/>
      <c r="X3134" s="121"/>
      <c r="Y3134" s="121"/>
      <c r="Z3134" s="121"/>
      <c r="AA3134" s="121"/>
      <c r="AB3134" s="229"/>
      <c r="AC3134" s="228">
        <f t="shared" si="1280"/>
        <v>76</v>
      </c>
      <c r="AD3134" s="19">
        <v>0</v>
      </c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>
        <v>15</v>
      </c>
      <c r="AQ3134" s="28"/>
      <c r="AR3134" s="28"/>
      <c r="AS3134" s="28"/>
      <c r="AT3134" s="28"/>
      <c r="AU3134" s="28"/>
      <c r="AV3134" s="28">
        <v>8</v>
      </c>
      <c r="AW3134" s="28"/>
      <c r="AX3134" s="28"/>
      <c r="AY3134" s="28"/>
      <c r="AZ3134" s="28"/>
      <c r="BA3134" s="28"/>
      <c r="BB3134" s="28"/>
      <c r="BC3134" s="229"/>
      <c r="BD3134" s="48">
        <f t="shared" si="1281"/>
        <v>23</v>
      </c>
      <c r="BE3134" s="19">
        <v>0</v>
      </c>
      <c r="BF3134" s="229"/>
      <c r="BG3134" s="210">
        <f t="shared" si="1282"/>
        <v>99</v>
      </c>
      <c r="BH3134" s="210">
        <f t="shared" si="1283"/>
        <v>0</v>
      </c>
      <c r="BI3134" s="213" t="e">
        <f t="shared" si="1279"/>
        <v>#DIV/0!</v>
      </c>
      <c r="BJ3134" s="141"/>
      <c r="BK3134" s="201"/>
      <c r="BL3134" s="4"/>
      <c r="BM3134" s="4"/>
    </row>
    <row r="3135" spans="1:65" s="38" customFormat="1" ht="21.95" customHeight="1">
      <c r="A3135" s="124">
        <v>20</v>
      </c>
      <c r="B3135" s="24" t="s">
        <v>790</v>
      </c>
      <c r="C3135" s="27" t="s">
        <v>3048</v>
      </c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>
        <v>70</v>
      </c>
      <c r="V3135" s="121"/>
      <c r="W3135" s="121"/>
      <c r="X3135" s="121"/>
      <c r="Y3135" s="121"/>
      <c r="Z3135" s="121"/>
      <c r="AA3135" s="121"/>
      <c r="AB3135" s="229"/>
      <c r="AC3135" s="228">
        <f t="shared" si="1280"/>
        <v>70</v>
      </c>
      <c r="AD3135" s="19">
        <v>0</v>
      </c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>
        <v>10</v>
      </c>
      <c r="AQ3135" s="28"/>
      <c r="AR3135" s="28"/>
      <c r="AS3135" s="28"/>
      <c r="AT3135" s="28"/>
      <c r="AU3135" s="28"/>
      <c r="AV3135" s="28">
        <v>6</v>
      </c>
      <c r="AW3135" s="28"/>
      <c r="AX3135" s="28"/>
      <c r="AY3135" s="28"/>
      <c r="AZ3135" s="28"/>
      <c r="BA3135" s="28"/>
      <c r="BB3135" s="28"/>
      <c r="BC3135" s="229"/>
      <c r="BD3135" s="48">
        <f t="shared" si="1281"/>
        <v>16</v>
      </c>
      <c r="BE3135" s="19">
        <v>0</v>
      </c>
      <c r="BF3135" s="229"/>
      <c r="BG3135" s="210">
        <f t="shared" si="1282"/>
        <v>86</v>
      </c>
      <c r="BH3135" s="210">
        <f t="shared" si="1283"/>
        <v>0</v>
      </c>
      <c r="BI3135" s="213" t="e">
        <f t="shared" si="1279"/>
        <v>#DIV/0!</v>
      </c>
      <c r="BJ3135" s="141"/>
      <c r="BK3135" s="201"/>
      <c r="BL3135" s="4"/>
      <c r="BM3135" s="4"/>
    </row>
    <row r="3136" spans="1:65" s="38" customFormat="1" ht="21.95" customHeight="1">
      <c r="A3136" s="379" t="s">
        <v>1180</v>
      </c>
      <c r="B3136" s="379"/>
      <c r="C3136" s="379"/>
      <c r="D3136" s="220">
        <f t="shared" ref="D3136:BE3136" si="1287">SUM(D3137:D3190)</f>
        <v>0</v>
      </c>
      <c r="E3136" s="220">
        <f t="shared" si="1287"/>
        <v>0</v>
      </c>
      <c r="F3136" s="220">
        <f t="shared" si="1287"/>
        <v>0</v>
      </c>
      <c r="G3136" s="220">
        <f t="shared" si="1287"/>
        <v>0</v>
      </c>
      <c r="H3136" s="220">
        <f t="shared" si="1287"/>
        <v>0</v>
      </c>
      <c r="I3136" s="220">
        <f t="shared" si="1287"/>
        <v>15655</v>
      </c>
      <c r="J3136" s="220">
        <f t="shared" si="1287"/>
        <v>0</v>
      </c>
      <c r="K3136" s="220">
        <f t="shared" si="1287"/>
        <v>0</v>
      </c>
      <c r="L3136" s="220">
        <f t="shared" si="1287"/>
        <v>0</v>
      </c>
      <c r="M3136" s="220">
        <f t="shared" si="1287"/>
        <v>0</v>
      </c>
      <c r="N3136" s="220">
        <f t="shared" si="1287"/>
        <v>0</v>
      </c>
      <c r="O3136" s="220">
        <f t="shared" si="1287"/>
        <v>14082</v>
      </c>
      <c r="P3136" s="220">
        <f t="shared" si="1287"/>
        <v>0</v>
      </c>
      <c r="Q3136" s="220">
        <f t="shared" si="1287"/>
        <v>0</v>
      </c>
      <c r="R3136" s="220">
        <f t="shared" si="1287"/>
        <v>0</v>
      </c>
      <c r="S3136" s="220">
        <f t="shared" si="1287"/>
        <v>0</v>
      </c>
      <c r="T3136" s="220">
        <f t="shared" si="1287"/>
        <v>0</v>
      </c>
      <c r="U3136" s="220">
        <f t="shared" si="1287"/>
        <v>12949</v>
      </c>
      <c r="V3136" s="220">
        <f t="shared" si="1287"/>
        <v>0</v>
      </c>
      <c r="W3136" s="220">
        <f t="shared" si="1287"/>
        <v>0</v>
      </c>
      <c r="X3136" s="220">
        <f t="shared" si="1287"/>
        <v>0</v>
      </c>
      <c r="Y3136" s="220">
        <f t="shared" si="1287"/>
        <v>0</v>
      </c>
      <c r="Z3136" s="220">
        <f t="shared" si="1287"/>
        <v>0</v>
      </c>
      <c r="AA3136" s="220">
        <f t="shared" si="1287"/>
        <v>15675</v>
      </c>
      <c r="AB3136" s="220">
        <f t="shared" si="1270"/>
        <v>0</v>
      </c>
      <c r="AC3136" s="220">
        <f t="shared" si="1271"/>
        <v>58361</v>
      </c>
      <c r="AD3136" s="274">
        <f t="shared" si="1287"/>
        <v>74886</v>
      </c>
      <c r="AE3136" s="210">
        <f t="shared" si="1287"/>
        <v>0</v>
      </c>
      <c r="AF3136" s="210">
        <f t="shared" si="1287"/>
        <v>0</v>
      </c>
      <c r="AG3136" s="210">
        <f t="shared" si="1287"/>
        <v>0</v>
      </c>
      <c r="AH3136" s="210">
        <f t="shared" si="1287"/>
        <v>0</v>
      </c>
      <c r="AI3136" s="210">
        <f t="shared" si="1287"/>
        <v>0</v>
      </c>
      <c r="AJ3136" s="210">
        <f t="shared" si="1287"/>
        <v>48</v>
      </c>
      <c r="AK3136" s="210">
        <f t="shared" si="1287"/>
        <v>0</v>
      </c>
      <c r="AL3136" s="210">
        <f t="shared" si="1287"/>
        <v>0</v>
      </c>
      <c r="AM3136" s="210">
        <f t="shared" si="1287"/>
        <v>0</v>
      </c>
      <c r="AN3136" s="210">
        <f t="shared" si="1287"/>
        <v>0</v>
      </c>
      <c r="AO3136" s="210">
        <f t="shared" si="1287"/>
        <v>0</v>
      </c>
      <c r="AP3136" s="210">
        <f t="shared" si="1287"/>
        <v>64</v>
      </c>
      <c r="AQ3136" s="210">
        <f t="shared" si="1287"/>
        <v>0</v>
      </c>
      <c r="AR3136" s="210">
        <f t="shared" si="1287"/>
        <v>0</v>
      </c>
      <c r="AS3136" s="210">
        <f t="shared" si="1287"/>
        <v>0</v>
      </c>
      <c r="AT3136" s="210">
        <f t="shared" si="1287"/>
        <v>0</v>
      </c>
      <c r="AU3136" s="210">
        <f t="shared" si="1287"/>
        <v>0</v>
      </c>
      <c r="AV3136" s="210">
        <f t="shared" si="1287"/>
        <v>20</v>
      </c>
      <c r="AW3136" s="210">
        <f t="shared" si="1287"/>
        <v>0</v>
      </c>
      <c r="AX3136" s="210">
        <f t="shared" si="1287"/>
        <v>0</v>
      </c>
      <c r="AY3136" s="210">
        <f t="shared" si="1287"/>
        <v>0</v>
      </c>
      <c r="AZ3136" s="210">
        <f t="shared" si="1287"/>
        <v>0</v>
      </c>
      <c r="BA3136" s="210">
        <f t="shared" si="1287"/>
        <v>0</v>
      </c>
      <c r="BB3136" s="210">
        <f t="shared" si="1287"/>
        <v>26</v>
      </c>
      <c r="BC3136" s="220">
        <f t="shared" si="1273"/>
        <v>0</v>
      </c>
      <c r="BD3136" s="210">
        <f t="shared" si="1274"/>
        <v>158</v>
      </c>
      <c r="BE3136" s="210">
        <f t="shared" si="1287"/>
        <v>109</v>
      </c>
      <c r="BF3136" s="220">
        <f t="shared" si="1275"/>
        <v>0</v>
      </c>
      <c r="BG3136" s="210">
        <f t="shared" si="1276"/>
        <v>58519</v>
      </c>
      <c r="BH3136" s="210">
        <f t="shared" si="1277"/>
        <v>74995</v>
      </c>
      <c r="BI3136" s="213">
        <f t="shared" ref="BI3136:BI3192" si="1288">BG3136/BH3136*100</f>
        <v>78.030535369024605</v>
      </c>
      <c r="BJ3136" s="140">
        <v>74995</v>
      </c>
      <c r="BK3136" s="203">
        <f>BH3136-BJ3136</f>
        <v>0</v>
      </c>
      <c r="BL3136" s="198">
        <v>34340</v>
      </c>
      <c r="BM3136" s="199">
        <f>BG3136-BL3136</f>
        <v>24179</v>
      </c>
    </row>
    <row r="3137" spans="1:65" s="38" customFormat="1" ht="21.95" customHeight="1">
      <c r="A3137" s="114">
        <v>1</v>
      </c>
      <c r="B3137" s="24" t="s">
        <v>705</v>
      </c>
      <c r="C3137" s="27" t="s">
        <v>706</v>
      </c>
      <c r="D3137" s="121"/>
      <c r="E3137" s="121"/>
      <c r="F3137" s="121"/>
      <c r="G3137" s="121"/>
      <c r="H3137" s="121"/>
      <c r="I3137" s="121">
        <f>2580+4+8</f>
        <v>2592</v>
      </c>
      <c r="J3137" s="121"/>
      <c r="K3137" s="121"/>
      <c r="L3137" s="121"/>
      <c r="M3137" s="121"/>
      <c r="N3137" s="121"/>
      <c r="O3137" s="121">
        <f>2381+2+12</f>
        <v>2395</v>
      </c>
      <c r="P3137" s="121"/>
      <c r="Q3137" s="121"/>
      <c r="R3137" s="121"/>
      <c r="S3137" s="121"/>
      <c r="T3137" s="121"/>
      <c r="U3137" s="121">
        <f>1329+2+12+12</f>
        <v>1355</v>
      </c>
      <c r="V3137" s="121"/>
      <c r="W3137" s="121"/>
      <c r="X3137" s="121"/>
      <c r="Y3137" s="121"/>
      <c r="Z3137" s="121"/>
      <c r="AA3137" s="121">
        <f>2173+6</f>
        <v>2179</v>
      </c>
      <c r="AB3137" s="229">
        <f t="shared" ref="AB3137:AC3140" si="1289">D3137+F3137+H3137+J3137+L3137+N3137+P3137+R3137+T3137+V3137+X3137+Z3137</f>
        <v>0</v>
      </c>
      <c r="AC3137" s="228">
        <f t="shared" si="1289"/>
        <v>8521</v>
      </c>
      <c r="AD3137" s="19">
        <v>12170</v>
      </c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29">
        <f t="shared" ref="BC3137:BD3140" si="1290">AE3137+AG3137+AI3137+AK3137+AM3137+AO3137+AQ3137+AS3137+AU3137+AW3137+AY3137+BA3137</f>
        <v>0</v>
      </c>
      <c r="BD3137" s="48">
        <f t="shared" si="1290"/>
        <v>0</v>
      </c>
      <c r="BE3137" s="19">
        <v>0</v>
      </c>
      <c r="BF3137" s="229">
        <f t="shared" ref="BF3137:BH3140" si="1291">AB3137+BC3137</f>
        <v>0</v>
      </c>
      <c r="BG3137" s="210">
        <f t="shared" si="1291"/>
        <v>8521</v>
      </c>
      <c r="BH3137" s="210">
        <f t="shared" si="1291"/>
        <v>12170</v>
      </c>
      <c r="BI3137" s="213">
        <f t="shared" ref="BI3137:BI3168" si="1292">BG3137/BH3137*100</f>
        <v>70.016433853738704</v>
      </c>
      <c r="BJ3137" s="270" t="s">
        <v>2857</v>
      </c>
      <c r="BK3137" s="201"/>
      <c r="BL3137" s="4"/>
      <c r="BM3137" s="4"/>
    </row>
    <row r="3138" spans="1:65" s="38" customFormat="1" ht="18" customHeight="1">
      <c r="A3138" s="114">
        <v>2</v>
      </c>
      <c r="B3138" s="24" t="s">
        <v>937</v>
      </c>
      <c r="C3138" s="25" t="s">
        <v>938</v>
      </c>
      <c r="D3138" s="121"/>
      <c r="E3138" s="121"/>
      <c r="F3138" s="121"/>
      <c r="G3138" s="121"/>
      <c r="H3138" s="121"/>
      <c r="I3138" s="121">
        <v>213</v>
      </c>
      <c r="J3138" s="121"/>
      <c r="K3138" s="121"/>
      <c r="L3138" s="121"/>
      <c r="M3138" s="121"/>
      <c r="N3138" s="121"/>
      <c r="O3138" s="121">
        <v>135</v>
      </c>
      <c r="P3138" s="121"/>
      <c r="Q3138" s="121"/>
      <c r="R3138" s="121"/>
      <c r="S3138" s="121"/>
      <c r="T3138" s="121"/>
      <c r="U3138" s="121">
        <f>169+1</f>
        <v>170</v>
      </c>
      <c r="V3138" s="121"/>
      <c r="W3138" s="121"/>
      <c r="X3138" s="121"/>
      <c r="Y3138" s="121"/>
      <c r="Z3138" s="121"/>
      <c r="AA3138" s="121">
        <v>192</v>
      </c>
      <c r="AB3138" s="229">
        <f t="shared" si="1289"/>
        <v>0</v>
      </c>
      <c r="AC3138" s="228">
        <f t="shared" si="1289"/>
        <v>710</v>
      </c>
      <c r="AD3138" s="19">
        <v>965</v>
      </c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29">
        <f t="shared" si="1290"/>
        <v>0</v>
      </c>
      <c r="BD3138" s="48">
        <f t="shared" si="1290"/>
        <v>0</v>
      </c>
      <c r="BE3138" s="19">
        <v>0</v>
      </c>
      <c r="BF3138" s="229">
        <f t="shared" si="1291"/>
        <v>0</v>
      </c>
      <c r="BG3138" s="210">
        <f t="shared" si="1291"/>
        <v>710</v>
      </c>
      <c r="BH3138" s="210">
        <f t="shared" si="1291"/>
        <v>965</v>
      </c>
      <c r="BI3138" s="213">
        <f t="shared" si="1292"/>
        <v>73.575129533678748</v>
      </c>
      <c r="BJ3138" s="270" t="s">
        <v>2857</v>
      </c>
      <c r="BK3138" s="201"/>
      <c r="BL3138" s="4"/>
      <c r="BM3138" s="4"/>
    </row>
    <row r="3139" spans="1:65" s="38" customFormat="1" ht="18" customHeight="1">
      <c r="A3139" s="114">
        <v>3</v>
      </c>
      <c r="B3139" s="24" t="s">
        <v>1468</v>
      </c>
      <c r="C3139" s="25" t="s">
        <v>1471</v>
      </c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229">
        <f t="shared" si="1289"/>
        <v>0</v>
      </c>
      <c r="AC3139" s="228">
        <f t="shared" si="1289"/>
        <v>0</v>
      </c>
      <c r="AD3139" s="19">
        <v>2341</v>
      </c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29">
        <f t="shared" si="1290"/>
        <v>0</v>
      </c>
      <c r="BD3139" s="48">
        <f t="shared" si="1290"/>
        <v>0</v>
      </c>
      <c r="BE3139" s="19">
        <v>0</v>
      </c>
      <c r="BF3139" s="229">
        <f t="shared" si="1291"/>
        <v>0</v>
      </c>
      <c r="BG3139" s="210">
        <f t="shared" si="1291"/>
        <v>0</v>
      </c>
      <c r="BH3139" s="210">
        <f t="shared" si="1291"/>
        <v>2341</v>
      </c>
      <c r="BI3139" s="213">
        <f t="shared" si="1292"/>
        <v>0</v>
      </c>
      <c r="BJ3139" s="270" t="s">
        <v>2857</v>
      </c>
      <c r="BK3139" s="201"/>
      <c r="BL3139" s="4"/>
      <c r="BM3139" s="4"/>
    </row>
    <row r="3140" spans="1:65" s="38" customFormat="1" ht="18" customHeight="1">
      <c r="A3140" s="114">
        <v>4</v>
      </c>
      <c r="B3140" s="24" t="s">
        <v>1482</v>
      </c>
      <c r="C3140" s="25" t="s">
        <v>1483</v>
      </c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229">
        <f t="shared" si="1289"/>
        <v>0</v>
      </c>
      <c r="AC3140" s="228">
        <f t="shared" si="1289"/>
        <v>0</v>
      </c>
      <c r="AD3140" s="19">
        <v>1</v>
      </c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29">
        <f t="shared" si="1290"/>
        <v>0</v>
      </c>
      <c r="BD3140" s="48">
        <f t="shared" si="1290"/>
        <v>0</v>
      </c>
      <c r="BE3140" s="19">
        <v>0</v>
      </c>
      <c r="BF3140" s="229">
        <f t="shared" si="1291"/>
        <v>0</v>
      </c>
      <c r="BG3140" s="210">
        <f t="shared" si="1291"/>
        <v>0</v>
      </c>
      <c r="BH3140" s="210">
        <f t="shared" si="1291"/>
        <v>1</v>
      </c>
      <c r="BI3140" s="213">
        <f t="shared" si="1292"/>
        <v>0</v>
      </c>
      <c r="BJ3140" s="270" t="s">
        <v>2857</v>
      </c>
      <c r="BK3140" s="201"/>
      <c r="BL3140" s="4"/>
      <c r="BM3140" s="4"/>
    </row>
    <row r="3141" spans="1:65" s="38" customFormat="1" ht="18" customHeight="1">
      <c r="A3141" s="114">
        <v>5</v>
      </c>
      <c r="B3141" s="24" t="s">
        <v>2262</v>
      </c>
      <c r="C3141" s="25" t="s">
        <v>2263</v>
      </c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229"/>
      <c r="AC3141" s="228">
        <f t="shared" ref="AC3141:AC3172" si="1293">E3141+G3141+I3141+K3141+M3141+O3141+Q3141+S3141+U3141+W3141+Y3141+AA3141</f>
        <v>0</v>
      </c>
      <c r="AD3141" s="19">
        <v>0</v>
      </c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>
        <v>1</v>
      </c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29"/>
      <c r="BD3141" s="48">
        <f t="shared" ref="BD3141:BD3172" si="1294">AF3141+AH3141+AJ3141+AL3141+AN3141+AP3141+AR3141+AT3141+AV3141+AX3141+AZ3141+BB3141</f>
        <v>1</v>
      </c>
      <c r="BE3141" s="19">
        <v>0</v>
      </c>
      <c r="BF3141" s="229"/>
      <c r="BG3141" s="210">
        <f t="shared" ref="BG3141:BG3172" si="1295">AC3141+BD3141</f>
        <v>1</v>
      </c>
      <c r="BH3141" s="210">
        <f t="shared" ref="BH3141:BH3172" si="1296">AD3141+BE3141</f>
        <v>0</v>
      </c>
      <c r="BI3141" s="213" t="e">
        <f t="shared" si="1292"/>
        <v>#DIV/0!</v>
      </c>
      <c r="BJ3141" s="270"/>
      <c r="BK3141" s="201"/>
      <c r="BL3141" s="4"/>
      <c r="BM3141" s="4"/>
    </row>
    <row r="3142" spans="1:65" s="38" customFormat="1" ht="18" customHeight="1">
      <c r="A3142" s="114">
        <v>6</v>
      </c>
      <c r="B3142" s="24" t="s">
        <v>553</v>
      </c>
      <c r="C3142" s="25" t="s">
        <v>554</v>
      </c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229">
        <f t="shared" ref="AB3142:AB3188" si="1297">D3142+F3142+H3142+J3142+L3142+N3142+P3142+R3142+T3142+V3142+X3142+Z3142</f>
        <v>0</v>
      </c>
      <c r="AC3142" s="228">
        <f t="shared" si="1293"/>
        <v>0</v>
      </c>
      <c r="AD3142" s="19">
        <v>3</v>
      </c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29">
        <f t="shared" ref="BC3142:BC3188" si="1298">AE3142+AG3142+AI3142+AK3142+AM3142+AO3142+AQ3142+AS3142+AU3142+AW3142+AY3142+BA3142</f>
        <v>0</v>
      </c>
      <c r="BD3142" s="48">
        <f t="shared" si="1294"/>
        <v>0</v>
      </c>
      <c r="BE3142" s="19">
        <v>0</v>
      </c>
      <c r="BF3142" s="229">
        <f t="shared" ref="BF3142:BF3188" si="1299">AB3142+BC3142</f>
        <v>0</v>
      </c>
      <c r="BG3142" s="210">
        <f t="shared" si="1295"/>
        <v>0</v>
      </c>
      <c r="BH3142" s="210">
        <f t="shared" si="1296"/>
        <v>3</v>
      </c>
      <c r="BI3142" s="213">
        <f t="shared" si="1292"/>
        <v>0</v>
      </c>
      <c r="BJ3142" s="141"/>
      <c r="BK3142" s="201"/>
      <c r="BL3142" s="4"/>
      <c r="BM3142" s="4"/>
    </row>
    <row r="3143" spans="1:65" s="38" customFormat="1" ht="18" customHeight="1">
      <c r="A3143" s="114">
        <v>7</v>
      </c>
      <c r="B3143" s="24" t="s">
        <v>555</v>
      </c>
      <c r="C3143" s="25" t="s">
        <v>556</v>
      </c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229">
        <f t="shared" si="1297"/>
        <v>0</v>
      </c>
      <c r="AC3143" s="228">
        <f t="shared" si="1293"/>
        <v>0</v>
      </c>
      <c r="AD3143" s="19">
        <v>6</v>
      </c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29">
        <f t="shared" si="1298"/>
        <v>0</v>
      </c>
      <c r="BD3143" s="48">
        <f t="shared" si="1294"/>
        <v>0</v>
      </c>
      <c r="BE3143" s="19">
        <v>0</v>
      </c>
      <c r="BF3143" s="229">
        <f t="shared" si="1299"/>
        <v>0</v>
      </c>
      <c r="BG3143" s="210">
        <f t="shared" si="1295"/>
        <v>0</v>
      </c>
      <c r="BH3143" s="210">
        <f t="shared" si="1296"/>
        <v>6</v>
      </c>
      <c r="BI3143" s="213">
        <f t="shared" si="1292"/>
        <v>0</v>
      </c>
      <c r="BJ3143" s="141"/>
      <c r="BK3143" s="201"/>
      <c r="BL3143" s="4"/>
      <c r="BM3143" s="4"/>
    </row>
    <row r="3144" spans="1:65" s="38" customFormat="1" ht="18" customHeight="1">
      <c r="A3144" s="114">
        <v>8</v>
      </c>
      <c r="B3144" s="24" t="s">
        <v>561</v>
      </c>
      <c r="C3144" s="25" t="s">
        <v>562</v>
      </c>
      <c r="D3144" s="121"/>
      <c r="E3144" s="121"/>
      <c r="F3144" s="121"/>
      <c r="G3144" s="121"/>
      <c r="H3144" s="121"/>
      <c r="I3144" s="121">
        <f>5658+37</f>
        <v>5695</v>
      </c>
      <c r="J3144" s="121"/>
      <c r="K3144" s="121"/>
      <c r="L3144" s="121"/>
      <c r="M3144" s="121"/>
      <c r="N3144" s="121"/>
      <c r="O3144" s="121">
        <f>5076+24</f>
        <v>5100</v>
      </c>
      <c r="P3144" s="121"/>
      <c r="Q3144" s="121"/>
      <c r="R3144" s="121"/>
      <c r="S3144" s="121"/>
      <c r="T3144" s="121"/>
      <c r="U3144" s="121">
        <f>4974+24</f>
        <v>4998</v>
      </c>
      <c r="V3144" s="121"/>
      <c r="W3144" s="121"/>
      <c r="X3144" s="121"/>
      <c r="Y3144" s="121"/>
      <c r="Z3144" s="121"/>
      <c r="AA3144" s="121">
        <f>5833+39</f>
        <v>5872</v>
      </c>
      <c r="AB3144" s="229">
        <f t="shared" si="1297"/>
        <v>0</v>
      </c>
      <c r="AC3144" s="228">
        <f t="shared" si="1293"/>
        <v>21665</v>
      </c>
      <c r="AD3144" s="19">
        <v>22570</v>
      </c>
      <c r="AE3144" s="28"/>
      <c r="AF3144" s="28"/>
      <c r="AG3144" s="28"/>
      <c r="AH3144" s="28"/>
      <c r="AI3144" s="28"/>
      <c r="AJ3144" s="28">
        <f>21+3</f>
        <v>24</v>
      </c>
      <c r="AK3144" s="28"/>
      <c r="AL3144" s="28"/>
      <c r="AM3144" s="28"/>
      <c r="AN3144" s="28"/>
      <c r="AO3144" s="28"/>
      <c r="AP3144" s="28">
        <f>15+2</f>
        <v>17</v>
      </c>
      <c r="AQ3144" s="28"/>
      <c r="AR3144" s="28"/>
      <c r="AS3144" s="28"/>
      <c r="AT3144" s="28"/>
      <c r="AU3144" s="28"/>
      <c r="AV3144" s="28">
        <v>9</v>
      </c>
      <c r="AW3144" s="28"/>
      <c r="AX3144" s="28"/>
      <c r="AY3144" s="28"/>
      <c r="AZ3144" s="28"/>
      <c r="BA3144" s="28"/>
      <c r="BB3144" s="28">
        <f>12+2</f>
        <v>14</v>
      </c>
      <c r="BC3144" s="229">
        <f t="shared" si="1298"/>
        <v>0</v>
      </c>
      <c r="BD3144" s="48">
        <f t="shared" si="1294"/>
        <v>64</v>
      </c>
      <c r="BE3144" s="19">
        <v>48</v>
      </c>
      <c r="BF3144" s="229">
        <f t="shared" si="1299"/>
        <v>0</v>
      </c>
      <c r="BG3144" s="210">
        <f t="shared" si="1295"/>
        <v>21729</v>
      </c>
      <c r="BH3144" s="210">
        <f t="shared" si="1296"/>
        <v>22618</v>
      </c>
      <c r="BI3144" s="213">
        <f t="shared" si="1292"/>
        <v>96.069502166416129</v>
      </c>
      <c r="BJ3144" s="141"/>
      <c r="BK3144" s="201"/>
      <c r="BL3144" s="4"/>
      <c r="BM3144" s="4"/>
    </row>
    <row r="3145" spans="1:65" s="38" customFormat="1" ht="18" customHeight="1">
      <c r="A3145" s="114">
        <v>9</v>
      </c>
      <c r="B3145" s="24" t="s">
        <v>672</v>
      </c>
      <c r="C3145" s="25" t="s">
        <v>1028</v>
      </c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229">
        <f t="shared" si="1297"/>
        <v>0</v>
      </c>
      <c r="AC3145" s="228">
        <f t="shared" si="1293"/>
        <v>0</v>
      </c>
      <c r="AD3145" s="19">
        <v>15</v>
      </c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29">
        <f t="shared" si="1298"/>
        <v>0</v>
      </c>
      <c r="BD3145" s="48">
        <f t="shared" si="1294"/>
        <v>0</v>
      </c>
      <c r="BE3145" s="19">
        <v>0</v>
      </c>
      <c r="BF3145" s="229">
        <f t="shared" si="1299"/>
        <v>0</v>
      </c>
      <c r="BG3145" s="210">
        <f t="shared" si="1295"/>
        <v>0</v>
      </c>
      <c r="BH3145" s="210">
        <f t="shared" si="1296"/>
        <v>15</v>
      </c>
      <c r="BI3145" s="213">
        <f t="shared" si="1292"/>
        <v>0</v>
      </c>
      <c r="BJ3145" s="141"/>
      <c r="BK3145" s="201"/>
      <c r="BL3145" s="4"/>
      <c r="BM3145" s="4"/>
    </row>
    <row r="3146" spans="1:65" s="38" customFormat="1" ht="18" customHeight="1">
      <c r="A3146" s="114">
        <v>10</v>
      </c>
      <c r="B3146" s="24" t="s">
        <v>563</v>
      </c>
      <c r="C3146" s="25" t="s">
        <v>564</v>
      </c>
      <c r="D3146" s="121"/>
      <c r="E3146" s="121"/>
      <c r="F3146" s="121"/>
      <c r="G3146" s="121"/>
      <c r="H3146" s="121"/>
      <c r="I3146" s="121">
        <v>5</v>
      </c>
      <c r="J3146" s="121"/>
      <c r="K3146" s="121"/>
      <c r="L3146" s="121"/>
      <c r="M3146" s="121"/>
      <c r="N3146" s="121"/>
      <c r="O3146" s="121">
        <v>12</v>
      </c>
      <c r="P3146" s="121"/>
      <c r="Q3146" s="121"/>
      <c r="R3146" s="121"/>
      <c r="S3146" s="121"/>
      <c r="T3146" s="121"/>
      <c r="U3146" s="121">
        <v>5</v>
      </c>
      <c r="V3146" s="121"/>
      <c r="W3146" s="121"/>
      <c r="X3146" s="121"/>
      <c r="Y3146" s="121"/>
      <c r="Z3146" s="121"/>
      <c r="AA3146" s="121">
        <v>8</v>
      </c>
      <c r="AB3146" s="229">
        <f t="shared" si="1297"/>
        <v>0</v>
      </c>
      <c r="AC3146" s="228">
        <f t="shared" si="1293"/>
        <v>30</v>
      </c>
      <c r="AD3146" s="19">
        <v>44</v>
      </c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29">
        <f t="shared" si="1298"/>
        <v>0</v>
      </c>
      <c r="BD3146" s="48">
        <f t="shared" si="1294"/>
        <v>0</v>
      </c>
      <c r="BE3146" s="19">
        <v>0</v>
      </c>
      <c r="BF3146" s="229">
        <f t="shared" si="1299"/>
        <v>0</v>
      </c>
      <c r="BG3146" s="210">
        <f t="shared" si="1295"/>
        <v>30</v>
      </c>
      <c r="BH3146" s="210">
        <f t="shared" si="1296"/>
        <v>44</v>
      </c>
      <c r="BI3146" s="213">
        <f t="shared" si="1292"/>
        <v>68.181818181818173</v>
      </c>
      <c r="BJ3146" s="141"/>
      <c r="BK3146" s="201"/>
      <c r="BL3146" s="4"/>
      <c r="BM3146" s="4"/>
    </row>
    <row r="3147" spans="1:65" s="38" customFormat="1" ht="18" customHeight="1">
      <c r="A3147" s="114">
        <v>11</v>
      </c>
      <c r="B3147" s="24" t="s">
        <v>567</v>
      </c>
      <c r="C3147" s="25" t="s">
        <v>568</v>
      </c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229">
        <f t="shared" si="1297"/>
        <v>0</v>
      </c>
      <c r="AC3147" s="228">
        <f t="shared" si="1293"/>
        <v>0</v>
      </c>
      <c r="AD3147" s="19">
        <v>3</v>
      </c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29">
        <f t="shared" si="1298"/>
        <v>0</v>
      </c>
      <c r="BD3147" s="48">
        <f t="shared" si="1294"/>
        <v>0</v>
      </c>
      <c r="BE3147" s="19">
        <v>0</v>
      </c>
      <c r="BF3147" s="229">
        <f t="shared" si="1299"/>
        <v>0</v>
      </c>
      <c r="BG3147" s="210">
        <f t="shared" si="1295"/>
        <v>0</v>
      </c>
      <c r="BH3147" s="210">
        <f t="shared" si="1296"/>
        <v>3</v>
      </c>
      <c r="BI3147" s="213">
        <f t="shared" si="1292"/>
        <v>0</v>
      </c>
      <c r="BJ3147" s="141"/>
      <c r="BK3147" s="201"/>
      <c r="BL3147" s="4"/>
      <c r="BM3147" s="4"/>
    </row>
    <row r="3148" spans="1:65" s="38" customFormat="1" ht="18" customHeight="1">
      <c r="A3148" s="114">
        <v>12</v>
      </c>
      <c r="B3148" s="24" t="s">
        <v>571</v>
      </c>
      <c r="C3148" s="25" t="s">
        <v>572</v>
      </c>
      <c r="D3148" s="121"/>
      <c r="E3148" s="121"/>
      <c r="F3148" s="121"/>
      <c r="G3148" s="121"/>
      <c r="H3148" s="121"/>
      <c r="I3148" s="121">
        <f>3893+14</f>
        <v>3907</v>
      </c>
      <c r="J3148" s="121"/>
      <c r="K3148" s="121"/>
      <c r="L3148" s="121"/>
      <c r="M3148" s="121"/>
      <c r="N3148" s="121"/>
      <c r="O3148" s="121">
        <f>3454+6</f>
        <v>3460</v>
      </c>
      <c r="P3148" s="121"/>
      <c r="Q3148" s="121"/>
      <c r="R3148" s="121"/>
      <c r="S3148" s="121"/>
      <c r="T3148" s="121"/>
      <c r="U3148" s="121">
        <f>3618+10</f>
        <v>3628</v>
      </c>
      <c r="V3148" s="121"/>
      <c r="W3148" s="121"/>
      <c r="X3148" s="121"/>
      <c r="Y3148" s="121"/>
      <c r="Z3148" s="121"/>
      <c r="AA3148" s="121">
        <f>3991+19</f>
        <v>4010</v>
      </c>
      <c r="AB3148" s="229">
        <f t="shared" si="1297"/>
        <v>0</v>
      </c>
      <c r="AC3148" s="228">
        <f t="shared" si="1293"/>
        <v>15005</v>
      </c>
      <c r="AD3148" s="19">
        <v>18982</v>
      </c>
      <c r="AE3148" s="28"/>
      <c r="AF3148" s="28"/>
      <c r="AG3148" s="28"/>
      <c r="AH3148" s="28"/>
      <c r="AI3148" s="28"/>
      <c r="AJ3148" s="28">
        <v>15</v>
      </c>
      <c r="AK3148" s="28"/>
      <c r="AL3148" s="28"/>
      <c r="AM3148" s="28"/>
      <c r="AN3148" s="28"/>
      <c r="AO3148" s="28"/>
      <c r="AP3148" s="28">
        <f>9+4+2</f>
        <v>15</v>
      </c>
      <c r="AQ3148" s="28"/>
      <c r="AR3148" s="28"/>
      <c r="AS3148" s="28"/>
      <c r="AT3148" s="28"/>
      <c r="AU3148" s="28"/>
      <c r="AV3148" s="28">
        <v>7</v>
      </c>
      <c r="AW3148" s="28"/>
      <c r="AX3148" s="28"/>
      <c r="AY3148" s="28"/>
      <c r="AZ3148" s="28"/>
      <c r="BA3148" s="28"/>
      <c r="BB3148" s="28">
        <f>5+1</f>
        <v>6</v>
      </c>
      <c r="BC3148" s="229">
        <f t="shared" si="1298"/>
        <v>0</v>
      </c>
      <c r="BD3148" s="48">
        <f t="shared" si="1294"/>
        <v>43</v>
      </c>
      <c r="BE3148" s="19">
        <v>28</v>
      </c>
      <c r="BF3148" s="229">
        <f t="shared" si="1299"/>
        <v>0</v>
      </c>
      <c r="BG3148" s="210">
        <f t="shared" si="1295"/>
        <v>15048</v>
      </c>
      <c r="BH3148" s="210">
        <f t="shared" si="1296"/>
        <v>19010</v>
      </c>
      <c r="BI3148" s="213">
        <f t="shared" si="1292"/>
        <v>79.158337716991056</v>
      </c>
      <c r="BJ3148" s="141"/>
      <c r="BK3148" s="201"/>
      <c r="BL3148" s="4"/>
      <c r="BM3148" s="4"/>
    </row>
    <row r="3149" spans="1:65" s="38" customFormat="1" ht="18" customHeight="1">
      <c r="A3149" s="114">
        <v>13</v>
      </c>
      <c r="B3149" s="24" t="s">
        <v>575</v>
      </c>
      <c r="C3149" s="25" t="s">
        <v>711</v>
      </c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229">
        <f t="shared" si="1297"/>
        <v>0</v>
      </c>
      <c r="AC3149" s="228">
        <f t="shared" si="1293"/>
        <v>0</v>
      </c>
      <c r="AD3149" s="19">
        <v>3</v>
      </c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  <c r="AZ3149" s="28"/>
      <c r="BA3149" s="28"/>
      <c r="BB3149" s="28"/>
      <c r="BC3149" s="229">
        <f t="shared" si="1298"/>
        <v>0</v>
      </c>
      <c r="BD3149" s="48">
        <f t="shared" si="1294"/>
        <v>0</v>
      </c>
      <c r="BE3149" s="19">
        <v>0</v>
      </c>
      <c r="BF3149" s="229">
        <f t="shared" si="1299"/>
        <v>0</v>
      </c>
      <c r="BG3149" s="210">
        <f t="shared" si="1295"/>
        <v>0</v>
      </c>
      <c r="BH3149" s="210">
        <f t="shared" si="1296"/>
        <v>3</v>
      </c>
      <c r="BI3149" s="213">
        <f t="shared" si="1292"/>
        <v>0</v>
      </c>
      <c r="BJ3149" s="141"/>
      <c r="BK3149" s="201"/>
      <c r="BL3149" s="4"/>
      <c r="BM3149" s="4"/>
    </row>
    <row r="3150" spans="1:65" s="38" customFormat="1" ht="18" customHeight="1">
      <c r="A3150" s="114">
        <v>14</v>
      </c>
      <c r="B3150" s="24" t="s">
        <v>582</v>
      </c>
      <c r="C3150" s="25" t="s">
        <v>1157</v>
      </c>
      <c r="D3150" s="121"/>
      <c r="E3150" s="121"/>
      <c r="F3150" s="121"/>
      <c r="G3150" s="121"/>
      <c r="H3150" s="121"/>
      <c r="I3150" s="121">
        <v>5</v>
      </c>
      <c r="J3150" s="121"/>
      <c r="K3150" s="121"/>
      <c r="L3150" s="121"/>
      <c r="M3150" s="121"/>
      <c r="N3150" s="121"/>
      <c r="O3150" s="121">
        <v>15</v>
      </c>
      <c r="P3150" s="121"/>
      <c r="Q3150" s="121"/>
      <c r="R3150" s="121"/>
      <c r="S3150" s="121"/>
      <c r="T3150" s="121"/>
      <c r="U3150" s="121">
        <v>7</v>
      </c>
      <c r="V3150" s="121"/>
      <c r="W3150" s="121"/>
      <c r="X3150" s="121"/>
      <c r="Y3150" s="121"/>
      <c r="Z3150" s="121"/>
      <c r="AA3150" s="121">
        <v>7</v>
      </c>
      <c r="AB3150" s="229">
        <f t="shared" si="1297"/>
        <v>0</v>
      </c>
      <c r="AC3150" s="228">
        <f t="shared" si="1293"/>
        <v>34</v>
      </c>
      <c r="AD3150" s="19">
        <v>43</v>
      </c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29">
        <f t="shared" si="1298"/>
        <v>0</v>
      </c>
      <c r="BD3150" s="48">
        <f t="shared" si="1294"/>
        <v>0</v>
      </c>
      <c r="BE3150" s="19">
        <v>0</v>
      </c>
      <c r="BF3150" s="229">
        <f t="shared" si="1299"/>
        <v>0</v>
      </c>
      <c r="BG3150" s="210">
        <f t="shared" si="1295"/>
        <v>34</v>
      </c>
      <c r="BH3150" s="210">
        <f t="shared" si="1296"/>
        <v>43</v>
      </c>
      <c r="BI3150" s="213">
        <f t="shared" si="1292"/>
        <v>79.069767441860463</v>
      </c>
      <c r="BJ3150" s="141"/>
      <c r="BK3150" s="201"/>
      <c r="BL3150" s="4"/>
      <c r="BM3150" s="4"/>
    </row>
    <row r="3151" spans="1:65" s="38" customFormat="1" ht="18" customHeight="1">
      <c r="A3151" s="114">
        <v>15</v>
      </c>
      <c r="B3151" s="24" t="s">
        <v>584</v>
      </c>
      <c r="C3151" s="25" t="s">
        <v>2603</v>
      </c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229">
        <f t="shared" si="1297"/>
        <v>0</v>
      </c>
      <c r="AC3151" s="228">
        <f t="shared" si="1293"/>
        <v>0</v>
      </c>
      <c r="AD3151" s="19">
        <v>32</v>
      </c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29">
        <f t="shared" si="1298"/>
        <v>0</v>
      </c>
      <c r="BD3151" s="48">
        <f t="shared" si="1294"/>
        <v>0</v>
      </c>
      <c r="BE3151" s="19">
        <v>0</v>
      </c>
      <c r="BF3151" s="229">
        <f t="shared" si="1299"/>
        <v>0</v>
      </c>
      <c r="BG3151" s="210">
        <f t="shared" si="1295"/>
        <v>0</v>
      </c>
      <c r="BH3151" s="210">
        <f t="shared" si="1296"/>
        <v>32</v>
      </c>
      <c r="BI3151" s="213">
        <f t="shared" si="1292"/>
        <v>0</v>
      </c>
      <c r="BJ3151" s="141"/>
      <c r="BK3151" s="201"/>
      <c r="BL3151" s="4"/>
      <c r="BM3151" s="4"/>
    </row>
    <row r="3152" spans="1:65" s="38" customFormat="1" ht="18" customHeight="1">
      <c r="A3152" s="114">
        <v>16</v>
      </c>
      <c r="B3152" s="24" t="s">
        <v>585</v>
      </c>
      <c r="C3152" s="29" t="s">
        <v>586</v>
      </c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229">
        <f t="shared" si="1297"/>
        <v>0</v>
      </c>
      <c r="AC3152" s="228">
        <f t="shared" si="1293"/>
        <v>0</v>
      </c>
      <c r="AD3152" s="19">
        <v>13</v>
      </c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>
        <v>8</v>
      </c>
      <c r="AQ3152" s="28"/>
      <c r="AR3152" s="28"/>
      <c r="AS3152" s="28"/>
      <c r="AT3152" s="28"/>
      <c r="AU3152" s="28"/>
      <c r="AV3152" s="28"/>
      <c r="AW3152" s="28"/>
      <c r="AX3152" s="28"/>
      <c r="AY3152" s="28"/>
      <c r="AZ3152" s="28"/>
      <c r="BA3152" s="28"/>
      <c r="BB3152" s="28"/>
      <c r="BC3152" s="229">
        <f t="shared" si="1298"/>
        <v>0</v>
      </c>
      <c r="BD3152" s="48">
        <f t="shared" si="1294"/>
        <v>8</v>
      </c>
      <c r="BE3152" s="19">
        <v>1</v>
      </c>
      <c r="BF3152" s="229">
        <f t="shared" si="1299"/>
        <v>0</v>
      </c>
      <c r="BG3152" s="210">
        <f t="shared" si="1295"/>
        <v>8</v>
      </c>
      <c r="BH3152" s="210">
        <f t="shared" si="1296"/>
        <v>14</v>
      </c>
      <c r="BI3152" s="213">
        <f t="shared" si="1292"/>
        <v>57.142857142857139</v>
      </c>
      <c r="BJ3152" s="141"/>
      <c r="BK3152" s="201"/>
      <c r="BL3152" s="4"/>
      <c r="BM3152" s="4"/>
    </row>
    <row r="3153" spans="1:65" s="38" customFormat="1" ht="18" customHeight="1">
      <c r="A3153" s="114">
        <v>17</v>
      </c>
      <c r="B3153" s="24" t="s">
        <v>593</v>
      </c>
      <c r="C3153" s="25" t="s">
        <v>755</v>
      </c>
      <c r="D3153" s="121"/>
      <c r="E3153" s="121"/>
      <c r="F3153" s="121"/>
      <c r="G3153" s="121"/>
      <c r="H3153" s="121"/>
      <c r="I3153" s="121">
        <f>97+1</f>
        <v>98</v>
      </c>
      <c r="J3153" s="121"/>
      <c r="K3153" s="121"/>
      <c r="L3153" s="121"/>
      <c r="M3153" s="121"/>
      <c r="N3153" s="121"/>
      <c r="O3153" s="121">
        <v>99</v>
      </c>
      <c r="P3153" s="121"/>
      <c r="Q3153" s="121"/>
      <c r="R3153" s="121"/>
      <c r="S3153" s="121"/>
      <c r="T3153" s="121"/>
      <c r="U3153" s="121">
        <v>101</v>
      </c>
      <c r="V3153" s="121"/>
      <c r="W3153" s="121"/>
      <c r="X3153" s="121"/>
      <c r="Y3153" s="121"/>
      <c r="Z3153" s="121"/>
      <c r="AA3153" s="121">
        <f>95+1</f>
        <v>96</v>
      </c>
      <c r="AB3153" s="229">
        <f t="shared" si="1297"/>
        <v>0</v>
      </c>
      <c r="AC3153" s="228">
        <f t="shared" si="1293"/>
        <v>394</v>
      </c>
      <c r="AD3153" s="19">
        <v>348</v>
      </c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  <c r="AZ3153" s="28"/>
      <c r="BA3153" s="28"/>
      <c r="BB3153" s="28">
        <v>1</v>
      </c>
      <c r="BC3153" s="229">
        <f t="shared" si="1298"/>
        <v>0</v>
      </c>
      <c r="BD3153" s="48">
        <f t="shared" si="1294"/>
        <v>1</v>
      </c>
      <c r="BE3153" s="19">
        <v>4</v>
      </c>
      <c r="BF3153" s="229">
        <f t="shared" si="1299"/>
        <v>0</v>
      </c>
      <c r="BG3153" s="210">
        <f t="shared" si="1295"/>
        <v>395</v>
      </c>
      <c r="BH3153" s="210">
        <f t="shared" si="1296"/>
        <v>352</v>
      </c>
      <c r="BI3153" s="213">
        <f t="shared" si="1292"/>
        <v>112.21590909090908</v>
      </c>
      <c r="BJ3153" s="141"/>
      <c r="BK3153" s="201"/>
      <c r="BL3153" s="4"/>
      <c r="BM3153" s="4"/>
    </row>
    <row r="3154" spans="1:65" s="38" customFormat="1" ht="18" customHeight="1">
      <c r="A3154" s="114">
        <v>18</v>
      </c>
      <c r="B3154" s="24" t="s">
        <v>596</v>
      </c>
      <c r="C3154" s="25" t="s">
        <v>597</v>
      </c>
      <c r="D3154" s="121"/>
      <c r="E3154" s="121"/>
      <c r="F3154" s="121"/>
      <c r="G3154" s="121"/>
      <c r="H3154" s="121"/>
      <c r="I3154" s="121">
        <v>32</v>
      </c>
      <c r="J3154" s="121"/>
      <c r="K3154" s="121"/>
      <c r="L3154" s="121"/>
      <c r="M3154" s="121"/>
      <c r="N3154" s="121"/>
      <c r="O3154" s="121">
        <v>61</v>
      </c>
      <c r="P3154" s="121"/>
      <c r="Q3154" s="121"/>
      <c r="R3154" s="121"/>
      <c r="S3154" s="121"/>
      <c r="T3154" s="121"/>
      <c r="U3154" s="121">
        <f>36+1</f>
        <v>37</v>
      </c>
      <c r="V3154" s="121"/>
      <c r="W3154" s="121"/>
      <c r="X3154" s="121"/>
      <c r="Y3154" s="121"/>
      <c r="Z3154" s="121"/>
      <c r="AA3154" s="121">
        <v>43</v>
      </c>
      <c r="AB3154" s="229">
        <f t="shared" si="1297"/>
        <v>0</v>
      </c>
      <c r="AC3154" s="228">
        <f t="shared" si="1293"/>
        <v>173</v>
      </c>
      <c r="AD3154" s="19">
        <v>186</v>
      </c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29">
        <f t="shared" si="1298"/>
        <v>0</v>
      </c>
      <c r="BD3154" s="48">
        <f t="shared" si="1294"/>
        <v>0</v>
      </c>
      <c r="BE3154" s="19">
        <v>0</v>
      </c>
      <c r="BF3154" s="229">
        <f t="shared" si="1299"/>
        <v>0</v>
      </c>
      <c r="BG3154" s="210">
        <f t="shared" si="1295"/>
        <v>173</v>
      </c>
      <c r="BH3154" s="210">
        <f t="shared" si="1296"/>
        <v>186</v>
      </c>
      <c r="BI3154" s="213">
        <f t="shared" si="1292"/>
        <v>93.010752688172033</v>
      </c>
      <c r="BJ3154" s="141"/>
      <c r="BK3154" s="201"/>
      <c r="BL3154" s="4"/>
      <c r="BM3154" s="4"/>
    </row>
    <row r="3155" spans="1:65" s="38" customFormat="1" ht="18" customHeight="1">
      <c r="A3155" s="114">
        <v>19</v>
      </c>
      <c r="B3155" s="24" t="s">
        <v>761</v>
      </c>
      <c r="C3155" s="25" t="s">
        <v>762</v>
      </c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229">
        <f t="shared" si="1297"/>
        <v>0</v>
      </c>
      <c r="AC3155" s="228">
        <f t="shared" si="1293"/>
        <v>0</v>
      </c>
      <c r="AD3155" s="19">
        <v>385</v>
      </c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  <c r="AZ3155" s="28"/>
      <c r="BA3155" s="28"/>
      <c r="BB3155" s="28"/>
      <c r="BC3155" s="229">
        <f t="shared" si="1298"/>
        <v>0</v>
      </c>
      <c r="BD3155" s="48">
        <f t="shared" si="1294"/>
        <v>0</v>
      </c>
      <c r="BE3155" s="19">
        <v>1</v>
      </c>
      <c r="BF3155" s="229">
        <f t="shared" si="1299"/>
        <v>0</v>
      </c>
      <c r="BG3155" s="210">
        <f t="shared" si="1295"/>
        <v>0</v>
      </c>
      <c r="BH3155" s="210">
        <f t="shared" si="1296"/>
        <v>386</v>
      </c>
      <c r="BI3155" s="213">
        <f t="shared" si="1292"/>
        <v>0</v>
      </c>
      <c r="BJ3155" s="141"/>
      <c r="BK3155" s="201"/>
      <c r="BL3155" s="4"/>
      <c r="BM3155" s="4"/>
    </row>
    <row r="3156" spans="1:65" s="38" customFormat="1" ht="18" customHeight="1">
      <c r="A3156" s="114">
        <v>20</v>
      </c>
      <c r="B3156" s="24" t="s">
        <v>812</v>
      </c>
      <c r="C3156" s="25" t="s">
        <v>813</v>
      </c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229">
        <f t="shared" si="1297"/>
        <v>0</v>
      </c>
      <c r="AC3156" s="228">
        <f t="shared" si="1293"/>
        <v>0</v>
      </c>
      <c r="AD3156" s="19">
        <v>0</v>
      </c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29">
        <f t="shared" si="1298"/>
        <v>0</v>
      </c>
      <c r="BD3156" s="48">
        <f t="shared" si="1294"/>
        <v>0</v>
      </c>
      <c r="BE3156" s="19">
        <v>1</v>
      </c>
      <c r="BF3156" s="229">
        <f t="shared" si="1299"/>
        <v>0</v>
      </c>
      <c r="BG3156" s="210">
        <f t="shared" si="1295"/>
        <v>0</v>
      </c>
      <c r="BH3156" s="210">
        <f t="shared" si="1296"/>
        <v>1</v>
      </c>
      <c r="BI3156" s="213">
        <f t="shared" si="1292"/>
        <v>0</v>
      </c>
      <c r="BJ3156" s="141"/>
      <c r="BK3156" s="201"/>
      <c r="BL3156" s="4"/>
      <c r="BM3156" s="4"/>
    </row>
    <row r="3157" spans="1:65" s="38" customFormat="1" ht="18" customHeight="1">
      <c r="A3157" s="114">
        <v>21</v>
      </c>
      <c r="B3157" s="24" t="s">
        <v>628</v>
      </c>
      <c r="C3157" s="25" t="s">
        <v>629</v>
      </c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229">
        <f t="shared" si="1297"/>
        <v>0</v>
      </c>
      <c r="AC3157" s="228">
        <f t="shared" si="1293"/>
        <v>0</v>
      </c>
      <c r="AD3157" s="19">
        <v>75</v>
      </c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29">
        <f t="shared" si="1298"/>
        <v>0</v>
      </c>
      <c r="BD3157" s="48">
        <f t="shared" si="1294"/>
        <v>0</v>
      </c>
      <c r="BE3157" s="19">
        <v>0</v>
      </c>
      <c r="BF3157" s="229">
        <f t="shared" si="1299"/>
        <v>0</v>
      </c>
      <c r="BG3157" s="210">
        <f t="shared" si="1295"/>
        <v>0</v>
      </c>
      <c r="BH3157" s="210">
        <f t="shared" si="1296"/>
        <v>75</v>
      </c>
      <c r="BI3157" s="213">
        <f t="shared" si="1292"/>
        <v>0</v>
      </c>
      <c r="BJ3157" s="141"/>
      <c r="BK3157" s="201"/>
      <c r="BL3157" s="4"/>
      <c r="BM3157" s="4"/>
    </row>
    <row r="3158" spans="1:65" s="38" customFormat="1" ht="18" customHeight="1">
      <c r="A3158" s="114">
        <v>22</v>
      </c>
      <c r="B3158" s="24" t="s">
        <v>630</v>
      </c>
      <c r="C3158" s="25" t="s">
        <v>631</v>
      </c>
      <c r="D3158" s="121"/>
      <c r="E3158" s="121"/>
      <c r="F3158" s="121"/>
      <c r="G3158" s="121"/>
      <c r="H3158" s="121"/>
      <c r="I3158" s="121">
        <v>4</v>
      </c>
      <c r="J3158" s="121"/>
      <c r="K3158" s="121"/>
      <c r="L3158" s="121"/>
      <c r="M3158" s="121"/>
      <c r="N3158" s="121"/>
      <c r="O3158" s="121">
        <v>11</v>
      </c>
      <c r="P3158" s="121"/>
      <c r="Q3158" s="121"/>
      <c r="R3158" s="121"/>
      <c r="S3158" s="121"/>
      <c r="T3158" s="121"/>
      <c r="U3158" s="121">
        <v>4</v>
      </c>
      <c r="V3158" s="121"/>
      <c r="W3158" s="121"/>
      <c r="X3158" s="121"/>
      <c r="Y3158" s="121"/>
      <c r="Z3158" s="121"/>
      <c r="AA3158" s="121"/>
      <c r="AB3158" s="229">
        <f t="shared" si="1297"/>
        <v>0</v>
      </c>
      <c r="AC3158" s="228">
        <f t="shared" si="1293"/>
        <v>19</v>
      </c>
      <c r="AD3158" s="19">
        <v>28</v>
      </c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29">
        <f t="shared" si="1298"/>
        <v>0</v>
      </c>
      <c r="BD3158" s="48">
        <f t="shared" si="1294"/>
        <v>0</v>
      </c>
      <c r="BE3158" s="19">
        <v>0</v>
      </c>
      <c r="BF3158" s="229">
        <f t="shared" si="1299"/>
        <v>0</v>
      </c>
      <c r="BG3158" s="210">
        <f t="shared" si="1295"/>
        <v>19</v>
      </c>
      <c r="BH3158" s="210">
        <f t="shared" si="1296"/>
        <v>28</v>
      </c>
      <c r="BI3158" s="213">
        <f t="shared" si="1292"/>
        <v>67.857142857142861</v>
      </c>
      <c r="BJ3158" s="141"/>
      <c r="BK3158" s="201"/>
      <c r="BL3158" s="4"/>
      <c r="BM3158" s="4"/>
    </row>
    <row r="3159" spans="1:65" s="38" customFormat="1" ht="18" customHeight="1">
      <c r="A3159" s="114">
        <v>23</v>
      </c>
      <c r="B3159" s="24" t="s">
        <v>632</v>
      </c>
      <c r="C3159" s="25" t="s">
        <v>633</v>
      </c>
      <c r="D3159" s="121"/>
      <c r="E3159" s="121"/>
      <c r="F3159" s="121"/>
      <c r="G3159" s="121"/>
      <c r="H3159" s="121"/>
      <c r="I3159" s="121">
        <v>234</v>
      </c>
      <c r="J3159" s="121"/>
      <c r="K3159" s="121"/>
      <c r="L3159" s="121"/>
      <c r="M3159" s="121"/>
      <c r="N3159" s="121"/>
      <c r="O3159" s="121">
        <f>228+1</f>
        <v>229</v>
      </c>
      <c r="P3159" s="121"/>
      <c r="Q3159" s="121"/>
      <c r="R3159" s="121"/>
      <c r="S3159" s="121"/>
      <c r="T3159" s="121"/>
      <c r="U3159" s="121">
        <v>202</v>
      </c>
      <c r="V3159" s="121"/>
      <c r="W3159" s="121"/>
      <c r="X3159" s="121"/>
      <c r="Y3159" s="121"/>
      <c r="Z3159" s="121"/>
      <c r="AA3159" s="121">
        <v>233</v>
      </c>
      <c r="AB3159" s="229">
        <f t="shared" si="1297"/>
        <v>0</v>
      </c>
      <c r="AC3159" s="228">
        <f t="shared" si="1293"/>
        <v>898</v>
      </c>
      <c r="AD3159" s="19">
        <v>697</v>
      </c>
      <c r="AE3159" s="28"/>
      <c r="AF3159" s="28"/>
      <c r="AG3159" s="28"/>
      <c r="AH3159" s="28"/>
      <c r="AI3159" s="28"/>
      <c r="AJ3159" s="28">
        <v>2</v>
      </c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29">
        <f t="shared" si="1298"/>
        <v>0</v>
      </c>
      <c r="BD3159" s="48">
        <f t="shared" si="1294"/>
        <v>2</v>
      </c>
      <c r="BE3159" s="19">
        <v>0</v>
      </c>
      <c r="BF3159" s="229">
        <f t="shared" si="1299"/>
        <v>0</v>
      </c>
      <c r="BG3159" s="210">
        <f t="shared" si="1295"/>
        <v>900</v>
      </c>
      <c r="BH3159" s="210">
        <f t="shared" si="1296"/>
        <v>697</v>
      </c>
      <c r="BI3159" s="213">
        <f t="shared" si="1292"/>
        <v>129.12482065997131</v>
      </c>
      <c r="BJ3159" s="141"/>
      <c r="BK3159" s="201"/>
      <c r="BL3159" s="4"/>
      <c r="BM3159" s="4"/>
    </row>
    <row r="3160" spans="1:65" s="38" customFormat="1" ht="18" customHeight="1">
      <c r="A3160" s="114">
        <v>24</v>
      </c>
      <c r="B3160" s="24" t="s">
        <v>634</v>
      </c>
      <c r="C3160" s="25" t="s">
        <v>696</v>
      </c>
      <c r="D3160" s="121"/>
      <c r="E3160" s="121"/>
      <c r="F3160" s="121"/>
      <c r="G3160" s="121"/>
      <c r="H3160" s="121"/>
      <c r="I3160" s="121">
        <f>126+1</f>
        <v>127</v>
      </c>
      <c r="J3160" s="121"/>
      <c r="K3160" s="121"/>
      <c r="L3160" s="121"/>
      <c r="M3160" s="121"/>
      <c r="N3160" s="121"/>
      <c r="O3160" s="121">
        <f>108+1</f>
        <v>109</v>
      </c>
      <c r="P3160" s="121"/>
      <c r="Q3160" s="121"/>
      <c r="R3160" s="121"/>
      <c r="S3160" s="121"/>
      <c r="T3160" s="121"/>
      <c r="U3160" s="121">
        <v>106</v>
      </c>
      <c r="V3160" s="121"/>
      <c r="W3160" s="121"/>
      <c r="X3160" s="121"/>
      <c r="Y3160" s="121"/>
      <c r="Z3160" s="121"/>
      <c r="AA3160" s="121">
        <v>149</v>
      </c>
      <c r="AB3160" s="229">
        <f t="shared" si="1297"/>
        <v>0</v>
      </c>
      <c r="AC3160" s="228">
        <f t="shared" si="1293"/>
        <v>491</v>
      </c>
      <c r="AD3160" s="19">
        <v>514</v>
      </c>
      <c r="AE3160" s="28"/>
      <c r="AF3160" s="28"/>
      <c r="AG3160" s="28"/>
      <c r="AH3160" s="28"/>
      <c r="AI3160" s="28"/>
      <c r="AJ3160" s="28">
        <v>2</v>
      </c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29">
        <f t="shared" si="1298"/>
        <v>0</v>
      </c>
      <c r="BD3160" s="48">
        <f t="shared" si="1294"/>
        <v>2</v>
      </c>
      <c r="BE3160" s="19">
        <v>4</v>
      </c>
      <c r="BF3160" s="229">
        <f t="shared" si="1299"/>
        <v>0</v>
      </c>
      <c r="BG3160" s="210">
        <f t="shared" si="1295"/>
        <v>493</v>
      </c>
      <c r="BH3160" s="210">
        <f t="shared" si="1296"/>
        <v>518</v>
      </c>
      <c r="BI3160" s="213">
        <f t="shared" si="1292"/>
        <v>95.173745173745175</v>
      </c>
      <c r="BJ3160" s="141"/>
      <c r="BK3160" s="201"/>
      <c r="BL3160" s="4"/>
      <c r="BM3160" s="4"/>
    </row>
    <row r="3161" spans="1:65" s="38" customFormat="1" ht="18" customHeight="1">
      <c r="A3161" s="114">
        <v>25</v>
      </c>
      <c r="B3161" s="24" t="s">
        <v>636</v>
      </c>
      <c r="C3161" s="25" t="s">
        <v>637</v>
      </c>
      <c r="D3161" s="121"/>
      <c r="E3161" s="121"/>
      <c r="F3161" s="121"/>
      <c r="G3161" s="121"/>
      <c r="H3161" s="121"/>
      <c r="I3161" s="121">
        <v>5</v>
      </c>
      <c r="J3161" s="121"/>
      <c r="K3161" s="121"/>
      <c r="L3161" s="121"/>
      <c r="M3161" s="121"/>
      <c r="N3161" s="121"/>
      <c r="O3161" s="121">
        <v>12</v>
      </c>
      <c r="P3161" s="121"/>
      <c r="Q3161" s="121"/>
      <c r="R3161" s="121"/>
      <c r="S3161" s="121"/>
      <c r="T3161" s="121"/>
      <c r="U3161" s="121">
        <v>5</v>
      </c>
      <c r="V3161" s="121"/>
      <c r="W3161" s="121"/>
      <c r="X3161" s="121"/>
      <c r="Y3161" s="121"/>
      <c r="Z3161" s="121"/>
      <c r="AA3161" s="121">
        <v>8</v>
      </c>
      <c r="AB3161" s="229">
        <f t="shared" si="1297"/>
        <v>0</v>
      </c>
      <c r="AC3161" s="228">
        <f t="shared" si="1293"/>
        <v>30</v>
      </c>
      <c r="AD3161" s="19">
        <v>39</v>
      </c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29">
        <f t="shared" si="1298"/>
        <v>0</v>
      </c>
      <c r="BD3161" s="48">
        <f t="shared" si="1294"/>
        <v>0</v>
      </c>
      <c r="BE3161" s="19">
        <v>0</v>
      </c>
      <c r="BF3161" s="229">
        <f t="shared" si="1299"/>
        <v>0</v>
      </c>
      <c r="BG3161" s="210">
        <f t="shared" si="1295"/>
        <v>30</v>
      </c>
      <c r="BH3161" s="210">
        <f t="shared" si="1296"/>
        <v>39</v>
      </c>
      <c r="BI3161" s="213">
        <f t="shared" si="1292"/>
        <v>76.923076923076934</v>
      </c>
      <c r="BJ3161" s="141"/>
      <c r="BK3161" s="201"/>
      <c r="BL3161" s="4"/>
      <c r="BM3161" s="4"/>
    </row>
    <row r="3162" spans="1:65" s="38" customFormat="1" ht="18" customHeight="1">
      <c r="A3162" s="114">
        <v>26</v>
      </c>
      <c r="B3162" s="24" t="s">
        <v>638</v>
      </c>
      <c r="C3162" s="25" t="s">
        <v>639</v>
      </c>
      <c r="D3162" s="121"/>
      <c r="E3162" s="121"/>
      <c r="F3162" s="121"/>
      <c r="G3162" s="121"/>
      <c r="H3162" s="121"/>
      <c r="I3162" s="121">
        <v>5</v>
      </c>
      <c r="J3162" s="121"/>
      <c r="K3162" s="121"/>
      <c r="L3162" s="121"/>
      <c r="M3162" s="121"/>
      <c r="N3162" s="121"/>
      <c r="O3162" s="121">
        <v>12</v>
      </c>
      <c r="P3162" s="121"/>
      <c r="Q3162" s="121"/>
      <c r="R3162" s="121"/>
      <c r="S3162" s="121"/>
      <c r="T3162" s="121"/>
      <c r="U3162" s="121">
        <v>5</v>
      </c>
      <c r="V3162" s="121"/>
      <c r="W3162" s="121"/>
      <c r="X3162" s="121"/>
      <c r="Y3162" s="121"/>
      <c r="Z3162" s="121"/>
      <c r="AA3162" s="121">
        <v>8</v>
      </c>
      <c r="AB3162" s="229">
        <f t="shared" si="1297"/>
        <v>0</v>
      </c>
      <c r="AC3162" s="228">
        <f t="shared" si="1293"/>
        <v>30</v>
      </c>
      <c r="AD3162" s="19">
        <v>39</v>
      </c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29">
        <f t="shared" si="1298"/>
        <v>0</v>
      </c>
      <c r="BD3162" s="48">
        <f t="shared" si="1294"/>
        <v>0</v>
      </c>
      <c r="BE3162" s="19">
        <v>0</v>
      </c>
      <c r="BF3162" s="229">
        <f t="shared" si="1299"/>
        <v>0</v>
      </c>
      <c r="BG3162" s="210">
        <f t="shared" si="1295"/>
        <v>30</v>
      </c>
      <c r="BH3162" s="210">
        <f t="shared" si="1296"/>
        <v>39</v>
      </c>
      <c r="BI3162" s="213">
        <f t="shared" si="1292"/>
        <v>76.923076923076934</v>
      </c>
      <c r="BJ3162" s="141"/>
      <c r="BK3162" s="201"/>
      <c r="BL3162" s="4"/>
      <c r="BM3162" s="4"/>
    </row>
    <row r="3163" spans="1:65" s="38" customFormat="1" ht="18" customHeight="1">
      <c r="A3163" s="114">
        <v>27</v>
      </c>
      <c r="B3163" s="24" t="s">
        <v>643</v>
      </c>
      <c r="C3163" s="25" t="s">
        <v>722</v>
      </c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229">
        <f t="shared" si="1297"/>
        <v>0</v>
      </c>
      <c r="AC3163" s="228">
        <f t="shared" si="1293"/>
        <v>0</v>
      </c>
      <c r="AD3163" s="19">
        <v>3</v>
      </c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29">
        <f t="shared" si="1298"/>
        <v>0</v>
      </c>
      <c r="BD3163" s="48">
        <f t="shared" si="1294"/>
        <v>0</v>
      </c>
      <c r="BE3163" s="19">
        <v>0</v>
      </c>
      <c r="BF3163" s="229">
        <f t="shared" si="1299"/>
        <v>0</v>
      </c>
      <c r="BG3163" s="210">
        <f t="shared" si="1295"/>
        <v>0</v>
      </c>
      <c r="BH3163" s="210">
        <f t="shared" si="1296"/>
        <v>3</v>
      </c>
      <c r="BI3163" s="213">
        <f t="shared" si="1292"/>
        <v>0</v>
      </c>
      <c r="BJ3163" s="141"/>
      <c r="BK3163" s="201"/>
      <c r="BL3163" s="4"/>
      <c r="BM3163" s="4"/>
    </row>
    <row r="3164" spans="1:65" s="38" customFormat="1" ht="18" customHeight="1">
      <c r="A3164" s="114">
        <v>28</v>
      </c>
      <c r="B3164" s="24" t="s">
        <v>651</v>
      </c>
      <c r="C3164" s="25" t="s">
        <v>1453</v>
      </c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229">
        <f t="shared" si="1297"/>
        <v>0</v>
      </c>
      <c r="AC3164" s="228">
        <f t="shared" si="1293"/>
        <v>0</v>
      </c>
      <c r="AD3164" s="19">
        <v>1</v>
      </c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  <c r="AZ3164" s="28"/>
      <c r="BA3164" s="28"/>
      <c r="BB3164" s="28"/>
      <c r="BC3164" s="229">
        <f t="shared" si="1298"/>
        <v>0</v>
      </c>
      <c r="BD3164" s="48">
        <f t="shared" si="1294"/>
        <v>0</v>
      </c>
      <c r="BE3164" s="19">
        <v>0</v>
      </c>
      <c r="BF3164" s="229">
        <f t="shared" si="1299"/>
        <v>0</v>
      </c>
      <c r="BG3164" s="210">
        <f t="shared" si="1295"/>
        <v>0</v>
      </c>
      <c r="BH3164" s="210">
        <f t="shared" si="1296"/>
        <v>1</v>
      </c>
      <c r="BI3164" s="213">
        <f t="shared" si="1292"/>
        <v>0</v>
      </c>
      <c r="BJ3164" s="141"/>
      <c r="BK3164" s="201"/>
      <c r="BL3164" s="4"/>
      <c r="BM3164" s="4"/>
    </row>
    <row r="3165" spans="1:65" s="38" customFormat="1" ht="18" customHeight="1">
      <c r="A3165" s="114">
        <v>29</v>
      </c>
      <c r="B3165" s="24" t="s">
        <v>814</v>
      </c>
      <c r="C3165" s="25" t="s">
        <v>815</v>
      </c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229">
        <f t="shared" si="1297"/>
        <v>0</v>
      </c>
      <c r="AC3165" s="228">
        <f t="shared" si="1293"/>
        <v>0</v>
      </c>
      <c r="AD3165" s="19">
        <v>1</v>
      </c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29">
        <f t="shared" si="1298"/>
        <v>0</v>
      </c>
      <c r="BD3165" s="48">
        <f t="shared" si="1294"/>
        <v>0</v>
      </c>
      <c r="BE3165" s="19">
        <v>0</v>
      </c>
      <c r="BF3165" s="229">
        <f t="shared" si="1299"/>
        <v>0</v>
      </c>
      <c r="BG3165" s="210">
        <f t="shared" si="1295"/>
        <v>0</v>
      </c>
      <c r="BH3165" s="210">
        <f t="shared" si="1296"/>
        <v>1</v>
      </c>
      <c r="BI3165" s="213">
        <f t="shared" si="1292"/>
        <v>0</v>
      </c>
      <c r="BJ3165" s="141"/>
      <c r="BK3165" s="201"/>
      <c r="BL3165" s="4"/>
      <c r="BM3165" s="4"/>
    </row>
    <row r="3166" spans="1:65" s="38" customFormat="1" ht="18" customHeight="1">
      <c r="A3166" s="114">
        <v>30</v>
      </c>
      <c r="B3166" s="24" t="s">
        <v>730</v>
      </c>
      <c r="C3166" s="25" t="s">
        <v>731</v>
      </c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229">
        <f t="shared" si="1297"/>
        <v>0</v>
      </c>
      <c r="AC3166" s="228">
        <f t="shared" si="1293"/>
        <v>0</v>
      </c>
      <c r="AD3166" s="19">
        <v>1</v>
      </c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29">
        <f t="shared" si="1298"/>
        <v>0</v>
      </c>
      <c r="BD3166" s="48">
        <f t="shared" si="1294"/>
        <v>0</v>
      </c>
      <c r="BE3166" s="19">
        <v>0</v>
      </c>
      <c r="BF3166" s="229">
        <f t="shared" si="1299"/>
        <v>0</v>
      </c>
      <c r="BG3166" s="210">
        <f t="shared" si="1295"/>
        <v>0</v>
      </c>
      <c r="BH3166" s="210">
        <f t="shared" si="1296"/>
        <v>1</v>
      </c>
      <c r="BI3166" s="213">
        <f t="shared" si="1292"/>
        <v>0</v>
      </c>
      <c r="BJ3166" s="141"/>
      <c r="BK3166" s="201"/>
      <c r="BL3166" s="4"/>
      <c r="BM3166" s="4"/>
    </row>
    <row r="3167" spans="1:65" s="38" customFormat="1" ht="18" customHeight="1">
      <c r="A3167" s="114">
        <v>31</v>
      </c>
      <c r="B3167" s="24" t="s">
        <v>732</v>
      </c>
      <c r="C3167" s="34" t="s">
        <v>733</v>
      </c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229">
        <f t="shared" si="1297"/>
        <v>0</v>
      </c>
      <c r="AC3167" s="228">
        <f t="shared" si="1293"/>
        <v>0</v>
      </c>
      <c r="AD3167" s="19">
        <v>1</v>
      </c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29">
        <f t="shared" si="1298"/>
        <v>0</v>
      </c>
      <c r="BD3167" s="48">
        <f t="shared" si="1294"/>
        <v>0</v>
      </c>
      <c r="BE3167" s="19">
        <v>0</v>
      </c>
      <c r="BF3167" s="229">
        <f t="shared" si="1299"/>
        <v>0</v>
      </c>
      <c r="BG3167" s="210">
        <f t="shared" si="1295"/>
        <v>0</v>
      </c>
      <c r="BH3167" s="210">
        <f t="shared" si="1296"/>
        <v>1</v>
      </c>
      <c r="BI3167" s="213">
        <f t="shared" si="1292"/>
        <v>0</v>
      </c>
      <c r="BJ3167" s="141"/>
      <c r="BK3167" s="201"/>
      <c r="BL3167" s="4"/>
      <c r="BM3167" s="4"/>
    </row>
    <row r="3168" spans="1:65" s="38" customFormat="1" ht="18" customHeight="1">
      <c r="A3168" s="114">
        <v>32</v>
      </c>
      <c r="B3168" s="24" t="s">
        <v>734</v>
      </c>
      <c r="C3168" s="34" t="s">
        <v>735</v>
      </c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229">
        <f t="shared" si="1297"/>
        <v>0</v>
      </c>
      <c r="AC3168" s="228">
        <f t="shared" si="1293"/>
        <v>0</v>
      </c>
      <c r="AD3168" s="19">
        <v>1</v>
      </c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29">
        <f t="shared" si="1298"/>
        <v>0</v>
      </c>
      <c r="BD3168" s="48">
        <f t="shared" si="1294"/>
        <v>0</v>
      </c>
      <c r="BE3168" s="19">
        <v>0</v>
      </c>
      <c r="BF3168" s="229">
        <f t="shared" si="1299"/>
        <v>0</v>
      </c>
      <c r="BG3168" s="210">
        <f t="shared" si="1295"/>
        <v>0</v>
      </c>
      <c r="BH3168" s="210">
        <f t="shared" si="1296"/>
        <v>1</v>
      </c>
      <c r="BI3168" s="213">
        <f t="shared" si="1292"/>
        <v>0</v>
      </c>
      <c r="BJ3168" s="141"/>
      <c r="BK3168" s="201"/>
      <c r="BL3168" s="4"/>
      <c r="BM3168" s="4"/>
    </row>
    <row r="3169" spans="1:65" s="38" customFormat="1" ht="18" customHeight="1">
      <c r="A3169" s="114">
        <v>33</v>
      </c>
      <c r="B3169" s="24" t="s">
        <v>797</v>
      </c>
      <c r="C3169" s="25" t="s">
        <v>798</v>
      </c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229">
        <f t="shared" si="1297"/>
        <v>0</v>
      </c>
      <c r="AC3169" s="228">
        <f t="shared" si="1293"/>
        <v>0</v>
      </c>
      <c r="AD3169" s="19">
        <v>5</v>
      </c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29">
        <f t="shared" si="1298"/>
        <v>0</v>
      </c>
      <c r="BD3169" s="48">
        <f t="shared" si="1294"/>
        <v>0</v>
      </c>
      <c r="BE3169" s="19">
        <v>0</v>
      </c>
      <c r="BF3169" s="229">
        <f t="shared" si="1299"/>
        <v>0</v>
      </c>
      <c r="BG3169" s="210">
        <f t="shared" si="1295"/>
        <v>0</v>
      </c>
      <c r="BH3169" s="210">
        <f t="shared" si="1296"/>
        <v>5</v>
      </c>
      <c r="BI3169" s="213">
        <f t="shared" ref="BI3169:BI3190" si="1300">BG3169/BH3169*100</f>
        <v>0</v>
      </c>
      <c r="BJ3169" s="141"/>
      <c r="BK3169" s="201"/>
      <c r="BL3169" s="4"/>
      <c r="BM3169" s="4"/>
    </row>
    <row r="3170" spans="1:65" s="38" customFormat="1" ht="18" customHeight="1">
      <c r="A3170" s="114">
        <v>34</v>
      </c>
      <c r="B3170" s="24" t="s">
        <v>822</v>
      </c>
      <c r="C3170" s="25" t="s">
        <v>823</v>
      </c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229">
        <f t="shared" si="1297"/>
        <v>0</v>
      </c>
      <c r="AC3170" s="228">
        <f t="shared" si="1293"/>
        <v>0</v>
      </c>
      <c r="AD3170" s="19">
        <v>3</v>
      </c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29">
        <f t="shared" si="1298"/>
        <v>0</v>
      </c>
      <c r="BD3170" s="48">
        <f t="shared" si="1294"/>
        <v>0</v>
      </c>
      <c r="BE3170" s="19">
        <v>0</v>
      </c>
      <c r="BF3170" s="229">
        <f t="shared" si="1299"/>
        <v>0</v>
      </c>
      <c r="BG3170" s="210">
        <f t="shared" si="1295"/>
        <v>0</v>
      </c>
      <c r="BH3170" s="210">
        <f t="shared" si="1296"/>
        <v>3</v>
      </c>
      <c r="BI3170" s="213">
        <f t="shared" si="1300"/>
        <v>0</v>
      </c>
      <c r="BJ3170" s="141"/>
      <c r="BK3170" s="201"/>
      <c r="BL3170" s="4"/>
      <c r="BM3170" s="4"/>
    </row>
    <row r="3171" spans="1:65" s="38" customFormat="1" ht="21.95" customHeight="1">
      <c r="A3171" s="114">
        <v>35</v>
      </c>
      <c r="B3171" s="24" t="s">
        <v>657</v>
      </c>
      <c r="C3171" s="27" t="s">
        <v>1401</v>
      </c>
      <c r="D3171" s="121"/>
      <c r="E3171" s="121"/>
      <c r="F3171" s="121"/>
      <c r="G3171" s="121"/>
      <c r="H3171" s="121"/>
      <c r="I3171" s="121">
        <f>156+2</f>
        <v>158</v>
      </c>
      <c r="J3171" s="121"/>
      <c r="K3171" s="121"/>
      <c r="L3171" s="121"/>
      <c r="M3171" s="121"/>
      <c r="N3171" s="121"/>
      <c r="O3171" s="121">
        <v>139</v>
      </c>
      <c r="P3171" s="121"/>
      <c r="Q3171" s="121"/>
      <c r="R3171" s="121"/>
      <c r="S3171" s="121"/>
      <c r="T3171" s="121"/>
      <c r="U3171" s="121">
        <f>125+1</f>
        <v>126</v>
      </c>
      <c r="V3171" s="121"/>
      <c r="W3171" s="121"/>
      <c r="X3171" s="121"/>
      <c r="Y3171" s="121"/>
      <c r="Z3171" s="121"/>
      <c r="AA3171" s="121">
        <v>152</v>
      </c>
      <c r="AB3171" s="229">
        <f t="shared" si="1297"/>
        <v>0</v>
      </c>
      <c r="AC3171" s="228">
        <f t="shared" si="1293"/>
        <v>575</v>
      </c>
      <c r="AD3171" s="19">
        <v>715</v>
      </c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>
        <v>1</v>
      </c>
      <c r="AQ3171" s="28"/>
      <c r="AR3171" s="28"/>
      <c r="AS3171" s="28"/>
      <c r="AT3171" s="28"/>
      <c r="AU3171" s="28"/>
      <c r="AV3171" s="28">
        <v>1</v>
      </c>
      <c r="AW3171" s="28"/>
      <c r="AX3171" s="28"/>
      <c r="AY3171" s="28"/>
      <c r="AZ3171" s="28"/>
      <c r="BA3171" s="28"/>
      <c r="BB3171" s="28"/>
      <c r="BC3171" s="229">
        <f t="shared" si="1298"/>
        <v>0</v>
      </c>
      <c r="BD3171" s="48">
        <f t="shared" si="1294"/>
        <v>2</v>
      </c>
      <c r="BE3171" s="19">
        <v>3</v>
      </c>
      <c r="BF3171" s="229">
        <f t="shared" si="1299"/>
        <v>0</v>
      </c>
      <c r="BG3171" s="210">
        <f t="shared" si="1295"/>
        <v>577</v>
      </c>
      <c r="BH3171" s="210">
        <f t="shared" si="1296"/>
        <v>718</v>
      </c>
      <c r="BI3171" s="213">
        <f t="shared" si="1300"/>
        <v>80.362116991643447</v>
      </c>
      <c r="BJ3171" s="141"/>
      <c r="BK3171" s="201"/>
      <c r="BL3171" s="4"/>
      <c r="BM3171" s="4"/>
    </row>
    <row r="3172" spans="1:65" s="38" customFormat="1" ht="21.95" customHeight="1">
      <c r="A3172" s="114">
        <v>36</v>
      </c>
      <c r="B3172" s="24" t="s">
        <v>742</v>
      </c>
      <c r="C3172" s="27" t="s">
        <v>778</v>
      </c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229">
        <f t="shared" si="1297"/>
        <v>0</v>
      </c>
      <c r="AC3172" s="228">
        <f t="shared" si="1293"/>
        <v>0</v>
      </c>
      <c r="AD3172" s="19">
        <v>1</v>
      </c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  <c r="AZ3172" s="28"/>
      <c r="BA3172" s="28"/>
      <c r="BB3172" s="28"/>
      <c r="BC3172" s="229">
        <f t="shared" si="1298"/>
        <v>0</v>
      </c>
      <c r="BD3172" s="48">
        <f t="shared" si="1294"/>
        <v>0</v>
      </c>
      <c r="BE3172" s="19">
        <v>0</v>
      </c>
      <c r="BF3172" s="229">
        <f t="shared" si="1299"/>
        <v>0</v>
      </c>
      <c r="BG3172" s="210">
        <f t="shared" si="1295"/>
        <v>0</v>
      </c>
      <c r="BH3172" s="210">
        <f t="shared" si="1296"/>
        <v>1</v>
      </c>
      <c r="BI3172" s="213">
        <f t="shared" si="1300"/>
        <v>0</v>
      </c>
      <c r="BJ3172" s="141"/>
      <c r="BK3172" s="201"/>
      <c r="BL3172" s="4"/>
      <c r="BM3172" s="4"/>
    </row>
    <row r="3173" spans="1:65" s="38" customFormat="1" ht="21.95" customHeight="1">
      <c r="A3173" s="114">
        <v>37</v>
      </c>
      <c r="B3173" s="24" t="s">
        <v>658</v>
      </c>
      <c r="C3173" s="25" t="s">
        <v>779</v>
      </c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229">
        <f t="shared" si="1297"/>
        <v>0</v>
      </c>
      <c r="AC3173" s="228">
        <f t="shared" ref="AC3173:AC3190" si="1301">E3173+G3173+I3173+K3173+M3173+O3173+Q3173+S3173+U3173+W3173+Y3173+AA3173</f>
        <v>0</v>
      </c>
      <c r="AD3173" s="19">
        <v>11</v>
      </c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29">
        <f t="shared" si="1298"/>
        <v>0</v>
      </c>
      <c r="BD3173" s="48">
        <f t="shared" ref="BD3173:BD3190" si="1302">AF3173+AH3173+AJ3173+AL3173+AN3173+AP3173+AR3173+AT3173+AV3173+AX3173+AZ3173+BB3173</f>
        <v>0</v>
      </c>
      <c r="BE3173" s="19">
        <v>0</v>
      </c>
      <c r="BF3173" s="229">
        <f t="shared" si="1299"/>
        <v>0</v>
      </c>
      <c r="BG3173" s="210">
        <f t="shared" ref="BG3173:BG3190" si="1303">AC3173+BD3173</f>
        <v>0</v>
      </c>
      <c r="BH3173" s="210">
        <f t="shared" ref="BH3173:BH3190" si="1304">AD3173+BE3173</f>
        <v>11</v>
      </c>
      <c r="BI3173" s="213">
        <f t="shared" si="1300"/>
        <v>0</v>
      </c>
      <c r="BJ3173" s="141"/>
      <c r="BK3173" s="201"/>
      <c r="BL3173" s="4"/>
      <c r="BM3173" s="4"/>
    </row>
    <row r="3174" spans="1:65" s="38" customFormat="1" ht="18" customHeight="1">
      <c r="A3174" s="114">
        <v>38</v>
      </c>
      <c r="B3174" s="24" t="s">
        <v>780</v>
      </c>
      <c r="C3174" s="25" t="s">
        <v>781</v>
      </c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229">
        <f t="shared" si="1297"/>
        <v>0</v>
      </c>
      <c r="AC3174" s="228">
        <f t="shared" si="1301"/>
        <v>0</v>
      </c>
      <c r="AD3174" s="19">
        <v>17</v>
      </c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29">
        <f t="shared" si="1298"/>
        <v>0</v>
      </c>
      <c r="BD3174" s="48">
        <f t="shared" si="1302"/>
        <v>0</v>
      </c>
      <c r="BE3174" s="19">
        <v>0</v>
      </c>
      <c r="BF3174" s="229">
        <f t="shared" si="1299"/>
        <v>0</v>
      </c>
      <c r="BG3174" s="210">
        <f t="shared" si="1303"/>
        <v>0</v>
      </c>
      <c r="BH3174" s="210">
        <f t="shared" si="1304"/>
        <v>17</v>
      </c>
      <c r="BI3174" s="213">
        <f t="shared" si="1300"/>
        <v>0</v>
      </c>
      <c r="BJ3174" s="141"/>
      <c r="BK3174" s="201"/>
      <c r="BL3174" s="4"/>
      <c r="BM3174" s="4"/>
    </row>
    <row r="3175" spans="1:65" s="38" customFormat="1" ht="18" customHeight="1">
      <c r="A3175" s="114">
        <v>39</v>
      </c>
      <c r="B3175" s="24" t="s">
        <v>804</v>
      </c>
      <c r="C3175" s="25" t="s">
        <v>1386</v>
      </c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229">
        <f t="shared" si="1297"/>
        <v>0</v>
      </c>
      <c r="AC3175" s="228">
        <f t="shared" si="1301"/>
        <v>0</v>
      </c>
      <c r="AD3175" s="19">
        <v>4</v>
      </c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29">
        <f t="shared" si="1298"/>
        <v>0</v>
      </c>
      <c r="BD3175" s="48">
        <f t="shared" si="1302"/>
        <v>0</v>
      </c>
      <c r="BE3175" s="19">
        <v>0</v>
      </c>
      <c r="BF3175" s="229">
        <f t="shared" si="1299"/>
        <v>0</v>
      </c>
      <c r="BG3175" s="210">
        <f t="shared" si="1303"/>
        <v>0</v>
      </c>
      <c r="BH3175" s="210">
        <f t="shared" si="1304"/>
        <v>4</v>
      </c>
      <c r="BI3175" s="213">
        <f t="shared" si="1300"/>
        <v>0</v>
      </c>
      <c r="BJ3175" s="141"/>
      <c r="BK3175" s="201"/>
      <c r="BL3175" s="4"/>
      <c r="BM3175" s="4"/>
    </row>
    <row r="3176" spans="1:65" s="38" customFormat="1" ht="18" customHeight="1">
      <c r="A3176" s="114">
        <v>40</v>
      </c>
      <c r="B3176" s="24" t="s">
        <v>903</v>
      </c>
      <c r="C3176" s="25" t="s">
        <v>1165</v>
      </c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229">
        <f t="shared" si="1297"/>
        <v>0</v>
      </c>
      <c r="AC3176" s="228">
        <f t="shared" si="1301"/>
        <v>0</v>
      </c>
      <c r="AD3176" s="19">
        <v>1</v>
      </c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29">
        <f t="shared" si="1298"/>
        <v>0</v>
      </c>
      <c r="BD3176" s="48">
        <f t="shared" si="1302"/>
        <v>0</v>
      </c>
      <c r="BE3176" s="19">
        <v>0</v>
      </c>
      <c r="BF3176" s="229">
        <f t="shared" si="1299"/>
        <v>0</v>
      </c>
      <c r="BG3176" s="210">
        <f t="shared" si="1303"/>
        <v>0</v>
      </c>
      <c r="BH3176" s="210">
        <f t="shared" si="1304"/>
        <v>1</v>
      </c>
      <c r="BI3176" s="213">
        <f t="shared" si="1300"/>
        <v>0</v>
      </c>
      <c r="BJ3176" s="141"/>
      <c r="BK3176" s="201"/>
      <c r="BL3176" s="4"/>
      <c r="BM3176" s="4"/>
    </row>
    <row r="3177" spans="1:65" s="38" customFormat="1" ht="18" customHeight="1">
      <c r="A3177" s="114">
        <v>41</v>
      </c>
      <c r="B3177" s="24" t="s">
        <v>659</v>
      </c>
      <c r="C3177" s="25" t="s">
        <v>1182</v>
      </c>
      <c r="D3177" s="121"/>
      <c r="E3177" s="121"/>
      <c r="F3177" s="121"/>
      <c r="G3177" s="121"/>
      <c r="H3177" s="121"/>
      <c r="I3177" s="121">
        <f>710+3</f>
        <v>713</v>
      </c>
      <c r="J3177" s="121"/>
      <c r="K3177" s="121"/>
      <c r="L3177" s="121"/>
      <c r="M3177" s="121"/>
      <c r="N3177" s="121"/>
      <c r="O3177" s="121">
        <f>708+3</f>
        <v>711</v>
      </c>
      <c r="P3177" s="121"/>
      <c r="Q3177" s="121"/>
      <c r="R3177" s="121"/>
      <c r="S3177" s="121"/>
      <c r="T3177" s="121"/>
      <c r="U3177" s="121">
        <f>572+4</f>
        <v>576</v>
      </c>
      <c r="V3177" s="121"/>
      <c r="W3177" s="121"/>
      <c r="X3177" s="121"/>
      <c r="Y3177" s="121"/>
      <c r="Z3177" s="121"/>
      <c r="AA3177" s="121">
        <f>815+5</f>
        <v>820</v>
      </c>
      <c r="AB3177" s="229">
        <f t="shared" si="1297"/>
        <v>0</v>
      </c>
      <c r="AC3177" s="228">
        <f t="shared" si="1301"/>
        <v>2820</v>
      </c>
      <c r="AD3177" s="19">
        <v>2557</v>
      </c>
      <c r="AE3177" s="28"/>
      <c r="AF3177" s="28"/>
      <c r="AG3177" s="28"/>
      <c r="AH3177" s="28"/>
      <c r="AI3177" s="28"/>
      <c r="AJ3177" s="28">
        <v>2</v>
      </c>
      <c r="AK3177" s="28"/>
      <c r="AL3177" s="28"/>
      <c r="AM3177" s="28"/>
      <c r="AN3177" s="28"/>
      <c r="AO3177" s="28"/>
      <c r="AP3177" s="28">
        <v>1</v>
      </c>
      <c r="AQ3177" s="28"/>
      <c r="AR3177" s="28"/>
      <c r="AS3177" s="28"/>
      <c r="AT3177" s="28"/>
      <c r="AU3177" s="28"/>
      <c r="AV3177" s="28">
        <v>2</v>
      </c>
      <c r="AW3177" s="28"/>
      <c r="AX3177" s="28"/>
      <c r="AY3177" s="28"/>
      <c r="AZ3177" s="28"/>
      <c r="BA3177" s="28"/>
      <c r="BB3177" s="28">
        <v>2</v>
      </c>
      <c r="BC3177" s="229">
        <f t="shared" si="1298"/>
        <v>0</v>
      </c>
      <c r="BD3177" s="48">
        <f t="shared" si="1302"/>
        <v>7</v>
      </c>
      <c r="BE3177" s="19">
        <v>4</v>
      </c>
      <c r="BF3177" s="229">
        <f t="shared" si="1299"/>
        <v>0</v>
      </c>
      <c r="BG3177" s="210">
        <f t="shared" si="1303"/>
        <v>2827</v>
      </c>
      <c r="BH3177" s="210">
        <f t="shared" si="1304"/>
        <v>2561</v>
      </c>
      <c r="BI3177" s="213">
        <f t="shared" si="1300"/>
        <v>110.38656774697384</v>
      </c>
      <c r="BJ3177" s="141"/>
      <c r="BK3177" s="201"/>
      <c r="BL3177" s="4"/>
      <c r="BM3177" s="4"/>
    </row>
    <row r="3178" spans="1:65" s="38" customFormat="1" ht="21.95" customHeight="1">
      <c r="A3178" s="114">
        <v>42</v>
      </c>
      <c r="B3178" s="24" t="s">
        <v>661</v>
      </c>
      <c r="C3178" s="27" t="s">
        <v>1166</v>
      </c>
      <c r="D3178" s="121"/>
      <c r="E3178" s="121"/>
      <c r="F3178" s="121"/>
      <c r="G3178" s="121"/>
      <c r="H3178" s="121"/>
      <c r="I3178" s="121">
        <f>796+3</f>
        <v>799</v>
      </c>
      <c r="J3178" s="121"/>
      <c r="K3178" s="121"/>
      <c r="L3178" s="121"/>
      <c r="M3178" s="121"/>
      <c r="N3178" s="121"/>
      <c r="O3178" s="121">
        <f>704+8</f>
        <v>712</v>
      </c>
      <c r="P3178" s="121"/>
      <c r="Q3178" s="121"/>
      <c r="R3178" s="121"/>
      <c r="S3178" s="121"/>
      <c r="T3178" s="121"/>
      <c r="U3178" s="121">
        <f>900+6</f>
        <v>906</v>
      </c>
      <c r="V3178" s="121"/>
      <c r="W3178" s="121"/>
      <c r="X3178" s="121"/>
      <c r="Y3178" s="121"/>
      <c r="Z3178" s="121"/>
      <c r="AA3178" s="121">
        <f>829+4</f>
        <v>833</v>
      </c>
      <c r="AB3178" s="229">
        <f t="shared" si="1297"/>
        <v>0</v>
      </c>
      <c r="AC3178" s="228">
        <f t="shared" si="1301"/>
        <v>3250</v>
      </c>
      <c r="AD3178" s="19">
        <v>3650</v>
      </c>
      <c r="AE3178" s="28"/>
      <c r="AF3178" s="28"/>
      <c r="AG3178" s="28"/>
      <c r="AH3178" s="28"/>
      <c r="AI3178" s="28"/>
      <c r="AJ3178" s="28">
        <v>2</v>
      </c>
      <c r="AK3178" s="28"/>
      <c r="AL3178" s="28"/>
      <c r="AM3178" s="28"/>
      <c r="AN3178" s="28"/>
      <c r="AO3178" s="28"/>
      <c r="AP3178" s="28">
        <v>2</v>
      </c>
      <c r="AQ3178" s="28"/>
      <c r="AR3178" s="28"/>
      <c r="AS3178" s="28"/>
      <c r="AT3178" s="28"/>
      <c r="AU3178" s="28"/>
      <c r="AV3178" s="28">
        <v>1</v>
      </c>
      <c r="AW3178" s="28"/>
      <c r="AX3178" s="28"/>
      <c r="AY3178" s="28"/>
      <c r="AZ3178" s="28"/>
      <c r="BA3178" s="28"/>
      <c r="BB3178" s="28">
        <v>1</v>
      </c>
      <c r="BC3178" s="229">
        <f t="shared" si="1298"/>
        <v>0</v>
      </c>
      <c r="BD3178" s="48">
        <f t="shared" si="1302"/>
        <v>6</v>
      </c>
      <c r="BE3178" s="19">
        <v>8</v>
      </c>
      <c r="BF3178" s="229">
        <f t="shared" si="1299"/>
        <v>0</v>
      </c>
      <c r="BG3178" s="210">
        <f t="shared" si="1303"/>
        <v>3256</v>
      </c>
      <c r="BH3178" s="210">
        <f t="shared" si="1304"/>
        <v>3658</v>
      </c>
      <c r="BI3178" s="213">
        <f t="shared" si="1300"/>
        <v>89.010388190267903</v>
      </c>
      <c r="BJ3178" s="141"/>
      <c r="BK3178" s="201"/>
      <c r="BL3178" s="4"/>
      <c r="BM3178" s="4"/>
    </row>
    <row r="3179" spans="1:65" s="38" customFormat="1" ht="18" customHeight="1">
      <c r="A3179" s="114">
        <v>43</v>
      </c>
      <c r="B3179" s="24" t="s">
        <v>662</v>
      </c>
      <c r="C3179" s="25" t="s">
        <v>1096</v>
      </c>
      <c r="D3179" s="121"/>
      <c r="E3179" s="121"/>
      <c r="F3179" s="121"/>
      <c r="G3179" s="121"/>
      <c r="H3179" s="121"/>
      <c r="I3179" s="121">
        <v>76</v>
      </c>
      <c r="J3179" s="121"/>
      <c r="K3179" s="121"/>
      <c r="L3179" s="121"/>
      <c r="M3179" s="121"/>
      <c r="N3179" s="121"/>
      <c r="O3179" s="121">
        <v>61</v>
      </c>
      <c r="P3179" s="121"/>
      <c r="Q3179" s="121"/>
      <c r="R3179" s="121"/>
      <c r="S3179" s="121"/>
      <c r="T3179" s="121"/>
      <c r="U3179" s="121">
        <v>59</v>
      </c>
      <c r="V3179" s="121"/>
      <c r="W3179" s="121"/>
      <c r="X3179" s="121"/>
      <c r="Y3179" s="121"/>
      <c r="Z3179" s="121"/>
      <c r="AA3179" s="121">
        <f>76+1</f>
        <v>77</v>
      </c>
      <c r="AB3179" s="229">
        <f t="shared" si="1297"/>
        <v>0</v>
      </c>
      <c r="AC3179" s="228">
        <f t="shared" si="1301"/>
        <v>273</v>
      </c>
      <c r="AD3179" s="19">
        <v>362</v>
      </c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  <c r="AZ3179" s="28"/>
      <c r="BA3179" s="28"/>
      <c r="BB3179" s="28"/>
      <c r="BC3179" s="229">
        <f t="shared" si="1298"/>
        <v>0</v>
      </c>
      <c r="BD3179" s="48">
        <f t="shared" si="1302"/>
        <v>0</v>
      </c>
      <c r="BE3179" s="19">
        <v>0</v>
      </c>
      <c r="BF3179" s="229">
        <f t="shared" si="1299"/>
        <v>0</v>
      </c>
      <c r="BG3179" s="210">
        <f t="shared" si="1303"/>
        <v>273</v>
      </c>
      <c r="BH3179" s="210">
        <f t="shared" si="1304"/>
        <v>362</v>
      </c>
      <c r="BI3179" s="213">
        <f t="shared" si="1300"/>
        <v>75.414364640883974</v>
      </c>
      <c r="BJ3179" s="141"/>
      <c r="BK3179" s="201"/>
      <c r="BL3179" s="4"/>
      <c r="BM3179" s="4"/>
    </row>
    <row r="3180" spans="1:65" s="38" customFormat="1" ht="18" customHeight="1">
      <c r="A3180" s="114">
        <v>44</v>
      </c>
      <c r="B3180" s="24" t="s">
        <v>663</v>
      </c>
      <c r="C3180" s="25" t="s">
        <v>1097</v>
      </c>
      <c r="D3180" s="121"/>
      <c r="E3180" s="121"/>
      <c r="F3180" s="121"/>
      <c r="G3180" s="121"/>
      <c r="H3180" s="121"/>
      <c r="I3180" s="121">
        <f>64+2</f>
        <v>66</v>
      </c>
      <c r="J3180" s="121"/>
      <c r="K3180" s="121"/>
      <c r="L3180" s="121"/>
      <c r="M3180" s="121"/>
      <c r="N3180" s="121"/>
      <c r="O3180" s="121">
        <f>37+3</f>
        <v>40</v>
      </c>
      <c r="P3180" s="121"/>
      <c r="Q3180" s="121"/>
      <c r="R3180" s="121"/>
      <c r="S3180" s="121"/>
      <c r="T3180" s="121"/>
      <c r="U3180" s="121">
        <v>60</v>
      </c>
      <c r="V3180" s="121"/>
      <c r="W3180" s="121"/>
      <c r="X3180" s="121"/>
      <c r="Y3180" s="121"/>
      <c r="Z3180" s="121"/>
      <c r="AA3180" s="121">
        <v>52</v>
      </c>
      <c r="AB3180" s="229">
        <f t="shared" si="1297"/>
        <v>0</v>
      </c>
      <c r="AC3180" s="228">
        <f t="shared" si="1301"/>
        <v>218</v>
      </c>
      <c r="AD3180" s="19">
        <v>325</v>
      </c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29">
        <f t="shared" si="1298"/>
        <v>0</v>
      </c>
      <c r="BD3180" s="48">
        <f t="shared" si="1302"/>
        <v>0</v>
      </c>
      <c r="BE3180" s="19">
        <v>0</v>
      </c>
      <c r="BF3180" s="229">
        <f t="shared" si="1299"/>
        <v>0</v>
      </c>
      <c r="BG3180" s="210">
        <f t="shared" si="1303"/>
        <v>218</v>
      </c>
      <c r="BH3180" s="210">
        <f t="shared" si="1304"/>
        <v>325</v>
      </c>
      <c r="BI3180" s="213">
        <f t="shared" si="1300"/>
        <v>67.07692307692308</v>
      </c>
      <c r="BJ3180" s="141"/>
      <c r="BK3180" s="201"/>
      <c r="BL3180" s="4"/>
      <c r="BM3180" s="4"/>
    </row>
    <row r="3181" spans="1:65" s="38" customFormat="1" ht="21.95" customHeight="1">
      <c r="A3181" s="114">
        <v>45</v>
      </c>
      <c r="B3181" s="24" t="s">
        <v>664</v>
      </c>
      <c r="C3181" s="27" t="s">
        <v>1167</v>
      </c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229">
        <f t="shared" si="1297"/>
        <v>0</v>
      </c>
      <c r="AC3181" s="228">
        <f t="shared" si="1301"/>
        <v>0</v>
      </c>
      <c r="AD3181" s="19">
        <v>1</v>
      </c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  <c r="AZ3181" s="28"/>
      <c r="BA3181" s="28"/>
      <c r="BB3181" s="28"/>
      <c r="BC3181" s="229">
        <f t="shared" si="1298"/>
        <v>0</v>
      </c>
      <c r="BD3181" s="48">
        <f t="shared" si="1302"/>
        <v>0</v>
      </c>
      <c r="BE3181" s="19">
        <v>0</v>
      </c>
      <c r="BF3181" s="229">
        <f t="shared" si="1299"/>
        <v>0</v>
      </c>
      <c r="BG3181" s="210">
        <f t="shared" si="1303"/>
        <v>0</v>
      </c>
      <c r="BH3181" s="210">
        <f t="shared" si="1304"/>
        <v>1</v>
      </c>
      <c r="BI3181" s="213">
        <f t="shared" si="1300"/>
        <v>0</v>
      </c>
      <c r="BJ3181" s="141"/>
      <c r="BK3181" s="201"/>
      <c r="BL3181" s="4"/>
      <c r="BM3181" s="4"/>
    </row>
    <row r="3182" spans="1:65" s="38" customFormat="1" ht="21.95" customHeight="1">
      <c r="A3182" s="114">
        <v>46</v>
      </c>
      <c r="B3182" s="24" t="s">
        <v>1634</v>
      </c>
      <c r="C3182" s="27" t="s">
        <v>1705</v>
      </c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229">
        <f t="shared" si="1297"/>
        <v>0</v>
      </c>
      <c r="AC3182" s="228">
        <f t="shared" si="1301"/>
        <v>0</v>
      </c>
      <c r="AD3182" s="19">
        <v>1</v>
      </c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29">
        <f t="shared" si="1298"/>
        <v>0</v>
      </c>
      <c r="BD3182" s="48">
        <f t="shared" si="1302"/>
        <v>0</v>
      </c>
      <c r="BE3182" s="19">
        <v>0</v>
      </c>
      <c r="BF3182" s="229">
        <f t="shared" si="1299"/>
        <v>0</v>
      </c>
      <c r="BG3182" s="210">
        <f t="shared" si="1303"/>
        <v>0</v>
      </c>
      <c r="BH3182" s="210">
        <f t="shared" si="1304"/>
        <v>1</v>
      </c>
      <c r="BI3182" s="213">
        <f t="shared" si="1300"/>
        <v>0</v>
      </c>
      <c r="BJ3182" s="141"/>
      <c r="BK3182" s="201"/>
      <c r="BL3182" s="4"/>
      <c r="BM3182" s="4"/>
    </row>
    <row r="3183" spans="1:65" s="38" customFormat="1" ht="21.95" customHeight="1">
      <c r="A3183" s="114">
        <v>47</v>
      </c>
      <c r="B3183" s="24" t="s">
        <v>786</v>
      </c>
      <c r="C3183" s="27" t="s">
        <v>2250</v>
      </c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229">
        <f t="shared" si="1297"/>
        <v>0</v>
      </c>
      <c r="AC3183" s="228">
        <f t="shared" si="1301"/>
        <v>0</v>
      </c>
      <c r="AD3183" s="19">
        <v>1396</v>
      </c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29">
        <f t="shared" si="1298"/>
        <v>0</v>
      </c>
      <c r="BD3183" s="48">
        <f t="shared" si="1302"/>
        <v>0</v>
      </c>
      <c r="BE3183" s="19">
        <v>0</v>
      </c>
      <c r="BF3183" s="229">
        <f t="shared" si="1299"/>
        <v>0</v>
      </c>
      <c r="BG3183" s="210">
        <f t="shared" si="1303"/>
        <v>0</v>
      </c>
      <c r="BH3183" s="210">
        <f t="shared" si="1304"/>
        <v>1396</v>
      </c>
      <c r="BI3183" s="213">
        <f t="shared" si="1300"/>
        <v>0</v>
      </c>
      <c r="BJ3183" s="141"/>
      <c r="BK3183" s="201"/>
      <c r="BL3183" s="4"/>
      <c r="BM3183" s="4"/>
    </row>
    <row r="3184" spans="1:65" s="38" customFormat="1" ht="18" customHeight="1">
      <c r="A3184" s="114">
        <v>48</v>
      </c>
      <c r="B3184" s="24" t="s">
        <v>704</v>
      </c>
      <c r="C3184" s="25" t="s">
        <v>1383</v>
      </c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229">
        <f t="shared" si="1297"/>
        <v>0</v>
      </c>
      <c r="AC3184" s="228">
        <f t="shared" si="1301"/>
        <v>0</v>
      </c>
      <c r="AD3184" s="19">
        <v>5</v>
      </c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29">
        <f t="shared" si="1298"/>
        <v>0</v>
      </c>
      <c r="BD3184" s="48">
        <f t="shared" si="1302"/>
        <v>0</v>
      </c>
      <c r="BE3184" s="19">
        <v>0</v>
      </c>
      <c r="BF3184" s="229">
        <f t="shared" si="1299"/>
        <v>0</v>
      </c>
      <c r="BG3184" s="210">
        <f t="shared" si="1303"/>
        <v>0</v>
      </c>
      <c r="BH3184" s="210">
        <f t="shared" si="1304"/>
        <v>5</v>
      </c>
      <c r="BI3184" s="213">
        <f t="shared" si="1300"/>
        <v>0</v>
      </c>
      <c r="BJ3184" s="141"/>
      <c r="BK3184" s="201"/>
      <c r="BL3184" s="4"/>
      <c r="BM3184" s="4"/>
    </row>
    <row r="3185" spans="1:65" s="38" customFormat="1" ht="18" customHeight="1">
      <c r="A3185" s="114">
        <v>49</v>
      </c>
      <c r="B3185" s="24" t="s">
        <v>788</v>
      </c>
      <c r="C3185" s="25" t="s">
        <v>1172</v>
      </c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229">
        <f t="shared" si="1297"/>
        <v>0</v>
      </c>
      <c r="AC3185" s="228">
        <f t="shared" si="1301"/>
        <v>0</v>
      </c>
      <c r="AD3185" s="19">
        <v>135</v>
      </c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  <c r="AZ3185" s="28"/>
      <c r="BA3185" s="28"/>
      <c r="BB3185" s="28"/>
      <c r="BC3185" s="229">
        <f t="shared" si="1298"/>
        <v>0</v>
      </c>
      <c r="BD3185" s="48">
        <f t="shared" si="1302"/>
        <v>0</v>
      </c>
      <c r="BE3185" s="19">
        <v>0</v>
      </c>
      <c r="BF3185" s="229">
        <f t="shared" si="1299"/>
        <v>0</v>
      </c>
      <c r="BG3185" s="210">
        <f t="shared" si="1303"/>
        <v>0</v>
      </c>
      <c r="BH3185" s="210">
        <f t="shared" si="1304"/>
        <v>135</v>
      </c>
      <c r="BI3185" s="213">
        <f t="shared" si="1300"/>
        <v>0</v>
      </c>
      <c r="BJ3185" s="141"/>
      <c r="BK3185" s="201"/>
      <c r="BL3185" s="4"/>
      <c r="BM3185" s="4"/>
    </row>
    <row r="3186" spans="1:65" s="38" customFormat="1" ht="18" customHeight="1">
      <c r="A3186" s="114">
        <v>50</v>
      </c>
      <c r="B3186" s="24" t="s">
        <v>1173</v>
      </c>
      <c r="C3186" s="25" t="s">
        <v>1371</v>
      </c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229">
        <f t="shared" si="1297"/>
        <v>0</v>
      </c>
      <c r="AC3186" s="228">
        <f t="shared" si="1301"/>
        <v>0</v>
      </c>
      <c r="AD3186" s="19">
        <v>1</v>
      </c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  <c r="AZ3186" s="28"/>
      <c r="BA3186" s="28"/>
      <c r="BB3186" s="28"/>
      <c r="BC3186" s="229">
        <f t="shared" si="1298"/>
        <v>0</v>
      </c>
      <c r="BD3186" s="48">
        <f t="shared" si="1302"/>
        <v>0</v>
      </c>
      <c r="BE3186" s="19">
        <v>0</v>
      </c>
      <c r="BF3186" s="229">
        <f t="shared" si="1299"/>
        <v>0</v>
      </c>
      <c r="BG3186" s="210">
        <f t="shared" si="1303"/>
        <v>0</v>
      </c>
      <c r="BH3186" s="210">
        <f t="shared" si="1304"/>
        <v>1</v>
      </c>
      <c r="BI3186" s="213">
        <f t="shared" si="1300"/>
        <v>0</v>
      </c>
      <c r="BJ3186" s="141"/>
      <c r="BK3186" s="201"/>
      <c r="BL3186" s="4"/>
      <c r="BM3186" s="4"/>
    </row>
    <row r="3187" spans="1:65" s="38" customFormat="1" ht="21.95" customHeight="1">
      <c r="A3187" s="114">
        <v>51</v>
      </c>
      <c r="B3187" s="24" t="s">
        <v>790</v>
      </c>
      <c r="C3187" s="27" t="s">
        <v>2431</v>
      </c>
      <c r="D3187" s="121"/>
      <c r="E3187" s="121"/>
      <c r="F3187" s="121"/>
      <c r="G3187" s="121"/>
      <c r="H3187" s="121"/>
      <c r="I3187" s="121">
        <f>907+14</f>
        <v>921</v>
      </c>
      <c r="J3187" s="121"/>
      <c r="K3187" s="121"/>
      <c r="L3187" s="121"/>
      <c r="M3187" s="121"/>
      <c r="N3187" s="121"/>
      <c r="O3187" s="121">
        <f>763+6</f>
        <v>769</v>
      </c>
      <c r="P3187" s="121"/>
      <c r="Q3187" s="121"/>
      <c r="R3187" s="121"/>
      <c r="S3187" s="121"/>
      <c r="T3187" s="121"/>
      <c r="U3187" s="121">
        <f>595+4</f>
        <v>599</v>
      </c>
      <c r="V3187" s="121"/>
      <c r="W3187" s="121"/>
      <c r="X3187" s="121"/>
      <c r="Y3187" s="121"/>
      <c r="Z3187" s="121"/>
      <c r="AA3187" s="121">
        <f>925+11</f>
        <v>936</v>
      </c>
      <c r="AB3187" s="229">
        <f t="shared" si="1297"/>
        <v>0</v>
      </c>
      <c r="AC3187" s="228">
        <f t="shared" si="1301"/>
        <v>3225</v>
      </c>
      <c r="AD3187" s="19">
        <v>1797</v>
      </c>
      <c r="AE3187" s="28"/>
      <c r="AF3187" s="28"/>
      <c r="AG3187" s="28"/>
      <c r="AH3187" s="28"/>
      <c r="AI3187" s="28"/>
      <c r="AJ3187" s="28">
        <v>1</v>
      </c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  <c r="AZ3187" s="28"/>
      <c r="BA3187" s="28"/>
      <c r="BB3187" s="28">
        <v>2</v>
      </c>
      <c r="BC3187" s="229">
        <f t="shared" si="1298"/>
        <v>0</v>
      </c>
      <c r="BD3187" s="48">
        <f t="shared" si="1302"/>
        <v>3</v>
      </c>
      <c r="BE3187" s="19">
        <v>6</v>
      </c>
      <c r="BF3187" s="229">
        <f t="shared" si="1299"/>
        <v>0</v>
      </c>
      <c r="BG3187" s="210">
        <f t="shared" si="1303"/>
        <v>3228</v>
      </c>
      <c r="BH3187" s="210">
        <f t="shared" si="1304"/>
        <v>1803</v>
      </c>
      <c r="BI3187" s="213">
        <f t="shared" si="1300"/>
        <v>179.03494176372712</v>
      </c>
      <c r="BJ3187" s="141"/>
      <c r="BK3187" s="201"/>
      <c r="BL3187" s="4"/>
      <c r="BM3187" s="4"/>
    </row>
    <row r="3188" spans="1:65" s="38" customFormat="1" ht="18" customHeight="1">
      <c r="A3188" s="114">
        <v>52</v>
      </c>
      <c r="B3188" s="24" t="s">
        <v>998</v>
      </c>
      <c r="C3188" s="25" t="s">
        <v>999</v>
      </c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229">
        <f t="shared" si="1297"/>
        <v>0</v>
      </c>
      <c r="AC3188" s="228">
        <f t="shared" si="1301"/>
        <v>0</v>
      </c>
      <c r="AD3188" s="19">
        <v>2193</v>
      </c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29">
        <f t="shared" si="1298"/>
        <v>0</v>
      </c>
      <c r="BD3188" s="48">
        <f t="shared" si="1302"/>
        <v>0</v>
      </c>
      <c r="BE3188" s="19">
        <v>1</v>
      </c>
      <c r="BF3188" s="229">
        <f t="shared" si="1299"/>
        <v>0</v>
      </c>
      <c r="BG3188" s="210">
        <f t="shared" si="1303"/>
        <v>0</v>
      </c>
      <c r="BH3188" s="210">
        <f t="shared" si="1304"/>
        <v>2194</v>
      </c>
      <c r="BI3188" s="213">
        <f t="shared" si="1300"/>
        <v>0</v>
      </c>
      <c r="BJ3188" s="141"/>
      <c r="BK3188" s="201"/>
      <c r="BL3188" s="4"/>
      <c r="BM3188" s="4"/>
    </row>
    <row r="3189" spans="1:65" s="38" customFormat="1" ht="18" customHeight="1">
      <c r="A3189" s="114">
        <v>53</v>
      </c>
      <c r="B3189" s="24" t="s">
        <v>2043</v>
      </c>
      <c r="C3189" s="25" t="s">
        <v>2044</v>
      </c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229"/>
      <c r="AC3189" s="228">
        <f t="shared" si="1301"/>
        <v>0</v>
      </c>
      <c r="AD3189" s="19">
        <v>0</v>
      </c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>
        <v>19</v>
      </c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29"/>
      <c r="BD3189" s="48">
        <f t="shared" si="1302"/>
        <v>19</v>
      </c>
      <c r="BE3189" s="19">
        <v>0</v>
      </c>
      <c r="BF3189" s="229"/>
      <c r="BG3189" s="210">
        <f t="shared" si="1303"/>
        <v>19</v>
      </c>
      <c r="BH3189" s="210">
        <f t="shared" si="1304"/>
        <v>0</v>
      </c>
      <c r="BI3189" s="213" t="e">
        <f t="shared" si="1300"/>
        <v>#DIV/0!</v>
      </c>
      <c r="BJ3189" s="141"/>
      <c r="BK3189" s="201"/>
      <c r="BL3189" s="4"/>
      <c r="BM3189" s="4"/>
    </row>
    <row r="3190" spans="1:65" s="38" customFormat="1" ht="18" customHeight="1">
      <c r="A3190" s="114">
        <v>54</v>
      </c>
      <c r="B3190" s="156" t="s">
        <v>1788</v>
      </c>
      <c r="C3190" s="319" t="s">
        <v>1789</v>
      </c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229">
        <f>D3190+F3190+H3190+J3190+L3190+N3190+P3190+R3190+T3190+V3190+X3190+Z3190</f>
        <v>0</v>
      </c>
      <c r="AC3190" s="228">
        <f t="shared" si="1301"/>
        <v>0</v>
      </c>
      <c r="AD3190" s="19">
        <v>2196</v>
      </c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29">
        <f>AE3190+AG3190+AI3190+AK3190+AM3190+AO3190+AQ3190+AS3190+AU3190+AW3190+AY3190+BA3190</f>
        <v>0</v>
      </c>
      <c r="BD3190" s="48">
        <f t="shared" si="1302"/>
        <v>0</v>
      </c>
      <c r="BE3190" s="19">
        <v>0</v>
      </c>
      <c r="BF3190" s="229">
        <f>AB3190+BC3190</f>
        <v>0</v>
      </c>
      <c r="BG3190" s="210">
        <f t="shared" si="1303"/>
        <v>0</v>
      </c>
      <c r="BH3190" s="210">
        <f t="shared" si="1304"/>
        <v>2196</v>
      </c>
      <c r="BI3190" s="213">
        <f t="shared" si="1300"/>
        <v>0</v>
      </c>
      <c r="BJ3190" s="269" t="s">
        <v>2856</v>
      </c>
      <c r="BK3190" s="201"/>
      <c r="BL3190" s="4"/>
      <c r="BM3190" s="4"/>
    </row>
    <row r="3191" spans="1:65" s="38" customFormat="1" ht="21.95" customHeight="1">
      <c r="A3191" s="374" t="s">
        <v>1183</v>
      </c>
      <c r="B3191" s="374"/>
      <c r="C3191" s="374"/>
      <c r="D3191" s="220">
        <f t="shared" ref="D3191:AA3191" si="1305">D3192+D3230+D3255+D3288+D3333+D3346+D3395</f>
        <v>0</v>
      </c>
      <c r="E3191" s="220">
        <f t="shared" si="1305"/>
        <v>0</v>
      </c>
      <c r="F3191" s="220">
        <f t="shared" si="1305"/>
        <v>0</v>
      </c>
      <c r="G3191" s="220">
        <f t="shared" si="1305"/>
        <v>0</v>
      </c>
      <c r="H3191" s="220">
        <f t="shared" si="1305"/>
        <v>0</v>
      </c>
      <c r="I3191" s="220">
        <f t="shared" si="1305"/>
        <v>32286</v>
      </c>
      <c r="J3191" s="220">
        <f t="shared" si="1305"/>
        <v>0</v>
      </c>
      <c r="K3191" s="220">
        <f t="shared" si="1305"/>
        <v>0</v>
      </c>
      <c r="L3191" s="220">
        <f t="shared" si="1305"/>
        <v>0</v>
      </c>
      <c r="M3191" s="220">
        <f t="shared" si="1305"/>
        <v>0</v>
      </c>
      <c r="N3191" s="220">
        <f t="shared" si="1305"/>
        <v>0</v>
      </c>
      <c r="O3191" s="220">
        <f t="shared" si="1305"/>
        <v>31123</v>
      </c>
      <c r="P3191" s="220">
        <f t="shared" si="1305"/>
        <v>0</v>
      </c>
      <c r="Q3191" s="220">
        <f t="shared" si="1305"/>
        <v>0</v>
      </c>
      <c r="R3191" s="220">
        <f t="shared" si="1305"/>
        <v>0</v>
      </c>
      <c r="S3191" s="220">
        <f t="shared" si="1305"/>
        <v>0</v>
      </c>
      <c r="T3191" s="220">
        <f t="shared" si="1305"/>
        <v>0</v>
      </c>
      <c r="U3191" s="220">
        <f t="shared" si="1305"/>
        <v>32350</v>
      </c>
      <c r="V3191" s="220">
        <f t="shared" si="1305"/>
        <v>0</v>
      </c>
      <c r="W3191" s="220">
        <f t="shared" si="1305"/>
        <v>0</v>
      </c>
      <c r="X3191" s="220">
        <f t="shared" si="1305"/>
        <v>0</v>
      </c>
      <c r="Y3191" s="220">
        <f t="shared" si="1305"/>
        <v>0</v>
      </c>
      <c r="Z3191" s="220">
        <f t="shared" si="1305"/>
        <v>0</v>
      </c>
      <c r="AA3191" s="220">
        <f t="shared" si="1305"/>
        <v>32750</v>
      </c>
      <c r="AB3191" s="220">
        <f t="shared" ref="AB3191:AB3192" si="1306">D3191+F3191+H3191+J3191+L3191+N3191+P3191+R3191+T3191+V3191+X3191+Z3191</f>
        <v>0</v>
      </c>
      <c r="AC3191" s="220">
        <f t="shared" ref="AC3191:AC3192" si="1307">E3191+G3191+I3191+K3191+M3191+O3191+Q3191+S3191+U3191+W3191+Y3191+AA3191</f>
        <v>128509</v>
      </c>
      <c r="AD3191" s="276">
        <f t="shared" ref="AD3191:BB3191" si="1308">AD3192+AD3230+AD3255+AD3288+AD3333+AD3346+AD3395</f>
        <v>119998</v>
      </c>
      <c r="AE3191" s="220">
        <f t="shared" si="1308"/>
        <v>0</v>
      </c>
      <c r="AF3191" s="220">
        <f t="shared" si="1308"/>
        <v>0</v>
      </c>
      <c r="AG3191" s="220">
        <f t="shared" si="1308"/>
        <v>0</v>
      </c>
      <c r="AH3191" s="220">
        <f t="shared" si="1308"/>
        <v>0</v>
      </c>
      <c r="AI3191" s="220">
        <f t="shared" si="1308"/>
        <v>0</v>
      </c>
      <c r="AJ3191" s="220">
        <f t="shared" si="1308"/>
        <v>126</v>
      </c>
      <c r="AK3191" s="220">
        <f t="shared" si="1308"/>
        <v>0</v>
      </c>
      <c r="AL3191" s="220">
        <f t="shared" si="1308"/>
        <v>0</v>
      </c>
      <c r="AM3191" s="220">
        <f t="shared" si="1308"/>
        <v>0</v>
      </c>
      <c r="AN3191" s="220">
        <f t="shared" si="1308"/>
        <v>0</v>
      </c>
      <c r="AO3191" s="220">
        <f t="shared" si="1308"/>
        <v>0</v>
      </c>
      <c r="AP3191" s="220">
        <f t="shared" si="1308"/>
        <v>490</v>
      </c>
      <c r="AQ3191" s="220">
        <f t="shared" si="1308"/>
        <v>0</v>
      </c>
      <c r="AR3191" s="220">
        <f t="shared" si="1308"/>
        <v>0</v>
      </c>
      <c r="AS3191" s="220">
        <f t="shared" si="1308"/>
        <v>0</v>
      </c>
      <c r="AT3191" s="220">
        <f t="shared" si="1308"/>
        <v>0</v>
      </c>
      <c r="AU3191" s="220">
        <f t="shared" si="1308"/>
        <v>0</v>
      </c>
      <c r="AV3191" s="220">
        <f t="shared" si="1308"/>
        <v>148</v>
      </c>
      <c r="AW3191" s="220">
        <f t="shared" si="1308"/>
        <v>0</v>
      </c>
      <c r="AX3191" s="220">
        <f t="shared" si="1308"/>
        <v>0</v>
      </c>
      <c r="AY3191" s="220">
        <f t="shared" si="1308"/>
        <v>0</v>
      </c>
      <c r="AZ3191" s="220">
        <f t="shared" si="1308"/>
        <v>0</v>
      </c>
      <c r="BA3191" s="220">
        <f t="shared" si="1308"/>
        <v>0</v>
      </c>
      <c r="BB3191" s="220">
        <f t="shared" si="1308"/>
        <v>175</v>
      </c>
      <c r="BC3191" s="220">
        <f t="shared" ref="BC3191:BC3192" si="1309">AE3191+AG3191+AI3191+AK3191+AM3191+AO3191+AQ3191+AS3191+AU3191+AW3191+AY3191+BA3191</f>
        <v>0</v>
      </c>
      <c r="BD3191" s="210">
        <f t="shared" ref="BD3191:BD3192" si="1310">AF3191+AH3191+AJ3191+AL3191+AN3191+AP3191+AR3191+AT3191+AV3191+AX3191+AZ3191+BB3191</f>
        <v>939</v>
      </c>
      <c r="BE3191" s="276">
        <f>BE3192+BE3230+BE3255+BE3288+BE3333+BE3346+BE3395</f>
        <v>379</v>
      </c>
      <c r="BF3191" s="220">
        <f t="shared" ref="BF3191:BF3192" si="1311">AB3191+BC3191</f>
        <v>0</v>
      </c>
      <c r="BG3191" s="210">
        <f t="shared" ref="BG3191:BG3192" si="1312">AC3191+BD3191</f>
        <v>129448</v>
      </c>
      <c r="BH3191" s="210">
        <f t="shared" ref="BH3191:BH3230" si="1313">AD3191+BE3191</f>
        <v>120377</v>
      </c>
      <c r="BI3191" s="213">
        <f t="shared" si="1288"/>
        <v>107.53549266055809</v>
      </c>
      <c r="BJ3191" s="140">
        <v>120377</v>
      </c>
      <c r="BK3191" s="203">
        <f>BH3191-BJ3191</f>
        <v>0</v>
      </c>
      <c r="BL3191" s="198">
        <v>81734</v>
      </c>
      <c r="BM3191" s="199">
        <f>BG3191-BL3191</f>
        <v>47714</v>
      </c>
    </row>
    <row r="3192" spans="1:65" s="38" customFormat="1" ht="21.95" customHeight="1">
      <c r="A3192" s="373" t="s">
        <v>539</v>
      </c>
      <c r="B3192" s="373"/>
      <c r="C3192" s="373"/>
      <c r="D3192" s="220">
        <f t="shared" ref="D3192:AA3192" si="1314">SUM(D3193:D3229)</f>
        <v>0</v>
      </c>
      <c r="E3192" s="220">
        <f t="shared" si="1314"/>
        <v>0</v>
      </c>
      <c r="F3192" s="220">
        <f t="shared" si="1314"/>
        <v>0</v>
      </c>
      <c r="G3192" s="220">
        <f t="shared" si="1314"/>
        <v>0</v>
      </c>
      <c r="H3192" s="220">
        <f t="shared" si="1314"/>
        <v>0</v>
      </c>
      <c r="I3192" s="220">
        <f t="shared" si="1314"/>
        <v>11319</v>
      </c>
      <c r="J3192" s="220">
        <f t="shared" si="1314"/>
        <v>0</v>
      </c>
      <c r="K3192" s="220">
        <f t="shared" si="1314"/>
        <v>0</v>
      </c>
      <c r="L3192" s="220">
        <f t="shared" si="1314"/>
        <v>0</v>
      </c>
      <c r="M3192" s="220">
        <f t="shared" si="1314"/>
        <v>0</v>
      </c>
      <c r="N3192" s="220">
        <f t="shared" si="1314"/>
        <v>0</v>
      </c>
      <c r="O3192" s="220">
        <f t="shared" si="1314"/>
        <v>10420</v>
      </c>
      <c r="P3192" s="220">
        <f t="shared" si="1314"/>
        <v>0</v>
      </c>
      <c r="Q3192" s="220">
        <f t="shared" si="1314"/>
        <v>0</v>
      </c>
      <c r="R3192" s="220">
        <f t="shared" si="1314"/>
        <v>0</v>
      </c>
      <c r="S3192" s="220">
        <f t="shared" si="1314"/>
        <v>0</v>
      </c>
      <c r="T3192" s="220">
        <f t="shared" si="1314"/>
        <v>0</v>
      </c>
      <c r="U3192" s="220">
        <f t="shared" si="1314"/>
        <v>10952</v>
      </c>
      <c r="V3192" s="220">
        <f t="shared" si="1314"/>
        <v>0</v>
      </c>
      <c r="W3192" s="220">
        <f t="shared" si="1314"/>
        <v>0</v>
      </c>
      <c r="X3192" s="220">
        <f t="shared" si="1314"/>
        <v>0</v>
      </c>
      <c r="Y3192" s="220">
        <f t="shared" si="1314"/>
        <v>0</v>
      </c>
      <c r="Z3192" s="220">
        <f t="shared" si="1314"/>
        <v>0</v>
      </c>
      <c r="AA3192" s="220">
        <f t="shared" si="1314"/>
        <v>10678</v>
      </c>
      <c r="AB3192" s="220">
        <f t="shared" si="1306"/>
        <v>0</v>
      </c>
      <c r="AC3192" s="220">
        <f t="shared" si="1307"/>
        <v>43369</v>
      </c>
      <c r="AD3192" s="276">
        <f t="shared" ref="AD3192:BB3192" si="1315">SUM(AD3193:AD3229)</f>
        <v>42327</v>
      </c>
      <c r="AE3192" s="276">
        <f t="shared" si="1315"/>
        <v>0</v>
      </c>
      <c r="AF3192" s="276">
        <f t="shared" si="1315"/>
        <v>0</v>
      </c>
      <c r="AG3192" s="276">
        <f t="shared" si="1315"/>
        <v>0</v>
      </c>
      <c r="AH3192" s="276">
        <f t="shared" si="1315"/>
        <v>0</v>
      </c>
      <c r="AI3192" s="276">
        <f t="shared" si="1315"/>
        <v>0</v>
      </c>
      <c r="AJ3192" s="276">
        <f t="shared" si="1315"/>
        <v>36</v>
      </c>
      <c r="AK3192" s="276">
        <f t="shared" si="1315"/>
        <v>0</v>
      </c>
      <c r="AL3192" s="276">
        <f t="shared" si="1315"/>
        <v>0</v>
      </c>
      <c r="AM3192" s="276">
        <f t="shared" si="1315"/>
        <v>0</v>
      </c>
      <c r="AN3192" s="276">
        <f t="shared" si="1315"/>
        <v>0</v>
      </c>
      <c r="AO3192" s="276">
        <f t="shared" si="1315"/>
        <v>0</v>
      </c>
      <c r="AP3192" s="276">
        <f t="shared" si="1315"/>
        <v>7</v>
      </c>
      <c r="AQ3192" s="276">
        <f t="shared" si="1315"/>
        <v>0</v>
      </c>
      <c r="AR3192" s="276">
        <f t="shared" si="1315"/>
        <v>0</v>
      </c>
      <c r="AS3192" s="276">
        <f t="shared" si="1315"/>
        <v>0</v>
      </c>
      <c r="AT3192" s="276">
        <f t="shared" si="1315"/>
        <v>0</v>
      </c>
      <c r="AU3192" s="276">
        <f t="shared" si="1315"/>
        <v>0</v>
      </c>
      <c r="AV3192" s="276">
        <f t="shared" si="1315"/>
        <v>31</v>
      </c>
      <c r="AW3192" s="276">
        <f t="shared" si="1315"/>
        <v>0</v>
      </c>
      <c r="AX3192" s="276">
        <f t="shared" si="1315"/>
        <v>0</v>
      </c>
      <c r="AY3192" s="276">
        <f t="shared" si="1315"/>
        <v>0</v>
      </c>
      <c r="AZ3192" s="276">
        <f t="shared" si="1315"/>
        <v>0</v>
      </c>
      <c r="BA3192" s="276">
        <f t="shared" si="1315"/>
        <v>0</v>
      </c>
      <c r="BB3192" s="276">
        <f t="shared" si="1315"/>
        <v>46</v>
      </c>
      <c r="BC3192" s="220">
        <f t="shared" si="1309"/>
        <v>0</v>
      </c>
      <c r="BD3192" s="210">
        <f t="shared" si="1310"/>
        <v>120</v>
      </c>
      <c r="BE3192" s="276">
        <f>SUM(BE3193:BE3229)</f>
        <v>198</v>
      </c>
      <c r="BF3192" s="220">
        <f t="shared" si="1311"/>
        <v>0</v>
      </c>
      <c r="BG3192" s="210">
        <f t="shared" si="1312"/>
        <v>43489</v>
      </c>
      <c r="BH3192" s="210">
        <f t="shared" si="1313"/>
        <v>42525</v>
      </c>
      <c r="BI3192" s="213">
        <f t="shared" si="1288"/>
        <v>102.26690182245737</v>
      </c>
      <c r="BJ3192" s="140">
        <v>42525</v>
      </c>
      <c r="BK3192" s="203">
        <f>BH3192-BJ3192</f>
        <v>0</v>
      </c>
      <c r="BL3192" s="198">
        <v>14757</v>
      </c>
      <c r="BM3192" s="199">
        <f>BG3192-BL3192</f>
        <v>28732</v>
      </c>
    </row>
    <row r="3193" spans="1:65" s="38" customFormat="1" ht="18" customHeight="1">
      <c r="A3193" s="114">
        <v>1</v>
      </c>
      <c r="B3193" s="24" t="s">
        <v>549</v>
      </c>
      <c r="C3193" s="25" t="s">
        <v>1393</v>
      </c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229">
        <f t="shared" ref="AB3193:AB3229" si="1316">D3193+F3193+H3193+J3193+L3193+N3193+P3193+R3193+T3193+V3193+X3193+Z3193</f>
        <v>0</v>
      </c>
      <c r="AC3193" s="228">
        <f t="shared" ref="AC3193:AC3229" si="1317">E3193+G3193+I3193+K3193+M3193+O3193+Q3193+S3193+U3193+W3193+Y3193+AA3193</f>
        <v>0</v>
      </c>
      <c r="AD3193" s="19">
        <v>40</v>
      </c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  <c r="AZ3193" s="28"/>
      <c r="BA3193" s="28"/>
      <c r="BB3193" s="28"/>
      <c r="BC3193" s="229">
        <f t="shared" ref="BC3193:BC3229" si="1318">AE3193+AG3193+AI3193+AK3193+AM3193+AO3193+AQ3193+AS3193+AU3193+AW3193+AY3193+BA3193</f>
        <v>0</v>
      </c>
      <c r="BD3193" s="48">
        <f t="shared" ref="BD3193:BD3229" si="1319">AF3193+AH3193+AJ3193+AL3193+AN3193+AP3193+AR3193+AT3193+AV3193+AX3193+AZ3193+BB3193</f>
        <v>0</v>
      </c>
      <c r="BE3193" s="19">
        <v>0</v>
      </c>
      <c r="BF3193" s="229">
        <f t="shared" ref="BF3193:BF3203" si="1320">AB3193+BC3193</f>
        <v>0</v>
      </c>
      <c r="BG3193" s="210">
        <f t="shared" ref="BG3193:BG3203" si="1321">AC3193+BD3193</f>
        <v>0</v>
      </c>
      <c r="BH3193" s="210">
        <f t="shared" si="1313"/>
        <v>40</v>
      </c>
      <c r="BI3193" s="213">
        <f t="shared" ref="BI3193:BI3229" si="1322">BG3193/BH3193*100</f>
        <v>0</v>
      </c>
      <c r="BJ3193" s="270" t="s">
        <v>2857</v>
      </c>
      <c r="BK3193" s="201"/>
      <c r="BL3193" s="4"/>
      <c r="BM3193" s="4"/>
    </row>
    <row r="3194" spans="1:65" s="38" customFormat="1" ht="21.95" customHeight="1">
      <c r="A3194" s="114">
        <v>2</v>
      </c>
      <c r="B3194" s="24" t="s">
        <v>705</v>
      </c>
      <c r="C3194" s="27" t="s">
        <v>706</v>
      </c>
      <c r="D3194" s="121"/>
      <c r="E3194" s="121"/>
      <c r="F3194" s="121"/>
      <c r="G3194" s="121"/>
      <c r="H3194" s="121"/>
      <c r="I3194" s="121">
        <v>9</v>
      </c>
      <c r="J3194" s="121"/>
      <c r="K3194" s="121"/>
      <c r="L3194" s="121"/>
      <c r="M3194" s="121"/>
      <c r="N3194" s="121"/>
      <c r="O3194" s="121">
        <v>11</v>
      </c>
      <c r="P3194" s="121"/>
      <c r="Q3194" s="121"/>
      <c r="R3194" s="121"/>
      <c r="S3194" s="121"/>
      <c r="T3194" s="121"/>
      <c r="U3194" s="121">
        <v>18</v>
      </c>
      <c r="V3194" s="121"/>
      <c r="W3194" s="121"/>
      <c r="X3194" s="121"/>
      <c r="Y3194" s="121"/>
      <c r="Z3194" s="121"/>
      <c r="AA3194" s="121">
        <v>6</v>
      </c>
      <c r="AB3194" s="229">
        <f t="shared" si="1316"/>
        <v>0</v>
      </c>
      <c r="AC3194" s="228">
        <f t="shared" si="1317"/>
        <v>44</v>
      </c>
      <c r="AD3194" s="19">
        <v>84</v>
      </c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29">
        <f t="shared" si="1318"/>
        <v>0</v>
      </c>
      <c r="BD3194" s="48">
        <f t="shared" si="1319"/>
        <v>0</v>
      </c>
      <c r="BE3194" s="19">
        <v>0</v>
      </c>
      <c r="BF3194" s="229">
        <f t="shared" si="1320"/>
        <v>0</v>
      </c>
      <c r="BG3194" s="210">
        <f t="shared" si="1321"/>
        <v>44</v>
      </c>
      <c r="BH3194" s="210">
        <f t="shared" si="1313"/>
        <v>84</v>
      </c>
      <c r="BI3194" s="213">
        <f t="shared" si="1322"/>
        <v>52.380952380952387</v>
      </c>
      <c r="BJ3194" s="270" t="s">
        <v>2857</v>
      </c>
      <c r="BK3194" s="201"/>
      <c r="BL3194" s="4"/>
      <c r="BM3194" s="4"/>
    </row>
    <row r="3195" spans="1:65" s="38" customFormat="1" ht="18" customHeight="1">
      <c r="A3195" s="114">
        <v>3</v>
      </c>
      <c r="B3195" s="24" t="s">
        <v>937</v>
      </c>
      <c r="C3195" s="25" t="s">
        <v>938</v>
      </c>
      <c r="D3195" s="121"/>
      <c r="E3195" s="121"/>
      <c r="F3195" s="121"/>
      <c r="G3195" s="121"/>
      <c r="H3195" s="121"/>
      <c r="I3195" s="121">
        <f>130+1</f>
        <v>131</v>
      </c>
      <c r="J3195" s="121"/>
      <c r="K3195" s="121"/>
      <c r="L3195" s="121"/>
      <c r="M3195" s="121"/>
      <c r="N3195" s="121"/>
      <c r="O3195" s="121">
        <f>94+10</f>
        <v>104</v>
      </c>
      <c r="P3195" s="121"/>
      <c r="Q3195" s="121"/>
      <c r="R3195" s="121"/>
      <c r="S3195" s="121"/>
      <c r="T3195" s="121"/>
      <c r="U3195" s="121">
        <f>142+8+1</f>
        <v>151</v>
      </c>
      <c r="V3195" s="121"/>
      <c r="W3195" s="121"/>
      <c r="X3195" s="121"/>
      <c r="Y3195" s="121"/>
      <c r="Z3195" s="121"/>
      <c r="AA3195" s="121">
        <f>70+1</f>
        <v>71</v>
      </c>
      <c r="AB3195" s="229">
        <f t="shared" si="1316"/>
        <v>0</v>
      </c>
      <c r="AC3195" s="228">
        <f t="shared" si="1317"/>
        <v>457</v>
      </c>
      <c r="AD3195" s="19">
        <v>658</v>
      </c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  <c r="AZ3195" s="28"/>
      <c r="BA3195" s="28"/>
      <c r="BB3195" s="28"/>
      <c r="BC3195" s="229">
        <f t="shared" si="1318"/>
        <v>0</v>
      </c>
      <c r="BD3195" s="48">
        <f t="shared" si="1319"/>
        <v>0</v>
      </c>
      <c r="BE3195" s="19">
        <v>0</v>
      </c>
      <c r="BF3195" s="229">
        <f t="shared" si="1320"/>
        <v>0</v>
      </c>
      <c r="BG3195" s="210">
        <f t="shared" si="1321"/>
        <v>457</v>
      </c>
      <c r="BH3195" s="210">
        <f t="shared" si="1313"/>
        <v>658</v>
      </c>
      <c r="BI3195" s="213">
        <f t="shared" si="1322"/>
        <v>69.452887537993917</v>
      </c>
      <c r="BJ3195" s="270" t="s">
        <v>2857</v>
      </c>
      <c r="BK3195" s="201"/>
      <c r="BL3195" s="4"/>
      <c r="BM3195" s="4"/>
    </row>
    <row r="3196" spans="1:65" s="38" customFormat="1" ht="18" customHeight="1">
      <c r="A3196" s="114">
        <v>4</v>
      </c>
      <c r="B3196" s="24" t="s">
        <v>1468</v>
      </c>
      <c r="C3196" s="25" t="s">
        <v>1471</v>
      </c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229">
        <f t="shared" si="1316"/>
        <v>0</v>
      </c>
      <c r="AC3196" s="228">
        <f t="shared" si="1317"/>
        <v>0</v>
      </c>
      <c r="AD3196" s="19">
        <v>1</v>
      </c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29">
        <f t="shared" si="1318"/>
        <v>0</v>
      </c>
      <c r="BD3196" s="48">
        <f t="shared" si="1319"/>
        <v>0</v>
      </c>
      <c r="BE3196" s="19">
        <v>0</v>
      </c>
      <c r="BF3196" s="229">
        <f t="shared" si="1320"/>
        <v>0</v>
      </c>
      <c r="BG3196" s="210">
        <f t="shared" si="1321"/>
        <v>0</v>
      </c>
      <c r="BH3196" s="210">
        <f t="shared" si="1313"/>
        <v>1</v>
      </c>
      <c r="BI3196" s="213">
        <f t="shared" si="1322"/>
        <v>0</v>
      </c>
      <c r="BJ3196" s="270" t="s">
        <v>2857</v>
      </c>
      <c r="BK3196" s="201"/>
      <c r="BL3196" s="4"/>
      <c r="BM3196" s="4"/>
    </row>
    <row r="3197" spans="1:65" s="38" customFormat="1" ht="18" customHeight="1">
      <c r="A3197" s="114">
        <v>5</v>
      </c>
      <c r="B3197" s="24" t="s">
        <v>1698</v>
      </c>
      <c r="C3197" s="25" t="s">
        <v>1699</v>
      </c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229">
        <f t="shared" si="1316"/>
        <v>0</v>
      </c>
      <c r="AC3197" s="228">
        <f t="shared" si="1317"/>
        <v>0</v>
      </c>
      <c r="AD3197" s="19">
        <v>1674</v>
      </c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  <c r="AZ3197" s="28"/>
      <c r="BA3197" s="28"/>
      <c r="BB3197" s="28"/>
      <c r="BC3197" s="229">
        <f t="shared" si="1318"/>
        <v>0</v>
      </c>
      <c r="BD3197" s="48">
        <f t="shared" si="1319"/>
        <v>0</v>
      </c>
      <c r="BE3197" s="19">
        <v>0</v>
      </c>
      <c r="BF3197" s="229">
        <f t="shared" si="1320"/>
        <v>0</v>
      </c>
      <c r="BG3197" s="210">
        <f t="shared" si="1321"/>
        <v>0</v>
      </c>
      <c r="BH3197" s="210">
        <f t="shared" si="1313"/>
        <v>1674</v>
      </c>
      <c r="BI3197" s="213">
        <f t="shared" si="1322"/>
        <v>0</v>
      </c>
      <c r="BJ3197" s="270" t="s">
        <v>2857</v>
      </c>
      <c r="BK3197" s="201"/>
      <c r="BL3197" s="4"/>
      <c r="BM3197" s="4"/>
    </row>
    <row r="3198" spans="1:65" s="38" customFormat="1" ht="18" customHeight="1">
      <c r="A3198" s="114">
        <v>6</v>
      </c>
      <c r="B3198" s="24" t="s">
        <v>1482</v>
      </c>
      <c r="C3198" s="25" t="s">
        <v>1483</v>
      </c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229">
        <f t="shared" si="1316"/>
        <v>0</v>
      </c>
      <c r="AC3198" s="228">
        <f t="shared" si="1317"/>
        <v>0</v>
      </c>
      <c r="AD3198" s="19">
        <v>112</v>
      </c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29">
        <f t="shared" si="1318"/>
        <v>0</v>
      </c>
      <c r="BD3198" s="48">
        <f t="shared" si="1319"/>
        <v>0</v>
      </c>
      <c r="BE3198" s="19">
        <v>0</v>
      </c>
      <c r="BF3198" s="229">
        <f t="shared" si="1320"/>
        <v>0</v>
      </c>
      <c r="BG3198" s="210">
        <f t="shared" si="1321"/>
        <v>0</v>
      </c>
      <c r="BH3198" s="210">
        <f t="shared" si="1313"/>
        <v>112</v>
      </c>
      <c r="BI3198" s="213">
        <f t="shared" si="1322"/>
        <v>0</v>
      </c>
      <c r="BJ3198" s="270" t="s">
        <v>2857</v>
      </c>
      <c r="BK3198" s="201"/>
      <c r="BL3198" s="4"/>
      <c r="BM3198" s="4"/>
    </row>
    <row r="3199" spans="1:65" s="38" customFormat="1" ht="18" customHeight="1">
      <c r="A3199" s="114">
        <v>7</v>
      </c>
      <c r="B3199" s="24" t="s">
        <v>2611</v>
      </c>
      <c r="C3199" s="25" t="s">
        <v>2612</v>
      </c>
      <c r="D3199" s="121"/>
      <c r="E3199" s="121"/>
      <c r="F3199" s="121"/>
      <c r="G3199" s="121"/>
      <c r="H3199" s="121"/>
      <c r="I3199" s="121">
        <v>3</v>
      </c>
      <c r="J3199" s="121"/>
      <c r="K3199" s="121"/>
      <c r="L3199" s="121"/>
      <c r="M3199" s="121"/>
      <c r="N3199" s="121"/>
      <c r="O3199" s="121">
        <v>4</v>
      </c>
      <c r="P3199" s="121"/>
      <c r="Q3199" s="121"/>
      <c r="R3199" s="121"/>
      <c r="S3199" s="121"/>
      <c r="T3199" s="121"/>
      <c r="U3199" s="121">
        <v>6</v>
      </c>
      <c r="V3199" s="121"/>
      <c r="W3199" s="121"/>
      <c r="X3199" s="121"/>
      <c r="Y3199" s="121"/>
      <c r="Z3199" s="121"/>
      <c r="AA3199" s="121">
        <v>6</v>
      </c>
      <c r="AB3199" s="229">
        <f t="shared" si="1316"/>
        <v>0</v>
      </c>
      <c r="AC3199" s="228">
        <f t="shared" si="1317"/>
        <v>19</v>
      </c>
      <c r="AD3199" s="19">
        <v>4</v>
      </c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  <c r="AZ3199" s="28"/>
      <c r="BA3199" s="28"/>
      <c r="BB3199" s="28"/>
      <c r="BC3199" s="229">
        <f t="shared" si="1318"/>
        <v>0</v>
      </c>
      <c r="BD3199" s="48">
        <f t="shared" si="1319"/>
        <v>0</v>
      </c>
      <c r="BE3199" s="19">
        <v>0</v>
      </c>
      <c r="BF3199" s="229">
        <f t="shared" si="1320"/>
        <v>0</v>
      </c>
      <c r="BG3199" s="210">
        <f t="shared" si="1321"/>
        <v>19</v>
      </c>
      <c r="BH3199" s="210">
        <f t="shared" si="1313"/>
        <v>4</v>
      </c>
      <c r="BI3199" s="213">
        <f t="shared" si="1322"/>
        <v>475</v>
      </c>
      <c r="BJ3199" s="165"/>
      <c r="BK3199" s="201"/>
      <c r="BL3199" s="4"/>
      <c r="BM3199" s="4"/>
    </row>
    <row r="3200" spans="1:65" s="38" customFormat="1" ht="18" customHeight="1">
      <c r="A3200" s="114">
        <v>8</v>
      </c>
      <c r="B3200" s="24" t="s">
        <v>2262</v>
      </c>
      <c r="C3200" s="25" t="s">
        <v>2263</v>
      </c>
      <c r="D3200" s="121"/>
      <c r="E3200" s="121"/>
      <c r="F3200" s="121"/>
      <c r="G3200" s="121"/>
      <c r="H3200" s="121"/>
      <c r="I3200" s="121">
        <f>404+1</f>
        <v>405</v>
      </c>
      <c r="J3200" s="121"/>
      <c r="K3200" s="121"/>
      <c r="L3200" s="121"/>
      <c r="M3200" s="121"/>
      <c r="N3200" s="121"/>
      <c r="O3200" s="121">
        <f>300+8</f>
        <v>308</v>
      </c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>
        <v>5</v>
      </c>
      <c r="AB3200" s="229">
        <f t="shared" si="1316"/>
        <v>0</v>
      </c>
      <c r="AC3200" s="228">
        <f t="shared" si="1317"/>
        <v>718</v>
      </c>
      <c r="AD3200" s="19">
        <v>784</v>
      </c>
      <c r="AE3200" s="28"/>
      <c r="AF3200" s="28"/>
      <c r="AG3200" s="28"/>
      <c r="AH3200" s="28"/>
      <c r="AI3200" s="28"/>
      <c r="AJ3200" s="28">
        <v>2</v>
      </c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  <c r="AZ3200" s="28"/>
      <c r="BA3200" s="28"/>
      <c r="BB3200" s="28"/>
      <c r="BC3200" s="229">
        <f t="shared" si="1318"/>
        <v>0</v>
      </c>
      <c r="BD3200" s="48">
        <f t="shared" si="1319"/>
        <v>2</v>
      </c>
      <c r="BE3200" s="19">
        <v>4</v>
      </c>
      <c r="BF3200" s="229">
        <f t="shared" si="1320"/>
        <v>0</v>
      </c>
      <c r="BG3200" s="210">
        <f t="shared" si="1321"/>
        <v>720</v>
      </c>
      <c r="BH3200" s="210">
        <f t="shared" si="1313"/>
        <v>788</v>
      </c>
      <c r="BI3200" s="213">
        <f t="shared" si="1322"/>
        <v>91.370558375634516</v>
      </c>
      <c r="BJ3200" s="165"/>
      <c r="BK3200" s="201"/>
      <c r="BL3200" s="4"/>
      <c r="BM3200" s="4"/>
    </row>
    <row r="3201" spans="1:65" s="38" customFormat="1" ht="18" customHeight="1">
      <c r="A3201" s="114">
        <v>9</v>
      </c>
      <c r="B3201" s="24" t="s">
        <v>1184</v>
      </c>
      <c r="C3201" s="25" t="s">
        <v>1185</v>
      </c>
      <c r="D3201" s="121"/>
      <c r="E3201" s="121"/>
      <c r="F3201" s="121"/>
      <c r="G3201" s="121"/>
      <c r="H3201" s="121"/>
      <c r="I3201" s="121">
        <f>103+7</f>
        <v>110</v>
      </c>
      <c r="J3201" s="121"/>
      <c r="K3201" s="121"/>
      <c r="L3201" s="121"/>
      <c r="M3201" s="121"/>
      <c r="N3201" s="121"/>
      <c r="O3201" s="121">
        <f>91+75</f>
        <v>166</v>
      </c>
      <c r="P3201" s="121"/>
      <c r="Q3201" s="121"/>
      <c r="R3201" s="121"/>
      <c r="S3201" s="121"/>
      <c r="T3201" s="121"/>
      <c r="U3201" s="121">
        <f>97+97</f>
        <v>194</v>
      </c>
      <c r="V3201" s="121"/>
      <c r="W3201" s="121"/>
      <c r="X3201" s="121"/>
      <c r="Y3201" s="121"/>
      <c r="Z3201" s="121"/>
      <c r="AA3201" s="121">
        <f>47+31</f>
        <v>78</v>
      </c>
      <c r="AB3201" s="229">
        <f t="shared" si="1316"/>
        <v>0</v>
      </c>
      <c r="AC3201" s="228">
        <f t="shared" si="1317"/>
        <v>548</v>
      </c>
      <c r="AD3201" s="19">
        <v>392</v>
      </c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>
        <v>1</v>
      </c>
      <c r="AQ3201" s="28"/>
      <c r="AR3201" s="28"/>
      <c r="AS3201" s="28"/>
      <c r="AT3201" s="28"/>
      <c r="AU3201" s="28"/>
      <c r="AV3201" s="28"/>
      <c r="AW3201" s="28"/>
      <c r="AX3201" s="28"/>
      <c r="AY3201" s="28"/>
      <c r="AZ3201" s="28"/>
      <c r="BA3201" s="28"/>
      <c r="BB3201" s="28"/>
      <c r="BC3201" s="229">
        <f t="shared" si="1318"/>
        <v>0</v>
      </c>
      <c r="BD3201" s="48">
        <f t="shared" si="1319"/>
        <v>1</v>
      </c>
      <c r="BE3201" s="19">
        <v>0</v>
      </c>
      <c r="BF3201" s="229">
        <f t="shared" si="1320"/>
        <v>0</v>
      </c>
      <c r="BG3201" s="210">
        <f t="shared" si="1321"/>
        <v>549</v>
      </c>
      <c r="BH3201" s="210">
        <f t="shared" si="1313"/>
        <v>392</v>
      </c>
      <c r="BI3201" s="213">
        <f t="shared" si="1322"/>
        <v>140.05102040816325</v>
      </c>
      <c r="BJ3201" s="141"/>
      <c r="BK3201" s="201"/>
      <c r="BL3201" s="4"/>
      <c r="BM3201" s="4"/>
    </row>
    <row r="3202" spans="1:65" s="38" customFormat="1" ht="18" customHeight="1">
      <c r="A3202" s="114">
        <v>10</v>
      </c>
      <c r="B3202" s="24" t="s">
        <v>571</v>
      </c>
      <c r="C3202" s="25" t="s">
        <v>572</v>
      </c>
      <c r="D3202" s="121"/>
      <c r="E3202" s="121"/>
      <c r="F3202" s="121"/>
      <c r="G3202" s="121"/>
      <c r="H3202" s="121"/>
      <c r="I3202" s="121">
        <f>2608+96</f>
        <v>2704</v>
      </c>
      <c r="J3202" s="121"/>
      <c r="K3202" s="121"/>
      <c r="L3202" s="121"/>
      <c r="M3202" s="121"/>
      <c r="N3202" s="121"/>
      <c r="O3202" s="121">
        <f>2363+309</f>
        <v>2672</v>
      </c>
      <c r="P3202" s="121"/>
      <c r="Q3202" s="121"/>
      <c r="R3202" s="121"/>
      <c r="S3202" s="121"/>
      <c r="T3202" s="121"/>
      <c r="U3202" s="121">
        <f>2775+472</f>
        <v>3247</v>
      </c>
      <c r="V3202" s="121"/>
      <c r="W3202" s="121"/>
      <c r="X3202" s="121"/>
      <c r="Y3202" s="121"/>
      <c r="Z3202" s="121"/>
      <c r="AA3202" s="121">
        <f>2576+336</f>
        <v>2912</v>
      </c>
      <c r="AB3202" s="229">
        <f t="shared" si="1316"/>
        <v>0</v>
      </c>
      <c r="AC3202" s="228">
        <f t="shared" si="1317"/>
        <v>11535</v>
      </c>
      <c r="AD3202" s="19">
        <v>9794</v>
      </c>
      <c r="AE3202" s="28"/>
      <c r="AF3202" s="28"/>
      <c r="AG3202" s="28"/>
      <c r="AH3202" s="28"/>
      <c r="AI3202" s="28"/>
      <c r="AJ3202" s="28">
        <v>9</v>
      </c>
      <c r="AK3202" s="28"/>
      <c r="AL3202" s="28"/>
      <c r="AM3202" s="28"/>
      <c r="AN3202" s="28"/>
      <c r="AO3202" s="28"/>
      <c r="AP3202" s="28">
        <v>3</v>
      </c>
      <c r="AQ3202" s="28"/>
      <c r="AR3202" s="28"/>
      <c r="AS3202" s="28"/>
      <c r="AT3202" s="28"/>
      <c r="AU3202" s="28"/>
      <c r="AV3202" s="28">
        <v>9</v>
      </c>
      <c r="AW3202" s="28"/>
      <c r="AX3202" s="28"/>
      <c r="AY3202" s="28"/>
      <c r="AZ3202" s="28"/>
      <c r="BA3202" s="28"/>
      <c r="BB3202" s="28">
        <f>7+1</f>
        <v>8</v>
      </c>
      <c r="BC3202" s="229">
        <f t="shared" si="1318"/>
        <v>0</v>
      </c>
      <c r="BD3202" s="48">
        <f t="shared" si="1319"/>
        <v>29</v>
      </c>
      <c r="BE3202" s="19">
        <v>20</v>
      </c>
      <c r="BF3202" s="229">
        <f t="shared" si="1320"/>
        <v>0</v>
      </c>
      <c r="BG3202" s="210">
        <f t="shared" si="1321"/>
        <v>11564</v>
      </c>
      <c r="BH3202" s="210">
        <f t="shared" si="1313"/>
        <v>9814</v>
      </c>
      <c r="BI3202" s="213">
        <f t="shared" si="1322"/>
        <v>117.83166904422254</v>
      </c>
      <c r="BJ3202" s="141"/>
      <c r="BK3202" s="201"/>
      <c r="BL3202" s="4"/>
      <c r="BM3202" s="4"/>
    </row>
    <row r="3203" spans="1:65" s="38" customFormat="1" ht="18" customHeight="1">
      <c r="A3203" s="114">
        <v>11</v>
      </c>
      <c r="B3203" s="24" t="s">
        <v>585</v>
      </c>
      <c r="C3203" s="25" t="s">
        <v>586</v>
      </c>
      <c r="D3203" s="121"/>
      <c r="E3203" s="121"/>
      <c r="F3203" s="121"/>
      <c r="G3203" s="121"/>
      <c r="H3203" s="121"/>
      <c r="I3203" s="121">
        <f>1741+1</f>
        <v>1742</v>
      </c>
      <c r="J3203" s="121"/>
      <c r="K3203" s="121"/>
      <c r="L3203" s="121"/>
      <c r="M3203" s="121"/>
      <c r="N3203" s="121"/>
      <c r="O3203" s="121">
        <f>1691+5</f>
        <v>1696</v>
      </c>
      <c r="P3203" s="121"/>
      <c r="Q3203" s="121"/>
      <c r="R3203" s="121"/>
      <c r="S3203" s="121"/>
      <c r="T3203" s="121"/>
      <c r="U3203" s="121">
        <f>1662+13</f>
        <v>1675</v>
      </c>
      <c r="V3203" s="121"/>
      <c r="W3203" s="121"/>
      <c r="X3203" s="121"/>
      <c r="Y3203" s="121"/>
      <c r="Z3203" s="121"/>
      <c r="AA3203" s="121">
        <f>1887+8</f>
        <v>1895</v>
      </c>
      <c r="AB3203" s="229">
        <f t="shared" si="1316"/>
        <v>0</v>
      </c>
      <c r="AC3203" s="228">
        <f t="shared" si="1317"/>
        <v>7008</v>
      </c>
      <c r="AD3203" s="19">
        <v>6954</v>
      </c>
      <c r="AE3203" s="28"/>
      <c r="AF3203" s="28"/>
      <c r="AG3203" s="28"/>
      <c r="AH3203" s="28"/>
      <c r="AI3203" s="28"/>
      <c r="AJ3203" s="28">
        <v>8</v>
      </c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>
        <v>9</v>
      </c>
      <c r="AW3203" s="28"/>
      <c r="AX3203" s="28"/>
      <c r="AY3203" s="28"/>
      <c r="AZ3203" s="28"/>
      <c r="BA3203" s="28"/>
      <c r="BB3203" s="28">
        <f>12+2</f>
        <v>14</v>
      </c>
      <c r="BC3203" s="229">
        <f t="shared" si="1318"/>
        <v>0</v>
      </c>
      <c r="BD3203" s="48">
        <f t="shared" si="1319"/>
        <v>31</v>
      </c>
      <c r="BE3203" s="19">
        <v>65</v>
      </c>
      <c r="BF3203" s="229">
        <f t="shared" si="1320"/>
        <v>0</v>
      </c>
      <c r="BG3203" s="210">
        <f t="shared" si="1321"/>
        <v>7039</v>
      </c>
      <c r="BH3203" s="210">
        <f t="shared" si="1313"/>
        <v>7019</v>
      </c>
      <c r="BI3203" s="213">
        <f t="shared" si="1322"/>
        <v>100.28494087476849</v>
      </c>
      <c r="BJ3203" s="141"/>
      <c r="BK3203" s="201"/>
      <c r="BL3203" s="4"/>
      <c r="BM3203" s="4"/>
    </row>
    <row r="3204" spans="1:65" s="38" customFormat="1" ht="18" customHeight="1">
      <c r="A3204" s="114">
        <v>12</v>
      </c>
      <c r="B3204" s="9" t="s">
        <v>495</v>
      </c>
      <c r="C3204" s="11" t="s">
        <v>2610</v>
      </c>
      <c r="D3204" s="13"/>
      <c r="E3204" s="13"/>
      <c r="F3204" s="13"/>
      <c r="G3204" s="13"/>
      <c r="H3204" s="13"/>
      <c r="I3204" s="13">
        <v>290</v>
      </c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229">
        <f t="shared" si="1316"/>
        <v>0</v>
      </c>
      <c r="AC3204" s="228">
        <f t="shared" si="1317"/>
        <v>290</v>
      </c>
      <c r="AD3204" s="19">
        <v>0</v>
      </c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  <c r="AZ3204" s="28"/>
      <c r="BA3204" s="28"/>
      <c r="BB3204" s="28"/>
      <c r="BC3204" s="229">
        <f t="shared" si="1318"/>
        <v>0</v>
      </c>
      <c r="BD3204" s="48">
        <f t="shared" si="1319"/>
        <v>0</v>
      </c>
      <c r="BE3204" s="19">
        <v>0</v>
      </c>
      <c r="BF3204" s="229"/>
      <c r="BG3204" s="210">
        <f t="shared" ref="BG3204:BG3229" si="1323">AC3204+BD3204</f>
        <v>290</v>
      </c>
      <c r="BH3204" s="210">
        <f t="shared" si="1313"/>
        <v>0</v>
      </c>
      <c r="BI3204" s="213" t="e">
        <f t="shared" si="1322"/>
        <v>#DIV/0!</v>
      </c>
      <c r="BJ3204" s="141"/>
      <c r="BK3204" s="201"/>
      <c r="BL3204" s="4"/>
      <c r="BM3204" s="4"/>
    </row>
    <row r="3205" spans="1:65" s="38" customFormat="1" ht="18" customHeight="1">
      <c r="A3205" s="114">
        <v>13</v>
      </c>
      <c r="B3205" s="9" t="s">
        <v>474</v>
      </c>
      <c r="C3205" s="11" t="s">
        <v>475</v>
      </c>
      <c r="D3205" s="13"/>
      <c r="E3205" s="13"/>
      <c r="F3205" s="13"/>
      <c r="G3205" s="13"/>
      <c r="H3205" s="13"/>
      <c r="I3205" s="13">
        <v>160</v>
      </c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229">
        <f t="shared" si="1316"/>
        <v>0</v>
      </c>
      <c r="AC3205" s="228">
        <f t="shared" si="1317"/>
        <v>160</v>
      </c>
      <c r="AD3205" s="19">
        <v>0</v>
      </c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29">
        <f t="shared" si="1318"/>
        <v>0</v>
      </c>
      <c r="BD3205" s="48">
        <f t="shared" si="1319"/>
        <v>0</v>
      </c>
      <c r="BE3205" s="19">
        <v>0</v>
      </c>
      <c r="BF3205" s="229"/>
      <c r="BG3205" s="210">
        <f t="shared" si="1323"/>
        <v>160</v>
      </c>
      <c r="BH3205" s="210">
        <f t="shared" si="1313"/>
        <v>0</v>
      </c>
      <c r="BI3205" s="213" t="e">
        <f t="shared" si="1322"/>
        <v>#DIV/0!</v>
      </c>
      <c r="BJ3205" s="141"/>
      <c r="BK3205" s="201"/>
      <c r="BL3205" s="4"/>
      <c r="BM3205" s="4"/>
    </row>
    <row r="3206" spans="1:65" s="38" customFormat="1" ht="18" customHeight="1">
      <c r="A3206" s="114">
        <v>14</v>
      </c>
      <c r="B3206" s="24" t="s">
        <v>593</v>
      </c>
      <c r="C3206" s="25" t="s">
        <v>755</v>
      </c>
      <c r="D3206" s="121"/>
      <c r="E3206" s="121"/>
      <c r="F3206" s="121"/>
      <c r="G3206" s="121"/>
      <c r="H3206" s="121"/>
      <c r="I3206" s="121">
        <v>175</v>
      </c>
      <c r="J3206" s="121"/>
      <c r="K3206" s="121"/>
      <c r="L3206" s="121"/>
      <c r="M3206" s="121"/>
      <c r="N3206" s="121"/>
      <c r="O3206" s="121">
        <f>145+2</f>
        <v>147</v>
      </c>
      <c r="P3206" s="121"/>
      <c r="Q3206" s="121"/>
      <c r="R3206" s="121"/>
      <c r="S3206" s="121"/>
      <c r="T3206" s="121"/>
      <c r="U3206" s="121">
        <f>189+1</f>
        <v>190</v>
      </c>
      <c r="V3206" s="121"/>
      <c r="W3206" s="121"/>
      <c r="X3206" s="121"/>
      <c r="Y3206" s="121"/>
      <c r="Z3206" s="121"/>
      <c r="AA3206" s="121">
        <f>125+4</f>
        <v>129</v>
      </c>
      <c r="AB3206" s="229">
        <f t="shared" si="1316"/>
        <v>0</v>
      </c>
      <c r="AC3206" s="228">
        <f t="shared" si="1317"/>
        <v>641</v>
      </c>
      <c r="AD3206" s="19">
        <v>674</v>
      </c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>
        <v>1</v>
      </c>
      <c r="AQ3206" s="28"/>
      <c r="AR3206" s="28"/>
      <c r="AS3206" s="28"/>
      <c r="AT3206" s="28"/>
      <c r="AU3206" s="28"/>
      <c r="AV3206" s="28">
        <v>1</v>
      </c>
      <c r="AW3206" s="28"/>
      <c r="AX3206" s="28"/>
      <c r="AY3206" s="28"/>
      <c r="AZ3206" s="28"/>
      <c r="BA3206" s="28"/>
      <c r="BB3206" s="28"/>
      <c r="BC3206" s="229">
        <f t="shared" si="1318"/>
        <v>0</v>
      </c>
      <c r="BD3206" s="48">
        <f t="shared" si="1319"/>
        <v>2</v>
      </c>
      <c r="BE3206" s="19">
        <v>0</v>
      </c>
      <c r="BF3206" s="229">
        <f t="shared" ref="BF3206:BF3229" si="1324">AB3206+BC3206</f>
        <v>0</v>
      </c>
      <c r="BG3206" s="210">
        <f t="shared" si="1323"/>
        <v>643</v>
      </c>
      <c r="BH3206" s="210">
        <f t="shared" si="1313"/>
        <v>674</v>
      </c>
      <c r="BI3206" s="213">
        <f t="shared" si="1322"/>
        <v>95.400593471810097</v>
      </c>
      <c r="BJ3206" s="141"/>
      <c r="BK3206" s="201"/>
      <c r="BL3206" s="4"/>
      <c r="BM3206" s="4"/>
    </row>
    <row r="3207" spans="1:65" s="38" customFormat="1" ht="18" customHeight="1">
      <c r="A3207" s="114">
        <v>15</v>
      </c>
      <c r="B3207" s="24" t="s">
        <v>596</v>
      </c>
      <c r="C3207" s="25" t="s">
        <v>597</v>
      </c>
      <c r="D3207" s="121"/>
      <c r="E3207" s="121"/>
      <c r="F3207" s="121"/>
      <c r="G3207" s="121"/>
      <c r="H3207" s="121"/>
      <c r="I3207" s="121">
        <v>9</v>
      </c>
      <c r="J3207" s="121"/>
      <c r="K3207" s="121"/>
      <c r="L3207" s="121"/>
      <c r="M3207" s="121"/>
      <c r="N3207" s="121"/>
      <c r="O3207" s="121">
        <v>1</v>
      </c>
      <c r="P3207" s="121"/>
      <c r="Q3207" s="121"/>
      <c r="R3207" s="121"/>
      <c r="S3207" s="121"/>
      <c r="T3207" s="121"/>
      <c r="U3207" s="121">
        <f>16+3</f>
        <v>19</v>
      </c>
      <c r="V3207" s="121"/>
      <c r="W3207" s="121"/>
      <c r="X3207" s="121"/>
      <c r="Y3207" s="121"/>
      <c r="Z3207" s="121"/>
      <c r="AA3207" s="121">
        <f>9+1</f>
        <v>10</v>
      </c>
      <c r="AB3207" s="229">
        <f t="shared" si="1316"/>
        <v>0</v>
      </c>
      <c r="AC3207" s="228">
        <f t="shared" si="1317"/>
        <v>39</v>
      </c>
      <c r="AD3207" s="19">
        <v>52</v>
      </c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  <c r="AZ3207" s="28"/>
      <c r="BA3207" s="28"/>
      <c r="BB3207" s="28"/>
      <c r="BC3207" s="229">
        <f t="shared" si="1318"/>
        <v>0</v>
      </c>
      <c r="BD3207" s="48">
        <f t="shared" si="1319"/>
        <v>0</v>
      </c>
      <c r="BE3207" s="19">
        <f>BD3207</f>
        <v>0</v>
      </c>
      <c r="BF3207" s="229">
        <f t="shared" si="1324"/>
        <v>0</v>
      </c>
      <c r="BG3207" s="210">
        <f t="shared" si="1323"/>
        <v>39</v>
      </c>
      <c r="BH3207" s="210">
        <f t="shared" si="1313"/>
        <v>52</v>
      </c>
      <c r="BI3207" s="213">
        <f t="shared" si="1322"/>
        <v>75</v>
      </c>
      <c r="BJ3207" s="141"/>
      <c r="BK3207" s="201"/>
      <c r="BL3207" s="4"/>
      <c r="BM3207" s="4"/>
    </row>
    <row r="3208" spans="1:65" s="38" customFormat="1" ht="18" customHeight="1">
      <c r="A3208" s="114">
        <v>16</v>
      </c>
      <c r="B3208" s="24" t="s">
        <v>2027</v>
      </c>
      <c r="C3208" s="25" t="s">
        <v>2028</v>
      </c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229">
        <f t="shared" si="1316"/>
        <v>0</v>
      </c>
      <c r="AC3208" s="228">
        <f t="shared" si="1317"/>
        <v>0</v>
      </c>
      <c r="AD3208" s="19">
        <v>6</v>
      </c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29">
        <f t="shared" si="1318"/>
        <v>0</v>
      </c>
      <c r="BD3208" s="48">
        <f t="shared" si="1319"/>
        <v>0</v>
      </c>
      <c r="BE3208" s="19">
        <v>0</v>
      </c>
      <c r="BF3208" s="229">
        <f t="shared" si="1324"/>
        <v>0</v>
      </c>
      <c r="BG3208" s="210">
        <f t="shared" si="1323"/>
        <v>0</v>
      </c>
      <c r="BH3208" s="210">
        <f t="shared" si="1313"/>
        <v>6</v>
      </c>
      <c r="BI3208" s="213">
        <f t="shared" si="1322"/>
        <v>0</v>
      </c>
      <c r="BJ3208" s="141"/>
      <c r="BK3208" s="201"/>
      <c r="BL3208" s="4"/>
      <c r="BM3208" s="4"/>
    </row>
    <row r="3209" spans="1:65" s="38" customFormat="1" ht="18" customHeight="1">
      <c r="A3209" s="114">
        <v>17</v>
      </c>
      <c r="B3209" s="24" t="s">
        <v>1067</v>
      </c>
      <c r="C3209" s="25" t="s">
        <v>1068</v>
      </c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229">
        <f t="shared" si="1316"/>
        <v>0</v>
      </c>
      <c r="AC3209" s="228">
        <f t="shared" si="1317"/>
        <v>0</v>
      </c>
      <c r="AD3209" s="19">
        <v>3</v>
      </c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  <c r="AZ3209" s="28"/>
      <c r="BA3209" s="28"/>
      <c r="BB3209" s="28"/>
      <c r="BC3209" s="229">
        <f t="shared" si="1318"/>
        <v>0</v>
      </c>
      <c r="BD3209" s="48">
        <f t="shared" si="1319"/>
        <v>0</v>
      </c>
      <c r="BE3209" s="19">
        <v>0</v>
      </c>
      <c r="BF3209" s="229">
        <f t="shared" si="1324"/>
        <v>0</v>
      </c>
      <c r="BG3209" s="210">
        <f t="shared" si="1323"/>
        <v>0</v>
      </c>
      <c r="BH3209" s="210">
        <f t="shared" si="1313"/>
        <v>3</v>
      </c>
      <c r="BI3209" s="213">
        <f t="shared" si="1322"/>
        <v>0</v>
      </c>
      <c r="BJ3209" s="141"/>
      <c r="BK3209" s="201"/>
      <c r="BL3209" s="4"/>
      <c r="BM3209" s="4"/>
    </row>
    <row r="3210" spans="1:65" s="38" customFormat="1" ht="18" customHeight="1">
      <c r="A3210" s="114">
        <v>18</v>
      </c>
      <c r="B3210" s="24" t="s">
        <v>1070</v>
      </c>
      <c r="C3210" s="25" t="s">
        <v>1071</v>
      </c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229">
        <f t="shared" si="1316"/>
        <v>0</v>
      </c>
      <c r="AC3210" s="228">
        <f t="shared" si="1317"/>
        <v>0</v>
      </c>
      <c r="AD3210" s="19">
        <v>1</v>
      </c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  <c r="AZ3210" s="28"/>
      <c r="BA3210" s="28"/>
      <c r="BB3210" s="28"/>
      <c r="BC3210" s="229">
        <f t="shared" si="1318"/>
        <v>0</v>
      </c>
      <c r="BD3210" s="48">
        <f t="shared" si="1319"/>
        <v>0</v>
      </c>
      <c r="BE3210" s="19">
        <f>BD3210</f>
        <v>0</v>
      </c>
      <c r="BF3210" s="229">
        <f t="shared" si="1324"/>
        <v>0</v>
      </c>
      <c r="BG3210" s="210">
        <f t="shared" si="1323"/>
        <v>0</v>
      </c>
      <c r="BH3210" s="210">
        <f t="shared" si="1313"/>
        <v>1</v>
      </c>
      <c r="BI3210" s="213">
        <f t="shared" si="1322"/>
        <v>0</v>
      </c>
      <c r="BJ3210" s="141"/>
      <c r="BK3210" s="201"/>
      <c r="BL3210" s="4"/>
      <c r="BM3210" s="4"/>
    </row>
    <row r="3211" spans="1:65" s="38" customFormat="1" ht="18" customHeight="1">
      <c r="A3211" s="114">
        <v>19</v>
      </c>
      <c r="B3211" s="24" t="s">
        <v>1074</v>
      </c>
      <c r="C3211" s="25" t="s">
        <v>1605</v>
      </c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229">
        <f t="shared" si="1316"/>
        <v>0</v>
      </c>
      <c r="AC3211" s="228">
        <f t="shared" si="1317"/>
        <v>0</v>
      </c>
      <c r="AD3211" s="19">
        <v>4</v>
      </c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29">
        <f t="shared" si="1318"/>
        <v>0</v>
      </c>
      <c r="BD3211" s="48">
        <f t="shared" si="1319"/>
        <v>0</v>
      </c>
      <c r="BE3211" s="19">
        <v>0</v>
      </c>
      <c r="BF3211" s="229">
        <f t="shared" si="1324"/>
        <v>0</v>
      </c>
      <c r="BG3211" s="210">
        <f t="shared" si="1323"/>
        <v>0</v>
      </c>
      <c r="BH3211" s="210">
        <f t="shared" si="1313"/>
        <v>4</v>
      </c>
      <c r="BI3211" s="213">
        <f t="shared" si="1322"/>
        <v>0</v>
      </c>
      <c r="BJ3211" s="141"/>
      <c r="BK3211" s="201"/>
      <c r="BL3211" s="4"/>
      <c r="BM3211" s="4"/>
    </row>
    <row r="3212" spans="1:65" s="38" customFormat="1" ht="18" customHeight="1">
      <c r="A3212" s="114">
        <v>20</v>
      </c>
      <c r="B3212" s="24" t="s">
        <v>1045</v>
      </c>
      <c r="C3212" s="25" t="s">
        <v>1046</v>
      </c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229">
        <f t="shared" si="1316"/>
        <v>0</v>
      </c>
      <c r="AC3212" s="228">
        <f t="shared" si="1317"/>
        <v>0</v>
      </c>
      <c r="AD3212" s="19">
        <v>4</v>
      </c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29">
        <f t="shared" si="1318"/>
        <v>0</v>
      </c>
      <c r="BD3212" s="48">
        <f t="shared" si="1319"/>
        <v>0</v>
      </c>
      <c r="BE3212" s="19">
        <f>BD3212</f>
        <v>0</v>
      </c>
      <c r="BF3212" s="229">
        <f t="shared" si="1324"/>
        <v>0</v>
      </c>
      <c r="BG3212" s="210">
        <f t="shared" si="1323"/>
        <v>0</v>
      </c>
      <c r="BH3212" s="210">
        <f t="shared" si="1313"/>
        <v>4</v>
      </c>
      <c r="BI3212" s="213">
        <f t="shared" si="1322"/>
        <v>0</v>
      </c>
      <c r="BJ3212" s="141"/>
      <c r="BK3212" s="201"/>
      <c r="BL3212" s="4"/>
      <c r="BM3212" s="4"/>
    </row>
    <row r="3213" spans="1:65" s="38" customFormat="1" ht="18" customHeight="1">
      <c r="A3213" s="114">
        <v>21</v>
      </c>
      <c r="B3213" s="24" t="s">
        <v>974</v>
      </c>
      <c r="C3213" s="25" t="s">
        <v>1083</v>
      </c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229">
        <f t="shared" si="1316"/>
        <v>0</v>
      </c>
      <c r="AC3213" s="228">
        <f t="shared" si="1317"/>
        <v>0</v>
      </c>
      <c r="AD3213" s="19">
        <v>5</v>
      </c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  <c r="AZ3213" s="28"/>
      <c r="BA3213" s="28"/>
      <c r="BB3213" s="28"/>
      <c r="BC3213" s="229">
        <f t="shared" si="1318"/>
        <v>0</v>
      </c>
      <c r="BD3213" s="48">
        <f t="shared" si="1319"/>
        <v>0</v>
      </c>
      <c r="BE3213" s="19">
        <f>BD3213</f>
        <v>0</v>
      </c>
      <c r="BF3213" s="229">
        <f t="shared" si="1324"/>
        <v>0</v>
      </c>
      <c r="BG3213" s="210">
        <f t="shared" si="1323"/>
        <v>0</v>
      </c>
      <c r="BH3213" s="210">
        <f t="shared" si="1313"/>
        <v>5</v>
      </c>
      <c r="BI3213" s="213">
        <f t="shared" si="1322"/>
        <v>0</v>
      </c>
      <c r="BJ3213" s="141"/>
      <c r="BK3213" s="201"/>
      <c r="BL3213" s="4"/>
      <c r="BM3213" s="4"/>
    </row>
    <row r="3214" spans="1:65" s="38" customFormat="1" ht="18" customHeight="1">
      <c r="A3214" s="114">
        <v>22</v>
      </c>
      <c r="B3214" s="24" t="s">
        <v>2858</v>
      </c>
      <c r="C3214" s="25" t="s">
        <v>2859</v>
      </c>
      <c r="D3214" s="121"/>
      <c r="E3214" s="121"/>
      <c r="F3214" s="121"/>
      <c r="G3214" s="121"/>
      <c r="H3214" s="121"/>
      <c r="I3214" s="121">
        <v>5</v>
      </c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>
        <f>1+1</f>
        <v>2</v>
      </c>
      <c r="V3214" s="121"/>
      <c r="W3214" s="121"/>
      <c r="X3214" s="121"/>
      <c r="Y3214" s="121"/>
      <c r="Z3214" s="121"/>
      <c r="AA3214" s="121"/>
      <c r="AB3214" s="229">
        <f t="shared" si="1316"/>
        <v>0</v>
      </c>
      <c r="AC3214" s="228">
        <f t="shared" si="1317"/>
        <v>7</v>
      </c>
      <c r="AD3214" s="19">
        <v>0</v>
      </c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29">
        <f t="shared" si="1318"/>
        <v>0</v>
      </c>
      <c r="BD3214" s="48">
        <f t="shared" si="1319"/>
        <v>0</v>
      </c>
      <c r="BE3214" s="19">
        <v>0</v>
      </c>
      <c r="BF3214" s="229">
        <f t="shared" si="1324"/>
        <v>0</v>
      </c>
      <c r="BG3214" s="210">
        <f t="shared" si="1323"/>
        <v>7</v>
      </c>
      <c r="BH3214" s="210">
        <f t="shared" si="1313"/>
        <v>0</v>
      </c>
      <c r="BI3214" s="213" t="e">
        <f t="shared" si="1322"/>
        <v>#DIV/0!</v>
      </c>
      <c r="BJ3214" s="141"/>
      <c r="BK3214" s="201"/>
      <c r="BL3214" s="4"/>
      <c r="BM3214" s="4"/>
    </row>
    <row r="3215" spans="1:65" s="38" customFormat="1" ht="18" customHeight="1">
      <c r="A3215" s="114">
        <v>23</v>
      </c>
      <c r="B3215" s="24" t="s">
        <v>630</v>
      </c>
      <c r="C3215" s="25" t="s">
        <v>631</v>
      </c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229">
        <f t="shared" si="1316"/>
        <v>0</v>
      </c>
      <c r="AC3215" s="228">
        <f t="shared" si="1317"/>
        <v>0</v>
      </c>
      <c r="AD3215" s="19">
        <v>1</v>
      </c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29">
        <f t="shared" si="1318"/>
        <v>0</v>
      </c>
      <c r="BD3215" s="48">
        <f t="shared" si="1319"/>
        <v>0</v>
      </c>
      <c r="BE3215" s="19">
        <v>0</v>
      </c>
      <c r="BF3215" s="229">
        <f t="shared" si="1324"/>
        <v>0</v>
      </c>
      <c r="BG3215" s="210">
        <f t="shared" si="1323"/>
        <v>0</v>
      </c>
      <c r="BH3215" s="210">
        <f t="shared" si="1313"/>
        <v>1</v>
      </c>
      <c r="BI3215" s="213">
        <f t="shared" si="1322"/>
        <v>0</v>
      </c>
      <c r="BJ3215" s="141"/>
      <c r="BK3215" s="201"/>
      <c r="BL3215" s="4"/>
      <c r="BM3215" s="4"/>
    </row>
    <row r="3216" spans="1:65" s="38" customFormat="1" ht="18" customHeight="1">
      <c r="A3216" s="114">
        <v>24</v>
      </c>
      <c r="B3216" s="24" t="s">
        <v>698</v>
      </c>
      <c r="C3216" s="25" t="s">
        <v>699</v>
      </c>
      <c r="D3216" s="121"/>
      <c r="E3216" s="121"/>
      <c r="F3216" s="121"/>
      <c r="G3216" s="121"/>
      <c r="H3216" s="121"/>
      <c r="I3216" s="121">
        <f>21+1</f>
        <v>22</v>
      </c>
      <c r="J3216" s="121"/>
      <c r="K3216" s="121"/>
      <c r="L3216" s="121"/>
      <c r="M3216" s="121"/>
      <c r="N3216" s="121"/>
      <c r="O3216" s="121">
        <f>28+2</f>
        <v>30</v>
      </c>
      <c r="P3216" s="121"/>
      <c r="Q3216" s="121"/>
      <c r="R3216" s="121"/>
      <c r="S3216" s="121"/>
      <c r="T3216" s="121"/>
      <c r="U3216" s="121">
        <v>41</v>
      </c>
      <c r="V3216" s="121"/>
      <c r="W3216" s="121"/>
      <c r="X3216" s="121"/>
      <c r="Y3216" s="121"/>
      <c r="Z3216" s="121"/>
      <c r="AA3216" s="121">
        <f>37+2</f>
        <v>39</v>
      </c>
      <c r="AB3216" s="229">
        <f t="shared" si="1316"/>
        <v>0</v>
      </c>
      <c r="AC3216" s="228">
        <f t="shared" si="1317"/>
        <v>132</v>
      </c>
      <c r="AD3216" s="19">
        <v>128</v>
      </c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29">
        <f t="shared" si="1318"/>
        <v>0</v>
      </c>
      <c r="BD3216" s="48">
        <f t="shared" si="1319"/>
        <v>0</v>
      </c>
      <c r="BE3216" s="19">
        <v>0</v>
      </c>
      <c r="BF3216" s="229">
        <f t="shared" si="1324"/>
        <v>0</v>
      </c>
      <c r="BG3216" s="210">
        <f t="shared" si="1323"/>
        <v>132</v>
      </c>
      <c r="BH3216" s="210">
        <f t="shared" si="1313"/>
        <v>128</v>
      </c>
      <c r="BI3216" s="213">
        <f t="shared" si="1322"/>
        <v>103.125</v>
      </c>
      <c r="BJ3216" s="141"/>
      <c r="BK3216" s="201"/>
      <c r="BL3216" s="4"/>
      <c r="BM3216" s="4"/>
    </row>
    <row r="3217" spans="1:65" s="38" customFormat="1" ht="18" customHeight="1">
      <c r="A3217" s="114">
        <v>25</v>
      </c>
      <c r="B3217" s="24" t="s">
        <v>1395</v>
      </c>
      <c r="C3217" s="25" t="s">
        <v>1404</v>
      </c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229">
        <f t="shared" si="1316"/>
        <v>0</v>
      </c>
      <c r="AC3217" s="228">
        <f t="shared" si="1317"/>
        <v>0</v>
      </c>
      <c r="AD3217" s="19">
        <v>1</v>
      </c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29">
        <f t="shared" si="1318"/>
        <v>0</v>
      </c>
      <c r="BD3217" s="48">
        <f t="shared" si="1319"/>
        <v>0</v>
      </c>
      <c r="BE3217" s="19">
        <v>0</v>
      </c>
      <c r="BF3217" s="229">
        <f t="shared" si="1324"/>
        <v>0</v>
      </c>
      <c r="BG3217" s="210">
        <f t="shared" si="1323"/>
        <v>0</v>
      </c>
      <c r="BH3217" s="210">
        <f t="shared" si="1313"/>
        <v>1</v>
      </c>
      <c r="BI3217" s="213">
        <f t="shared" si="1322"/>
        <v>0</v>
      </c>
      <c r="BJ3217" s="141"/>
      <c r="BK3217" s="201"/>
      <c r="BL3217" s="4"/>
      <c r="BM3217" s="4"/>
    </row>
    <row r="3218" spans="1:65" s="38" customFormat="1" ht="18" customHeight="1">
      <c r="A3218" s="114">
        <v>26</v>
      </c>
      <c r="B3218" s="24" t="s">
        <v>892</v>
      </c>
      <c r="C3218" s="25" t="s">
        <v>893</v>
      </c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229">
        <f t="shared" si="1316"/>
        <v>0</v>
      </c>
      <c r="AC3218" s="228">
        <f t="shared" si="1317"/>
        <v>0</v>
      </c>
      <c r="AD3218" s="19">
        <v>1</v>
      </c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29">
        <f t="shared" si="1318"/>
        <v>0</v>
      </c>
      <c r="BD3218" s="48">
        <f t="shared" si="1319"/>
        <v>0</v>
      </c>
      <c r="BE3218" s="19">
        <v>0</v>
      </c>
      <c r="BF3218" s="229">
        <f t="shared" si="1324"/>
        <v>0</v>
      </c>
      <c r="BG3218" s="210">
        <f t="shared" si="1323"/>
        <v>0</v>
      </c>
      <c r="BH3218" s="210">
        <f t="shared" si="1313"/>
        <v>1</v>
      </c>
      <c r="BI3218" s="213">
        <f t="shared" si="1322"/>
        <v>0</v>
      </c>
      <c r="BJ3218" s="141"/>
      <c r="BK3218" s="201"/>
      <c r="BL3218" s="4"/>
      <c r="BM3218" s="4"/>
    </row>
    <row r="3219" spans="1:65" s="38" customFormat="1" ht="18" customHeight="1">
      <c r="A3219" s="114">
        <v>27</v>
      </c>
      <c r="B3219" s="24" t="s">
        <v>703</v>
      </c>
      <c r="C3219" s="25" t="s">
        <v>774</v>
      </c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229">
        <f t="shared" si="1316"/>
        <v>0</v>
      </c>
      <c r="AC3219" s="228">
        <f t="shared" si="1317"/>
        <v>0</v>
      </c>
      <c r="AD3219" s="19">
        <v>1</v>
      </c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29">
        <f t="shared" si="1318"/>
        <v>0</v>
      </c>
      <c r="BD3219" s="48">
        <f t="shared" si="1319"/>
        <v>0</v>
      </c>
      <c r="BE3219" s="19">
        <v>0</v>
      </c>
      <c r="BF3219" s="229">
        <f t="shared" si="1324"/>
        <v>0</v>
      </c>
      <c r="BG3219" s="210">
        <f t="shared" si="1323"/>
        <v>0</v>
      </c>
      <c r="BH3219" s="210">
        <f t="shared" si="1313"/>
        <v>1</v>
      </c>
      <c r="BI3219" s="213">
        <f t="shared" si="1322"/>
        <v>0</v>
      </c>
      <c r="BJ3219" s="141"/>
      <c r="BK3219" s="201"/>
      <c r="BL3219" s="4"/>
      <c r="BM3219" s="4"/>
    </row>
    <row r="3220" spans="1:65" s="38" customFormat="1" ht="18" customHeight="1">
      <c r="A3220" s="114">
        <v>28</v>
      </c>
      <c r="B3220" s="24" t="s">
        <v>896</v>
      </c>
      <c r="C3220" s="25" t="s">
        <v>992</v>
      </c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229">
        <f t="shared" si="1316"/>
        <v>0</v>
      </c>
      <c r="AC3220" s="228">
        <f t="shared" si="1317"/>
        <v>0</v>
      </c>
      <c r="AD3220" s="19">
        <v>1</v>
      </c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  <c r="AZ3220" s="28"/>
      <c r="BA3220" s="28"/>
      <c r="BB3220" s="28"/>
      <c r="BC3220" s="229">
        <f t="shared" si="1318"/>
        <v>0</v>
      </c>
      <c r="BD3220" s="48">
        <f t="shared" si="1319"/>
        <v>0</v>
      </c>
      <c r="BE3220" s="19">
        <v>0</v>
      </c>
      <c r="BF3220" s="229">
        <f t="shared" si="1324"/>
        <v>0</v>
      </c>
      <c r="BG3220" s="210">
        <f t="shared" si="1323"/>
        <v>0</v>
      </c>
      <c r="BH3220" s="210">
        <f t="shared" si="1313"/>
        <v>1</v>
      </c>
      <c r="BI3220" s="213">
        <f t="shared" si="1322"/>
        <v>0</v>
      </c>
      <c r="BJ3220" s="141"/>
      <c r="BK3220" s="201"/>
      <c r="BL3220" s="4"/>
      <c r="BM3220" s="4"/>
    </row>
    <row r="3221" spans="1:65" s="38" customFormat="1" ht="18" customHeight="1">
      <c r="A3221" s="114">
        <v>29</v>
      </c>
      <c r="B3221" s="24" t="s">
        <v>799</v>
      </c>
      <c r="C3221" s="25" t="s">
        <v>2831</v>
      </c>
      <c r="D3221" s="121"/>
      <c r="E3221" s="121"/>
      <c r="F3221" s="121"/>
      <c r="G3221" s="121"/>
      <c r="H3221" s="121"/>
      <c r="I3221" s="121">
        <v>6</v>
      </c>
      <c r="J3221" s="121"/>
      <c r="K3221" s="121"/>
      <c r="L3221" s="121"/>
      <c r="M3221" s="121"/>
      <c r="N3221" s="121"/>
      <c r="O3221" s="121">
        <v>3</v>
      </c>
      <c r="P3221" s="121"/>
      <c r="Q3221" s="121"/>
      <c r="R3221" s="121"/>
      <c r="S3221" s="121"/>
      <c r="T3221" s="121"/>
      <c r="U3221" s="121">
        <v>5</v>
      </c>
      <c r="V3221" s="121"/>
      <c r="W3221" s="121"/>
      <c r="X3221" s="121"/>
      <c r="Y3221" s="121"/>
      <c r="Z3221" s="121"/>
      <c r="AA3221" s="121">
        <v>2</v>
      </c>
      <c r="AB3221" s="229">
        <f t="shared" si="1316"/>
        <v>0</v>
      </c>
      <c r="AC3221" s="228">
        <f t="shared" si="1317"/>
        <v>16</v>
      </c>
      <c r="AD3221" s="19">
        <v>0</v>
      </c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29">
        <f t="shared" si="1318"/>
        <v>0</v>
      </c>
      <c r="BD3221" s="48">
        <f t="shared" si="1319"/>
        <v>0</v>
      </c>
      <c r="BE3221" s="19">
        <v>0</v>
      </c>
      <c r="BF3221" s="229">
        <f t="shared" si="1324"/>
        <v>0</v>
      </c>
      <c r="BG3221" s="210">
        <f t="shared" si="1323"/>
        <v>16</v>
      </c>
      <c r="BH3221" s="210">
        <f t="shared" si="1313"/>
        <v>0</v>
      </c>
      <c r="BI3221" s="213" t="e">
        <f t="shared" si="1322"/>
        <v>#DIV/0!</v>
      </c>
      <c r="BJ3221" s="141"/>
      <c r="BK3221" s="201"/>
      <c r="BL3221" s="4"/>
      <c r="BM3221" s="4"/>
    </row>
    <row r="3222" spans="1:65" s="38" customFormat="1" ht="18" customHeight="1">
      <c r="A3222" s="114">
        <v>30</v>
      </c>
      <c r="B3222" s="24" t="s">
        <v>842</v>
      </c>
      <c r="C3222" s="25" t="s">
        <v>843</v>
      </c>
      <c r="D3222" s="121"/>
      <c r="E3222" s="121"/>
      <c r="F3222" s="121"/>
      <c r="G3222" s="121"/>
      <c r="H3222" s="121"/>
      <c r="I3222" s="121">
        <v>50</v>
      </c>
      <c r="J3222" s="121"/>
      <c r="K3222" s="121"/>
      <c r="L3222" s="121"/>
      <c r="M3222" s="121"/>
      <c r="N3222" s="121"/>
      <c r="O3222" s="121">
        <v>18</v>
      </c>
      <c r="P3222" s="121"/>
      <c r="Q3222" s="121"/>
      <c r="R3222" s="121"/>
      <c r="S3222" s="121"/>
      <c r="T3222" s="121"/>
      <c r="U3222" s="121">
        <f>26+2</f>
        <v>28</v>
      </c>
      <c r="V3222" s="121"/>
      <c r="W3222" s="121"/>
      <c r="X3222" s="121"/>
      <c r="Y3222" s="121"/>
      <c r="Z3222" s="121"/>
      <c r="AA3222" s="121">
        <v>8</v>
      </c>
      <c r="AB3222" s="229">
        <f t="shared" si="1316"/>
        <v>0</v>
      </c>
      <c r="AC3222" s="228">
        <f t="shared" si="1317"/>
        <v>104</v>
      </c>
      <c r="AD3222" s="19">
        <v>132</v>
      </c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  <c r="AZ3222" s="28"/>
      <c r="BA3222" s="28"/>
      <c r="BB3222" s="28"/>
      <c r="BC3222" s="229">
        <f t="shared" si="1318"/>
        <v>0</v>
      </c>
      <c r="BD3222" s="48">
        <f t="shared" si="1319"/>
        <v>0</v>
      </c>
      <c r="BE3222" s="19">
        <v>0</v>
      </c>
      <c r="BF3222" s="229">
        <f t="shared" si="1324"/>
        <v>0</v>
      </c>
      <c r="BG3222" s="210">
        <f t="shared" si="1323"/>
        <v>104</v>
      </c>
      <c r="BH3222" s="210">
        <f t="shared" si="1313"/>
        <v>132</v>
      </c>
      <c r="BI3222" s="213">
        <f t="shared" si="1322"/>
        <v>78.787878787878782</v>
      </c>
      <c r="BJ3222" s="141"/>
      <c r="BK3222" s="201"/>
      <c r="BL3222" s="4"/>
      <c r="BM3222" s="4"/>
    </row>
    <row r="3223" spans="1:65" s="38" customFormat="1" ht="21.95" customHeight="1">
      <c r="A3223" s="114">
        <v>31</v>
      </c>
      <c r="B3223" s="24" t="s">
        <v>657</v>
      </c>
      <c r="C3223" s="27" t="s">
        <v>1401</v>
      </c>
      <c r="D3223" s="121"/>
      <c r="E3223" s="121"/>
      <c r="F3223" s="121"/>
      <c r="G3223" s="121"/>
      <c r="H3223" s="121"/>
      <c r="I3223" s="121">
        <f>274+13</f>
        <v>287</v>
      </c>
      <c r="J3223" s="121"/>
      <c r="K3223" s="121"/>
      <c r="L3223" s="121"/>
      <c r="M3223" s="121"/>
      <c r="N3223" s="121"/>
      <c r="O3223" s="121">
        <v>169</v>
      </c>
      <c r="P3223" s="121"/>
      <c r="Q3223" s="121"/>
      <c r="R3223" s="121"/>
      <c r="S3223" s="121"/>
      <c r="T3223" s="121"/>
      <c r="U3223" s="121">
        <f>235+10</f>
        <v>245</v>
      </c>
      <c r="V3223" s="121"/>
      <c r="W3223" s="121"/>
      <c r="X3223" s="121"/>
      <c r="Y3223" s="121"/>
      <c r="Z3223" s="121"/>
      <c r="AA3223" s="121">
        <f>197+9</f>
        <v>206</v>
      </c>
      <c r="AB3223" s="229">
        <f t="shared" si="1316"/>
        <v>0</v>
      </c>
      <c r="AC3223" s="228">
        <f t="shared" si="1317"/>
        <v>907</v>
      </c>
      <c r="AD3223" s="19">
        <v>764</v>
      </c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29">
        <f t="shared" si="1318"/>
        <v>0</v>
      </c>
      <c r="BD3223" s="48">
        <f t="shared" si="1319"/>
        <v>0</v>
      </c>
      <c r="BE3223" s="19">
        <v>6</v>
      </c>
      <c r="BF3223" s="229">
        <f t="shared" si="1324"/>
        <v>0</v>
      </c>
      <c r="BG3223" s="210">
        <f t="shared" si="1323"/>
        <v>907</v>
      </c>
      <c r="BH3223" s="210">
        <f t="shared" si="1313"/>
        <v>770</v>
      </c>
      <c r="BI3223" s="213">
        <f t="shared" si="1322"/>
        <v>117.79220779220778</v>
      </c>
      <c r="BJ3223" s="141"/>
      <c r="BK3223" s="201"/>
      <c r="BL3223" s="4"/>
      <c r="BM3223" s="4"/>
    </row>
    <row r="3224" spans="1:65" s="38" customFormat="1" ht="21.95" customHeight="1">
      <c r="A3224" s="114">
        <v>32</v>
      </c>
      <c r="B3224" s="24" t="s">
        <v>658</v>
      </c>
      <c r="C3224" s="25" t="s">
        <v>779</v>
      </c>
      <c r="D3224" s="121"/>
      <c r="E3224" s="121"/>
      <c r="F3224" s="121"/>
      <c r="G3224" s="121"/>
      <c r="H3224" s="121"/>
      <c r="I3224" s="121">
        <f>203+1</f>
        <v>204</v>
      </c>
      <c r="J3224" s="121"/>
      <c r="K3224" s="121"/>
      <c r="L3224" s="121"/>
      <c r="M3224" s="121"/>
      <c r="N3224" s="121"/>
      <c r="O3224" s="121">
        <f>166+2</f>
        <v>168</v>
      </c>
      <c r="P3224" s="121"/>
      <c r="Q3224" s="121"/>
      <c r="R3224" s="121"/>
      <c r="S3224" s="121"/>
      <c r="T3224" s="121"/>
      <c r="U3224" s="121">
        <f>242+10</f>
        <v>252</v>
      </c>
      <c r="V3224" s="121"/>
      <c r="W3224" s="121"/>
      <c r="X3224" s="121"/>
      <c r="Y3224" s="121"/>
      <c r="Z3224" s="121"/>
      <c r="AA3224" s="121">
        <f>143+4</f>
        <v>147</v>
      </c>
      <c r="AB3224" s="229">
        <f t="shared" si="1316"/>
        <v>0</v>
      </c>
      <c r="AC3224" s="228">
        <f t="shared" si="1317"/>
        <v>771</v>
      </c>
      <c r="AD3224" s="19">
        <v>465</v>
      </c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  <c r="AZ3224" s="28"/>
      <c r="BA3224" s="28"/>
      <c r="BB3224" s="28"/>
      <c r="BC3224" s="229">
        <f t="shared" si="1318"/>
        <v>0</v>
      </c>
      <c r="BD3224" s="48">
        <f t="shared" si="1319"/>
        <v>0</v>
      </c>
      <c r="BE3224" s="19">
        <v>4</v>
      </c>
      <c r="BF3224" s="229">
        <f t="shared" si="1324"/>
        <v>0</v>
      </c>
      <c r="BG3224" s="210">
        <f t="shared" si="1323"/>
        <v>771</v>
      </c>
      <c r="BH3224" s="210">
        <f t="shared" si="1313"/>
        <v>469</v>
      </c>
      <c r="BI3224" s="213">
        <f t="shared" si="1322"/>
        <v>164.39232409381663</v>
      </c>
      <c r="BJ3224" s="141"/>
      <c r="BK3224" s="201"/>
      <c r="BL3224" s="4"/>
      <c r="BM3224" s="4"/>
    </row>
    <row r="3225" spans="1:65" s="38" customFormat="1" ht="18" customHeight="1">
      <c r="A3225" s="114">
        <v>33</v>
      </c>
      <c r="B3225" s="24" t="s">
        <v>903</v>
      </c>
      <c r="C3225" s="25" t="s">
        <v>1165</v>
      </c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>
        <v>1</v>
      </c>
      <c r="V3225" s="121"/>
      <c r="W3225" s="121"/>
      <c r="X3225" s="121"/>
      <c r="Y3225" s="121"/>
      <c r="Z3225" s="121"/>
      <c r="AA3225" s="121">
        <v>26</v>
      </c>
      <c r="AB3225" s="229">
        <f t="shared" si="1316"/>
        <v>0</v>
      </c>
      <c r="AC3225" s="228">
        <f t="shared" si="1317"/>
        <v>27</v>
      </c>
      <c r="AD3225" s="19">
        <v>1</v>
      </c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29">
        <f t="shared" si="1318"/>
        <v>0</v>
      </c>
      <c r="BD3225" s="48">
        <f t="shared" si="1319"/>
        <v>0</v>
      </c>
      <c r="BE3225" s="19">
        <v>0</v>
      </c>
      <c r="BF3225" s="229">
        <f t="shared" si="1324"/>
        <v>0</v>
      </c>
      <c r="BG3225" s="210">
        <f t="shared" si="1323"/>
        <v>27</v>
      </c>
      <c r="BH3225" s="210">
        <f t="shared" si="1313"/>
        <v>1</v>
      </c>
      <c r="BI3225" s="213">
        <f t="shared" si="1322"/>
        <v>2700</v>
      </c>
      <c r="BJ3225" s="141"/>
      <c r="BK3225" s="201"/>
      <c r="BL3225" s="4"/>
      <c r="BM3225" s="4"/>
    </row>
    <row r="3226" spans="1:65" s="38" customFormat="1" ht="18" customHeight="1">
      <c r="A3226" s="114">
        <v>34</v>
      </c>
      <c r="B3226" s="24" t="s">
        <v>659</v>
      </c>
      <c r="C3226" s="25" t="s">
        <v>660</v>
      </c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229">
        <f t="shared" si="1316"/>
        <v>0</v>
      </c>
      <c r="AC3226" s="228">
        <f t="shared" si="1317"/>
        <v>0</v>
      </c>
      <c r="AD3226" s="19">
        <v>1</v>
      </c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29">
        <f t="shared" si="1318"/>
        <v>0</v>
      </c>
      <c r="BD3226" s="48">
        <f t="shared" si="1319"/>
        <v>0</v>
      </c>
      <c r="BE3226" s="19">
        <v>0</v>
      </c>
      <c r="BF3226" s="229">
        <f t="shared" si="1324"/>
        <v>0</v>
      </c>
      <c r="BG3226" s="210">
        <f t="shared" si="1323"/>
        <v>0</v>
      </c>
      <c r="BH3226" s="210">
        <f t="shared" si="1313"/>
        <v>1</v>
      </c>
      <c r="BI3226" s="213">
        <f t="shared" si="1322"/>
        <v>0</v>
      </c>
      <c r="BJ3226" s="141"/>
      <c r="BK3226" s="201"/>
      <c r="BL3226" s="4"/>
      <c r="BM3226" s="4"/>
    </row>
    <row r="3227" spans="1:65" s="38" customFormat="1" ht="21.95" customHeight="1">
      <c r="A3227" s="114">
        <v>35</v>
      </c>
      <c r="B3227" s="24" t="s">
        <v>661</v>
      </c>
      <c r="C3227" s="27" t="s">
        <v>743</v>
      </c>
      <c r="D3227" s="121"/>
      <c r="E3227" s="121"/>
      <c r="F3227" s="121"/>
      <c r="G3227" s="121"/>
      <c r="H3227" s="121"/>
      <c r="I3227" s="121">
        <f>193+1</f>
        <v>194</v>
      </c>
      <c r="J3227" s="121"/>
      <c r="K3227" s="121"/>
      <c r="L3227" s="121"/>
      <c r="M3227" s="121"/>
      <c r="N3227" s="121"/>
      <c r="O3227" s="121">
        <f>125+3</f>
        <v>128</v>
      </c>
      <c r="P3227" s="121"/>
      <c r="Q3227" s="121"/>
      <c r="R3227" s="121"/>
      <c r="S3227" s="121"/>
      <c r="T3227" s="121"/>
      <c r="U3227" s="121">
        <f>216+6</f>
        <v>222</v>
      </c>
      <c r="V3227" s="121"/>
      <c r="W3227" s="121"/>
      <c r="X3227" s="121"/>
      <c r="Y3227" s="121"/>
      <c r="Z3227" s="121"/>
      <c r="AA3227" s="121">
        <f>150+3</f>
        <v>153</v>
      </c>
      <c r="AB3227" s="229">
        <f t="shared" si="1316"/>
        <v>0</v>
      </c>
      <c r="AC3227" s="228">
        <f t="shared" si="1317"/>
        <v>697</v>
      </c>
      <c r="AD3227" s="19">
        <v>741</v>
      </c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>
        <v>1</v>
      </c>
      <c r="BC3227" s="229">
        <f t="shared" si="1318"/>
        <v>0</v>
      </c>
      <c r="BD3227" s="48">
        <f t="shared" si="1319"/>
        <v>1</v>
      </c>
      <c r="BE3227" s="19">
        <v>9</v>
      </c>
      <c r="BF3227" s="229">
        <f t="shared" si="1324"/>
        <v>0</v>
      </c>
      <c r="BG3227" s="210">
        <f t="shared" si="1323"/>
        <v>698</v>
      </c>
      <c r="BH3227" s="210">
        <f t="shared" si="1313"/>
        <v>750</v>
      </c>
      <c r="BI3227" s="213">
        <f t="shared" si="1322"/>
        <v>93.066666666666663</v>
      </c>
      <c r="BJ3227" s="141"/>
      <c r="BK3227" s="201"/>
      <c r="BL3227" s="4"/>
      <c r="BM3227" s="4"/>
    </row>
    <row r="3228" spans="1:65" s="38" customFormat="1" ht="21.95" customHeight="1">
      <c r="A3228" s="114">
        <v>36</v>
      </c>
      <c r="B3228" s="24" t="s">
        <v>667</v>
      </c>
      <c r="C3228" s="27" t="s">
        <v>792</v>
      </c>
      <c r="D3228" s="121"/>
      <c r="E3228" s="121"/>
      <c r="F3228" s="121"/>
      <c r="G3228" s="121"/>
      <c r="H3228" s="121"/>
      <c r="I3228" s="121">
        <v>5</v>
      </c>
      <c r="J3228" s="121"/>
      <c r="K3228" s="121"/>
      <c r="L3228" s="121"/>
      <c r="M3228" s="121"/>
      <c r="N3228" s="121"/>
      <c r="O3228" s="121">
        <v>6</v>
      </c>
      <c r="P3228" s="121"/>
      <c r="Q3228" s="121"/>
      <c r="R3228" s="121"/>
      <c r="S3228" s="121"/>
      <c r="T3228" s="121"/>
      <c r="U3228" s="121">
        <v>9</v>
      </c>
      <c r="V3228" s="121"/>
      <c r="W3228" s="121"/>
      <c r="X3228" s="121"/>
      <c r="Y3228" s="121"/>
      <c r="Z3228" s="121"/>
      <c r="AA3228" s="121">
        <v>15</v>
      </c>
      <c r="AB3228" s="229">
        <f t="shared" si="1316"/>
        <v>0</v>
      </c>
      <c r="AC3228" s="228">
        <f t="shared" si="1317"/>
        <v>35</v>
      </c>
      <c r="AD3228" s="19">
        <v>4</v>
      </c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29">
        <f t="shared" si="1318"/>
        <v>0</v>
      </c>
      <c r="BD3228" s="48">
        <f t="shared" si="1319"/>
        <v>0</v>
      </c>
      <c r="BE3228" s="19">
        <v>0</v>
      </c>
      <c r="BF3228" s="229">
        <f t="shared" si="1324"/>
        <v>0</v>
      </c>
      <c r="BG3228" s="210">
        <f t="shared" si="1323"/>
        <v>35</v>
      </c>
      <c r="BH3228" s="210">
        <f t="shared" si="1313"/>
        <v>4</v>
      </c>
      <c r="BI3228" s="213">
        <f t="shared" si="1322"/>
        <v>875</v>
      </c>
      <c r="BJ3228" s="141"/>
      <c r="BK3228" s="201"/>
      <c r="BL3228" s="4"/>
      <c r="BM3228" s="4"/>
    </row>
    <row r="3229" spans="1:65" s="38" customFormat="1" ht="21.95" customHeight="1">
      <c r="A3229" s="114">
        <v>37</v>
      </c>
      <c r="B3229" s="24" t="s">
        <v>2043</v>
      </c>
      <c r="C3229" s="27" t="s">
        <v>2044</v>
      </c>
      <c r="D3229" s="121"/>
      <c r="E3229" s="121"/>
      <c r="F3229" s="121"/>
      <c r="G3229" s="121"/>
      <c r="H3229" s="121"/>
      <c r="I3229" s="121">
        <f>4691+117</f>
        <v>4808</v>
      </c>
      <c r="J3229" s="121"/>
      <c r="K3229" s="121"/>
      <c r="L3229" s="121"/>
      <c r="M3229" s="121"/>
      <c r="N3229" s="121"/>
      <c r="O3229" s="121">
        <f>4523+266</f>
        <v>4789</v>
      </c>
      <c r="P3229" s="121"/>
      <c r="Q3229" s="121"/>
      <c r="R3229" s="121"/>
      <c r="S3229" s="121"/>
      <c r="T3229" s="121"/>
      <c r="U3229" s="121">
        <f>4356+291</f>
        <v>4647</v>
      </c>
      <c r="V3229" s="121"/>
      <c r="W3229" s="121"/>
      <c r="X3229" s="121"/>
      <c r="Y3229" s="121"/>
      <c r="Z3229" s="121"/>
      <c r="AA3229" s="121">
        <f>4656+314</f>
        <v>4970</v>
      </c>
      <c r="AB3229" s="229">
        <f t="shared" si="1316"/>
        <v>0</v>
      </c>
      <c r="AC3229" s="228">
        <f t="shared" si="1317"/>
        <v>19214</v>
      </c>
      <c r="AD3229" s="19">
        <v>18840</v>
      </c>
      <c r="AE3229" s="28"/>
      <c r="AF3229" s="28"/>
      <c r="AG3229" s="28"/>
      <c r="AH3229" s="28"/>
      <c r="AI3229" s="28"/>
      <c r="AJ3229" s="28">
        <v>17</v>
      </c>
      <c r="AK3229" s="28"/>
      <c r="AL3229" s="28"/>
      <c r="AM3229" s="28"/>
      <c r="AN3229" s="28"/>
      <c r="AO3229" s="28"/>
      <c r="AP3229" s="28">
        <v>2</v>
      </c>
      <c r="AQ3229" s="28"/>
      <c r="AR3229" s="28"/>
      <c r="AS3229" s="28"/>
      <c r="AT3229" s="28"/>
      <c r="AU3229" s="28"/>
      <c r="AV3229" s="28">
        <v>12</v>
      </c>
      <c r="AW3229" s="28"/>
      <c r="AX3229" s="28"/>
      <c r="AY3229" s="28"/>
      <c r="AZ3229" s="28"/>
      <c r="BA3229" s="28"/>
      <c r="BB3229" s="28">
        <f>19+4</f>
        <v>23</v>
      </c>
      <c r="BC3229" s="229">
        <f t="shared" si="1318"/>
        <v>0</v>
      </c>
      <c r="BD3229" s="48">
        <f t="shared" si="1319"/>
        <v>54</v>
      </c>
      <c r="BE3229" s="19">
        <v>90</v>
      </c>
      <c r="BF3229" s="229">
        <f t="shared" si="1324"/>
        <v>0</v>
      </c>
      <c r="BG3229" s="210">
        <f t="shared" si="1323"/>
        <v>19268</v>
      </c>
      <c r="BH3229" s="210">
        <f t="shared" si="1313"/>
        <v>18930</v>
      </c>
      <c r="BI3229" s="213">
        <f t="shared" si="1322"/>
        <v>101.78552562070786</v>
      </c>
      <c r="BJ3229" s="141"/>
      <c r="BK3229" s="201"/>
      <c r="BL3229" s="4"/>
      <c r="BM3229" s="4"/>
    </row>
    <row r="3230" spans="1:65" s="38" customFormat="1" ht="21.95" customHeight="1">
      <c r="A3230" s="373" t="s">
        <v>543</v>
      </c>
      <c r="B3230" s="373"/>
      <c r="C3230" s="373"/>
      <c r="D3230" s="220">
        <f t="shared" ref="D3230:BE3230" si="1325">SUM(D3231:D3254)</f>
        <v>0</v>
      </c>
      <c r="E3230" s="220">
        <f t="shared" si="1325"/>
        <v>0</v>
      </c>
      <c r="F3230" s="220">
        <f t="shared" si="1325"/>
        <v>0</v>
      </c>
      <c r="G3230" s="220">
        <f t="shared" si="1325"/>
        <v>0</v>
      </c>
      <c r="H3230" s="220">
        <f t="shared" si="1325"/>
        <v>0</v>
      </c>
      <c r="I3230" s="220">
        <f t="shared" si="1325"/>
        <v>3449</v>
      </c>
      <c r="J3230" s="220">
        <f t="shared" si="1325"/>
        <v>0</v>
      </c>
      <c r="K3230" s="220">
        <f t="shared" si="1325"/>
        <v>0</v>
      </c>
      <c r="L3230" s="220">
        <f t="shared" si="1325"/>
        <v>0</v>
      </c>
      <c r="M3230" s="220">
        <f t="shared" si="1325"/>
        <v>0</v>
      </c>
      <c r="N3230" s="220">
        <f t="shared" si="1325"/>
        <v>0</v>
      </c>
      <c r="O3230" s="220">
        <f t="shared" si="1325"/>
        <v>3813</v>
      </c>
      <c r="P3230" s="220">
        <f t="shared" si="1325"/>
        <v>0</v>
      </c>
      <c r="Q3230" s="220">
        <f t="shared" si="1325"/>
        <v>0</v>
      </c>
      <c r="R3230" s="220">
        <f t="shared" si="1325"/>
        <v>0</v>
      </c>
      <c r="S3230" s="220">
        <f t="shared" si="1325"/>
        <v>0</v>
      </c>
      <c r="T3230" s="220">
        <f t="shared" si="1325"/>
        <v>0</v>
      </c>
      <c r="U3230" s="220">
        <f t="shared" si="1325"/>
        <v>3459</v>
      </c>
      <c r="V3230" s="220">
        <f t="shared" si="1325"/>
        <v>0</v>
      </c>
      <c r="W3230" s="220">
        <f t="shared" si="1325"/>
        <v>0</v>
      </c>
      <c r="X3230" s="220">
        <f t="shared" si="1325"/>
        <v>0</v>
      </c>
      <c r="Y3230" s="220">
        <f t="shared" si="1325"/>
        <v>0</v>
      </c>
      <c r="Z3230" s="220">
        <f t="shared" si="1325"/>
        <v>0</v>
      </c>
      <c r="AA3230" s="220">
        <f t="shared" si="1325"/>
        <v>3880</v>
      </c>
      <c r="AB3230" s="220">
        <f t="shared" ref="AB3230:AB3255" si="1326">D3230+F3230+H3230+J3230+L3230+N3230+P3230+R3230+T3230+V3230+X3230+Z3230</f>
        <v>0</v>
      </c>
      <c r="AC3230" s="220">
        <f t="shared" ref="AC3230:AC3255" si="1327">E3230+G3230+I3230+K3230+M3230+O3230+Q3230+S3230+U3230+W3230+Y3230+AA3230</f>
        <v>14601</v>
      </c>
      <c r="AD3230" s="276">
        <f t="shared" si="1325"/>
        <v>14093</v>
      </c>
      <c r="AE3230" s="276">
        <f t="shared" si="1325"/>
        <v>0</v>
      </c>
      <c r="AF3230" s="276">
        <f t="shared" si="1325"/>
        <v>0</v>
      </c>
      <c r="AG3230" s="276">
        <f t="shared" si="1325"/>
        <v>0</v>
      </c>
      <c r="AH3230" s="276">
        <f t="shared" si="1325"/>
        <v>0</v>
      </c>
      <c r="AI3230" s="276">
        <f t="shared" si="1325"/>
        <v>0</v>
      </c>
      <c r="AJ3230" s="276">
        <f t="shared" si="1325"/>
        <v>10</v>
      </c>
      <c r="AK3230" s="276">
        <f t="shared" si="1325"/>
        <v>0</v>
      </c>
      <c r="AL3230" s="276">
        <f t="shared" si="1325"/>
        <v>0</v>
      </c>
      <c r="AM3230" s="276">
        <f t="shared" si="1325"/>
        <v>0</v>
      </c>
      <c r="AN3230" s="276">
        <f t="shared" si="1325"/>
        <v>0</v>
      </c>
      <c r="AO3230" s="276">
        <f t="shared" si="1325"/>
        <v>0</v>
      </c>
      <c r="AP3230" s="276">
        <f t="shared" si="1325"/>
        <v>16</v>
      </c>
      <c r="AQ3230" s="276">
        <f t="shared" si="1325"/>
        <v>0</v>
      </c>
      <c r="AR3230" s="276">
        <f t="shared" si="1325"/>
        <v>0</v>
      </c>
      <c r="AS3230" s="276">
        <f t="shared" si="1325"/>
        <v>0</v>
      </c>
      <c r="AT3230" s="276">
        <f t="shared" si="1325"/>
        <v>0</v>
      </c>
      <c r="AU3230" s="276">
        <f t="shared" si="1325"/>
        <v>0</v>
      </c>
      <c r="AV3230" s="276">
        <f t="shared" si="1325"/>
        <v>11</v>
      </c>
      <c r="AW3230" s="276">
        <f t="shared" si="1325"/>
        <v>0</v>
      </c>
      <c r="AX3230" s="276">
        <f t="shared" si="1325"/>
        <v>0</v>
      </c>
      <c r="AY3230" s="276">
        <f t="shared" si="1325"/>
        <v>0</v>
      </c>
      <c r="AZ3230" s="276">
        <f t="shared" si="1325"/>
        <v>0</v>
      </c>
      <c r="BA3230" s="276">
        <f t="shared" si="1325"/>
        <v>0</v>
      </c>
      <c r="BB3230" s="276">
        <f t="shared" si="1325"/>
        <v>11</v>
      </c>
      <c r="BC3230" s="220">
        <f t="shared" ref="BC3230:BC3255" si="1328">AE3230+AG3230+AI3230+AK3230+AM3230+AO3230+AQ3230+AS3230+AU3230+AW3230+AY3230+BA3230</f>
        <v>0</v>
      </c>
      <c r="BD3230" s="210">
        <f t="shared" ref="BD3230:BD3255" si="1329">AF3230+AH3230+AJ3230+AL3230+AN3230+AP3230+AR3230+AT3230+AV3230+AX3230+AZ3230+BB3230</f>
        <v>48</v>
      </c>
      <c r="BE3230" s="276">
        <f t="shared" si="1325"/>
        <v>28</v>
      </c>
      <c r="BF3230" s="220">
        <f t="shared" ref="BF3230:BF3255" si="1330">AB3230+BC3230</f>
        <v>0</v>
      </c>
      <c r="BG3230" s="210">
        <f t="shared" ref="BG3230:BG3255" si="1331">AC3230+BD3230</f>
        <v>14649</v>
      </c>
      <c r="BH3230" s="210">
        <f t="shared" si="1313"/>
        <v>14121</v>
      </c>
      <c r="BI3230" s="213">
        <f t="shared" ref="BI3230:BI3255" si="1332">BG3230/BH3230*100</f>
        <v>103.73911196090928</v>
      </c>
      <c r="BJ3230" s="140">
        <v>14121</v>
      </c>
      <c r="BK3230" s="203">
        <f>BJ3230-BH3230</f>
        <v>0</v>
      </c>
      <c r="BL3230" s="4"/>
      <c r="BM3230" s="4"/>
    </row>
    <row r="3231" spans="1:65" s="38" customFormat="1" ht="18" customHeight="1">
      <c r="A3231" s="114">
        <v>1</v>
      </c>
      <c r="B3231" s="24" t="s">
        <v>549</v>
      </c>
      <c r="C3231" s="25" t="s">
        <v>1393</v>
      </c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229">
        <f t="shared" ref="AB3231:AB3242" si="1333">D3231+F3231+H3231+J3231+L3231+N3231+P3231+R3231+T3231+V3231+X3231+Z3231</f>
        <v>0</v>
      </c>
      <c r="AC3231" s="228">
        <f t="shared" si="1327"/>
        <v>0</v>
      </c>
      <c r="AD3231" s="19">
        <v>7</v>
      </c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29">
        <f t="shared" ref="BC3231:BC3242" si="1334">AE3231+AG3231+AI3231+AK3231+AM3231+AO3231+AQ3231+AS3231+AU3231+AW3231+AY3231+BA3231</f>
        <v>0</v>
      </c>
      <c r="BD3231" s="48">
        <f t="shared" si="1329"/>
        <v>0</v>
      </c>
      <c r="BE3231" s="19">
        <v>0</v>
      </c>
      <c r="BF3231" s="229">
        <f t="shared" ref="BF3231:BF3242" si="1335">AB3231+BC3231</f>
        <v>0</v>
      </c>
      <c r="BG3231" s="210">
        <f t="shared" si="1331"/>
        <v>0</v>
      </c>
      <c r="BH3231" s="210">
        <f t="shared" ref="BH3231:BH3242" si="1336">AD3231+BE3231</f>
        <v>7</v>
      </c>
      <c r="BI3231" s="213">
        <f t="shared" ref="BI3231:BI3254" si="1337">BG3231/BH3231*100</f>
        <v>0</v>
      </c>
      <c r="BJ3231" s="270" t="s">
        <v>2857</v>
      </c>
      <c r="BK3231" s="201"/>
      <c r="BL3231" s="4"/>
      <c r="BM3231" s="4"/>
    </row>
    <row r="3232" spans="1:65" s="38" customFormat="1" ht="21.95" customHeight="1">
      <c r="A3232" s="114">
        <v>2</v>
      </c>
      <c r="B3232" s="24" t="s">
        <v>705</v>
      </c>
      <c r="C3232" s="27" t="s">
        <v>706</v>
      </c>
      <c r="D3232" s="121"/>
      <c r="E3232" s="121"/>
      <c r="F3232" s="121"/>
      <c r="G3232" s="121"/>
      <c r="H3232" s="121"/>
      <c r="I3232" s="121">
        <v>2</v>
      </c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>
        <v>1</v>
      </c>
      <c r="V3232" s="121"/>
      <c r="W3232" s="121"/>
      <c r="X3232" s="121"/>
      <c r="Y3232" s="121"/>
      <c r="Z3232" s="121"/>
      <c r="AA3232" s="121"/>
      <c r="AB3232" s="229">
        <f t="shared" si="1333"/>
        <v>0</v>
      </c>
      <c r="AC3232" s="228">
        <f t="shared" si="1327"/>
        <v>3</v>
      </c>
      <c r="AD3232" s="19">
        <v>3</v>
      </c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29">
        <f t="shared" si="1334"/>
        <v>0</v>
      </c>
      <c r="BD3232" s="48">
        <f t="shared" si="1329"/>
        <v>0</v>
      </c>
      <c r="BE3232" s="19">
        <v>0</v>
      </c>
      <c r="BF3232" s="229">
        <f t="shared" si="1335"/>
        <v>0</v>
      </c>
      <c r="BG3232" s="210">
        <f t="shared" si="1331"/>
        <v>3</v>
      </c>
      <c r="BH3232" s="210">
        <f t="shared" si="1336"/>
        <v>3</v>
      </c>
      <c r="BI3232" s="213">
        <f t="shared" si="1337"/>
        <v>100</v>
      </c>
      <c r="BJ3232" s="270" t="s">
        <v>2857</v>
      </c>
      <c r="BK3232" s="201"/>
      <c r="BL3232" s="4"/>
      <c r="BM3232" s="4"/>
    </row>
    <row r="3233" spans="1:65" s="38" customFormat="1" ht="18" customHeight="1">
      <c r="A3233" s="114">
        <v>3</v>
      </c>
      <c r="B3233" s="24" t="s">
        <v>937</v>
      </c>
      <c r="C3233" s="25" t="s">
        <v>938</v>
      </c>
      <c r="D3233" s="121"/>
      <c r="E3233" s="121"/>
      <c r="F3233" s="121"/>
      <c r="G3233" s="121"/>
      <c r="H3233" s="121"/>
      <c r="I3233" s="121">
        <f>501+8+1</f>
        <v>510</v>
      </c>
      <c r="J3233" s="121"/>
      <c r="K3233" s="121"/>
      <c r="L3233" s="121"/>
      <c r="M3233" s="121"/>
      <c r="N3233" s="121"/>
      <c r="O3233" s="121">
        <f>569+22+1</f>
        <v>592</v>
      </c>
      <c r="P3233" s="121"/>
      <c r="Q3233" s="121"/>
      <c r="R3233" s="121"/>
      <c r="S3233" s="121"/>
      <c r="T3233" s="121"/>
      <c r="U3233" s="121">
        <f>572+14</f>
        <v>586</v>
      </c>
      <c r="V3233" s="121"/>
      <c r="W3233" s="121"/>
      <c r="X3233" s="121"/>
      <c r="Y3233" s="121"/>
      <c r="Z3233" s="121"/>
      <c r="AA3233" s="121">
        <f>556+7</f>
        <v>563</v>
      </c>
      <c r="AB3233" s="229">
        <f t="shared" si="1333"/>
        <v>0</v>
      </c>
      <c r="AC3233" s="228">
        <f t="shared" si="1327"/>
        <v>2251</v>
      </c>
      <c r="AD3233" s="19">
        <v>2120</v>
      </c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  <c r="AZ3233" s="28"/>
      <c r="BA3233" s="28"/>
      <c r="BB3233" s="28"/>
      <c r="BC3233" s="229">
        <f t="shared" si="1334"/>
        <v>0</v>
      </c>
      <c r="BD3233" s="48">
        <f t="shared" si="1329"/>
        <v>0</v>
      </c>
      <c r="BE3233" s="19">
        <v>0</v>
      </c>
      <c r="BF3233" s="229">
        <f t="shared" si="1335"/>
        <v>0</v>
      </c>
      <c r="BG3233" s="210">
        <f t="shared" si="1331"/>
        <v>2251</v>
      </c>
      <c r="BH3233" s="210">
        <f t="shared" si="1336"/>
        <v>2120</v>
      </c>
      <c r="BI3233" s="213">
        <f t="shared" si="1337"/>
        <v>106.17924528301887</v>
      </c>
      <c r="BJ3233" s="270" t="s">
        <v>2857</v>
      </c>
      <c r="BK3233" s="201"/>
      <c r="BL3233" s="4"/>
      <c r="BM3233" s="4"/>
    </row>
    <row r="3234" spans="1:65" s="38" customFormat="1" ht="18" customHeight="1">
      <c r="A3234" s="114">
        <v>4</v>
      </c>
      <c r="B3234" s="24" t="s">
        <v>1698</v>
      </c>
      <c r="C3234" s="25" t="s">
        <v>1699</v>
      </c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229">
        <f t="shared" si="1333"/>
        <v>0</v>
      </c>
      <c r="AC3234" s="228">
        <f t="shared" si="1327"/>
        <v>0</v>
      </c>
      <c r="AD3234" s="19">
        <v>668</v>
      </c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29">
        <f t="shared" si="1334"/>
        <v>0</v>
      </c>
      <c r="BD3234" s="48">
        <f t="shared" si="1329"/>
        <v>0</v>
      </c>
      <c r="BE3234" s="19">
        <v>0</v>
      </c>
      <c r="BF3234" s="229">
        <f t="shared" si="1335"/>
        <v>0</v>
      </c>
      <c r="BG3234" s="210">
        <f t="shared" si="1331"/>
        <v>0</v>
      </c>
      <c r="BH3234" s="210">
        <f t="shared" si="1336"/>
        <v>668</v>
      </c>
      <c r="BI3234" s="213">
        <f t="shared" si="1337"/>
        <v>0</v>
      </c>
      <c r="BJ3234" s="270" t="s">
        <v>2857</v>
      </c>
      <c r="BK3234" s="201"/>
      <c r="BL3234" s="4"/>
      <c r="BM3234" s="4"/>
    </row>
    <row r="3235" spans="1:65" s="38" customFormat="1" ht="18" customHeight="1">
      <c r="A3235" s="114">
        <v>5</v>
      </c>
      <c r="B3235" s="24" t="s">
        <v>2611</v>
      </c>
      <c r="C3235" s="25" t="s">
        <v>2612</v>
      </c>
      <c r="D3235" s="121"/>
      <c r="E3235" s="121"/>
      <c r="F3235" s="121"/>
      <c r="G3235" s="121"/>
      <c r="H3235" s="121"/>
      <c r="I3235" s="121">
        <v>1</v>
      </c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229">
        <f t="shared" si="1333"/>
        <v>0</v>
      </c>
      <c r="AC3235" s="228">
        <f t="shared" si="1327"/>
        <v>1</v>
      </c>
      <c r="AD3235" s="19">
        <v>0</v>
      </c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29">
        <f t="shared" si="1334"/>
        <v>0</v>
      </c>
      <c r="BD3235" s="48">
        <f t="shared" si="1329"/>
        <v>0</v>
      </c>
      <c r="BE3235" s="19">
        <v>0</v>
      </c>
      <c r="BF3235" s="229">
        <f t="shared" si="1335"/>
        <v>0</v>
      </c>
      <c r="BG3235" s="210">
        <f t="shared" si="1331"/>
        <v>1</v>
      </c>
      <c r="BH3235" s="210">
        <f t="shared" si="1336"/>
        <v>0</v>
      </c>
      <c r="BI3235" s="213" t="e">
        <f t="shared" si="1337"/>
        <v>#DIV/0!</v>
      </c>
      <c r="BJ3235" s="165"/>
      <c r="BK3235" s="201"/>
      <c r="BL3235" s="4"/>
      <c r="BM3235" s="4"/>
    </row>
    <row r="3236" spans="1:65" s="38" customFormat="1" ht="18" customHeight="1">
      <c r="A3236" s="114">
        <v>6</v>
      </c>
      <c r="B3236" s="24" t="s">
        <v>2262</v>
      </c>
      <c r="C3236" s="25" t="s">
        <v>2263</v>
      </c>
      <c r="D3236" s="121"/>
      <c r="E3236" s="121"/>
      <c r="F3236" s="121"/>
      <c r="G3236" s="121"/>
      <c r="H3236" s="121"/>
      <c r="I3236" s="121">
        <v>133</v>
      </c>
      <c r="J3236" s="121"/>
      <c r="K3236" s="121"/>
      <c r="L3236" s="121"/>
      <c r="M3236" s="121"/>
      <c r="N3236" s="121"/>
      <c r="O3236" s="121">
        <f>101+1</f>
        <v>102</v>
      </c>
      <c r="P3236" s="121"/>
      <c r="Q3236" s="121"/>
      <c r="R3236" s="121"/>
      <c r="S3236" s="121"/>
      <c r="T3236" s="121"/>
      <c r="U3236" s="121">
        <v>1</v>
      </c>
      <c r="V3236" s="121"/>
      <c r="W3236" s="121"/>
      <c r="X3236" s="121"/>
      <c r="Y3236" s="121"/>
      <c r="Z3236" s="121"/>
      <c r="AA3236" s="121">
        <v>3</v>
      </c>
      <c r="AB3236" s="229">
        <f t="shared" si="1333"/>
        <v>0</v>
      </c>
      <c r="AC3236" s="228">
        <f t="shared" si="1327"/>
        <v>239</v>
      </c>
      <c r="AD3236" s="19">
        <v>110</v>
      </c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>
        <v>1</v>
      </c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29">
        <f t="shared" si="1334"/>
        <v>0</v>
      </c>
      <c r="BD3236" s="48">
        <f t="shared" si="1329"/>
        <v>1</v>
      </c>
      <c r="BE3236" s="19">
        <v>3</v>
      </c>
      <c r="BF3236" s="229">
        <f t="shared" si="1335"/>
        <v>0</v>
      </c>
      <c r="BG3236" s="210">
        <f t="shared" si="1331"/>
        <v>240</v>
      </c>
      <c r="BH3236" s="210">
        <f t="shared" si="1336"/>
        <v>113</v>
      </c>
      <c r="BI3236" s="213">
        <f t="shared" si="1337"/>
        <v>212.38938053097348</v>
      </c>
      <c r="BJ3236" s="165"/>
      <c r="BK3236" s="201"/>
      <c r="BL3236" s="4"/>
      <c r="BM3236" s="4"/>
    </row>
    <row r="3237" spans="1:65" s="38" customFormat="1" ht="18" customHeight="1">
      <c r="A3237" s="114">
        <v>7</v>
      </c>
      <c r="B3237" s="24" t="s">
        <v>1184</v>
      </c>
      <c r="C3237" s="25" t="s">
        <v>1185</v>
      </c>
      <c r="D3237" s="121"/>
      <c r="E3237" s="121"/>
      <c r="F3237" s="121"/>
      <c r="G3237" s="121"/>
      <c r="H3237" s="121"/>
      <c r="I3237" s="121">
        <v>3</v>
      </c>
      <c r="J3237" s="121"/>
      <c r="K3237" s="121"/>
      <c r="L3237" s="121"/>
      <c r="M3237" s="121"/>
      <c r="N3237" s="121"/>
      <c r="O3237" s="121">
        <v>1</v>
      </c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229">
        <f t="shared" si="1333"/>
        <v>0</v>
      </c>
      <c r="AC3237" s="228">
        <f t="shared" si="1327"/>
        <v>4</v>
      </c>
      <c r="AD3237" s="19">
        <v>15</v>
      </c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29">
        <f t="shared" si="1334"/>
        <v>0</v>
      </c>
      <c r="BD3237" s="48">
        <f t="shared" si="1329"/>
        <v>0</v>
      </c>
      <c r="BE3237" s="19">
        <v>0</v>
      </c>
      <c r="BF3237" s="229">
        <f t="shared" si="1335"/>
        <v>0</v>
      </c>
      <c r="BG3237" s="210">
        <f t="shared" si="1331"/>
        <v>4</v>
      </c>
      <c r="BH3237" s="210">
        <f t="shared" si="1336"/>
        <v>15</v>
      </c>
      <c r="BI3237" s="213">
        <f t="shared" si="1337"/>
        <v>26.666666666666668</v>
      </c>
      <c r="BJ3237" s="141"/>
      <c r="BK3237" s="201"/>
      <c r="BL3237" s="4"/>
      <c r="BM3237" s="4"/>
    </row>
    <row r="3238" spans="1:65" s="38" customFormat="1" ht="18" customHeight="1">
      <c r="A3238" s="114">
        <v>8</v>
      </c>
      <c r="B3238" s="24" t="s">
        <v>571</v>
      </c>
      <c r="C3238" s="25" t="s">
        <v>572</v>
      </c>
      <c r="D3238" s="121"/>
      <c r="E3238" s="121"/>
      <c r="F3238" s="121"/>
      <c r="G3238" s="121"/>
      <c r="H3238" s="121"/>
      <c r="I3238" s="121">
        <f>599+13</f>
        <v>612</v>
      </c>
      <c r="J3238" s="121"/>
      <c r="K3238" s="121"/>
      <c r="L3238" s="121"/>
      <c r="M3238" s="121"/>
      <c r="N3238" s="121"/>
      <c r="O3238" s="121">
        <f>756+26</f>
        <v>782</v>
      </c>
      <c r="P3238" s="121"/>
      <c r="Q3238" s="121"/>
      <c r="R3238" s="121"/>
      <c r="S3238" s="121"/>
      <c r="T3238" s="121"/>
      <c r="U3238" s="121">
        <f>709+15</f>
        <v>724</v>
      </c>
      <c r="V3238" s="121"/>
      <c r="W3238" s="121"/>
      <c r="X3238" s="121"/>
      <c r="Y3238" s="121"/>
      <c r="Z3238" s="121"/>
      <c r="AA3238" s="121">
        <f>865+8</f>
        <v>873</v>
      </c>
      <c r="AB3238" s="229">
        <f t="shared" si="1333"/>
        <v>0</v>
      </c>
      <c r="AC3238" s="228">
        <f t="shared" si="1327"/>
        <v>2991</v>
      </c>
      <c r="AD3238" s="19">
        <v>2692</v>
      </c>
      <c r="AE3238" s="28"/>
      <c r="AF3238" s="28"/>
      <c r="AG3238" s="28"/>
      <c r="AH3238" s="28"/>
      <c r="AI3238" s="28"/>
      <c r="AJ3238" s="28">
        <v>1</v>
      </c>
      <c r="AK3238" s="28"/>
      <c r="AL3238" s="28"/>
      <c r="AM3238" s="28"/>
      <c r="AN3238" s="28"/>
      <c r="AO3238" s="28"/>
      <c r="AP3238" s="28">
        <v>1</v>
      </c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29">
        <f t="shared" si="1334"/>
        <v>0</v>
      </c>
      <c r="BD3238" s="48">
        <f t="shared" si="1329"/>
        <v>2</v>
      </c>
      <c r="BE3238" s="19">
        <v>4</v>
      </c>
      <c r="BF3238" s="229">
        <f t="shared" si="1335"/>
        <v>0</v>
      </c>
      <c r="BG3238" s="210">
        <f t="shared" si="1331"/>
        <v>2993</v>
      </c>
      <c r="BH3238" s="210">
        <f t="shared" si="1336"/>
        <v>2696</v>
      </c>
      <c r="BI3238" s="213">
        <f t="shared" si="1337"/>
        <v>111.01632047477746</v>
      </c>
      <c r="BJ3238" s="141"/>
      <c r="BK3238" s="201"/>
      <c r="BL3238" s="4"/>
      <c r="BM3238" s="4"/>
    </row>
    <row r="3239" spans="1:65" s="38" customFormat="1" ht="18" customHeight="1">
      <c r="A3239" s="114">
        <v>9</v>
      </c>
      <c r="B3239" s="24" t="s">
        <v>585</v>
      </c>
      <c r="C3239" s="25" t="s">
        <v>586</v>
      </c>
      <c r="D3239" s="121"/>
      <c r="E3239" s="121"/>
      <c r="F3239" s="121"/>
      <c r="G3239" s="121"/>
      <c r="H3239" s="121"/>
      <c r="I3239" s="121">
        <v>39</v>
      </c>
      <c r="J3239" s="121"/>
      <c r="K3239" s="121"/>
      <c r="L3239" s="121"/>
      <c r="M3239" s="121"/>
      <c r="N3239" s="121"/>
      <c r="O3239" s="121">
        <f>23+2</f>
        <v>25</v>
      </c>
      <c r="P3239" s="121"/>
      <c r="Q3239" s="121"/>
      <c r="R3239" s="121"/>
      <c r="S3239" s="121"/>
      <c r="T3239" s="121"/>
      <c r="U3239" s="121">
        <f>38+2</f>
        <v>40</v>
      </c>
      <c r="V3239" s="121"/>
      <c r="W3239" s="121"/>
      <c r="X3239" s="121"/>
      <c r="Y3239" s="121"/>
      <c r="Z3239" s="121"/>
      <c r="AA3239" s="121">
        <v>30</v>
      </c>
      <c r="AB3239" s="229">
        <f t="shared" si="1333"/>
        <v>0</v>
      </c>
      <c r="AC3239" s="228">
        <f t="shared" si="1327"/>
        <v>134</v>
      </c>
      <c r="AD3239" s="19">
        <v>282</v>
      </c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>
        <v>1</v>
      </c>
      <c r="AQ3239" s="28"/>
      <c r="AR3239" s="28"/>
      <c r="AS3239" s="28"/>
      <c r="AT3239" s="28"/>
      <c r="AU3239" s="28"/>
      <c r="AV3239" s="28">
        <v>1</v>
      </c>
      <c r="AW3239" s="28"/>
      <c r="AX3239" s="28"/>
      <c r="AY3239" s="28"/>
      <c r="AZ3239" s="28"/>
      <c r="BA3239" s="28"/>
      <c r="BB3239" s="28"/>
      <c r="BC3239" s="229">
        <f t="shared" si="1334"/>
        <v>0</v>
      </c>
      <c r="BD3239" s="48">
        <f t="shared" si="1329"/>
        <v>2</v>
      </c>
      <c r="BE3239" s="19">
        <v>0</v>
      </c>
      <c r="BF3239" s="229">
        <f t="shared" si="1335"/>
        <v>0</v>
      </c>
      <c r="BG3239" s="210">
        <f t="shared" si="1331"/>
        <v>136</v>
      </c>
      <c r="BH3239" s="210">
        <f t="shared" si="1336"/>
        <v>282</v>
      </c>
      <c r="BI3239" s="213">
        <f t="shared" si="1337"/>
        <v>48.226950354609926</v>
      </c>
      <c r="BJ3239" s="141"/>
      <c r="BK3239" s="201"/>
      <c r="BL3239" s="4"/>
      <c r="BM3239" s="4"/>
    </row>
    <row r="3240" spans="1:65" s="38" customFormat="1" ht="18" customHeight="1">
      <c r="A3240" s="114">
        <v>10</v>
      </c>
      <c r="B3240" s="24" t="s">
        <v>593</v>
      </c>
      <c r="C3240" s="25" t="s">
        <v>755</v>
      </c>
      <c r="D3240" s="121"/>
      <c r="E3240" s="121"/>
      <c r="F3240" s="121"/>
      <c r="G3240" s="121"/>
      <c r="H3240" s="121"/>
      <c r="I3240" s="121">
        <v>3</v>
      </c>
      <c r="J3240" s="121"/>
      <c r="K3240" s="121"/>
      <c r="L3240" s="121"/>
      <c r="M3240" s="121"/>
      <c r="N3240" s="121"/>
      <c r="O3240" s="121">
        <f>1+1</f>
        <v>2</v>
      </c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>
        <v>1</v>
      </c>
      <c r="AB3240" s="229">
        <f t="shared" si="1333"/>
        <v>0</v>
      </c>
      <c r="AC3240" s="228">
        <f t="shared" si="1327"/>
        <v>6</v>
      </c>
      <c r="AD3240" s="19">
        <v>10</v>
      </c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29">
        <f t="shared" si="1334"/>
        <v>0</v>
      </c>
      <c r="BD3240" s="48">
        <f t="shared" si="1329"/>
        <v>0</v>
      </c>
      <c r="BE3240" s="19">
        <v>0</v>
      </c>
      <c r="BF3240" s="229">
        <f t="shared" si="1335"/>
        <v>0</v>
      </c>
      <c r="BG3240" s="210">
        <f t="shared" si="1331"/>
        <v>6</v>
      </c>
      <c r="BH3240" s="210">
        <f t="shared" si="1336"/>
        <v>10</v>
      </c>
      <c r="BI3240" s="213">
        <f t="shared" si="1337"/>
        <v>60</v>
      </c>
      <c r="BJ3240" s="141"/>
      <c r="BK3240" s="201"/>
      <c r="BL3240" s="4"/>
      <c r="BM3240" s="4"/>
    </row>
    <row r="3241" spans="1:65" s="38" customFormat="1" ht="18" customHeight="1">
      <c r="A3241" s="114">
        <v>11</v>
      </c>
      <c r="B3241" s="24" t="s">
        <v>596</v>
      </c>
      <c r="C3241" s="25" t="s">
        <v>597</v>
      </c>
      <c r="D3241" s="121"/>
      <c r="E3241" s="121"/>
      <c r="F3241" s="121"/>
      <c r="G3241" s="121"/>
      <c r="H3241" s="121"/>
      <c r="I3241" s="121">
        <f>289+3</f>
        <v>292</v>
      </c>
      <c r="J3241" s="121"/>
      <c r="K3241" s="121"/>
      <c r="L3241" s="121"/>
      <c r="M3241" s="121"/>
      <c r="N3241" s="121"/>
      <c r="O3241" s="121">
        <f>308+8</f>
        <v>316</v>
      </c>
      <c r="P3241" s="121"/>
      <c r="Q3241" s="121"/>
      <c r="R3241" s="121"/>
      <c r="S3241" s="121"/>
      <c r="T3241" s="121"/>
      <c r="U3241" s="121">
        <f>363+15</f>
        <v>378</v>
      </c>
      <c r="V3241" s="121"/>
      <c r="W3241" s="121"/>
      <c r="X3241" s="121"/>
      <c r="Y3241" s="121"/>
      <c r="Z3241" s="121"/>
      <c r="AA3241" s="121">
        <f>415+12</f>
        <v>427</v>
      </c>
      <c r="AB3241" s="229">
        <f t="shared" si="1333"/>
        <v>0</v>
      </c>
      <c r="AC3241" s="228">
        <f t="shared" si="1327"/>
        <v>1413</v>
      </c>
      <c r="AD3241" s="19">
        <v>920</v>
      </c>
      <c r="AE3241" s="28"/>
      <c r="AF3241" s="28"/>
      <c r="AG3241" s="28"/>
      <c r="AH3241" s="28"/>
      <c r="AI3241" s="28"/>
      <c r="AJ3241" s="28">
        <v>3</v>
      </c>
      <c r="AK3241" s="28"/>
      <c r="AL3241" s="28"/>
      <c r="AM3241" s="28"/>
      <c r="AN3241" s="28"/>
      <c r="AO3241" s="28"/>
      <c r="AP3241" s="28">
        <f>2+1</f>
        <v>3</v>
      </c>
      <c r="AQ3241" s="28"/>
      <c r="AR3241" s="28"/>
      <c r="AS3241" s="28"/>
      <c r="AT3241" s="28"/>
      <c r="AU3241" s="28"/>
      <c r="AV3241" s="28">
        <f>3+1</f>
        <v>4</v>
      </c>
      <c r="AW3241" s="28"/>
      <c r="AX3241" s="28"/>
      <c r="AY3241" s="28"/>
      <c r="AZ3241" s="28"/>
      <c r="BA3241" s="28"/>
      <c r="BB3241" s="28">
        <f>3+2</f>
        <v>5</v>
      </c>
      <c r="BC3241" s="229">
        <f t="shared" si="1334"/>
        <v>0</v>
      </c>
      <c r="BD3241" s="48">
        <f t="shared" si="1329"/>
        <v>15</v>
      </c>
      <c r="BE3241" s="19">
        <v>6</v>
      </c>
      <c r="BF3241" s="229">
        <f t="shared" si="1335"/>
        <v>0</v>
      </c>
      <c r="BG3241" s="210">
        <f t="shared" si="1331"/>
        <v>1428</v>
      </c>
      <c r="BH3241" s="210">
        <f t="shared" si="1336"/>
        <v>926</v>
      </c>
      <c r="BI3241" s="213">
        <f t="shared" si="1337"/>
        <v>154.21166306695463</v>
      </c>
      <c r="BJ3241" s="141"/>
      <c r="BK3241" s="201"/>
      <c r="BL3241" s="4"/>
      <c r="BM3241" s="4"/>
    </row>
    <row r="3242" spans="1:65" s="38" customFormat="1" ht="18" customHeight="1">
      <c r="A3242" s="114">
        <v>12</v>
      </c>
      <c r="B3242" s="24" t="s">
        <v>868</v>
      </c>
      <c r="C3242" s="25" t="s">
        <v>869</v>
      </c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>
        <v>5</v>
      </c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229">
        <f t="shared" si="1333"/>
        <v>0</v>
      </c>
      <c r="AC3242" s="228">
        <f t="shared" si="1327"/>
        <v>5</v>
      </c>
      <c r="AD3242" s="19">
        <v>1</v>
      </c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29">
        <f t="shared" si="1334"/>
        <v>0</v>
      </c>
      <c r="BD3242" s="48">
        <f t="shared" si="1329"/>
        <v>0</v>
      </c>
      <c r="BE3242" s="19">
        <v>0</v>
      </c>
      <c r="BF3242" s="229">
        <f t="shared" si="1335"/>
        <v>0</v>
      </c>
      <c r="BG3242" s="210">
        <f t="shared" si="1331"/>
        <v>5</v>
      </c>
      <c r="BH3242" s="210">
        <f t="shared" si="1336"/>
        <v>1</v>
      </c>
      <c r="BI3242" s="213">
        <f t="shared" si="1337"/>
        <v>500</v>
      </c>
      <c r="BJ3242" s="141"/>
      <c r="BK3242" s="201"/>
      <c r="BL3242" s="4"/>
      <c r="BM3242" s="4"/>
    </row>
    <row r="3243" spans="1:65" s="38" customFormat="1" ht="18" customHeight="1">
      <c r="A3243" s="114">
        <v>13</v>
      </c>
      <c r="B3243" s="24" t="s">
        <v>13</v>
      </c>
      <c r="C3243" s="25" t="s">
        <v>3177</v>
      </c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>
        <v>1</v>
      </c>
      <c r="V3243" s="121"/>
      <c r="W3243" s="121"/>
      <c r="X3243" s="121"/>
      <c r="Y3243" s="121"/>
      <c r="Z3243" s="121"/>
      <c r="AA3243" s="121">
        <v>1</v>
      </c>
      <c r="AB3243" s="229"/>
      <c r="AC3243" s="228">
        <f t="shared" ref="AC3243:AC3254" si="1338">E3243+G3243+I3243+K3243+M3243+O3243+Q3243+S3243+U3243+W3243+Y3243+AA3243</f>
        <v>2</v>
      </c>
      <c r="AD3243" s="19">
        <v>0</v>
      </c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29"/>
      <c r="BD3243" s="48">
        <f t="shared" ref="BD3243:BD3254" si="1339">AF3243+AH3243+AJ3243+AL3243+AN3243+AP3243+AR3243+AT3243+AV3243+AX3243+AZ3243+BB3243</f>
        <v>0</v>
      </c>
      <c r="BE3243" s="19">
        <v>0</v>
      </c>
      <c r="BF3243" s="229"/>
      <c r="BG3243" s="210">
        <f t="shared" ref="BG3243:BG3254" si="1340">AC3243+BD3243</f>
        <v>2</v>
      </c>
      <c r="BH3243" s="210">
        <f t="shared" ref="BH3243:BH3254" si="1341">AD3243+BE3243</f>
        <v>0</v>
      </c>
      <c r="BI3243" s="213" t="e">
        <f t="shared" si="1337"/>
        <v>#DIV/0!</v>
      </c>
      <c r="BJ3243" s="141"/>
      <c r="BK3243" s="201"/>
      <c r="BL3243" s="4"/>
      <c r="BM3243" s="4"/>
    </row>
    <row r="3244" spans="1:65" s="38" customFormat="1" ht="18" customHeight="1">
      <c r="A3244" s="114">
        <v>14</v>
      </c>
      <c r="B3244" s="24" t="s">
        <v>1074</v>
      </c>
      <c r="C3244" s="25" t="s">
        <v>1605</v>
      </c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>
        <v>1</v>
      </c>
      <c r="V3244" s="121"/>
      <c r="W3244" s="121"/>
      <c r="X3244" s="121"/>
      <c r="Y3244" s="121"/>
      <c r="Z3244" s="121"/>
      <c r="AA3244" s="121"/>
      <c r="AB3244" s="229"/>
      <c r="AC3244" s="228">
        <f t="shared" si="1338"/>
        <v>1</v>
      </c>
      <c r="AD3244" s="19">
        <v>0</v>
      </c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29"/>
      <c r="BD3244" s="48">
        <f t="shared" si="1339"/>
        <v>0</v>
      </c>
      <c r="BE3244" s="19">
        <v>0</v>
      </c>
      <c r="BF3244" s="229"/>
      <c r="BG3244" s="210">
        <f t="shared" si="1340"/>
        <v>1</v>
      </c>
      <c r="BH3244" s="210">
        <f t="shared" si="1341"/>
        <v>0</v>
      </c>
      <c r="BI3244" s="213" t="e">
        <f t="shared" si="1337"/>
        <v>#DIV/0!</v>
      </c>
      <c r="BJ3244" s="141"/>
      <c r="BK3244" s="201"/>
      <c r="BL3244" s="4"/>
      <c r="BM3244" s="4"/>
    </row>
    <row r="3245" spans="1:65" s="38" customFormat="1" ht="18" customHeight="1">
      <c r="A3245" s="114">
        <v>15</v>
      </c>
      <c r="B3245" s="24" t="s">
        <v>628</v>
      </c>
      <c r="C3245" s="25" t="s">
        <v>629</v>
      </c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229">
        <f>D3245+F3245+H3245+J3245+L3245+N3245+P3245+R3245+T3245+V3245+X3245+Z3245</f>
        <v>0</v>
      </c>
      <c r="AC3245" s="228">
        <f t="shared" si="1338"/>
        <v>0</v>
      </c>
      <c r="AD3245" s="19">
        <v>1</v>
      </c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29">
        <f>AE3245+AG3245+AI3245+AK3245+AM3245+AO3245+AQ3245+AS3245+AU3245+AW3245+AY3245+BA3245</f>
        <v>0</v>
      </c>
      <c r="BD3245" s="48">
        <f t="shared" si="1339"/>
        <v>0</v>
      </c>
      <c r="BE3245" s="19">
        <v>0</v>
      </c>
      <c r="BF3245" s="229">
        <f>AB3245+BC3245</f>
        <v>0</v>
      </c>
      <c r="BG3245" s="210">
        <f t="shared" si="1340"/>
        <v>0</v>
      </c>
      <c r="BH3245" s="210">
        <f t="shared" si="1341"/>
        <v>1</v>
      </c>
      <c r="BI3245" s="213">
        <f t="shared" si="1337"/>
        <v>0</v>
      </c>
      <c r="BJ3245" s="141"/>
      <c r="BK3245" s="201"/>
      <c r="BL3245" s="4"/>
      <c r="BM3245" s="4"/>
    </row>
    <row r="3246" spans="1:65" s="38" customFormat="1" ht="18" customHeight="1">
      <c r="A3246" s="114">
        <v>16</v>
      </c>
      <c r="B3246" s="24" t="s">
        <v>648</v>
      </c>
      <c r="C3246" s="25" t="s">
        <v>649</v>
      </c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229">
        <f>D3246+F3246+H3246+J3246+L3246+N3246+P3246+R3246+T3246+V3246+X3246+Z3246</f>
        <v>0</v>
      </c>
      <c r="AC3246" s="228">
        <f t="shared" si="1338"/>
        <v>0</v>
      </c>
      <c r="AD3246" s="19">
        <v>1</v>
      </c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29">
        <f>AE3246+AG3246+AI3246+AK3246+AM3246+AO3246+AQ3246+AS3246+AU3246+AW3246+AY3246+BA3246</f>
        <v>0</v>
      </c>
      <c r="BD3246" s="48">
        <f t="shared" si="1339"/>
        <v>0</v>
      </c>
      <c r="BE3246" s="19">
        <v>0</v>
      </c>
      <c r="BF3246" s="229">
        <f>AB3246+BC3246</f>
        <v>0</v>
      </c>
      <c r="BG3246" s="210">
        <f t="shared" si="1340"/>
        <v>0</v>
      </c>
      <c r="BH3246" s="210">
        <f t="shared" si="1341"/>
        <v>1</v>
      </c>
      <c r="BI3246" s="213">
        <f t="shared" si="1337"/>
        <v>0</v>
      </c>
      <c r="BJ3246" s="141"/>
      <c r="BK3246" s="201"/>
      <c r="BL3246" s="4"/>
      <c r="BM3246" s="4"/>
    </row>
    <row r="3247" spans="1:65" s="38" customFormat="1" ht="18" customHeight="1">
      <c r="A3247" s="114">
        <v>17</v>
      </c>
      <c r="B3247" s="24" t="s">
        <v>799</v>
      </c>
      <c r="C3247" s="25" t="s">
        <v>3044</v>
      </c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>
        <v>3</v>
      </c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>
        <v>1</v>
      </c>
      <c r="AB3247" s="229"/>
      <c r="AC3247" s="228">
        <f t="shared" si="1338"/>
        <v>4</v>
      </c>
      <c r="AD3247" s="19">
        <v>0</v>
      </c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29"/>
      <c r="BD3247" s="48">
        <f t="shared" si="1339"/>
        <v>0</v>
      </c>
      <c r="BE3247" s="19">
        <v>0</v>
      </c>
      <c r="BF3247" s="229"/>
      <c r="BG3247" s="210">
        <f t="shared" si="1340"/>
        <v>4</v>
      </c>
      <c r="BH3247" s="210">
        <f t="shared" si="1341"/>
        <v>0</v>
      </c>
      <c r="BI3247" s="213" t="e">
        <f t="shared" si="1337"/>
        <v>#DIV/0!</v>
      </c>
      <c r="BJ3247" s="141"/>
      <c r="BK3247" s="201"/>
      <c r="BL3247" s="4"/>
      <c r="BM3247" s="4"/>
    </row>
    <row r="3248" spans="1:65" s="38" customFormat="1" ht="18" customHeight="1">
      <c r="A3248" s="114">
        <v>18</v>
      </c>
      <c r="B3248" s="24" t="s">
        <v>842</v>
      </c>
      <c r="C3248" s="25" t="s">
        <v>843</v>
      </c>
      <c r="D3248" s="121"/>
      <c r="E3248" s="121"/>
      <c r="F3248" s="121"/>
      <c r="G3248" s="121"/>
      <c r="H3248" s="121"/>
      <c r="I3248" s="121">
        <v>30</v>
      </c>
      <c r="J3248" s="121"/>
      <c r="K3248" s="121"/>
      <c r="L3248" s="121"/>
      <c r="M3248" s="121"/>
      <c r="N3248" s="121"/>
      <c r="O3248" s="121">
        <v>15</v>
      </c>
      <c r="P3248" s="121"/>
      <c r="Q3248" s="121"/>
      <c r="R3248" s="121"/>
      <c r="S3248" s="121"/>
      <c r="T3248" s="121"/>
      <c r="U3248" s="121">
        <v>12</v>
      </c>
      <c r="V3248" s="121"/>
      <c r="W3248" s="121"/>
      <c r="X3248" s="121"/>
      <c r="Y3248" s="121"/>
      <c r="Z3248" s="121"/>
      <c r="AA3248" s="121">
        <v>3</v>
      </c>
      <c r="AB3248" s="229">
        <f t="shared" ref="AB3248:AB3254" si="1342">D3248+F3248+H3248+J3248+L3248+N3248+P3248+R3248+T3248+V3248+X3248+Z3248</f>
        <v>0</v>
      </c>
      <c r="AC3248" s="228">
        <f t="shared" si="1338"/>
        <v>60</v>
      </c>
      <c r="AD3248" s="19">
        <v>155</v>
      </c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29">
        <f t="shared" ref="BC3248:BC3254" si="1343">AE3248+AG3248+AI3248+AK3248+AM3248+AO3248+AQ3248+AS3248+AU3248+AW3248+AY3248+BA3248</f>
        <v>0</v>
      </c>
      <c r="BD3248" s="48">
        <f t="shared" si="1339"/>
        <v>0</v>
      </c>
      <c r="BE3248" s="19">
        <v>0</v>
      </c>
      <c r="BF3248" s="229">
        <f t="shared" ref="BF3248:BF3254" si="1344">AB3248+BC3248</f>
        <v>0</v>
      </c>
      <c r="BG3248" s="210">
        <f t="shared" si="1340"/>
        <v>60</v>
      </c>
      <c r="BH3248" s="210">
        <f t="shared" si="1341"/>
        <v>155</v>
      </c>
      <c r="BI3248" s="213">
        <f t="shared" si="1337"/>
        <v>38.70967741935484</v>
      </c>
      <c r="BJ3248" s="141"/>
      <c r="BK3248" s="201"/>
      <c r="BL3248" s="4"/>
      <c r="BM3248" s="4"/>
    </row>
    <row r="3249" spans="1:65" s="38" customFormat="1" ht="21.95" customHeight="1">
      <c r="A3249" s="114">
        <v>19</v>
      </c>
      <c r="B3249" s="24" t="s">
        <v>657</v>
      </c>
      <c r="C3249" s="27" t="s">
        <v>1401</v>
      </c>
      <c r="D3249" s="121"/>
      <c r="E3249" s="121"/>
      <c r="F3249" s="121"/>
      <c r="G3249" s="121"/>
      <c r="H3249" s="121"/>
      <c r="I3249" s="121">
        <f>181+2</f>
        <v>183</v>
      </c>
      <c r="J3249" s="121"/>
      <c r="K3249" s="121"/>
      <c r="L3249" s="121"/>
      <c r="M3249" s="121"/>
      <c r="N3249" s="121"/>
      <c r="O3249" s="121">
        <f>212+1</f>
        <v>213</v>
      </c>
      <c r="P3249" s="121"/>
      <c r="Q3249" s="121"/>
      <c r="R3249" s="121"/>
      <c r="S3249" s="121"/>
      <c r="T3249" s="121"/>
      <c r="U3249" s="121">
        <f>179+3</f>
        <v>182</v>
      </c>
      <c r="V3249" s="121"/>
      <c r="W3249" s="121"/>
      <c r="X3249" s="121"/>
      <c r="Y3249" s="121"/>
      <c r="Z3249" s="121"/>
      <c r="AA3249" s="121">
        <f>211+6</f>
        <v>217</v>
      </c>
      <c r="AB3249" s="229">
        <f t="shared" si="1342"/>
        <v>0</v>
      </c>
      <c r="AC3249" s="228">
        <f t="shared" si="1338"/>
        <v>795</v>
      </c>
      <c r="AD3249" s="19">
        <v>574</v>
      </c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>
        <v>2</v>
      </c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29">
        <f t="shared" si="1343"/>
        <v>0</v>
      </c>
      <c r="BD3249" s="48">
        <f t="shared" si="1339"/>
        <v>2</v>
      </c>
      <c r="BE3249" s="19">
        <v>0</v>
      </c>
      <c r="BF3249" s="229">
        <f t="shared" si="1344"/>
        <v>0</v>
      </c>
      <c r="BG3249" s="210">
        <f t="shared" si="1340"/>
        <v>797</v>
      </c>
      <c r="BH3249" s="210">
        <f t="shared" si="1341"/>
        <v>574</v>
      </c>
      <c r="BI3249" s="213">
        <f t="shared" si="1337"/>
        <v>138.85017421602788</v>
      </c>
      <c r="BJ3249" s="141"/>
      <c r="BK3249" s="201"/>
      <c r="BL3249" s="4"/>
      <c r="BM3249" s="4"/>
    </row>
    <row r="3250" spans="1:65" s="38" customFormat="1" ht="21.95" customHeight="1">
      <c r="A3250" s="114">
        <v>20</v>
      </c>
      <c r="B3250" s="24" t="s">
        <v>658</v>
      </c>
      <c r="C3250" s="25" t="s">
        <v>779</v>
      </c>
      <c r="D3250" s="121"/>
      <c r="E3250" s="121"/>
      <c r="F3250" s="121"/>
      <c r="G3250" s="121"/>
      <c r="H3250" s="121"/>
      <c r="I3250" s="121">
        <f>57+1</f>
        <v>58</v>
      </c>
      <c r="J3250" s="121"/>
      <c r="K3250" s="121"/>
      <c r="L3250" s="121"/>
      <c r="M3250" s="121"/>
      <c r="N3250" s="121"/>
      <c r="O3250" s="121">
        <v>74</v>
      </c>
      <c r="P3250" s="121"/>
      <c r="Q3250" s="121"/>
      <c r="R3250" s="121"/>
      <c r="S3250" s="121"/>
      <c r="T3250" s="121"/>
      <c r="U3250" s="121">
        <f>86+1</f>
        <v>87</v>
      </c>
      <c r="V3250" s="121"/>
      <c r="W3250" s="121"/>
      <c r="X3250" s="121"/>
      <c r="Y3250" s="121"/>
      <c r="Z3250" s="121"/>
      <c r="AA3250" s="121">
        <f>116+3</f>
        <v>119</v>
      </c>
      <c r="AB3250" s="229">
        <f t="shared" si="1342"/>
        <v>0</v>
      </c>
      <c r="AC3250" s="228">
        <f t="shared" si="1338"/>
        <v>338</v>
      </c>
      <c r="AD3250" s="19">
        <v>103</v>
      </c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>
        <v>1</v>
      </c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29">
        <f t="shared" si="1343"/>
        <v>0</v>
      </c>
      <c r="BD3250" s="48">
        <f t="shared" si="1339"/>
        <v>1</v>
      </c>
      <c r="BE3250" s="19">
        <v>5</v>
      </c>
      <c r="BF3250" s="229">
        <f t="shared" si="1344"/>
        <v>0</v>
      </c>
      <c r="BG3250" s="210">
        <f t="shared" si="1340"/>
        <v>339</v>
      </c>
      <c r="BH3250" s="210">
        <f t="shared" si="1341"/>
        <v>108</v>
      </c>
      <c r="BI3250" s="213">
        <f t="shared" si="1337"/>
        <v>313.88888888888886</v>
      </c>
      <c r="BJ3250" s="141"/>
      <c r="BK3250" s="201"/>
      <c r="BL3250" s="4"/>
      <c r="BM3250" s="4"/>
    </row>
    <row r="3251" spans="1:65" s="38" customFormat="1" ht="18" customHeight="1">
      <c r="A3251" s="114">
        <v>21</v>
      </c>
      <c r="B3251" s="24" t="s">
        <v>659</v>
      </c>
      <c r="C3251" s="25" t="s">
        <v>660</v>
      </c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229">
        <f t="shared" si="1342"/>
        <v>0</v>
      </c>
      <c r="AC3251" s="228">
        <f t="shared" si="1338"/>
        <v>0</v>
      </c>
      <c r="AD3251" s="19">
        <v>20</v>
      </c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29">
        <f t="shared" si="1343"/>
        <v>0</v>
      </c>
      <c r="BD3251" s="48">
        <f t="shared" si="1339"/>
        <v>0</v>
      </c>
      <c r="BE3251" s="19">
        <v>0</v>
      </c>
      <c r="BF3251" s="229">
        <f t="shared" si="1344"/>
        <v>0</v>
      </c>
      <c r="BG3251" s="210">
        <f t="shared" si="1340"/>
        <v>0</v>
      </c>
      <c r="BH3251" s="210">
        <f t="shared" si="1341"/>
        <v>20</v>
      </c>
      <c r="BI3251" s="213">
        <f t="shared" si="1337"/>
        <v>0</v>
      </c>
      <c r="BJ3251" s="141"/>
      <c r="BK3251" s="201"/>
      <c r="BL3251" s="4"/>
      <c r="BM3251" s="4"/>
    </row>
    <row r="3252" spans="1:65" s="38" customFormat="1" ht="21.95" customHeight="1">
      <c r="A3252" s="114">
        <v>22</v>
      </c>
      <c r="B3252" s="24" t="s">
        <v>661</v>
      </c>
      <c r="C3252" s="27" t="s">
        <v>743</v>
      </c>
      <c r="D3252" s="121"/>
      <c r="E3252" s="121"/>
      <c r="F3252" s="121"/>
      <c r="G3252" s="121"/>
      <c r="H3252" s="121"/>
      <c r="I3252" s="121">
        <v>41</v>
      </c>
      <c r="J3252" s="121"/>
      <c r="K3252" s="121"/>
      <c r="L3252" s="121"/>
      <c r="M3252" s="121"/>
      <c r="N3252" s="121"/>
      <c r="O3252" s="121">
        <v>55</v>
      </c>
      <c r="P3252" s="121"/>
      <c r="Q3252" s="121"/>
      <c r="R3252" s="121"/>
      <c r="S3252" s="121"/>
      <c r="T3252" s="121"/>
      <c r="U3252" s="121">
        <v>47</v>
      </c>
      <c r="V3252" s="121"/>
      <c r="W3252" s="121"/>
      <c r="X3252" s="121"/>
      <c r="Y3252" s="121"/>
      <c r="Z3252" s="121"/>
      <c r="AA3252" s="121">
        <f>75+1</f>
        <v>76</v>
      </c>
      <c r="AB3252" s="229">
        <f t="shared" si="1342"/>
        <v>0</v>
      </c>
      <c r="AC3252" s="228">
        <f t="shared" si="1338"/>
        <v>219</v>
      </c>
      <c r="AD3252" s="19">
        <v>282</v>
      </c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  <c r="AZ3252" s="28"/>
      <c r="BA3252" s="28"/>
      <c r="BB3252" s="28"/>
      <c r="BC3252" s="229">
        <f t="shared" si="1343"/>
        <v>0</v>
      </c>
      <c r="BD3252" s="48">
        <f t="shared" si="1339"/>
        <v>0</v>
      </c>
      <c r="BE3252" s="19">
        <v>0</v>
      </c>
      <c r="BF3252" s="229">
        <f t="shared" si="1344"/>
        <v>0</v>
      </c>
      <c r="BG3252" s="210">
        <f t="shared" si="1340"/>
        <v>219</v>
      </c>
      <c r="BH3252" s="210">
        <f t="shared" si="1341"/>
        <v>282</v>
      </c>
      <c r="BI3252" s="213">
        <f t="shared" si="1337"/>
        <v>77.659574468085097</v>
      </c>
      <c r="BJ3252" s="141"/>
      <c r="BK3252" s="201"/>
      <c r="BL3252" s="4"/>
      <c r="BM3252" s="4"/>
    </row>
    <row r="3253" spans="1:65" s="38" customFormat="1" ht="21.95" customHeight="1">
      <c r="A3253" s="114">
        <v>23</v>
      </c>
      <c r="B3253" s="24" t="s">
        <v>667</v>
      </c>
      <c r="C3253" s="27" t="s">
        <v>792</v>
      </c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229">
        <f t="shared" si="1342"/>
        <v>0</v>
      </c>
      <c r="AC3253" s="228">
        <f t="shared" si="1338"/>
        <v>0</v>
      </c>
      <c r="AD3253" s="19">
        <v>4</v>
      </c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29">
        <f t="shared" si="1343"/>
        <v>0</v>
      </c>
      <c r="BD3253" s="48">
        <f t="shared" si="1339"/>
        <v>0</v>
      </c>
      <c r="BE3253" s="19">
        <v>0</v>
      </c>
      <c r="BF3253" s="229">
        <f t="shared" si="1344"/>
        <v>0</v>
      </c>
      <c r="BG3253" s="210">
        <f t="shared" si="1340"/>
        <v>0</v>
      </c>
      <c r="BH3253" s="210">
        <f t="shared" si="1341"/>
        <v>4</v>
      </c>
      <c r="BI3253" s="213">
        <f t="shared" si="1337"/>
        <v>0</v>
      </c>
      <c r="BJ3253" s="141"/>
      <c r="BK3253" s="201"/>
      <c r="BL3253" s="4"/>
      <c r="BM3253" s="4"/>
    </row>
    <row r="3254" spans="1:65" s="38" customFormat="1" ht="21.95" customHeight="1">
      <c r="A3254" s="114">
        <v>24</v>
      </c>
      <c r="B3254" s="24" t="s">
        <v>2043</v>
      </c>
      <c r="C3254" s="25" t="s">
        <v>2044</v>
      </c>
      <c r="D3254" s="121"/>
      <c r="E3254" s="121"/>
      <c r="F3254" s="121"/>
      <c r="G3254" s="121"/>
      <c r="H3254" s="121"/>
      <c r="I3254" s="121">
        <f>1525+17</f>
        <v>1542</v>
      </c>
      <c r="J3254" s="121"/>
      <c r="K3254" s="121"/>
      <c r="L3254" s="121"/>
      <c r="M3254" s="121"/>
      <c r="N3254" s="121"/>
      <c r="O3254" s="121">
        <f>1592+36</f>
        <v>1628</v>
      </c>
      <c r="P3254" s="121"/>
      <c r="Q3254" s="121"/>
      <c r="R3254" s="121"/>
      <c r="S3254" s="121"/>
      <c r="T3254" s="121"/>
      <c r="U3254" s="121">
        <f>1363+36</f>
        <v>1399</v>
      </c>
      <c r="V3254" s="121"/>
      <c r="W3254" s="121"/>
      <c r="X3254" s="121"/>
      <c r="Y3254" s="121"/>
      <c r="Z3254" s="121"/>
      <c r="AA3254" s="121">
        <f>1538+28</f>
        <v>1566</v>
      </c>
      <c r="AB3254" s="229">
        <f t="shared" si="1342"/>
        <v>0</v>
      </c>
      <c r="AC3254" s="228">
        <f t="shared" si="1338"/>
        <v>6135</v>
      </c>
      <c r="AD3254" s="19">
        <v>6125</v>
      </c>
      <c r="AE3254" s="28"/>
      <c r="AF3254" s="28"/>
      <c r="AG3254" s="28"/>
      <c r="AH3254" s="28"/>
      <c r="AI3254" s="28"/>
      <c r="AJ3254" s="28">
        <f>5+1</f>
        <v>6</v>
      </c>
      <c r="AK3254" s="28"/>
      <c r="AL3254" s="28"/>
      <c r="AM3254" s="28"/>
      <c r="AN3254" s="28"/>
      <c r="AO3254" s="28"/>
      <c r="AP3254" s="28">
        <f>6+1</f>
        <v>7</v>
      </c>
      <c r="AQ3254" s="28"/>
      <c r="AR3254" s="28"/>
      <c r="AS3254" s="28"/>
      <c r="AT3254" s="28"/>
      <c r="AU3254" s="28"/>
      <c r="AV3254" s="28">
        <f>4+2</f>
        <v>6</v>
      </c>
      <c r="AW3254" s="28"/>
      <c r="AX3254" s="28"/>
      <c r="AY3254" s="28"/>
      <c r="AZ3254" s="28"/>
      <c r="BA3254" s="28"/>
      <c r="BB3254" s="28">
        <f>5+1</f>
        <v>6</v>
      </c>
      <c r="BC3254" s="229">
        <f t="shared" si="1343"/>
        <v>0</v>
      </c>
      <c r="BD3254" s="48">
        <f t="shared" si="1339"/>
        <v>25</v>
      </c>
      <c r="BE3254" s="19">
        <v>10</v>
      </c>
      <c r="BF3254" s="229">
        <f t="shared" si="1344"/>
        <v>0</v>
      </c>
      <c r="BG3254" s="210">
        <f t="shared" si="1340"/>
        <v>6160</v>
      </c>
      <c r="BH3254" s="210">
        <f t="shared" si="1341"/>
        <v>6135</v>
      </c>
      <c r="BI3254" s="213">
        <f t="shared" si="1337"/>
        <v>100.40749796251018</v>
      </c>
      <c r="BJ3254" s="141"/>
      <c r="BK3254" s="201"/>
      <c r="BL3254" s="4"/>
      <c r="BM3254" s="4"/>
    </row>
    <row r="3255" spans="1:65" s="38" customFormat="1" ht="21.95" customHeight="1">
      <c r="A3255" s="373" t="s">
        <v>544</v>
      </c>
      <c r="B3255" s="373"/>
      <c r="C3255" s="373"/>
      <c r="D3255" s="220">
        <f t="shared" ref="D3255:AA3255" si="1345">SUM(D3256:D3287)</f>
        <v>0</v>
      </c>
      <c r="E3255" s="220">
        <f t="shared" si="1345"/>
        <v>0</v>
      </c>
      <c r="F3255" s="220">
        <f t="shared" si="1345"/>
        <v>0</v>
      </c>
      <c r="G3255" s="220">
        <f t="shared" si="1345"/>
        <v>0</v>
      </c>
      <c r="H3255" s="220">
        <f t="shared" si="1345"/>
        <v>0</v>
      </c>
      <c r="I3255" s="220">
        <f t="shared" si="1345"/>
        <v>1729</v>
      </c>
      <c r="J3255" s="220">
        <f t="shared" si="1345"/>
        <v>0</v>
      </c>
      <c r="K3255" s="220">
        <f t="shared" si="1345"/>
        <v>0</v>
      </c>
      <c r="L3255" s="220">
        <f t="shared" si="1345"/>
        <v>0</v>
      </c>
      <c r="M3255" s="220">
        <f t="shared" si="1345"/>
        <v>0</v>
      </c>
      <c r="N3255" s="220">
        <f t="shared" si="1345"/>
        <v>0</v>
      </c>
      <c r="O3255" s="220">
        <f t="shared" si="1345"/>
        <v>1693</v>
      </c>
      <c r="P3255" s="220">
        <f t="shared" si="1345"/>
        <v>0</v>
      </c>
      <c r="Q3255" s="220">
        <f t="shared" si="1345"/>
        <v>0</v>
      </c>
      <c r="R3255" s="220">
        <f t="shared" si="1345"/>
        <v>0</v>
      </c>
      <c r="S3255" s="220">
        <f t="shared" si="1345"/>
        <v>0</v>
      </c>
      <c r="T3255" s="220">
        <f t="shared" si="1345"/>
        <v>0</v>
      </c>
      <c r="U3255" s="220">
        <f t="shared" si="1345"/>
        <v>1690</v>
      </c>
      <c r="V3255" s="220">
        <f t="shared" si="1345"/>
        <v>0</v>
      </c>
      <c r="W3255" s="220">
        <f t="shared" si="1345"/>
        <v>0</v>
      </c>
      <c r="X3255" s="220">
        <f t="shared" si="1345"/>
        <v>0</v>
      </c>
      <c r="Y3255" s="220">
        <f t="shared" si="1345"/>
        <v>0</v>
      </c>
      <c r="Z3255" s="220">
        <f t="shared" si="1345"/>
        <v>0</v>
      </c>
      <c r="AA3255" s="220">
        <f t="shared" si="1345"/>
        <v>1591</v>
      </c>
      <c r="AB3255" s="220">
        <f t="shared" si="1326"/>
        <v>0</v>
      </c>
      <c r="AC3255" s="220">
        <f t="shared" si="1327"/>
        <v>6703</v>
      </c>
      <c r="AD3255" s="220">
        <f t="shared" ref="AD3255:BB3255" si="1346">SUM(AD3256:AD3287)</f>
        <v>6068</v>
      </c>
      <c r="AE3255" s="220">
        <f t="shared" si="1346"/>
        <v>0</v>
      </c>
      <c r="AF3255" s="220">
        <f t="shared" si="1346"/>
        <v>0</v>
      </c>
      <c r="AG3255" s="220">
        <f t="shared" si="1346"/>
        <v>0</v>
      </c>
      <c r="AH3255" s="220">
        <f t="shared" si="1346"/>
        <v>0</v>
      </c>
      <c r="AI3255" s="220">
        <f t="shared" si="1346"/>
        <v>0</v>
      </c>
      <c r="AJ3255" s="220">
        <f t="shared" si="1346"/>
        <v>4</v>
      </c>
      <c r="AK3255" s="220">
        <f t="shared" si="1346"/>
        <v>0</v>
      </c>
      <c r="AL3255" s="220">
        <f t="shared" si="1346"/>
        <v>0</v>
      </c>
      <c r="AM3255" s="220">
        <f t="shared" si="1346"/>
        <v>0</v>
      </c>
      <c r="AN3255" s="220">
        <f t="shared" si="1346"/>
        <v>0</v>
      </c>
      <c r="AO3255" s="220">
        <f t="shared" si="1346"/>
        <v>0</v>
      </c>
      <c r="AP3255" s="220">
        <f t="shared" si="1346"/>
        <v>0</v>
      </c>
      <c r="AQ3255" s="220">
        <f t="shared" si="1346"/>
        <v>0</v>
      </c>
      <c r="AR3255" s="220">
        <f t="shared" si="1346"/>
        <v>0</v>
      </c>
      <c r="AS3255" s="220">
        <f t="shared" si="1346"/>
        <v>0</v>
      </c>
      <c r="AT3255" s="220">
        <f t="shared" si="1346"/>
        <v>0</v>
      </c>
      <c r="AU3255" s="220">
        <f t="shared" si="1346"/>
        <v>0</v>
      </c>
      <c r="AV3255" s="220">
        <f t="shared" si="1346"/>
        <v>0</v>
      </c>
      <c r="AW3255" s="220">
        <f t="shared" si="1346"/>
        <v>0</v>
      </c>
      <c r="AX3255" s="220">
        <f t="shared" si="1346"/>
        <v>0</v>
      </c>
      <c r="AY3255" s="220">
        <f t="shared" si="1346"/>
        <v>0</v>
      </c>
      <c r="AZ3255" s="220">
        <f t="shared" si="1346"/>
        <v>0</v>
      </c>
      <c r="BA3255" s="220">
        <f t="shared" si="1346"/>
        <v>0</v>
      </c>
      <c r="BB3255" s="220">
        <f t="shared" si="1346"/>
        <v>2</v>
      </c>
      <c r="BC3255" s="220">
        <f t="shared" si="1328"/>
        <v>0</v>
      </c>
      <c r="BD3255" s="210">
        <f t="shared" si="1329"/>
        <v>6</v>
      </c>
      <c r="BE3255" s="220">
        <f>SUM(BE3256:BE3287)</f>
        <v>29</v>
      </c>
      <c r="BF3255" s="220">
        <f t="shared" si="1330"/>
        <v>0</v>
      </c>
      <c r="BG3255" s="210">
        <f t="shared" si="1331"/>
        <v>6709</v>
      </c>
      <c r="BH3255" s="210">
        <f t="shared" ref="BH3255:BH3288" si="1347">AD3255+BE3255</f>
        <v>6097</v>
      </c>
      <c r="BI3255" s="213">
        <f t="shared" si="1332"/>
        <v>110.03772347055929</v>
      </c>
      <c r="BJ3255" s="140">
        <v>6097</v>
      </c>
      <c r="BK3255" s="203">
        <f>BH3255-BJ3255</f>
        <v>0</v>
      </c>
      <c r="BL3255" s="198">
        <v>1523</v>
      </c>
      <c r="BM3255" s="199">
        <f>BG3255-BL3255</f>
        <v>5186</v>
      </c>
    </row>
    <row r="3256" spans="1:65" s="38" customFormat="1" ht="18" customHeight="1">
      <c r="A3256" s="114">
        <v>1</v>
      </c>
      <c r="B3256" s="24" t="s">
        <v>549</v>
      </c>
      <c r="C3256" s="25" t="s">
        <v>1393</v>
      </c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229">
        <f t="shared" ref="AB3256:AB3287" si="1348">D3256+F3256+H3256+J3256+L3256+N3256+P3256+R3256+T3256+V3256+X3256+Z3256</f>
        <v>0</v>
      </c>
      <c r="AC3256" s="228">
        <f t="shared" ref="AC3256:AC3287" si="1349">E3256+G3256+I3256+K3256+M3256+O3256+Q3256+S3256+U3256+W3256+Y3256+AA3256</f>
        <v>0</v>
      </c>
      <c r="AD3256" s="19">
        <v>1</v>
      </c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29">
        <f t="shared" ref="BC3256:BC3287" si="1350">AE3256+AG3256+AI3256+AK3256+AM3256+AO3256+AQ3256+AS3256+AU3256+AW3256+AY3256+BA3256</f>
        <v>0</v>
      </c>
      <c r="BD3256" s="48">
        <f t="shared" ref="BD3256:BD3287" si="1351">AF3256+AH3256+AJ3256+AL3256+AN3256+AP3256+AR3256+AT3256+AV3256+AX3256+AZ3256+BB3256</f>
        <v>0</v>
      </c>
      <c r="BE3256" s="19">
        <v>0</v>
      </c>
      <c r="BF3256" s="229">
        <f t="shared" ref="BF3256:BF3275" si="1352">AB3256+BC3256</f>
        <v>0</v>
      </c>
      <c r="BG3256" s="210">
        <f t="shared" ref="BG3256:BG3275" si="1353">AC3256+BD3256</f>
        <v>0</v>
      </c>
      <c r="BH3256" s="210">
        <f t="shared" si="1347"/>
        <v>1</v>
      </c>
      <c r="BI3256" s="213">
        <f t="shared" ref="BI3256:BI3287" si="1354">BG3256/BH3256*100</f>
        <v>0</v>
      </c>
      <c r="BJ3256" s="270" t="s">
        <v>2857</v>
      </c>
      <c r="BK3256" s="201"/>
      <c r="BL3256" s="4"/>
      <c r="BM3256" s="4"/>
    </row>
    <row r="3257" spans="1:65" s="38" customFormat="1" ht="18" customHeight="1">
      <c r="A3257" s="114">
        <v>2</v>
      </c>
      <c r="B3257" s="24" t="s">
        <v>2045</v>
      </c>
      <c r="C3257" s="25" t="s">
        <v>2046</v>
      </c>
      <c r="D3257" s="121"/>
      <c r="E3257" s="121"/>
      <c r="F3257" s="121"/>
      <c r="G3257" s="121"/>
      <c r="H3257" s="121"/>
      <c r="I3257" s="121">
        <f>1+20</f>
        <v>21</v>
      </c>
      <c r="J3257" s="121"/>
      <c r="K3257" s="121"/>
      <c r="L3257" s="121"/>
      <c r="M3257" s="121"/>
      <c r="N3257" s="121"/>
      <c r="O3257" s="121">
        <v>19</v>
      </c>
      <c r="P3257" s="121"/>
      <c r="Q3257" s="121"/>
      <c r="R3257" s="121"/>
      <c r="S3257" s="121"/>
      <c r="T3257" s="121"/>
      <c r="U3257" s="121">
        <v>17</v>
      </c>
      <c r="V3257" s="121"/>
      <c r="W3257" s="121"/>
      <c r="X3257" s="121"/>
      <c r="Y3257" s="121"/>
      <c r="Z3257" s="121"/>
      <c r="AA3257" s="121">
        <f>1+22</f>
        <v>23</v>
      </c>
      <c r="AB3257" s="229">
        <f t="shared" si="1348"/>
        <v>0</v>
      </c>
      <c r="AC3257" s="228">
        <f t="shared" si="1349"/>
        <v>80</v>
      </c>
      <c r="AD3257" s="19">
        <v>54</v>
      </c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  <c r="AZ3257" s="28"/>
      <c r="BA3257" s="28"/>
      <c r="BB3257" s="28"/>
      <c r="BC3257" s="229">
        <f t="shared" si="1350"/>
        <v>0</v>
      </c>
      <c r="BD3257" s="48">
        <f t="shared" si="1351"/>
        <v>0</v>
      </c>
      <c r="BE3257" s="19">
        <v>0</v>
      </c>
      <c r="BF3257" s="229">
        <f t="shared" si="1352"/>
        <v>0</v>
      </c>
      <c r="BG3257" s="210">
        <f t="shared" si="1353"/>
        <v>80</v>
      </c>
      <c r="BH3257" s="210">
        <f t="shared" si="1347"/>
        <v>54</v>
      </c>
      <c r="BI3257" s="213">
        <f t="shared" si="1354"/>
        <v>148.14814814814815</v>
      </c>
      <c r="BJ3257" s="266" t="s">
        <v>2854</v>
      </c>
      <c r="BK3257" s="201"/>
      <c r="BL3257" s="4"/>
      <c r="BM3257" s="4"/>
    </row>
    <row r="3258" spans="1:65" s="38" customFormat="1" ht="21.95" customHeight="1">
      <c r="A3258" s="114">
        <v>3</v>
      </c>
      <c r="B3258" s="24" t="s">
        <v>705</v>
      </c>
      <c r="C3258" s="27" t="s">
        <v>1049</v>
      </c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>
        <v>2</v>
      </c>
      <c r="V3258" s="121"/>
      <c r="W3258" s="121"/>
      <c r="X3258" s="121"/>
      <c r="Y3258" s="121"/>
      <c r="Z3258" s="121"/>
      <c r="AA3258" s="121">
        <v>1</v>
      </c>
      <c r="AB3258" s="229">
        <f t="shared" si="1348"/>
        <v>0</v>
      </c>
      <c r="AC3258" s="228">
        <f t="shared" si="1349"/>
        <v>3</v>
      </c>
      <c r="AD3258" s="19">
        <v>3</v>
      </c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29">
        <f t="shared" si="1350"/>
        <v>0</v>
      </c>
      <c r="BD3258" s="48">
        <f t="shared" si="1351"/>
        <v>0</v>
      </c>
      <c r="BE3258" s="19">
        <v>0</v>
      </c>
      <c r="BF3258" s="229">
        <f t="shared" si="1352"/>
        <v>0</v>
      </c>
      <c r="BG3258" s="210">
        <f t="shared" si="1353"/>
        <v>3</v>
      </c>
      <c r="BH3258" s="210">
        <f t="shared" si="1347"/>
        <v>3</v>
      </c>
      <c r="BI3258" s="213">
        <f t="shared" si="1354"/>
        <v>100</v>
      </c>
      <c r="BJ3258" s="270" t="s">
        <v>2857</v>
      </c>
      <c r="BK3258" s="201"/>
      <c r="BL3258" s="4"/>
      <c r="BM3258" s="4"/>
    </row>
    <row r="3259" spans="1:65" s="38" customFormat="1" ht="18" customHeight="1">
      <c r="A3259" s="114">
        <v>4</v>
      </c>
      <c r="B3259" s="24" t="s">
        <v>937</v>
      </c>
      <c r="C3259" s="25" t="s">
        <v>938</v>
      </c>
      <c r="D3259" s="121"/>
      <c r="E3259" s="121"/>
      <c r="F3259" s="121"/>
      <c r="G3259" s="121"/>
      <c r="H3259" s="121"/>
      <c r="I3259" s="121">
        <v>2</v>
      </c>
      <c r="J3259" s="121"/>
      <c r="K3259" s="121"/>
      <c r="L3259" s="121"/>
      <c r="M3259" s="121"/>
      <c r="N3259" s="121"/>
      <c r="O3259" s="121">
        <v>6</v>
      </c>
      <c r="P3259" s="121"/>
      <c r="Q3259" s="121"/>
      <c r="R3259" s="121"/>
      <c r="S3259" s="121"/>
      <c r="T3259" s="121"/>
      <c r="U3259" s="121">
        <v>1</v>
      </c>
      <c r="V3259" s="121"/>
      <c r="W3259" s="121"/>
      <c r="X3259" s="121"/>
      <c r="Y3259" s="121"/>
      <c r="Z3259" s="121"/>
      <c r="AA3259" s="121">
        <v>2</v>
      </c>
      <c r="AB3259" s="229">
        <f t="shared" si="1348"/>
        <v>0</v>
      </c>
      <c r="AC3259" s="228">
        <f t="shared" si="1349"/>
        <v>11</v>
      </c>
      <c r="AD3259" s="19">
        <v>10</v>
      </c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29">
        <f t="shared" si="1350"/>
        <v>0</v>
      </c>
      <c r="BD3259" s="48">
        <f t="shared" si="1351"/>
        <v>0</v>
      </c>
      <c r="BE3259" s="19">
        <v>0</v>
      </c>
      <c r="BF3259" s="229">
        <f t="shared" si="1352"/>
        <v>0</v>
      </c>
      <c r="BG3259" s="210">
        <f t="shared" si="1353"/>
        <v>11</v>
      </c>
      <c r="BH3259" s="210">
        <f t="shared" si="1347"/>
        <v>10</v>
      </c>
      <c r="BI3259" s="213">
        <f t="shared" si="1354"/>
        <v>110.00000000000001</v>
      </c>
      <c r="BJ3259" s="270" t="s">
        <v>2857</v>
      </c>
      <c r="BK3259" s="201"/>
      <c r="BL3259" s="4"/>
      <c r="BM3259" s="4"/>
    </row>
    <row r="3260" spans="1:65" s="38" customFormat="1" ht="18" customHeight="1">
      <c r="A3260" s="114">
        <v>5</v>
      </c>
      <c r="B3260" s="24" t="s">
        <v>1698</v>
      </c>
      <c r="C3260" s="25" t="s">
        <v>1699</v>
      </c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229">
        <f t="shared" si="1348"/>
        <v>0</v>
      </c>
      <c r="AC3260" s="228">
        <f t="shared" si="1349"/>
        <v>0</v>
      </c>
      <c r="AD3260" s="19">
        <v>362</v>
      </c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29">
        <f t="shared" si="1350"/>
        <v>0</v>
      </c>
      <c r="BD3260" s="48">
        <f t="shared" si="1351"/>
        <v>0</v>
      </c>
      <c r="BE3260" s="19">
        <v>0</v>
      </c>
      <c r="BF3260" s="229">
        <f t="shared" si="1352"/>
        <v>0</v>
      </c>
      <c r="BG3260" s="210">
        <f t="shared" si="1353"/>
        <v>0</v>
      </c>
      <c r="BH3260" s="210">
        <f t="shared" si="1347"/>
        <v>362</v>
      </c>
      <c r="BI3260" s="213">
        <f t="shared" si="1354"/>
        <v>0</v>
      </c>
      <c r="BJ3260" s="270" t="s">
        <v>2857</v>
      </c>
      <c r="BK3260" s="201"/>
      <c r="BL3260" s="4"/>
      <c r="BM3260" s="4"/>
    </row>
    <row r="3261" spans="1:65" s="38" customFormat="1" ht="18" customHeight="1">
      <c r="A3261" s="114">
        <v>6</v>
      </c>
      <c r="B3261" s="24" t="s">
        <v>2262</v>
      </c>
      <c r="C3261" s="25" t="s">
        <v>2263</v>
      </c>
      <c r="D3261" s="121"/>
      <c r="E3261" s="121"/>
      <c r="F3261" s="121"/>
      <c r="G3261" s="121"/>
      <c r="H3261" s="121"/>
      <c r="I3261" s="121">
        <f>69+4</f>
        <v>73</v>
      </c>
      <c r="J3261" s="121"/>
      <c r="K3261" s="121"/>
      <c r="L3261" s="121"/>
      <c r="M3261" s="121"/>
      <c r="N3261" s="121"/>
      <c r="O3261" s="121">
        <f>54+1</f>
        <v>55</v>
      </c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>
        <v>1</v>
      </c>
      <c r="AB3261" s="229">
        <f t="shared" si="1348"/>
        <v>0</v>
      </c>
      <c r="AC3261" s="228">
        <f t="shared" si="1349"/>
        <v>129</v>
      </c>
      <c r="AD3261" s="19">
        <v>178</v>
      </c>
      <c r="AE3261" s="28"/>
      <c r="AF3261" s="28"/>
      <c r="AG3261" s="28"/>
      <c r="AH3261" s="28"/>
      <c r="AI3261" s="28"/>
      <c r="AJ3261" s="28">
        <v>1</v>
      </c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29">
        <f t="shared" si="1350"/>
        <v>0</v>
      </c>
      <c r="BD3261" s="48">
        <f t="shared" si="1351"/>
        <v>1</v>
      </c>
      <c r="BE3261" s="19">
        <v>3</v>
      </c>
      <c r="BF3261" s="229">
        <f t="shared" si="1352"/>
        <v>0</v>
      </c>
      <c r="BG3261" s="210">
        <f t="shared" si="1353"/>
        <v>130</v>
      </c>
      <c r="BH3261" s="210">
        <f t="shared" si="1347"/>
        <v>181</v>
      </c>
      <c r="BI3261" s="213">
        <f t="shared" si="1354"/>
        <v>71.823204419889507</v>
      </c>
      <c r="BJ3261" s="165"/>
      <c r="BK3261" s="201"/>
      <c r="BL3261" s="4"/>
      <c r="BM3261" s="4"/>
    </row>
    <row r="3262" spans="1:65" s="38" customFormat="1" ht="18" customHeight="1">
      <c r="A3262" s="114">
        <v>7</v>
      </c>
      <c r="B3262" s="24" t="s">
        <v>1184</v>
      </c>
      <c r="C3262" s="25" t="s">
        <v>1185</v>
      </c>
      <c r="D3262" s="121"/>
      <c r="E3262" s="121"/>
      <c r="F3262" s="121"/>
      <c r="G3262" s="121"/>
      <c r="H3262" s="121"/>
      <c r="I3262" s="121">
        <v>50</v>
      </c>
      <c r="J3262" s="121"/>
      <c r="K3262" s="121"/>
      <c r="L3262" s="121"/>
      <c r="M3262" s="121"/>
      <c r="N3262" s="121"/>
      <c r="O3262" s="121">
        <f>9+1</f>
        <v>10</v>
      </c>
      <c r="P3262" s="121"/>
      <c r="Q3262" s="121"/>
      <c r="R3262" s="121"/>
      <c r="S3262" s="121"/>
      <c r="T3262" s="121"/>
      <c r="U3262" s="121">
        <v>2</v>
      </c>
      <c r="V3262" s="121"/>
      <c r="W3262" s="121"/>
      <c r="X3262" s="121"/>
      <c r="Y3262" s="121"/>
      <c r="Z3262" s="121"/>
      <c r="AA3262" s="121"/>
      <c r="AB3262" s="229">
        <f t="shared" si="1348"/>
        <v>0</v>
      </c>
      <c r="AC3262" s="228">
        <f t="shared" si="1349"/>
        <v>62</v>
      </c>
      <c r="AD3262" s="19">
        <v>180</v>
      </c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29">
        <f t="shared" si="1350"/>
        <v>0</v>
      </c>
      <c r="BD3262" s="48">
        <f t="shared" si="1351"/>
        <v>0</v>
      </c>
      <c r="BE3262" s="19">
        <v>0</v>
      </c>
      <c r="BF3262" s="229">
        <f t="shared" si="1352"/>
        <v>0</v>
      </c>
      <c r="BG3262" s="210">
        <f t="shared" si="1353"/>
        <v>62</v>
      </c>
      <c r="BH3262" s="210">
        <f t="shared" si="1347"/>
        <v>180</v>
      </c>
      <c r="BI3262" s="213">
        <f t="shared" si="1354"/>
        <v>34.444444444444443</v>
      </c>
      <c r="BJ3262" s="141"/>
      <c r="BK3262" s="201"/>
      <c r="BL3262" s="4"/>
      <c r="BM3262" s="4"/>
    </row>
    <row r="3263" spans="1:65" s="38" customFormat="1" ht="18" customHeight="1">
      <c r="A3263" s="114">
        <v>8</v>
      </c>
      <c r="B3263" s="24" t="s">
        <v>571</v>
      </c>
      <c r="C3263" s="25" t="s">
        <v>572</v>
      </c>
      <c r="D3263" s="121"/>
      <c r="E3263" s="121"/>
      <c r="F3263" s="121"/>
      <c r="G3263" s="121"/>
      <c r="H3263" s="121"/>
      <c r="I3263" s="121">
        <v>121</v>
      </c>
      <c r="J3263" s="121"/>
      <c r="K3263" s="121"/>
      <c r="L3263" s="121"/>
      <c r="M3263" s="121"/>
      <c r="N3263" s="121"/>
      <c r="O3263" s="121">
        <f>57+1</f>
        <v>58</v>
      </c>
      <c r="P3263" s="121"/>
      <c r="Q3263" s="121"/>
      <c r="R3263" s="121"/>
      <c r="S3263" s="121"/>
      <c r="T3263" s="121"/>
      <c r="U3263" s="121">
        <f>34+1</f>
        <v>35</v>
      </c>
      <c r="V3263" s="121"/>
      <c r="W3263" s="121"/>
      <c r="X3263" s="121"/>
      <c r="Y3263" s="121"/>
      <c r="Z3263" s="121"/>
      <c r="AA3263" s="121">
        <f>75+2</f>
        <v>77</v>
      </c>
      <c r="AB3263" s="229">
        <f t="shared" si="1348"/>
        <v>0</v>
      </c>
      <c r="AC3263" s="228">
        <f t="shared" si="1349"/>
        <v>291</v>
      </c>
      <c r="AD3263" s="19">
        <v>520</v>
      </c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29">
        <f t="shared" si="1350"/>
        <v>0</v>
      </c>
      <c r="BD3263" s="48">
        <f t="shared" si="1351"/>
        <v>0</v>
      </c>
      <c r="BE3263" s="19">
        <v>5</v>
      </c>
      <c r="BF3263" s="229">
        <f t="shared" si="1352"/>
        <v>0</v>
      </c>
      <c r="BG3263" s="210">
        <f t="shared" si="1353"/>
        <v>291</v>
      </c>
      <c r="BH3263" s="210">
        <f t="shared" si="1347"/>
        <v>525</v>
      </c>
      <c r="BI3263" s="213">
        <f t="shared" si="1354"/>
        <v>55.428571428571431</v>
      </c>
      <c r="BJ3263" s="141"/>
      <c r="BK3263" s="201"/>
      <c r="BL3263" s="4"/>
      <c r="BM3263" s="4"/>
    </row>
    <row r="3264" spans="1:65" s="38" customFormat="1" ht="18" customHeight="1">
      <c r="A3264" s="114">
        <v>9</v>
      </c>
      <c r="B3264" s="24" t="s">
        <v>585</v>
      </c>
      <c r="C3264" s="25" t="s">
        <v>586</v>
      </c>
      <c r="D3264" s="121"/>
      <c r="E3264" s="121"/>
      <c r="F3264" s="121"/>
      <c r="G3264" s="121"/>
      <c r="H3264" s="121"/>
      <c r="I3264" s="121">
        <f>157+1</f>
        <v>158</v>
      </c>
      <c r="J3264" s="121"/>
      <c r="K3264" s="121"/>
      <c r="L3264" s="121"/>
      <c r="M3264" s="121"/>
      <c r="N3264" s="121"/>
      <c r="O3264" s="121">
        <f>219+11</f>
        <v>230</v>
      </c>
      <c r="P3264" s="121"/>
      <c r="Q3264" s="121"/>
      <c r="R3264" s="121"/>
      <c r="S3264" s="121"/>
      <c r="T3264" s="121"/>
      <c r="U3264" s="121">
        <f>215+23</f>
        <v>238</v>
      </c>
      <c r="V3264" s="121"/>
      <c r="W3264" s="121"/>
      <c r="X3264" s="121"/>
      <c r="Y3264" s="121"/>
      <c r="Z3264" s="121"/>
      <c r="AA3264" s="121">
        <v>11</v>
      </c>
      <c r="AB3264" s="229">
        <f t="shared" si="1348"/>
        <v>0</v>
      </c>
      <c r="AC3264" s="228">
        <f t="shared" si="1349"/>
        <v>637</v>
      </c>
      <c r="AD3264" s="19">
        <v>668</v>
      </c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29">
        <f t="shared" si="1350"/>
        <v>0</v>
      </c>
      <c r="BD3264" s="48">
        <f t="shared" si="1351"/>
        <v>0</v>
      </c>
      <c r="BE3264" s="19">
        <v>3</v>
      </c>
      <c r="BF3264" s="229">
        <f t="shared" si="1352"/>
        <v>0</v>
      </c>
      <c r="BG3264" s="210">
        <f t="shared" si="1353"/>
        <v>637</v>
      </c>
      <c r="BH3264" s="210">
        <f t="shared" si="1347"/>
        <v>671</v>
      </c>
      <c r="BI3264" s="213">
        <f t="shared" si="1354"/>
        <v>94.932935916542476</v>
      </c>
      <c r="BJ3264" s="141"/>
      <c r="BK3264" s="201"/>
      <c r="BL3264" s="4"/>
      <c r="BM3264" s="4"/>
    </row>
    <row r="3265" spans="1:65" s="38" customFormat="1" ht="18" customHeight="1">
      <c r="A3265" s="114">
        <v>10</v>
      </c>
      <c r="B3265" s="24" t="s">
        <v>596</v>
      </c>
      <c r="C3265" s="25" t="s">
        <v>597</v>
      </c>
      <c r="D3265" s="121"/>
      <c r="E3265" s="121"/>
      <c r="F3265" s="121"/>
      <c r="G3265" s="121"/>
      <c r="H3265" s="121"/>
      <c r="I3265" s="121">
        <v>1</v>
      </c>
      <c r="J3265" s="121"/>
      <c r="K3265" s="121"/>
      <c r="L3265" s="121"/>
      <c r="M3265" s="121"/>
      <c r="N3265" s="121"/>
      <c r="O3265" s="121">
        <v>6</v>
      </c>
      <c r="P3265" s="121"/>
      <c r="Q3265" s="121"/>
      <c r="R3265" s="121"/>
      <c r="S3265" s="121"/>
      <c r="T3265" s="121"/>
      <c r="U3265" s="121">
        <v>1</v>
      </c>
      <c r="V3265" s="121"/>
      <c r="W3265" s="121"/>
      <c r="X3265" s="121"/>
      <c r="Y3265" s="121"/>
      <c r="Z3265" s="121"/>
      <c r="AA3265" s="121">
        <v>6</v>
      </c>
      <c r="AB3265" s="229">
        <f t="shared" si="1348"/>
        <v>0</v>
      </c>
      <c r="AC3265" s="228">
        <f t="shared" si="1349"/>
        <v>14</v>
      </c>
      <c r="AD3265" s="19">
        <v>10</v>
      </c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29">
        <f t="shared" si="1350"/>
        <v>0</v>
      </c>
      <c r="BD3265" s="48">
        <f t="shared" si="1351"/>
        <v>0</v>
      </c>
      <c r="BE3265" s="19">
        <v>0</v>
      </c>
      <c r="BF3265" s="229">
        <f t="shared" si="1352"/>
        <v>0</v>
      </c>
      <c r="BG3265" s="210">
        <f t="shared" si="1353"/>
        <v>14</v>
      </c>
      <c r="BH3265" s="210">
        <f t="shared" si="1347"/>
        <v>10</v>
      </c>
      <c r="BI3265" s="213">
        <f t="shared" si="1354"/>
        <v>140</v>
      </c>
      <c r="BJ3265" s="141"/>
      <c r="BK3265" s="201"/>
      <c r="BL3265" s="4"/>
      <c r="BM3265" s="4"/>
    </row>
    <row r="3266" spans="1:65" s="38" customFormat="1" ht="18" customHeight="1">
      <c r="A3266" s="114">
        <v>11</v>
      </c>
      <c r="B3266" s="24" t="s">
        <v>757</v>
      </c>
      <c r="C3266" s="25" t="s">
        <v>758</v>
      </c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229">
        <f t="shared" si="1348"/>
        <v>0</v>
      </c>
      <c r="AC3266" s="228">
        <f t="shared" si="1349"/>
        <v>0</v>
      </c>
      <c r="AD3266" s="19">
        <v>1</v>
      </c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29">
        <f t="shared" si="1350"/>
        <v>0</v>
      </c>
      <c r="BD3266" s="48">
        <f t="shared" si="1351"/>
        <v>0</v>
      </c>
      <c r="BE3266" s="19">
        <v>0</v>
      </c>
      <c r="BF3266" s="229">
        <f t="shared" si="1352"/>
        <v>0</v>
      </c>
      <c r="BG3266" s="210">
        <f t="shared" si="1353"/>
        <v>0</v>
      </c>
      <c r="BH3266" s="210">
        <f t="shared" si="1347"/>
        <v>1</v>
      </c>
      <c r="BI3266" s="213">
        <f t="shared" si="1354"/>
        <v>0</v>
      </c>
      <c r="BJ3266" s="141"/>
      <c r="BK3266" s="201"/>
      <c r="BL3266" s="4"/>
      <c r="BM3266" s="4"/>
    </row>
    <row r="3267" spans="1:65" s="38" customFormat="1" ht="18" customHeight="1">
      <c r="A3267" s="114">
        <v>12</v>
      </c>
      <c r="B3267" s="24" t="s">
        <v>2027</v>
      </c>
      <c r="C3267" s="25" t="s">
        <v>2028</v>
      </c>
      <c r="D3267" s="121"/>
      <c r="E3267" s="121"/>
      <c r="F3267" s="121"/>
      <c r="G3267" s="121"/>
      <c r="H3267" s="121"/>
      <c r="I3267" s="121">
        <v>2</v>
      </c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229">
        <f t="shared" si="1348"/>
        <v>0</v>
      </c>
      <c r="AC3267" s="228">
        <f t="shared" si="1349"/>
        <v>2</v>
      </c>
      <c r="AD3267" s="19">
        <v>8</v>
      </c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29">
        <f t="shared" si="1350"/>
        <v>0</v>
      </c>
      <c r="BD3267" s="48">
        <f t="shared" si="1351"/>
        <v>0</v>
      </c>
      <c r="BE3267" s="19">
        <v>0</v>
      </c>
      <c r="BF3267" s="229">
        <f t="shared" si="1352"/>
        <v>0</v>
      </c>
      <c r="BG3267" s="210">
        <f t="shared" si="1353"/>
        <v>2</v>
      </c>
      <c r="BH3267" s="210">
        <f t="shared" si="1347"/>
        <v>8</v>
      </c>
      <c r="BI3267" s="213">
        <f t="shared" si="1354"/>
        <v>25</v>
      </c>
      <c r="BJ3267" s="141"/>
      <c r="BK3267" s="201"/>
      <c r="BL3267" s="4"/>
      <c r="BM3267" s="4"/>
    </row>
    <row r="3268" spans="1:65" s="38" customFormat="1" ht="18" customHeight="1">
      <c r="A3268" s="114">
        <v>13</v>
      </c>
      <c r="B3268" s="24" t="s">
        <v>1006</v>
      </c>
      <c r="C3268" s="25" t="s">
        <v>1063</v>
      </c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229">
        <f t="shared" si="1348"/>
        <v>0</v>
      </c>
      <c r="AC3268" s="228">
        <f t="shared" si="1349"/>
        <v>0</v>
      </c>
      <c r="AD3268" s="19">
        <v>4</v>
      </c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29">
        <f t="shared" si="1350"/>
        <v>0</v>
      </c>
      <c r="BD3268" s="48">
        <f t="shared" si="1351"/>
        <v>0</v>
      </c>
      <c r="BE3268" s="19">
        <v>0</v>
      </c>
      <c r="BF3268" s="229">
        <f t="shared" si="1352"/>
        <v>0</v>
      </c>
      <c r="BG3268" s="210">
        <f t="shared" si="1353"/>
        <v>0</v>
      </c>
      <c r="BH3268" s="210">
        <f t="shared" si="1347"/>
        <v>4</v>
      </c>
      <c r="BI3268" s="213">
        <f t="shared" si="1354"/>
        <v>0</v>
      </c>
      <c r="BJ3268" s="141"/>
      <c r="BK3268" s="201"/>
      <c r="BL3268" s="4"/>
      <c r="BM3268" s="4"/>
    </row>
    <row r="3269" spans="1:65" s="38" customFormat="1" ht="18" customHeight="1">
      <c r="A3269" s="114">
        <v>14</v>
      </c>
      <c r="B3269" s="24" t="s">
        <v>1070</v>
      </c>
      <c r="C3269" s="25" t="s">
        <v>1071</v>
      </c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229">
        <f t="shared" si="1348"/>
        <v>0</v>
      </c>
      <c r="AC3269" s="228">
        <f t="shared" si="1349"/>
        <v>0</v>
      </c>
      <c r="AD3269" s="19">
        <v>1</v>
      </c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29">
        <f t="shared" si="1350"/>
        <v>0</v>
      </c>
      <c r="BD3269" s="48">
        <f t="shared" si="1351"/>
        <v>0</v>
      </c>
      <c r="BE3269" s="19">
        <v>0</v>
      </c>
      <c r="BF3269" s="229">
        <f t="shared" si="1352"/>
        <v>0</v>
      </c>
      <c r="BG3269" s="210">
        <f t="shared" si="1353"/>
        <v>0</v>
      </c>
      <c r="BH3269" s="210">
        <f t="shared" si="1347"/>
        <v>1</v>
      </c>
      <c r="BI3269" s="213">
        <f t="shared" si="1354"/>
        <v>0</v>
      </c>
      <c r="BJ3269" s="141"/>
      <c r="BK3269" s="201"/>
      <c r="BL3269" s="4"/>
      <c r="BM3269" s="4"/>
    </row>
    <row r="3270" spans="1:65" s="38" customFormat="1" ht="18" customHeight="1">
      <c r="A3270" s="114">
        <v>15</v>
      </c>
      <c r="B3270" s="24" t="s">
        <v>1074</v>
      </c>
      <c r="C3270" s="25" t="s">
        <v>1605</v>
      </c>
      <c r="D3270" s="121"/>
      <c r="E3270" s="121"/>
      <c r="F3270" s="121"/>
      <c r="G3270" s="121"/>
      <c r="H3270" s="121"/>
      <c r="I3270" s="121">
        <v>2</v>
      </c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229">
        <f t="shared" si="1348"/>
        <v>0</v>
      </c>
      <c r="AC3270" s="228">
        <f t="shared" si="1349"/>
        <v>2</v>
      </c>
      <c r="AD3270" s="19">
        <v>8</v>
      </c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29">
        <f t="shared" si="1350"/>
        <v>0</v>
      </c>
      <c r="BD3270" s="48">
        <f t="shared" si="1351"/>
        <v>0</v>
      </c>
      <c r="BE3270" s="19">
        <v>0</v>
      </c>
      <c r="BF3270" s="229">
        <f t="shared" si="1352"/>
        <v>0</v>
      </c>
      <c r="BG3270" s="210">
        <f t="shared" si="1353"/>
        <v>2</v>
      </c>
      <c r="BH3270" s="210">
        <f t="shared" si="1347"/>
        <v>8</v>
      </c>
      <c r="BI3270" s="213">
        <f t="shared" si="1354"/>
        <v>25</v>
      </c>
      <c r="BJ3270" s="141"/>
      <c r="BK3270" s="201"/>
      <c r="BL3270" s="4"/>
      <c r="BM3270" s="4"/>
    </row>
    <row r="3271" spans="1:65" s="38" customFormat="1" ht="18" customHeight="1">
      <c r="A3271" s="114">
        <v>16</v>
      </c>
      <c r="B3271" s="24" t="s">
        <v>2273</v>
      </c>
      <c r="C3271" s="25" t="s">
        <v>2276</v>
      </c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229">
        <f t="shared" si="1348"/>
        <v>0</v>
      </c>
      <c r="AC3271" s="228">
        <f t="shared" si="1349"/>
        <v>0</v>
      </c>
      <c r="AD3271" s="19">
        <v>4</v>
      </c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29">
        <f t="shared" si="1350"/>
        <v>0</v>
      </c>
      <c r="BD3271" s="48">
        <f t="shared" si="1351"/>
        <v>0</v>
      </c>
      <c r="BE3271" s="19">
        <v>0</v>
      </c>
      <c r="BF3271" s="229">
        <f t="shared" si="1352"/>
        <v>0</v>
      </c>
      <c r="BG3271" s="210">
        <f t="shared" si="1353"/>
        <v>0</v>
      </c>
      <c r="BH3271" s="210">
        <f t="shared" si="1347"/>
        <v>4</v>
      </c>
      <c r="BI3271" s="213">
        <f t="shared" si="1354"/>
        <v>0</v>
      </c>
      <c r="BJ3271" s="141"/>
      <c r="BK3271" s="201"/>
      <c r="BL3271" s="4"/>
      <c r="BM3271" s="4"/>
    </row>
    <row r="3272" spans="1:65" s="38" customFormat="1" ht="18" customHeight="1">
      <c r="A3272" s="114">
        <v>17</v>
      </c>
      <c r="B3272" s="24" t="s">
        <v>1079</v>
      </c>
      <c r="C3272" s="25" t="s">
        <v>1080</v>
      </c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229">
        <f t="shared" si="1348"/>
        <v>0</v>
      </c>
      <c r="AC3272" s="228">
        <f t="shared" si="1349"/>
        <v>0</v>
      </c>
      <c r="AD3272" s="19">
        <v>1</v>
      </c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29">
        <f t="shared" si="1350"/>
        <v>0</v>
      </c>
      <c r="BD3272" s="48">
        <f t="shared" si="1351"/>
        <v>0</v>
      </c>
      <c r="BE3272" s="19">
        <v>0</v>
      </c>
      <c r="BF3272" s="229">
        <f t="shared" si="1352"/>
        <v>0</v>
      </c>
      <c r="BG3272" s="210">
        <f t="shared" si="1353"/>
        <v>0</v>
      </c>
      <c r="BH3272" s="210">
        <f t="shared" si="1347"/>
        <v>1</v>
      </c>
      <c r="BI3272" s="213">
        <f t="shared" si="1354"/>
        <v>0</v>
      </c>
      <c r="BJ3272" s="141"/>
      <c r="BK3272" s="201"/>
      <c r="BL3272" s="4"/>
      <c r="BM3272" s="4"/>
    </row>
    <row r="3273" spans="1:65" s="38" customFormat="1" ht="18" customHeight="1">
      <c r="A3273" s="114">
        <v>18</v>
      </c>
      <c r="B3273" s="24" t="s">
        <v>1045</v>
      </c>
      <c r="C3273" s="25" t="s">
        <v>1046</v>
      </c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229">
        <f t="shared" si="1348"/>
        <v>0</v>
      </c>
      <c r="AC3273" s="228">
        <f t="shared" si="1349"/>
        <v>0</v>
      </c>
      <c r="AD3273" s="19">
        <v>3</v>
      </c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29">
        <f t="shared" si="1350"/>
        <v>0</v>
      </c>
      <c r="BD3273" s="48">
        <f t="shared" si="1351"/>
        <v>0</v>
      </c>
      <c r="BE3273" s="19">
        <v>0</v>
      </c>
      <c r="BF3273" s="229">
        <f t="shared" si="1352"/>
        <v>0</v>
      </c>
      <c r="BG3273" s="210">
        <f t="shared" si="1353"/>
        <v>0</v>
      </c>
      <c r="BH3273" s="210">
        <f t="shared" si="1347"/>
        <v>3</v>
      </c>
      <c r="BI3273" s="213">
        <f t="shared" si="1354"/>
        <v>0</v>
      </c>
      <c r="BJ3273" s="141"/>
      <c r="BK3273" s="201"/>
      <c r="BL3273" s="4"/>
      <c r="BM3273" s="4"/>
    </row>
    <row r="3274" spans="1:65" s="38" customFormat="1" ht="18" customHeight="1">
      <c r="A3274" s="114">
        <v>19</v>
      </c>
      <c r="B3274" s="24" t="s">
        <v>2858</v>
      </c>
      <c r="C3274" s="25" t="s">
        <v>2859</v>
      </c>
      <c r="D3274" s="121"/>
      <c r="E3274" s="121"/>
      <c r="F3274" s="121"/>
      <c r="G3274" s="121"/>
      <c r="H3274" s="121"/>
      <c r="I3274" s="121">
        <v>26</v>
      </c>
      <c r="J3274" s="121"/>
      <c r="K3274" s="121"/>
      <c r="L3274" s="121"/>
      <c r="M3274" s="121"/>
      <c r="N3274" s="121"/>
      <c r="O3274" s="121">
        <f>6+4</f>
        <v>10</v>
      </c>
      <c r="P3274" s="121"/>
      <c r="Q3274" s="121"/>
      <c r="R3274" s="121"/>
      <c r="S3274" s="121"/>
      <c r="T3274" s="121"/>
      <c r="U3274" s="121">
        <f>13+1</f>
        <v>14</v>
      </c>
      <c r="V3274" s="121"/>
      <c r="W3274" s="121"/>
      <c r="X3274" s="121"/>
      <c r="Y3274" s="121"/>
      <c r="Z3274" s="121"/>
      <c r="AA3274" s="121">
        <v>3</v>
      </c>
      <c r="AB3274" s="229">
        <f t="shared" si="1348"/>
        <v>0</v>
      </c>
      <c r="AC3274" s="228">
        <f t="shared" si="1349"/>
        <v>53</v>
      </c>
      <c r="AD3274" s="19">
        <v>0</v>
      </c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29">
        <f t="shared" si="1350"/>
        <v>0</v>
      </c>
      <c r="BD3274" s="48">
        <f t="shared" si="1351"/>
        <v>0</v>
      </c>
      <c r="BE3274" s="19">
        <v>0</v>
      </c>
      <c r="BF3274" s="229">
        <f t="shared" si="1352"/>
        <v>0</v>
      </c>
      <c r="BG3274" s="210">
        <f t="shared" si="1353"/>
        <v>53</v>
      </c>
      <c r="BH3274" s="210">
        <f t="shared" si="1347"/>
        <v>0</v>
      </c>
      <c r="BI3274" s="213" t="e">
        <f t="shared" si="1354"/>
        <v>#DIV/0!</v>
      </c>
      <c r="BJ3274" s="141"/>
      <c r="BK3274" s="201"/>
      <c r="BL3274" s="4"/>
      <c r="BM3274" s="4"/>
    </row>
    <row r="3275" spans="1:65" s="38" customFormat="1" ht="18" customHeight="1">
      <c r="A3275" s="114">
        <v>20</v>
      </c>
      <c r="B3275" s="24" t="s">
        <v>628</v>
      </c>
      <c r="C3275" s="25" t="s">
        <v>629</v>
      </c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229">
        <f t="shared" si="1348"/>
        <v>0</v>
      </c>
      <c r="AC3275" s="228">
        <f t="shared" si="1349"/>
        <v>0</v>
      </c>
      <c r="AD3275" s="19">
        <v>1</v>
      </c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29">
        <f t="shared" si="1350"/>
        <v>0</v>
      </c>
      <c r="BD3275" s="48">
        <f t="shared" si="1351"/>
        <v>0</v>
      </c>
      <c r="BE3275" s="19">
        <v>0</v>
      </c>
      <c r="BF3275" s="229">
        <f t="shared" si="1352"/>
        <v>0</v>
      </c>
      <c r="BG3275" s="210">
        <f t="shared" si="1353"/>
        <v>0</v>
      </c>
      <c r="BH3275" s="210">
        <f t="shared" si="1347"/>
        <v>1</v>
      </c>
      <c r="BI3275" s="213">
        <f t="shared" si="1354"/>
        <v>0</v>
      </c>
      <c r="BJ3275" s="141"/>
      <c r="BK3275" s="201"/>
      <c r="BL3275" s="4"/>
      <c r="BM3275" s="4"/>
    </row>
    <row r="3276" spans="1:65" s="38" customFormat="1" ht="18" customHeight="1">
      <c r="A3276" s="114">
        <v>21</v>
      </c>
      <c r="B3276" s="9" t="s">
        <v>1898</v>
      </c>
      <c r="C3276" s="11" t="s">
        <v>3037</v>
      </c>
      <c r="D3276" s="13"/>
      <c r="E3276" s="13"/>
      <c r="F3276" s="13"/>
      <c r="G3276" s="13"/>
      <c r="H3276" s="13"/>
      <c r="I3276" s="13">
        <v>81</v>
      </c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229">
        <f t="shared" si="1348"/>
        <v>0</v>
      </c>
      <c r="AC3276" s="228">
        <f t="shared" si="1349"/>
        <v>81</v>
      </c>
      <c r="AD3276" s="19">
        <v>0</v>
      </c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29">
        <f t="shared" si="1350"/>
        <v>0</v>
      </c>
      <c r="BD3276" s="48">
        <f t="shared" si="1351"/>
        <v>0</v>
      </c>
      <c r="BE3276" s="19">
        <v>0</v>
      </c>
      <c r="BF3276" s="229"/>
      <c r="BG3276" s="210">
        <f t="shared" ref="BG3276:BG3287" si="1355">AC3276+BD3276</f>
        <v>81</v>
      </c>
      <c r="BH3276" s="210">
        <f t="shared" si="1347"/>
        <v>0</v>
      </c>
      <c r="BI3276" s="213" t="e">
        <f t="shared" si="1354"/>
        <v>#DIV/0!</v>
      </c>
      <c r="BJ3276" s="141"/>
      <c r="BK3276" s="201"/>
      <c r="BL3276" s="4"/>
      <c r="BM3276" s="4"/>
    </row>
    <row r="3277" spans="1:65" s="38" customFormat="1" ht="18" customHeight="1">
      <c r="A3277" s="114">
        <v>22</v>
      </c>
      <c r="B3277" s="24" t="s">
        <v>892</v>
      </c>
      <c r="C3277" s="25" t="s">
        <v>893</v>
      </c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229">
        <f t="shared" si="1348"/>
        <v>0</v>
      </c>
      <c r="AC3277" s="228">
        <f t="shared" si="1349"/>
        <v>0</v>
      </c>
      <c r="AD3277" s="19">
        <v>1</v>
      </c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29">
        <f t="shared" si="1350"/>
        <v>0</v>
      </c>
      <c r="BD3277" s="48">
        <f t="shared" si="1351"/>
        <v>0</v>
      </c>
      <c r="BE3277" s="19">
        <v>0</v>
      </c>
      <c r="BF3277" s="229">
        <f t="shared" ref="BF3277:BF3287" si="1356">AB3277+BC3277</f>
        <v>0</v>
      </c>
      <c r="BG3277" s="210">
        <f t="shared" si="1355"/>
        <v>0</v>
      </c>
      <c r="BH3277" s="210">
        <f t="shared" si="1347"/>
        <v>1</v>
      </c>
      <c r="BI3277" s="213">
        <f t="shared" si="1354"/>
        <v>0</v>
      </c>
      <c r="BJ3277" s="141"/>
      <c r="BK3277" s="201"/>
      <c r="BL3277" s="4"/>
      <c r="BM3277" s="4"/>
    </row>
    <row r="3278" spans="1:65" s="38" customFormat="1" ht="18" customHeight="1">
      <c r="A3278" s="114">
        <v>23</v>
      </c>
      <c r="B3278" s="24" t="s">
        <v>703</v>
      </c>
      <c r="C3278" s="25" t="s">
        <v>774</v>
      </c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229">
        <f t="shared" si="1348"/>
        <v>0</v>
      </c>
      <c r="AC3278" s="228">
        <f t="shared" si="1349"/>
        <v>0</v>
      </c>
      <c r="AD3278" s="19">
        <v>1</v>
      </c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29">
        <f t="shared" si="1350"/>
        <v>0</v>
      </c>
      <c r="BD3278" s="48">
        <f t="shared" si="1351"/>
        <v>0</v>
      </c>
      <c r="BE3278" s="19">
        <v>0</v>
      </c>
      <c r="BF3278" s="229">
        <f t="shared" si="1356"/>
        <v>0</v>
      </c>
      <c r="BG3278" s="210">
        <f t="shared" si="1355"/>
        <v>0</v>
      </c>
      <c r="BH3278" s="210">
        <f t="shared" si="1347"/>
        <v>1</v>
      </c>
      <c r="BI3278" s="213">
        <f t="shared" si="1354"/>
        <v>0</v>
      </c>
      <c r="BJ3278" s="141"/>
      <c r="BK3278" s="201"/>
      <c r="BL3278" s="4"/>
      <c r="BM3278" s="4"/>
    </row>
    <row r="3279" spans="1:65" s="38" customFormat="1" ht="18" customHeight="1">
      <c r="A3279" s="114">
        <v>24</v>
      </c>
      <c r="B3279" s="24" t="s">
        <v>799</v>
      </c>
      <c r="C3279" s="25" t="s">
        <v>2832</v>
      </c>
      <c r="D3279" s="121"/>
      <c r="E3279" s="121"/>
      <c r="F3279" s="121"/>
      <c r="G3279" s="121"/>
      <c r="H3279" s="121"/>
      <c r="I3279" s="121">
        <v>14</v>
      </c>
      <c r="J3279" s="121"/>
      <c r="K3279" s="121"/>
      <c r="L3279" s="121"/>
      <c r="M3279" s="121"/>
      <c r="N3279" s="121"/>
      <c r="O3279" s="121">
        <v>17</v>
      </c>
      <c r="P3279" s="121"/>
      <c r="Q3279" s="121"/>
      <c r="R3279" s="121"/>
      <c r="S3279" s="121"/>
      <c r="T3279" s="121"/>
      <c r="U3279" s="121">
        <v>12</v>
      </c>
      <c r="V3279" s="121"/>
      <c r="W3279" s="121"/>
      <c r="X3279" s="121"/>
      <c r="Y3279" s="121"/>
      <c r="Z3279" s="121"/>
      <c r="AA3279" s="121">
        <v>20</v>
      </c>
      <c r="AB3279" s="229">
        <f t="shared" si="1348"/>
        <v>0</v>
      </c>
      <c r="AC3279" s="228">
        <f t="shared" si="1349"/>
        <v>63</v>
      </c>
      <c r="AD3279" s="19">
        <v>0</v>
      </c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  <c r="AZ3279" s="28"/>
      <c r="BA3279" s="28"/>
      <c r="BB3279" s="28"/>
      <c r="BC3279" s="229">
        <f t="shared" si="1350"/>
        <v>0</v>
      </c>
      <c r="BD3279" s="48">
        <f t="shared" si="1351"/>
        <v>0</v>
      </c>
      <c r="BE3279" s="19">
        <v>0</v>
      </c>
      <c r="BF3279" s="229">
        <f t="shared" si="1356"/>
        <v>0</v>
      </c>
      <c r="BG3279" s="210">
        <f t="shared" si="1355"/>
        <v>63</v>
      </c>
      <c r="BH3279" s="210">
        <f t="shared" si="1347"/>
        <v>0</v>
      </c>
      <c r="BI3279" s="213" t="e">
        <f t="shared" si="1354"/>
        <v>#DIV/0!</v>
      </c>
      <c r="BJ3279" s="141"/>
      <c r="BK3279" s="201"/>
      <c r="BL3279" s="4"/>
      <c r="BM3279" s="4"/>
    </row>
    <row r="3280" spans="1:65" s="38" customFormat="1" ht="18" customHeight="1">
      <c r="A3280" s="114">
        <v>25</v>
      </c>
      <c r="B3280" s="24" t="s">
        <v>842</v>
      </c>
      <c r="C3280" s="25" t="s">
        <v>843</v>
      </c>
      <c r="D3280" s="121"/>
      <c r="E3280" s="121"/>
      <c r="F3280" s="121"/>
      <c r="G3280" s="121"/>
      <c r="H3280" s="121"/>
      <c r="I3280" s="121">
        <v>13</v>
      </c>
      <c r="J3280" s="121"/>
      <c r="K3280" s="121"/>
      <c r="L3280" s="121"/>
      <c r="M3280" s="121"/>
      <c r="N3280" s="121"/>
      <c r="O3280" s="121">
        <f>5+2</f>
        <v>7</v>
      </c>
      <c r="P3280" s="121"/>
      <c r="Q3280" s="121"/>
      <c r="R3280" s="121"/>
      <c r="S3280" s="121"/>
      <c r="T3280" s="121"/>
      <c r="U3280" s="121">
        <f>10+1</f>
        <v>11</v>
      </c>
      <c r="V3280" s="121"/>
      <c r="W3280" s="121"/>
      <c r="X3280" s="121"/>
      <c r="Y3280" s="121"/>
      <c r="Z3280" s="121"/>
      <c r="AA3280" s="121">
        <v>7</v>
      </c>
      <c r="AB3280" s="229">
        <f t="shared" si="1348"/>
        <v>0</v>
      </c>
      <c r="AC3280" s="228">
        <f t="shared" si="1349"/>
        <v>38</v>
      </c>
      <c r="AD3280" s="19">
        <v>51</v>
      </c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29">
        <f t="shared" si="1350"/>
        <v>0</v>
      </c>
      <c r="BD3280" s="48">
        <f t="shared" si="1351"/>
        <v>0</v>
      </c>
      <c r="BE3280" s="19">
        <v>0</v>
      </c>
      <c r="BF3280" s="229">
        <f t="shared" si="1356"/>
        <v>0</v>
      </c>
      <c r="BG3280" s="210">
        <f t="shared" si="1355"/>
        <v>38</v>
      </c>
      <c r="BH3280" s="210">
        <f t="shared" si="1347"/>
        <v>51</v>
      </c>
      <c r="BI3280" s="213">
        <f t="shared" si="1354"/>
        <v>74.509803921568633</v>
      </c>
      <c r="BJ3280" s="141"/>
      <c r="BK3280" s="201"/>
      <c r="BL3280" s="4"/>
      <c r="BM3280" s="4"/>
    </row>
    <row r="3281" spans="1:65" s="38" customFormat="1" ht="21.95" customHeight="1">
      <c r="A3281" s="114">
        <v>26</v>
      </c>
      <c r="B3281" s="24" t="s">
        <v>657</v>
      </c>
      <c r="C3281" s="27" t="s">
        <v>1401</v>
      </c>
      <c r="D3281" s="121"/>
      <c r="E3281" s="121"/>
      <c r="F3281" s="121"/>
      <c r="G3281" s="121"/>
      <c r="H3281" s="121"/>
      <c r="I3281" s="121">
        <v>40</v>
      </c>
      <c r="J3281" s="121"/>
      <c r="K3281" s="121"/>
      <c r="L3281" s="121"/>
      <c r="M3281" s="121"/>
      <c r="N3281" s="121"/>
      <c r="O3281" s="121">
        <f>47+2</f>
        <v>49</v>
      </c>
      <c r="P3281" s="121"/>
      <c r="Q3281" s="121"/>
      <c r="R3281" s="121"/>
      <c r="S3281" s="121"/>
      <c r="T3281" s="121"/>
      <c r="U3281" s="121">
        <f>39+2</f>
        <v>41</v>
      </c>
      <c r="V3281" s="121"/>
      <c r="W3281" s="121"/>
      <c r="X3281" s="121"/>
      <c r="Y3281" s="121"/>
      <c r="Z3281" s="121"/>
      <c r="AA3281" s="121">
        <v>69</v>
      </c>
      <c r="AB3281" s="229">
        <f t="shared" si="1348"/>
        <v>0</v>
      </c>
      <c r="AC3281" s="228">
        <f t="shared" si="1349"/>
        <v>199</v>
      </c>
      <c r="AD3281" s="19">
        <v>228</v>
      </c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  <c r="AZ3281" s="28"/>
      <c r="BA3281" s="28"/>
      <c r="BB3281" s="28"/>
      <c r="BC3281" s="229">
        <f t="shared" si="1350"/>
        <v>0</v>
      </c>
      <c r="BD3281" s="48">
        <f t="shared" si="1351"/>
        <v>0</v>
      </c>
      <c r="BE3281" s="19">
        <v>0</v>
      </c>
      <c r="BF3281" s="229">
        <f t="shared" si="1356"/>
        <v>0</v>
      </c>
      <c r="BG3281" s="210">
        <f t="shared" si="1355"/>
        <v>199</v>
      </c>
      <c r="BH3281" s="210">
        <f t="shared" si="1347"/>
        <v>228</v>
      </c>
      <c r="BI3281" s="213">
        <f t="shared" si="1354"/>
        <v>87.280701754385973</v>
      </c>
      <c r="BJ3281" s="141"/>
      <c r="BK3281" s="201"/>
      <c r="BL3281" s="4"/>
      <c r="BM3281" s="4"/>
    </row>
    <row r="3282" spans="1:65" s="38" customFormat="1" ht="21.95" customHeight="1">
      <c r="A3282" s="114">
        <v>27</v>
      </c>
      <c r="B3282" s="24" t="s">
        <v>658</v>
      </c>
      <c r="C3282" s="25" t="s">
        <v>779</v>
      </c>
      <c r="D3282" s="121"/>
      <c r="E3282" s="121"/>
      <c r="F3282" s="121"/>
      <c r="G3282" s="121"/>
      <c r="H3282" s="121"/>
      <c r="I3282" s="121">
        <f>14+4</f>
        <v>18</v>
      </c>
      <c r="J3282" s="121"/>
      <c r="K3282" s="121"/>
      <c r="L3282" s="121"/>
      <c r="M3282" s="121"/>
      <c r="N3282" s="121"/>
      <c r="O3282" s="121">
        <v>10</v>
      </c>
      <c r="P3282" s="121"/>
      <c r="Q3282" s="121"/>
      <c r="R3282" s="121"/>
      <c r="S3282" s="121"/>
      <c r="T3282" s="121"/>
      <c r="U3282" s="121">
        <v>6</v>
      </c>
      <c r="V3282" s="121"/>
      <c r="W3282" s="121"/>
      <c r="X3282" s="121"/>
      <c r="Y3282" s="121"/>
      <c r="Z3282" s="121"/>
      <c r="AA3282" s="121">
        <v>10</v>
      </c>
      <c r="AB3282" s="229">
        <f t="shared" si="1348"/>
        <v>0</v>
      </c>
      <c r="AC3282" s="228">
        <f t="shared" si="1349"/>
        <v>44</v>
      </c>
      <c r="AD3282" s="19">
        <v>33</v>
      </c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29">
        <f t="shared" si="1350"/>
        <v>0</v>
      </c>
      <c r="BD3282" s="48">
        <f t="shared" si="1351"/>
        <v>0</v>
      </c>
      <c r="BE3282" s="19">
        <v>0</v>
      </c>
      <c r="BF3282" s="229">
        <f t="shared" si="1356"/>
        <v>0</v>
      </c>
      <c r="BG3282" s="210">
        <f t="shared" si="1355"/>
        <v>44</v>
      </c>
      <c r="BH3282" s="210">
        <f t="shared" si="1347"/>
        <v>33</v>
      </c>
      <c r="BI3282" s="213">
        <f t="shared" si="1354"/>
        <v>133.33333333333331</v>
      </c>
      <c r="BJ3282" s="141"/>
      <c r="BK3282" s="201"/>
      <c r="BL3282" s="4"/>
      <c r="BM3282" s="4"/>
    </row>
    <row r="3283" spans="1:65" s="38" customFormat="1" ht="18" customHeight="1">
      <c r="A3283" s="114">
        <v>28</v>
      </c>
      <c r="B3283" s="24" t="s">
        <v>780</v>
      </c>
      <c r="C3283" s="25" t="s">
        <v>781</v>
      </c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229">
        <f t="shared" si="1348"/>
        <v>0</v>
      </c>
      <c r="AC3283" s="228">
        <f t="shared" si="1349"/>
        <v>0</v>
      </c>
      <c r="AD3283" s="19">
        <v>1</v>
      </c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  <c r="AZ3283" s="28"/>
      <c r="BA3283" s="28"/>
      <c r="BB3283" s="28"/>
      <c r="BC3283" s="229">
        <f t="shared" si="1350"/>
        <v>0</v>
      </c>
      <c r="BD3283" s="48">
        <f t="shared" si="1351"/>
        <v>0</v>
      </c>
      <c r="BE3283" s="19">
        <v>0</v>
      </c>
      <c r="BF3283" s="229">
        <f t="shared" si="1356"/>
        <v>0</v>
      </c>
      <c r="BG3283" s="210">
        <f t="shared" si="1355"/>
        <v>0</v>
      </c>
      <c r="BH3283" s="210">
        <f t="shared" si="1347"/>
        <v>1</v>
      </c>
      <c r="BI3283" s="213">
        <f t="shared" si="1354"/>
        <v>0</v>
      </c>
      <c r="BJ3283" s="141"/>
      <c r="BK3283" s="201"/>
      <c r="BL3283" s="4"/>
      <c r="BM3283" s="4"/>
    </row>
    <row r="3284" spans="1:65" s="38" customFormat="1" ht="18" customHeight="1">
      <c r="A3284" s="114">
        <v>29</v>
      </c>
      <c r="B3284" s="24" t="s">
        <v>903</v>
      </c>
      <c r="C3284" s="332" t="s">
        <v>1165</v>
      </c>
      <c r="D3284" s="333"/>
      <c r="E3284" s="333"/>
      <c r="F3284" s="333"/>
      <c r="G3284" s="333"/>
      <c r="H3284" s="333"/>
      <c r="I3284" s="333"/>
      <c r="J3284" s="333"/>
      <c r="K3284" s="333"/>
      <c r="L3284" s="333"/>
      <c r="M3284" s="333"/>
      <c r="N3284" s="333"/>
      <c r="O3284" s="333"/>
      <c r="P3284" s="333"/>
      <c r="Q3284" s="333"/>
      <c r="R3284" s="333"/>
      <c r="S3284" s="333"/>
      <c r="T3284" s="333"/>
      <c r="U3284" s="333"/>
      <c r="V3284" s="333"/>
      <c r="W3284" s="333"/>
      <c r="X3284" s="333"/>
      <c r="Y3284" s="333"/>
      <c r="Z3284" s="333"/>
      <c r="AA3284" s="333">
        <v>1</v>
      </c>
      <c r="AB3284" s="323"/>
      <c r="AC3284" s="228">
        <f t="shared" si="1349"/>
        <v>1</v>
      </c>
      <c r="AD3284" s="326">
        <v>0</v>
      </c>
      <c r="AE3284" s="334"/>
      <c r="AF3284" s="334"/>
      <c r="AG3284" s="334"/>
      <c r="AH3284" s="334"/>
      <c r="AI3284" s="334"/>
      <c r="AJ3284" s="334"/>
      <c r="AK3284" s="334"/>
      <c r="AL3284" s="334"/>
      <c r="AM3284" s="334"/>
      <c r="AN3284" s="334"/>
      <c r="AO3284" s="334"/>
      <c r="AP3284" s="334"/>
      <c r="AQ3284" s="334"/>
      <c r="AR3284" s="334"/>
      <c r="AS3284" s="334"/>
      <c r="AT3284" s="334"/>
      <c r="AU3284" s="334"/>
      <c r="AV3284" s="334"/>
      <c r="AW3284" s="334"/>
      <c r="AX3284" s="334"/>
      <c r="AY3284" s="334"/>
      <c r="AZ3284" s="334"/>
      <c r="BA3284" s="334"/>
      <c r="BB3284" s="334"/>
      <c r="BC3284" s="323"/>
      <c r="BD3284" s="48">
        <f t="shared" si="1351"/>
        <v>0</v>
      </c>
      <c r="BE3284" s="326">
        <v>0</v>
      </c>
      <c r="BF3284" s="323"/>
      <c r="BG3284" s="210">
        <f t="shared" ref="BG3284" si="1357">AC3284+BD3284</f>
        <v>1</v>
      </c>
      <c r="BH3284" s="210">
        <f t="shared" ref="BH3284" si="1358">AD3284+BE3284</f>
        <v>0</v>
      </c>
      <c r="BI3284" s="213" t="e">
        <f t="shared" ref="BI3284" si="1359">BG3284/BH3284*100</f>
        <v>#DIV/0!</v>
      </c>
      <c r="BJ3284" s="141"/>
      <c r="BK3284" s="201"/>
      <c r="BL3284" s="4"/>
      <c r="BM3284" s="4"/>
    </row>
    <row r="3285" spans="1:65" s="38" customFormat="1" ht="21.95" customHeight="1">
      <c r="A3285" s="114">
        <v>30</v>
      </c>
      <c r="B3285" s="24" t="s">
        <v>661</v>
      </c>
      <c r="C3285" s="27" t="s">
        <v>743</v>
      </c>
      <c r="D3285" s="121"/>
      <c r="E3285" s="121"/>
      <c r="F3285" s="121"/>
      <c r="G3285" s="121"/>
      <c r="H3285" s="121"/>
      <c r="I3285" s="121">
        <v>35</v>
      </c>
      <c r="J3285" s="121"/>
      <c r="K3285" s="121"/>
      <c r="L3285" s="121"/>
      <c r="M3285" s="121"/>
      <c r="N3285" s="121"/>
      <c r="O3285" s="121">
        <v>16</v>
      </c>
      <c r="P3285" s="121"/>
      <c r="Q3285" s="121"/>
      <c r="R3285" s="121"/>
      <c r="S3285" s="121"/>
      <c r="T3285" s="121"/>
      <c r="U3285" s="121">
        <v>11</v>
      </c>
      <c r="V3285" s="121"/>
      <c r="W3285" s="121"/>
      <c r="X3285" s="121"/>
      <c r="Y3285" s="121"/>
      <c r="Z3285" s="121"/>
      <c r="AA3285" s="121">
        <v>11</v>
      </c>
      <c r="AB3285" s="229">
        <f t="shared" si="1348"/>
        <v>0</v>
      </c>
      <c r="AC3285" s="228">
        <f t="shared" si="1349"/>
        <v>73</v>
      </c>
      <c r="AD3285" s="19">
        <v>78</v>
      </c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29">
        <f t="shared" si="1350"/>
        <v>0</v>
      </c>
      <c r="BD3285" s="48">
        <f t="shared" si="1351"/>
        <v>0</v>
      </c>
      <c r="BE3285" s="19">
        <v>0</v>
      </c>
      <c r="BF3285" s="229">
        <f t="shared" si="1356"/>
        <v>0</v>
      </c>
      <c r="BG3285" s="210">
        <f t="shared" si="1355"/>
        <v>73</v>
      </c>
      <c r="BH3285" s="210">
        <f t="shared" si="1347"/>
        <v>78</v>
      </c>
      <c r="BI3285" s="213">
        <f t="shared" si="1354"/>
        <v>93.589743589743591</v>
      </c>
      <c r="BJ3285" s="141"/>
      <c r="BK3285" s="201"/>
      <c r="BL3285" s="4"/>
      <c r="BM3285" s="4"/>
    </row>
    <row r="3286" spans="1:65" s="38" customFormat="1" ht="21.95" customHeight="1">
      <c r="A3286" s="114">
        <v>31</v>
      </c>
      <c r="B3286" s="24" t="s">
        <v>667</v>
      </c>
      <c r="C3286" s="27" t="s">
        <v>792</v>
      </c>
      <c r="D3286" s="121"/>
      <c r="E3286" s="121"/>
      <c r="F3286" s="121"/>
      <c r="G3286" s="121"/>
      <c r="H3286" s="121"/>
      <c r="I3286" s="121">
        <v>1</v>
      </c>
      <c r="J3286" s="121"/>
      <c r="K3286" s="121"/>
      <c r="L3286" s="121"/>
      <c r="M3286" s="121"/>
      <c r="N3286" s="121"/>
      <c r="O3286" s="121">
        <v>1</v>
      </c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229">
        <f t="shared" si="1348"/>
        <v>0</v>
      </c>
      <c r="AC3286" s="228">
        <f t="shared" si="1349"/>
        <v>2</v>
      </c>
      <c r="AD3286" s="19">
        <v>0</v>
      </c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29">
        <f t="shared" si="1350"/>
        <v>0</v>
      </c>
      <c r="BD3286" s="48">
        <f t="shared" si="1351"/>
        <v>0</v>
      </c>
      <c r="BE3286" s="19">
        <v>0</v>
      </c>
      <c r="BF3286" s="229">
        <f t="shared" si="1356"/>
        <v>0</v>
      </c>
      <c r="BG3286" s="210">
        <f t="shared" si="1355"/>
        <v>2</v>
      </c>
      <c r="BH3286" s="210">
        <f t="shared" si="1347"/>
        <v>0</v>
      </c>
      <c r="BI3286" s="213" t="e">
        <f t="shared" si="1354"/>
        <v>#DIV/0!</v>
      </c>
      <c r="BJ3286" s="141"/>
      <c r="BK3286" s="201"/>
      <c r="BL3286" s="4"/>
      <c r="BM3286" s="4"/>
    </row>
    <row r="3287" spans="1:65" s="38" customFormat="1" ht="21.95" customHeight="1">
      <c r="A3287" s="114">
        <v>32</v>
      </c>
      <c r="B3287" s="24" t="s">
        <v>2043</v>
      </c>
      <c r="C3287" s="25" t="s">
        <v>2044</v>
      </c>
      <c r="D3287" s="121"/>
      <c r="E3287" s="121"/>
      <c r="F3287" s="121"/>
      <c r="G3287" s="121"/>
      <c r="H3287" s="121"/>
      <c r="I3287" s="121">
        <f>1021+50</f>
        <v>1071</v>
      </c>
      <c r="J3287" s="121"/>
      <c r="K3287" s="121"/>
      <c r="L3287" s="121"/>
      <c r="M3287" s="121"/>
      <c r="N3287" s="121"/>
      <c r="O3287" s="121">
        <f>1067+132</f>
        <v>1199</v>
      </c>
      <c r="P3287" s="121"/>
      <c r="Q3287" s="121"/>
      <c r="R3287" s="121"/>
      <c r="S3287" s="121"/>
      <c r="T3287" s="121"/>
      <c r="U3287" s="121">
        <f>1125+174</f>
        <v>1299</v>
      </c>
      <c r="V3287" s="121"/>
      <c r="W3287" s="121"/>
      <c r="X3287" s="121"/>
      <c r="Y3287" s="121"/>
      <c r="Z3287" s="121"/>
      <c r="AA3287" s="121">
        <f>1196+153</f>
        <v>1349</v>
      </c>
      <c r="AB3287" s="229">
        <f t="shared" si="1348"/>
        <v>0</v>
      </c>
      <c r="AC3287" s="228">
        <f t="shared" si="1349"/>
        <v>4918</v>
      </c>
      <c r="AD3287" s="19">
        <v>3658</v>
      </c>
      <c r="AE3287" s="28"/>
      <c r="AF3287" s="28"/>
      <c r="AG3287" s="28"/>
      <c r="AH3287" s="28"/>
      <c r="AI3287" s="28"/>
      <c r="AJ3287" s="28">
        <v>3</v>
      </c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>
        <v>2</v>
      </c>
      <c r="BC3287" s="229">
        <f t="shared" si="1350"/>
        <v>0</v>
      </c>
      <c r="BD3287" s="48">
        <f t="shared" si="1351"/>
        <v>5</v>
      </c>
      <c r="BE3287" s="19">
        <v>18</v>
      </c>
      <c r="BF3287" s="229">
        <f t="shared" si="1356"/>
        <v>0</v>
      </c>
      <c r="BG3287" s="210">
        <f t="shared" si="1355"/>
        <v>4923</v>
      </c>
      <c r="BH3287" s="210">
        <f t="shared" si="1347"/>
        <v>3676</v>
      </c>
      <c r="BI3287" s="213">
        <f t="shared" si="1354"/>
        <v>133.92274211099021</v>
      </c>
      <c r="BJ3287" s="141"/>
      <c r="BK3287" s="201"/>
      <c r="BL3287" s="4"/>
      <c r="BM3287" s="4"/>
    </row>
    <row r="3288" spans="1:65" s="38" customFormat="1" ht="21.95" customHeight="1">
      <c r="A3288" s="373" t="s">
        <v>545</v>
      </c>
      <c r="B3288" s="373"/>
      <c r="C3288" s="373"/>
      <c r="D3288" s="220">
        <f t="shared" ref="D3288:AA3288" si="1360">SUM(D3289:D3332)</f>
        <v>0</v>
      </c>
      <c r="E3288" s="220">
        <f t="shared" si="1360"/>
        <v>0</v>
      </c>
      <c r="F3288" s="220">
        <f t="shared" si="1360"/>
        <v>0</v>
      </c>
      <c r="G3288" s="220">
        <f t="shared" si="1360"/>
        <v>0</v>
      </c>
      <c r="H3288" s="220">
        <f t="shared" si="1360"/>
        <v>0</v>
      </c>
      <c r="I3288" s="220">
        <f t="shared" si="1360"/>
        <v>6040</v>
      </c>
      <c r="J3288" s="220">
        <f t="shared" si="1360"/>
        <v>0</v>
      </c>
      <c r="K3288" s="220">
        <f t="shared" si="1360"/>
        <v>0</v>
      </c>
      <c r="L3288" s="220">
        <f t="shared" si="1360"/>
        <v>0</v>
      </c>
      <c r="M3288" s="220">
        <f t="shared" si="1360"/>
        <v>0</v>
      </c>
      <c r="N3288" s="220">
        <f t="shared" si="1360"/>
        <v>0</v>
      </c>
      <c r="O3288" s="220">
        <f t="shared" si="1360"/>
        <v>5954</v>
      </c>
      <c r="P3288" s="220">
        <f t="shared" si="1360"/>
        <v>0</v>
      </c>
      <c r="Q3288" s="220">
        <f t="shared" si="1360"/>
        <v>0</v>
      </c>
      <c r="R3288" s="220">
        <f t="shared" si="1360"/>
        <v>0</v>
      </c>
      <c r="S3288" s="220">
        <f t="shared" si="1360"/>
        <v>0</v>
      </c>
      <c r="T3288" s="220">
        <f t="shared" si="1360"/>
        <v>0</v>
      </c>
      <c r="U3288" s="220">
        <f t="shared" si="1360"/>
        <v>7530</v>
      </c>
      <c r="V3288" s="220">
        <f t="shared" si="1360"/>
        <v>0</v>
      </c>
      <c r="W3288" s="220">
        <f t="shared" si="1360"/>
        <v>0</v>
      </c>
      <c r="X3288" s="220">
        <f t="shared" si="1360"/>
        <v>0</v>
      </c>
      <c r="Y3288" s="220">
        <f t="shared" si="1360"/>
        <v>0</v>
      </c>
      <c r="Z3288" s="220">
        <f t="shared" si="1360"/>
        <v>0</v>
      </c>
      <c r="AA3288" s="220">
        <f t="shared" si="1360"/>
        <v>7086</v>
      </c>
      <c r="AB3288" s="220">
        <f t="shared" ref="AB3288" si="1361">D3288+F3288+H3288+J3288+L3288+N3288+P3288+R3288+T3288+V3288+X3288+Z3288</f>
        <v>0</v>
      </c>
      <c r="AC3288" s="220">
        <f t="shared" ref="AC3288" si="1362">E3288+G3288+I3288+K3288+M3288+O3288+Q3288+S3288+U3288+W3288+Y3288+AA3288</f>
        <v>26610</v>
      </c>
      <c r="AD3288" s="220">
        <f t="shared" ref="AD3288:BB3288" si="1363">SUM(AD3289:AD3332)</f>
        <v>20799</v>
      </c>
      <c r="AE3288" s="220">
        <f t="shared" si="1363"/>
        <v>0</v>
      </c>
      <c r="AF3288" s="220">
        <f t="shared" si="1363"/>
        <v>0</v>
      </c>
      <c r="AG3288" s="220">
        <f t="shared" si="1363"/>
        <v>0</v>
      </c>
      <c r="AH3288" s="220">
        <f t="shared" si="1363"/>
        <v>0</v>
      </c>
      <c r="AI3288" s="220">
        <f t="shared" si="1363"/>
        <v>0</v>
      </c>
      <c r="AJ3288" s="220">
        <f t="shared" si="1363"/>
        <v>6</v>
      </c>
      <c r="AK3288" s="220">
        <f t="shared" si="1363"/>
        <v>0</v>
      </c>
      <c r="AL3288" s="220">
        <f t="shared" si="1363"/>
        <v>0</v>
      </c>
      <c r="AM3288" s="220">
        <f t="shared" si="1363"/>
        <v>0</v>
      </c>
      <c r="AN3288" s="220">
        <f t="shared" si="1363"/>
        <v>0</v>
      </c>
      <c r="AO3288" s="220">
        <f t="shared" si="1363"/>
        <v>0</v>
      </c>
      <c r="AP3288" s="220">
        <f t="shared" si="1363"/>
        <v>389</v>
      </c>
      <c r="AQ3288" s="220">
        <f t="shared" si="1363"/>
        <v>0</v>
      </c>
      <c r="AR3288" s="220">
        <f t="shared" si="1363"/>
        <v>0</v>
      </c>
      <c r="AS3288" s="220">
        <f t="shared" si="1363"/>
        <v>0</v>
      </c>
      <c r="AT3288" s="220">
        <f t="shared" si="1363"/>
        <v>0</v>
      </c>
      <c r="AU3288" s="220">
        <f t="shared" si="1363"/>
        <v>0</v>
      </c>
      <c r="AV3288" s="220">
        <f t="shared" si="1363"/>
        <v>4</v>
      </c>
      <c r="AW3288" s="220">
        <f t="shared" si="1363"/>
        <v>0</v>
      </c>
      <c r="AX3288" s="220">
        <f t="shared" si="1363"/>
        <v>0</v>
      </c>
      <c r="AY3288" s="220">
        <f t="shared" si="1363"/>
        <v>0</v>
      </c>
      <c r="AZ3288" s="220">
        <f t="shared" si="1363"/>
        <v>0</v>
      </c>
      <c r="BA3288" s="220">
        <f t="shared" si="1363"/>
        <v>0</v>
      </c>
      <c r="BB3288" s="220">
        <f t="shared" si="1363"/>
        <v>5</v>
      </c>
      <c r="BC3288" s="220">
        <f t="shared" ref="BC3288" si="1364">AE3288+AG3288+AI3288+AK3288+AM3288+AO3288+AQ3288+AS3288+AU3288+AW3288+AY3288+BA3288</f>
        <v>0</v>
      </c>
      <c r="BD3288" s="210">
        <f t="shared" ref="BD3288" si="1365">AF3288+AH3288+AJ3288+AL3288+AN3288+AP3288+AR3288+AT3288+AV3288+AX3288+AZ3288+BB3288</f>
        <v>404</v>
      </c>
      <c r="BE3288" s="220">
        <f>SUM(BE3289:BE3332)</f>
        <v>21</v>
      </c>
      <c r="BF3288" s="220">
        <f t="shared" ref="BF3288" si="1366">AB3288+BC3288</f>
        <v>0</v>
      </c>
      <c r="BG3288" s="210">
        <f t="shared" ref="BG3288" si="1367">AC3288+BD3288</f>
        <v>27014</v>
      </c>
      <c r="BH3288" s="210">
        <f t="shared" si="1347"/>
        <v>20820</v>
      </c>
      <c r="BI3288" s="213">
        <f t="shared" ref="BI3288" si="1368">BG3288/BH3288*100</f>
        <v>129.75024015369837</v>
      </c>
      <c r="BJ3288" s="140">
        <v>20820</v>
      </c>
      <c r="BK3288" s="203">
        <f>BH3288-BJ3288</f>
        <v>0</v>
      </c>
      <c r="BL3288" s="198">
        <v>8219</v>
      </c>
      <c r="BM3288" s="199">
        <f>BG3288-BL3288</f>
        <v>18795</v>
      </c>
    </row>
    <row r="3289" spans="1:65" s="38" customFormat="1" ht="18" customHeight="1">
      <c r="A3289" s="114">
        <v>1</v>
      </c>
      <c r="B3289" s="24" t="s">
        <v>549</v>
      </c>
      <c r="C3289" s="25" t="s">
        <v>1393</v>
      </c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229">
        <f t="shared" ref="AB3289:AB3297" si="1369">D3289+F3289+H3289+J3289+L3289+N3289+P3289+R3289+T3289+V3289+X3289+Z3289</f>
        <v>0</v>
      </c>
      <c r="AC3289" s="228">
        <f t="shared" ref="AC3289:AC3297" si="1370">E3289+G3289+I3289+K3289+M3289+O3289+Q3289+S3289+U3289+W3289+Y3289+AA3289</f>
        <v>0</v>
      </c>
      <c r="AD3289" s="19">
        <v>2</v>
      </c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29">
        <f t="shared" ref="BC3289:BC3297" si="1371">AE3289+AG3289+AI3289+AK3289+AM3289+AO3289+AQ3289+AS3289+AU3289+AW3289+AY3289+BA3289</f>
        <v>0</v>
      </c>
      <c r="BD3289" s="48">
        <f t="shared" ref="BD3289:BD3297" si="1372">AF3289+AH3289+AJ3289+AL3289+AN3289+AP3289+AR3289+AT3289+AV3289+AX3289+AZ3289+BB3289</f>
        <v>0</v>
      </c>
      <c r="BE3289" s="19">
        <v>0</v>
      </c>
      <c r="BF3289" s="229">
        <f t="shared" ref="BF3289:BF3297" si="1373">AB3289+BC3289</f>
        <v>0</v>
      </c>
      <c r="BG3289" s="210">
        <f t="shared" ref="BG3289:BG3297" si="1374">AC3289+BD3289</f>
        <v>0</v>
      </c>
      <c r="BH3289" s="210">
        <f t="shared" ref="BH3289:BH3297" si="1375">AD3289+BE3289</f>
        <v>2</v>
      </c>
      <c r="BI3289" s="213">
        <f t="shared" ref="BI3289:BI3332" si="1376">BG3289/BH3289*100</f>
        <v>0</v>
      </c>
      <c r="BJ3289" s="270" t="s">
        <v>2857</v>
      </c>
      <c r="BK3289" s="201"/>
      <c r="BL3289" s="4"/>
      <c r="BM3289" s="4"/>
    </row>
    <row r="3290" spans="1:65" s="38" customFormat="1" ht="21.95" customHeight="1">
      <c r="A3290" s="114">
        <v>2</v>
      </c>
      <c r="B3290" s="24" t="s">
        <v>705</v>
      </c>
      <c r="C3290" s="27" t="s">
        <v>706</v>
      </c>
      <c r="D3290" s="121"/>
      <c r="E3290" s="121"/>
      <c r="F3290" s="121"/>
      <c r="G3290" s="121"/>
      <c r="H3290" s="121"/>
      <c r="I3290" s="121">
        <v>4</v>
      </c>
      <c r="J3290" s="121"/>
      <c r="K3290" s="121"/>
      <c r="L3290" s="121"/>
      <c r="M3290" s="121"/>
      <c r="N3290" s="121"/>
      <c r="O3290" s="121">
        <v>3</v>
      </c>
      <c r="P3290" s="121"/>
      <c r="Q3290" s="121"/>
      <c r="R3290" s="121"/>
      <c r="S3290" s="121"/>
      <c r="T3290" s="121"/>
      <c r="U3290" s="121">
        <v>12</v>
      </c>
      <c r="V3290" s="121"/>
      <c r="W3290" s="121"/>
      <c r="X3290" s="121"/>
      <c r="Y3290" s="121"/>
      <c r="Z3290" s="121"/>
      <c r="AA3290" s="121">
        <v>5</v>
      </c>
      <c r="AB3290" s="229">
        <f t="shared" si="1369"/>
        <v>0</v>
      </c>
      <c r="AC3290" s="228">
        <f t="shared" si="1370"/>
        <v>24</v>
      </c>
      <c r="AD3290" s="19">
        <v>11</v>
      </c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29">
        <f t="shared" si="1371"/>
        <v>0</v>
      </c>
      <c r="BD3290" s="48">
        <f t="shared" si="1372"/>
        <v>0</v>
      </c>
      <c r="BE3290" s="19">
        <v>0</v>
      </c>
      <c r="BF3290" s="229">
        <f t="shared" si="1373"/>
        <v>0</v>
      </c>
      <c r="BG3290" s="210">
        <f t="shared" si="1374"/>
        <v>24</v>
      </c>
      <c r="BH3290" s="210">
        <f t="shared" si="1375"/>
        <v>11</v>
      </c>
      <c r="BI3290" s="213">
        <f t="shared" si="1376"/>
        <v>218.18181818181816</v>
      </c>
      <c r="BJ3290" s="270" t="s">
        <v>2857</v>
      </c>
      <c r="BK3290" s="201"/>
      <c r="BL3290" s="4"/>
      <c r="BM3290" s="4"/>
    </row>
    <row r="3291" spans="1:65" ht="18" customHeight="1">
      <c r="A3291" s="114">
        <v>3</v>
      </c>
      <c r="B3291" s="24" t="s">
        <v>937</v>
      </c>
      <c r="C3291" s="25" t="s">
        <v>938</v>
      </c>
      <c r="D3291" s="121"/>
      <c r="E3291" s="121"/>
      <c r="F3291" s="121"/>
      <c r="G3291" s="121"/>
      <c r="H3291" s="121"/>
      <c r="I3291" s="121">
        <v>1</v>
      </c>
      <c r="J3291" s="121"/>
      <c r="K3291" s="121"/>
      <c r="L3291" s="121"/>
      <c r="M3291" s="121"/>
      <c r="N3291" s="121"/>
      <c r="O3291" s="121">
        <v>1</v>
      </c>
      <c r="P3291" s="121"/>
      <c r="Q3291" s="121"/>
      <c r="R3291" s="121"/>
      <c r="S3291" s="121"/>
      <c r="T3291" s="121"/>
      <c r="U3291" s="121">
        <v>1</v>
      </c>
      <c r="V3291" s="121"/>
      <c r="W3291" s="121"/>
      <c r="X3291" s="121"/>
      <c r="Y3291" s="121"/>
      <c r="Z3291" s="121"/>
      <c r="AA3291" s="121">
        <v>2</v>
      </c>
      <c r="AB3291" s="229">
        <f t="shared" si="1369"/>
        <v>0</v>
      </c>
      <c r="AC3291" s="228">
        <f t="shared" si="1370"/>
        <v>5</v>
      </c>
      <c r="AD3291" s="19">
        <v>5</v>
      </c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29">
        <f t="shared" si="1371"/>
        <v>0</v>
      </c>
      <c r="BD3291" s="48">
        <f t="shared" si="1372"/>
        <v>0</v>
      </c>
      <c r="BE3291" s="19">
        <v>0</v>
      </c>
      <c r="BF3291" s="229">
        <f t="shared" si="1373"/>
        <v>0</v>
      </c>
      <c r="BG3291" s="210">
        <f t="shared" si="1374"/>
        <v>5</v>
      </c>
      <c r="BH3291" s="210">
        <f t="shared" si="1375"/>
        <v>5</v>
      </c>
      <c r="BI3291" s="213">
        <f t="shared" si="1376"/>
        <v>100</v>
      </c>
      <c r="BJ3291" s="270" t="s">
        <v>2857</v>
      </c>
      <c r="BK3291" s="201"/>
    </row>
    <row r="3292" spans="1:65" ht="18" customHeight="1">
      <c r="A3292" s="114">
        <v>4</v>
      </c>
      <c r="B3292" s="24" t="s">
        <v>1698</v>
      </c>
      <c r="C3292" s="25" t="s">
        <v>2038</v>
      </c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229">
        <f t="shared" si="1369"/>
        <v>0</v>
      </c>
      <c r="AC3292" s="228">
        <f t="shared" si="1370"/>
        <v>0</v>
      </c>
      <c r="AD3292" s="19">
        <v>1298</v>
      </c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29">
        <f t="shared" si="1371"/>
        <v>0</v>
      </c>
      <c r="BD3292" s="48">
        <f t="shared" si="1372"/>
        <v>0</v>
      </c>
      <c r="BE3292" s="19">
        <v>0</v>
      </c>
      <c r="BF3292" s="229">
        <f t="shared" si="1373"/>
        <v>0</v>
      </c>
      <c r="BG3292" s="210">
        <f t="shared" si="1374"/>
        <v>0</v>
      </c>
      <c r="BH3292" s="210">
        <f t="shared" si="1375"/>
        <v>1298</v>
      </c>
      <c r="BI3292" s="213">
        <f t="shared" si="1376"/>
        <v>0</v>
      </c>
      <c r="BJ3292" s="270" t="s">
        <v>2857</v>
      </c>
      <c r="BK3292" s="201"/>
    </row>
    <row r="3293" spans="1:65" ht="18" customHeight="1">
      <c r="A3293" s="114">
        <v>5</v>
      </c>
      <c r="B3293" s="24" t="s">
        <v>2611</v>
      </c>
      <c r="C3293" s="25" t="s">
        <v>2612</v>
      </c>
      <c r="D3293" s="121"/>
      <c r="E3293" s="121"/>
      <c r="F3293" s="121"/>
      <c r="G3293" s="121"/>
      <c r="H3293" s="121"/>
      <c r="I3293" s="121">
        <f>4+1</f>
        <v>5</v>
      </c>
      <c r="J3293" s="121"/>
      <c r="K3293" s="121"/>
      <c r="L3293" s="121"/>
      <c r="M3293" s="121"/>
      <c r="N3293" s="121"/>
      <c r="O3293" s="121">
        <f>12+1</f>
        <v>13</v>
      </c>
      <c r="P3293" s="121"/>
      <c r="Q3293" s="121"/>
      <c r="R3293" s="121"/>
      <c r="S3293" s="121"/>
      <c r="T3293" s="121"/>
      <c r="U3293" s="121">
        <v>19</v>
      </c>
      <c r="V3293" s="121"/>
      <c r="W3293" s="121"/>
      <c r="X3293" s="121"/>
      <c r="Y3293" s="121"/>
      <c r="Z3293" s="121"/>
      <c r="AA3293" s="121">
        <v>10</v>
      </c>
      <c r="AB3293" s="229">
        <f t="shared" si="1369"/>
        <v>0</v>
      </c>
      <c r="AC3293" s="228">
        <f t="shared" si="1370"/>
        <v>47</v>
      </c>
      <c r="AD3293" s="19">
        <v>10</v>
      </c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29">
        <f t="shared" si="1371"/>
        <v>0</v>
      </c>
      <c r="BD3293" s="48">
        <f t="shared" si="1372"/>
        <v>0</v>
      </c>
      <c r="BE3293" s="19">
        <v>0</v>
      </c>
      <c r="BF3293" s="229">
        <f t="shared" si="1373"/>
        <v>0</v>
      </c>
      <c r="BG3293" s="210">
        <f t="shared" si="1374"/>
        <v>47</v>
      </c>
      <c r="BH3293" s="210">
        <f t="shared" si="1375"/>
        <v>10</v>
      </c>
      <c r="BI3293" s="213">
        <f t="shared" si="1376"/>
        <v>470</v>
      </c>
      <c r="BJ3293" s="165"/>
      <c r="BK3293" s="201"/>
    </row>
    <row r="3294" spans="1:65" ht="18" customHeight="1">
      <c r="A3294" s="114">
        <v>6</v>
      </c>
      <c r="B3294" s="24" t="s">
        <v>2262</v>
      </c>
      <c r="C3294" s="25" t="s">
        <v>2263</v>
      </c>
      <c r="D3294" s="121"/>
      <c r="E3294" s="121"/>
      <c r="F3294" s="121"/>
      <c r="G3294" s="121"/>
      <c r="H3294" s="121"/>
      <c r="I3294" s="121">
        <v>156</v>
      </c>
      <c r="J3294" s="121"/>
      <c r="K3294" s="121"/>
      <c r="L3294" s="121"/>
      <c r="M3294" s="121"/>
      <c r="N3294" s="121"/>
      <c r="O3294" s="121">
        <v>131</v>
      </c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>
        <v>4</v>
      </c>
      <c r="AB3294" s="229">
        <f t="shared" si="1369"/>
        <v>0</v>
      </c>
      <c r="AC3294" s="228">
        <f t="shared" si="1370"/>
        <v>291</v>
      </c>
      <c r="AD3294" s="19">
        <f>206+92</f>
        <v>298</v>
      </c>
      <c r="AE3294" s="28"/>
      <c r="AF3294" s="28"/>
      <c r="AG3294" s="28"/>
      <c r="AH3294" s="28"/>
      <c r="AI3294" s="28"/>
      <c r="AJ3294" s="28">
        <v>1</v>
      </c>
      <c r="AK3294" s="28"/>
      <c r="AL3294" s="28"/>
      <c r="AM3294" s="28"/>
      <c r="AN3294" s="28"/>
      <c r="AO3294" s="28"/>
      <c r="AP3294" s="28">
        <v>1</v>
      </c>
      <c r="AQ3294" s="28"/>
      <c r="AR3294" s="28"/>
      <c r="AS3294" s="28"/>
      <c r="AT3294" s="28"/>
      <c r="AU3294" s="28"/>
      <c r="AV3294" s="28"/>
      <c r="AW3294" s="28"/>
      <c r="AX3294" s="28"/>
      <c r="AY3294" s="28"/>
      <c r="AZ3294" s="28"/>
      <c r="BA3294" s="28"/>
      <c r="BB3294" s="28"/>
      <c r="BC3294" s="229">
        <f t="shared" si="1371"/>
        <v>0</v>
      </c>
      <c r="BD3294" s="48">
        <f t="shared" si="1372"/>
        <v>2</v>
      </c>
      <c r="BE3294" s="19">
        <v>3</v>
      </c>
      <c r="BF3294" s="229">
        <f t="shared" si="1373"/>
        <v>0</v>
      </c>
      <c r="BG3294" s="210">
        <f t="shared" si="1374"/>
        <v>293</v>
      </c>
      <c r="BH3294" s="210">
        <f t="shared" si="1375"/>
        <v>301</v>
      </c>
      <c r="BI3294" s="213">
        <f t="shared" si="1376"/>
        <v>97.342192691029908</v>
      </c>
      <c r="BJ3294" s="165"/>
      <c r="BK3294" s="201"/>
    </row>
    <row r="3295" spans="1:65" ht="18" customHeight="1">
      <c r="A3295" s="114">
        <v>7</v>
      </c>
      <c r="B3295" s="24" t="s">
        <v>1184</v>
      </c>
      <c r="C3295" s="25" t="s">
        <v>1185</v>
      </c>
      <c r="D3295" s="121"/>
      <c r="E3295" s="121"/>
      <c r="F3295" s="121"/>
      <c r="G3295" s="121"/>
      <c r="H3295" s="121"/>
      <c r="I3295" s="121">
        <f>19+1</f>
        <v>20</v>
      </c>
      <c r="J3295" s="121"/>
      <c r="K3295" s="121"/>
      <c r="L3295" s="121"/>
      <c r="M3295" s="121"/>
      <c r="N3295" s="121"/>
      <c r="O3295" s="121">
        <f>1+1</f>
        <v>2</v>
      </c>
      <c r="P3295" s="121"/>
      <c r="Q3295" s="121"/>
      <c r="R3295" s="121"/>
      <c r="S3295" s="121"/>
      <c r="T3295" s="121"/>
      <c r="U3295" s="121">
        <v>1</v>
      </c>
      <c r="V3295" s="121"/>
      <c r="W3295" s="121"/>
      <c r="X3295" s="121"/>
      <c r="Y3295" s="121"/>
      <c r="Z3295" s="121"/>
      <c r="AA3295" s="121">
        <v>4</v>
      </c>
      <c r="AB3295" s="229">
        <f t="shared" si="1369"/>
        <v>0</v>
      </c>
      <c r="AC3295" s="228">
        <f t="shared" si="1370"/>
        <v>27</v>
      </c>
      <c r="AD3295" s="19">
        <v>88</v>
      </c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  <c r="AZ3295" s="28"/>
      <c r="BA3295" s="28"/>
      <c r="BB3295" s="28"/>
      <c r="BC3295" s="229">
        <f t="shared" si="1371"/>
        <v>0</v>
      </c>
      <c r="BD3295" s="48">
        <f t="shared" si="1372"/>
        <v>0</v>
      </c>
      <c r="BE3295" s="19">
        <v>0</v>
      </c>
      <c r="BF3295" s="229">
        <f t="shared" si="1373"/>
        <v>0</v>
      </c>
      <c r="BG3295" s="210">
        <f t="shared" si="1374"/>
        <v>27</v>
      </c>
      <c r="BH3295" s="210">
        <f t="shared" si="1375"/>
        <v>88</v>
      </c>
      <c r="BI3295" s="213">
        <f t="shared" si="1376"/>
        <v>30.681818181818183</v>
      </c>
      <c r="BJ3295" s="141"/>
      <c r="BK3295" s="201"/>
    </row>
    <row r="3296" spans="1:65" ht="18" customHeight="1">
      <c r="A3296" s="114">
        <v>8</v>
      </c>
      <c r="B3296" s="24" t="s">
        <v>571</v>
      </c>
      <c r="C3296" s="25" t="s">
        <v>572</v>
      </c>
      <c r="D3296" s="121"/>
      <c r="E3296" s="121"/>
      <c r="F3296" s="121"/>
      <c r="G3296" s="121"/>
      <c r="H3296" s="121"/>
      <c r="I3296" s="121">
        <f>92+1</f>
        <v>93</v>
      </c>
      <c r="J3296" s="121"/>
      <c r="K3296" s="121"/>
      <c r="L3296" s="121"/>
      <c r="M3296" s="121"/>
      <c r="N3296" s="121"/>
      <c r="O3296" s="121">
        <f>38+2</f>
        <v>40</v>
      </c>
      <c r="P3296" s="121"/>
      <c r="Q3296" s="121"/>
      <c r="R3296" s="121"/>
      <c r="S3296" s="121"/>
      <c r="T3296" s="121"/>
      <c r="U3296" s="121">
        <f>76+7</f>
        <v>83</v>
      </c>
      <c r="V3296" s="121"/>
      <c r="W3296" s="121"/>
      <c r="X3296" s="121"/>
      <c r="Y3296" s="121"/>
      <c r="Z3296" s="121"/>
      <c r="AA3296" s="121">
        <f>160+4</f>
        <v>164</v>
      </c>
      <c r="AB3296" s="229">
        <f t="shared" si="1369"/>
        <v>0</v>
      </c>
      <c r="AC3296" s="228">
        <f t="shared" si="1370"/>
        <v>380</v>
      </c>
      <c r="AD3296" s="19">
        <v>302</v>
      </c>
      <c r="AE3296" s="28"/>
      <c r="AF3296" s="28"/>
      <c r="AG3296" s="28"/>
      <c r="AH3296" s="28"/>
      <c r="AI3296" s="28"/>
      <c r="AJ3296" s="28">
        <v>2</v>
      </c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  <c r="AZ3296" s="28"/>
      <c r="BA3296" s="28"/>
      <c r="BB3296" s="28"/>
      <c r="BC3296" s="229">
        <f t="shared" si="1371"/>
        <v>0</v>
      </c>
      <c r="BD3296" s="48">
        <f t="shared" si="1372"/>
        <v>2</v>
      </c>
      <c r="BE3296" s="19">
        <v>0</v>
      </c>
      <c r="BF3296" s="229">
        <f t="shared" si="1373"/>
        <v>0</v>
      </c>
      <c r="BG3296" s="210">
        <f t="shared" si="1374"/>
        <v>382</v>
      </c>
      <c r="BH3296" s="210">
        <f t="shared" si="1375"/>
        <v>302</v>
      </c>
      <c r="BI3296" s="213">
        <f t="shared" si="1376"/>
        <v>126.49006622516556</v>
      </c>
      <c r="BJ3296" s="141"/>
      <c r="BK3296" s="201"/>
    </row>
    <row r="3297" spans="1:63" ht="18" customHeight="1">
      <c r="A3297" s="114">
        <v>9</v>
      </c>
      <c r="B3297" s="24" t="s">
        <v>585</v>
      </c>
      <c r="C3297" s="25" t="s">
        <v>586</v>
      </c>
      <c r="D3297" s="121"/>
      <c r="E3297" s="121"/>
      <c r="F3297" s="121"/>
      <c r="G3297" s="121"/>
      <c r="H3297" s="121"/>
      <c r="I3297" s="121">
        <f>771+3</f>
        <v>774</v>
      </c>
      <c r="J3297" s="121"/>
      <c r="K3297" s="121"/>
      <c r="L3297" s="121"/>
      <c r="M3297" s="121"/>
      <c r="N3297" s="121"/>
      <c r="O3297" s="121">
        <f>873+24</f>
        <v>897</v>
      </c>
      <c r="P3297" s="121"/>
      <c r="Q3297" s="121"/>
      <c r="R3297" s="121"/>
      <c r="S3297" s="121"/>
      <c r="T3297" s="121"/>
      <c r="U3297" s="121">
        <f>983+39</f>
        <v>1022</v>
      </c>
      <c r="V3297" s="121"/>
      <c r="W3297" s="121"/>
      <c r="X3297" s="121"/>
      <c r="Y3297" s="121"/>
      <c r="Z3297" s="121"/>
      <c r="AA3297" s="121">
        <f>769+20</f>
        <v>789</v>
      </c>
      <c r="AB3297" s="229">
        <f t="shared" si="1369"/>
        <v>0</v>
      </c>
      <c r="AC3297" s="228">
        <f t="shared" si="1370"/>
        <v>3482</v>
      </c>
      <c r="AD3297" s="19">
        <v>2895</v>
      </c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  <c r="AZ3297" s="28"/>
      <c r="BA3297" s="28"/>
      <c r="BB3297" s="28"/>
      <c r="BC3297" s="229">
        <f t="shared" si="1371"/>
        <v>0</v>
      </c>
      <c r="BD3297" s="48">
        <f t="shared" si="1372"/>
        <v>0</v>
      </c>
      <c r="BE3297" s="19">
        <v>0</v>
      </c>
      <c r="BF3297" s="229">
        <f t="shared" si="1373"/>
        <v>0</v>
      </c>
      <c r="BG3297" s="210">
        <f t="shared" si="1374"/>
        <v>3482</v>
      </c>
      <c r="BH3297" s="210">
        <f t="shared" si="1375"/>
        <v>2895</v>
      </c>
      <c r="BI3297" s="213">
        <f t="shared" si="1376"/>
        <v>120.27633851468049</v>
      </c>
      <c r="BJ3297" s="141"/>
      <c r="BK3297" s="201"/>
    </row>
    <row r="3298" spans="1:63" ht="18" customHeight="1">
      <c r="A3298" s="114">
        <v>10</v>
      </c>
      <c r="B3298" s="9" t="s">
        <v>495</v>
      </c>
      <c r="C3298" s="11" t="s">
        <v>2610</v>
      </c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229"/>
      <c r="AC3298" s="228">
        <f t="shared" ref="AC3298:AC3332" si="1377">E3298+G3298+I3298+K3298+M3298+O3298+Q3298+S3298+U3298+W3298+Y3298+AA3298</f>
        <v>0</v>
      </c>
      <c r="AD3298" s="19">
        <v>0</v>
      </c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>
        <v>48</v>
      </c>
      <c r="AQ3298" s="28"/>
      <c r="AR3298" s="28"/>
      <c r="AS3298" s="28"/>
      <c r="AT3298" s="28"/>
      <c r="AU3298" s="28"/>
      <c r="AV3298" s="28"/>
      <c r="AW3298" s="28"/>
      <c r="AX3298" s="28"/>
      <c r="AY3298" s="28"/>
      <c r="AZ3298" s="28"/>
      <c r="BA3298" s="28"/>
      <c r="BB3298" s="28"/>
      <c r="BC3298" s="229"/>
      <c r="BD3298" s="48">
        <f t="shared" ref="BD3298:BD3332" si="1378">AF3298+AH3298+AJ3298+AL3298+AN3298+AP3298+AR3298+AT3298+AV3298+AX3298+AZ3298+BB3298</f>
        <v>48</v>
      </c>
      <c r="BE3298" s="19">
        <v>0</v>
      </c>
      <c r="BF3298" s="229"/>
      <c r="BG3298" s="210">
        <f t="shared" ref="BG3298:BG3332" si="1379">AC3298+BD3298</f>
        <v>48</v>
      </c>
      <c r="BH3298" s="210">
        <f t="shared" ref="BH3298:BH3332" si="1380">AD3298+BE3298</f>
        <v>0</v>
      </c>
      <c r="BI3298" s="213" t="e">
        <f t="shared" si="1376"/>
        <v>#DIV/0!</v>
      </c>
      <c r="BJ3298" s="141"/>
      <c r="BK3298" s="201"/>
    </row>
    <row r="3299" spans="1:63" ht="18" customHeight="1">
      <c r="A3299" s="114">
        <v>11</v>
      </c>
      <c r="B3299" s="24" t="s">
        <v>596</v>
      </c>
      <c r="C3299" s="25" t="s">
        <v>597</v>
      </c>
      <c r="D3299" s="121"/>
      <c r="E3299" s="121"/>
      <c r="F3299" s="121"/>
      <c r="G3299" s="121"/>
      <c r="H3299" s="121"/>
      <c r="I3299" s="121">
        <v>2</v>
      </c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>
        <v>2</v>
      </c>
      <c r="V3299" s="121"/>
      <c r="W3299" s="121"/>
      <c r="X3299" s="121"/>
      <c r="Y3299" s="121"/>
      <c r="Z3299" s="121"/>
      <c r="AA3299" s="121">
        <v>4</v>
      </c>
      <c r="AB3299" s="229">
        <f t="shared" ref="AB3299:AB3332" si="1381">D3299+F3299+H3299+J3299+L3299+N3299+P3299+R3299+T3299+V3299+X3299+Z3299</f>
        <v>0</v>
      </c>
      <c r="AC3299" s="228">
        <f t="shared" si="1377"/>
        <v>8</v>
      </c>
      <c r="AD3299" s="19">
        <v>1</v>
      </c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  <c r="AZ3299" s="28"/>
      <c r="BA3299" s="28"/>
      <c r="BB3299" s="28"/>
      <c r="BC3299" s="229">
        <f t="shared" ref="BC3299:BC3332" si="1382">AE3299+AG3299+AI3299+AK3299+AM3299+AO3299+AQ3299+AS3299+AU3299+AW3299+AY3299+BA3299</f>
        <v>0</v>
      </c>
      <c r="BD3299" s="48">
        <f t="shared" si="1378"/>
        <v>0</v>
      </c>
      <c r="BE3299" s="19">
        <v>0</v>
      </c>
      <c r="BF3299" s="229">
        <f t="shared" ref="BF3299:BF3313" si="1383">AB3299+BC3299</f>
        <v>0</v>
      </c>
      <c r="BG3299" s="210">
        <f t="shared" si="1379"/>
        <v>8</v>
      </c>
      <c r="BH3299" s="210">
        <f t="shared" si="1380"/>
        <v>1</v>
      </c>
      <c r="BI3299" s="213">
        <f t="shared" si="1376"/>
        <v>800</v>
      </c>
      <c r="BJ3299" s="141"/>
      <c r="BK3299" s="201"/>
    </row>
    <row r="3300" spans="1:63" ht="18" customHeight="1">
      <c r="A3300" s="114">
        <v>12</v>
      </c>
      <c r="B3300" s="24" t="s">
        <v>2027</v>
      </c>
      <c r="C3300" s="25" t="s">
        <v>2028</v>
      </c>
      <c r="D3300" s="121"/>
      <c r="E3300" s="121"/>
      <c r="F3300" s="121"/>
      <c r="G3300" s="121"/>
      <c r="H3300" s="121"/>
      <c r="I3300" s="121">
        <f>170+2</f>
        <v>172</v>
      </c>
      <c r="J3300" s="121"/>
      <c r="K3300" s="121"/>
      <c r="L3300" s="121"/>
      <c r="M3300" s="121"/>
      <c r="N3300" s="121"/>
      <c r="O3300" s="121">
        <f>169+5</f>
        <v>174</v>
      </c>
      <c r="P3300" s="121"/>
      <c r="Q3300" s="121"/>
      <c r="R3300" s="121"/>
      <c r="S3300" s="121"/>
      <c r="T3300" s="121"/>
      <c r="U3300" s="121">
        <f>193+4</f>
        <v>197</v>
      </c>
      <c r="V3300" s="121"/>
      <c r="W3300" s="121"/>
      <c r="X3300" s="121"/>
      <c r="Y3300" s="121"/>
      <c r="Z3300" s="121"/>
      <c r="AA3300" s="121">
        <f>133+9</f>
        <v>142</v>
      </c>
      <c r="AB3300" s="229">
        <f t="shared" si="1381"/>
        <v>0</v>
      </c>
      <c r="AC3300" s="228">
        <f t="shared" si="1377"/>
        <v>685</v>
      </c>
      <c r="AD3300" s="19">
        <v>758</v>
      </c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29">
        <f t="shared" si="1382"/>
        <v>0</v>
      </c>
      <c r="BD3300" s="48">
        <f t="shared" si="1378"/>
        <v>0</v>
      </c>
      <c r="BE3300" s="19">
        <v>3</v>
      </c>
      <c r="BF3300" s="229">
        <f t="shared" si="1383"/>
        <v>0</v>
      </c>
      <c r="BG3300" s="210">
        <f t="shared" si="1379"/>
        <v>685</v>
      </c>
      <c r="BH3300" s="210">
        <f t="shared" si="1380"/>
        <v>761</v>
      </c>
      <c r="BI3300" s="213">
        <f t="shared" si="1376"/>
        <v>90.013140604467807</v>
      </c>
      <c r="BJ3300" s="141"/>
      <c r="BK3300" s="201"/>
    </row>
    <row r="3301" spans="1:63" ht="18" customHeight="1">
      <c r="A3301" s="114">
        <v>13</v>
      </c>
      <c r="B3301" s="24" t="s">
        <v>1006</v>
      </c>
      <c r="C3301" s="25" t="s">
        <v>1063</v>
      </c>
      <c r="D3301" s="121"/>
      <c r="E3301" s="121"/>
      <c r="F3301" s="121"/>
      <c r="G3301" s="121"/>
      <c r="H3301" s="121"/>
      <c r="I3301" s="121">
        <v>78</v>
      </c>
      <c r="J3301" s="121"/>
      <c r="K3301" s="121"/>
      <c r="L3301" s="121"/>
      <c r="M3301" s="121"/>
      <c r="N3301" s="121"/>
      <c r="O3301" s="121">
        <v>86</v>
      </c>
      <c r="P3301" s="121"/>
      <c r="Q3301" s="121"/>
      <c r="R3301" s="121"/>
      <c r="S3301" s="121"/>
      <c r="T3301" s="121"/>
      <c r="U3301" s="121">
        <v>80</v>
      </c>
      <c r="V3301" s="121"/>
      <c r="W3301" s="121"/>
      <c r="X3301" s="121"/>
      <c r="Y3301" s="121"/>
      <c r="Z3301" s="121"/>
      <c r="AA3301" s="121">
        <v>84</v>
      </c>
      <c r="AB3301" s="229">
        <f t="shared" si="1381"/>
        <v>0</v>
      </c>
      <c r="AC3301" s="228">
        <f t="shared" si="1377"/>
        <v>328</v>
      </c>
      <c r="AD3301" s="19">
        <v>258</v>
      </c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  <c r="AZ3301" s="28"/>
      <c r="BA3301" s="28"/>
      <c r="BB3301" s="28"/>
      <c r="BC3301" s="229">
        <f t="shared" si="1382"/>
        <v>0</v>
      </c>
      <c r="BD3301" s="48">
        <f t="shared" si="1378"/>
        <v>0</v>
      </c>
      <c r="BE3301" s="19">
        <v>0</v>
      </c>
      <c r="BF3301" s="229">
        <f t="shared" si="1383"/>
        <v>0</v>
      </c>
      <c r="BG3301" s="210">
        <f t="shared" si="1379"/>
        <v>328</v>
      </c>
      <c r="BH3301" s="210">
        <f t="shared" si="1380"/>
        <v>258</v>
      </c>
      <c r="BI3301" s="213">
        <f t="shared" si="1376"/>
        <v>127.13178294573643</v>
      </c>
      <c r="BJ3301" s="141"/>
      <c r="BK3301" s="201"/>
    </row>
    <row r="3302" spans="1:63" ht="18" customHeight="1">
      <c r="A3302" s="114">
        <v>14</v>
      </c>
      <c r="B3302" s="24" t="s">
        <v>1064</v>
      </c>
      <c r="C3302" s="25" t="s">
        <v>2020</v>
      </c>
      <c r="D3302" s="121"/>
      <c r="E3302" s="121"/>
      <c r="F3302" s="121"/>
      <c r="G3302" s="121"/>
      <c r="H3302" s="121"/>
      <c r="I3302" s="121">
        <v>15</v>
      </c>
      <c r="J3302" s="121"/>
      <c r="K3302" s="121"/>
      <c r="L3302" s="121"/>
      <c r="M3302" s="121"/>
      <c r="N3302" s="121"/>
      <c r="O3302" s="121">
        <v>10</v>
      </c>
      <c r="P3302" s="121"/>
      <c r="Q3302" s="121"/>
      <c r="R3302" s="121"/>
      <c r="S3302" s="121"/>
      <c r="T3302" s="121"/>
      <c r="U3302" s="121">
        <v>7</v>
      </c>
      <c r="V3302" s="121"/>
      <c r="W3302" s="121"/>
      <c r="X3302" s="121"/>
      <c r="Y3302" s="121"/>
      <c r="Z3302" s="121"/>
      <c r="AA3302" s="121">
        <v>6</v>
      </c>
      <c r="AB3302" s="229">
        <f t="shared" si="1381"/>
        <v>0</v>
      </c>
      <c r="AC3302" s="228">
        <f t="shared" si="1377"/>
        <v>38</v>
      </c>
      <c r="AD3302" s="19">
        <v>44</v>
      </c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29">
        <f t="shared" si="1382"/>
        <v>0</v>
      </c>
      <c r="BD3302" s="48">
        <f t="shared" si="1378"/>
        <v>0</v>
      </c>
      <c r="BE3302" s="19">
        <v>0</v>
      </c>
      <c r="BF3302" s="229">
        <f t="shared" si="1383"/>
        <v>0</v>
      </c>
      <c r="BG3302" s="210">
        <f t="shared" si="1379"/>
        <v>38</v>
      </c>
      <c r="BH3302" s="210">
        <f t="shared" si="1380"/>
        <v>44</v>
      </c>
      <c r="BI3302" s="213">
        <f t="shared" si="1376"/>
        <v>86.36363636363636</v>
      </c>
      <c r="BJ3302" s="141"/>
      <c r="BK3302" s="201"/>
    </row>
    <row r="3303" spans="1:63" ht="18" customHeight="1">
      <c r="A3303" s="114">
        <v>15</v>
      </c>
      <c r="B3303" s="24" t="s">
        <v>1066</v>
      </c>
      <c r="C3303" s="25" t="s">
        <v>2061</v>
      </c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229">
        <f t="shared" si="1381"/>
        <v>0</v>
      </c>
      <c r="AC3303" s="228">
        <f t="shared" si="1377"/>
        <v>0</v>
      </c>
      <c r="AD3303" s="19">
        <v>1</v>
      </c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29">
        <f t="shared" si="1382"/>
        <v>0</v>
      </c>
      <c r="BD3303" s="48">
        <f t="shared" si="1378"/>
        <v>0</v>
      </c>
      <c r="BE3303" s="19">
        <v>0</v>
      </c>
      <c r="BF3303" s="229">
        <f t="shared" si="1383"/>
        <v>0</v>
      </c>
      <c r="BG3303" s="210">
        <f t="shared" si="1379"/>
        <v>0</v>
      </c>
      <c r="BH3303" s="210">
        <f t="shared" si="1380"/>
        <v>1</v>
      </c>
      <c r="BI3303" s="213">
        <f t="shared" si="1376"/>
        <v>0</v>
      </c>
      <c r="BJ3303" s="141"/>
      <c r="BK3303" s="201"/>
    </row>
    <row r="3304" spans="1:63" ht="18" customHeight="1">
      <c r="A3304" s="114">
        <v>16</v>
      </c>
      <c r="B3304" s="24" t="s">
        <v>1067</v>
      </c>
      <c r="C3304" s="25" t="s">
        <v>1068</v>
      </c>
      <c r="D3304" s="121"/>
      <c r="E3304" s="121"/>
      <c r="F3304" s="121"/>
      <c r="G3304" s="121"/>
      <c r="H3304" s="121"/>
      <c r="I3304" s="121">
        <f>9+1</f>
        <v>10</v>
      </c>
      <c r="J3304" s="121"/>
      <c r="K3304" s="121"/>
      <c r="L3304" s="121"/>
      <c r="M3304" s="121"/>
      <c r="N3304" s="121"/>
      <c r="O3304" s="121">
        <v>5</v>
      </c>
      <c r="P3304" s="121"/>
      <c r="Q3304" s="121"/>
      <c r="R3304" s="121"/>
      <c r="S3304" s="121"/>
      <c r="T3304" s="121"/>
      <c r="U3304" s="121">
        <v>10</v>
      </c>
      <c r="V3304" s="121"/>
      <c r="W3304" s="121"/>
      <c r="X3304" s="121"/>
      <c r="Y3304" s="121"/>
      <c r="Z3304" s="121"/>
      <c r="AA3304" s="121">
        <v>11</v>
      </c>
      <c r="AB3304" s="229">
        <f t="shared" si="1381"/>
        <v>0</v>
      </c>
      <c r="AC3304" s="228">
        <f t="shared" si="1377"/>
        <v>36</v>
      </c>
      <c r="AD3304" s="19">
        <v>54</v>
      </c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>
        <v>1</v>
      </c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29">
        <f t="shared" si="1382"/>
        <v>0</v>
      </c>
      <c r="BD3304" s="48">
        <f t="shared" si="1378"/>
        <v>1</v>
      </c>
      <c r="BE3304" s="19">
        <v>0</v>
      </c>
      <c r="BF3304" s="229">
        <f t="shared" si="1383"/>
        <v>0</v>
      </c>
      <c r="BG3304" s="210">
        <f t="shared" si="1379"/>
        <v>37</v>
      </c>
      <c r="BH3304" s="210">
        <f t="shared" si="1380"/>
        <v>54</v>
      </c>
      <c r="BI3304" s="213">
        <f t="shared" si="1376"/>
        <v>68.518518518518519</v>
      </c>
      <c r="BJ3304" s="141"/>
      <c r="BK3304" s="201"/>
    </row>
    <row r="3305" spans="1:63" ht="18" customHeight="1">
      <c r="A3305" s="114">
        <v>17</v>
      </c>
      <c r="B3305" s="24" t="s">
        <v>1069</v>
      </c>
      <c r="C3305" s="25" t="s">
        <v>1186</v>
      </c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229">
        <f t="shared" si="1381"/>
        <v>0</v>
      </c>
      <c r="AC3305" s="228">
        <f t="shared" si="1377"/>
        <v>0</v>
      </c>
      <c r="AD3305" s="19">
        <v>1</v>
      </c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  <c r="AZ3305" s="28"/>
      <c r="BA3305" s="28"/>
      <c r="BB3305" s="28"/>
      <c r="BC3305" s="229">
        <f t="shared" si="1382"/>
        <v>0</v>
      </c>
      <c r="BD3305" s="48">
        <f t="shared" si="1378"/>
        <v>0</v>
      </c>
      <c r="BE3305" s="19">
        <v>0</v>
      </c>
      <c r="BF3305" s="229">
        <f t="shared" si="1383"/>
        <v>0</v>
      </c>
      <c r="BG3305" s="210">
        <f t="shared" si="1379"/>
        <v>0</v>
      </c>
      <c r="BH3305" s="210">
        <f t="shared" si="1380"/>
        <v>1</v>
      </c>
      <c r="BI3305" s="213">
        <f t="shared" si="1376"/>
        <v>0</v>
      </c>
      <c r="BJ3305" s="141"/>
      <c r="BK3305" s="201"/>
    </row>
    <row r="3306" spans="1:63" ht="18" customHeight="1">
      <c r="A3306" s="114">
        <v>18</v>
      </c>
      <c r="B3306" s="24" t="s">
        <v>1070</v>
      </c>
      <c r="C3306" s="25" t="s">
        <v>1071</v>
      </c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229">
        <f t="shared" si="1381"/>
        <v>0</v>
      </c>
      <c r="AC3306" s="228">
        <f t="shared" si="1377"/>
        <v>0</v>
      </c>
      <c r="AD3306" s="19">
        <v>1</v>
      </c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  <c r="AZ3306" s="28"/>
      <c r="BA3306" s="28"/>
      <c r="BB3306" s="28"/>
      <c r="BC3306" s="229">
        <f t="shared" si="1382"/>
        <v>0</v>
      </c>
      <c r="BD3306" s="48">
        <f t="shared" si="1378"/>
        <v>0</v>
      </c>
      <c r="BE3306" s="19">
        <v>0</v>
      </c>
      <c r="BF3306" s="229">
        <f t="shared" si="1383"/>
        <v>0</v>
      </c>
      <c r="BG3306" s="210">
        <f t="shared" si="1379"/>
        <v>0</v>
      </c>
      <c r="BH3306" s="210">
        <f t="shared" si="1380"/>
        <v>1</v>
      </c>
      <c r="BI3306" s="213">
        <f t="shared" si="1376"/>
        <v>0</v>
      </c>
      <c r="BJ3306" s="141"/>
      <c r="BK3306" s="201"/>
    </row>
    <row r="3307" spans="1:63" ht="18" customHeight="1">
      <c r="A3307" s="114">
        <v>19</v>
      </c>
      <c r="B3307" s="24" t="s">
        <v>2115</v>
      </c>
      <c r="C3307" s="183" t="s">
        <v>2421</v>
      </c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229">
        <f t="shared" si="1381"/>
        <v>0</v>
      </c>
      <c r="AC3307" s="228">
        <f t="shared" si="1377"/>
        <v>0</v>
      </c>
      <c r="AD3307" s="19">
        <v>1</v>
      </c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29">
        <f t="shared" si="1382"/>
        <v>0</v>
      </c>
      <c r="BD3307" s="48">
        <f t="shared" si="1378"/>
        <v>0</v>
      </c>
      <c r="BE3307" s="19">
        <v>0</v>
      </c>
      <c r="BF3307" s="229">
        <f t="shared" si="1383"/>
        <v>0</v>
      </c>
      <c r="BG3307" s="210">
        <f t="shared" si="1379"/>
        <v>0</v>
      </c>
      <c r="BH3307" s="210">
        <f t="shared" si="1380"/>
        <v>1</v>
      </c>
      <c r="BI3307" s="213">
        <f t="shared" si="1376"/>
        <v>0</v>
      </c>
      <c r="BJ3307" s="141"/>
      <c r="BK3307" s="201"/>
    </row>
    <row r="3308" spans="1:63" ht="18" customHeight="1">
      <c r="A3308" s="114">
        <v>20</v>
      </c>
      <c r="B3308" s="24" t="s">
        <v>1072</v>
      </c>
      <c r="C3308" s="25" t="s">
        <v>1073</v>
      </c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229">
        <f t="shared" si="1381"/>
        <v>0</v>
      </c>
      <c r="AC3308" s="228">
        <f t="shared" si="1377"/>
        <v>0</v>
      </c>
      <c r="AD3308" s="19">
        <v>1</v>
      </c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29">
        <f t="shared" si="1382"/>
        <v>0</v>
      </c>
      <c r="BD3308" s="48">
        <f t="shared" si="1378"/>
        <v>0</v>
      </c>
      <c r="BE3308" s="19">
        <v>0</v>
      </c>
      <c r="BF3308" s="229">
        <f t="shared" si="1383"/>
        <v>0</v>
      </c>
      <c r="BG3308" s="210">
        <f t="shared" si="1379"/>
        <v>0</v>
      </c>
      <c r="BH3308" s="210">
        <f t="shared" si="1380"/>
        <v>1</v>
      </c>
      <c r="BI3308" s="213">
        <f t="shared" si="1376"/>
        <v>0</v>
      </c>
      <c r="BJ3308" s="141"/>
      <c r="BK3308" s="201"/>
    </row>
    <row r="3309" spans="1:63" ht="18" customHeight="1">
      <c r="A3309" s="114">
        <v>21</v>
      </c>
      <c r="B3309" s="24" t="s">
        <v>1074</v>
      </c>
      <c r="C3309" s="25" t="s">
        <v>1605</v>
      </c>
      <c r="D3309" s="121"/>
      <c r="E3309" s="121"/>
      <c r="F3309" s="121"/>
      <c r="G3309" s="121"/>
      <c r="H3309" s="121"/>
      <c r="I3309" s="121">
        <v>67</v>
      </c>
      <c r="J3309" s="121"/>
      <c r="K3309" s="121"/>
      <c r="L3309" s="121"/>
      <c r="M3309" s="121"/>
      <c r="N3309" s="121"/>
      <c r="O3309" s="121">
        <f>54+1</f>
        <v>55</v>
      </c>
      <c r="P3309" s="121"/>
      <c r="Q3309" s="121"/>
      <c r="R3309" s="121"/>
      <c r="S3309" s="121"/>
      <c r="T3309" s="121"/>
      <c r="U3309" s="121">
        <f>50+8</f>
        <v>58</v>
      </c>
      <c r="V3309" s="121"/>
      <c r="W3309" s="121"/>
      <c r="X3309" s="121"/>
      <c r="Y3309" s="121"/>
      <c r="Z3309" s="121"/>
      <c r="AA3309" s="121">
        <f>68+3</f>
        <v>71</v>
      </c>
      <c r="AB3309" s="229">
        <f t="shared" si="1381"/>
        <v>0</v>
      </c>
      <c r="AC3309" s="228">
        <f t="shared" si="1377"/>
        <v>251</v>
      </c>
      <c r="AD3309" s="19">
        <v>196</v>
      </c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8"/>
      <c r="BA3309" s="28"/>
      <c r="BB3309" s="28"/>
      <c r="BC3309" s="229">
        <f t="shared" si="1382"/>
        <v>0</v>
      </c>
      <c r="BD3309" s="48">
        <f t="shared" si="1378"/>
        <v>0</v>
      </c>
      <c r="BE3309" s="19">
        <v>0</v>
      </c>
      <c r="BF3309" s="229">
        <f t="shared" si="1383"/>
        <v>0</v>
      </c>
      <c r="BG3309" s="210">
        <f t="shared" si="1379"/>
        <v>251</v>
      </c>
      <c r="BH3309" s="210">
        <f t="shared" si="1380"/>
        <v>196</v>
      </c>
      <c r="BI3309" s="213">
        <f t="shared" si="1376"/>
        <v>128.0612244897959</v>
      </c>
      <c r="BJ3309" s="141"/>
      <c r="BK3309" s="201"/>
    </row>
    <row r="3310" spans="1:63" ht="18" customHeight="1">
      <c r="A3310" s="114">
        <v>22</v>
      </c>
      <c r="B3310" s="24" t="s">
        <v>1075</v>
      </c>
      <c r="C3310" s="25" t="s">
        <v>1076</v>
      </c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229">
        <f t="shared" si="1381"/>
        <v>0</v>
      </c>
      <c r="AC3310" s="228">
        <f t="shared" si="1377"/>
        <v>0</v>
      </c>
      <c r="AD3310" s="19">
        <v>1</v>
      </c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  <c r="AZ3310" s="28"/>
      <c r="BA3310" s="28"/>
      <c r="BB3310" s="28"/>
      <c r="BC3310" s="229">
        <f t="shared" si="1382"/>
        <v>0</v>
      </c>
      <c r="BD3310" s="48">
        <f t="shared" si="1378"/>
        <v>0</v>
      </c>
      <c r="BE3310" s="19">
        <v>0</v>
      </c>
      <c r="BF3310" s="229">
        <f t="shared" si="1383"/>
        <v>0</v>
      </c>
      <c r="BG3310" s="210">
        <f t="shared" si="1379"/>
        <v>0</v>
      </c>
      <c r="BH3310" s="210">
        <f t="shared" si="1380"/>
        <v>1</v>
      </c>
      <c r="BI3310" s="213">
        <f t="shared" si="1376"/>
        <v>0</v>
      </c>
      <c r="BJ3310" s="141"/>
      <c r="BK3310" s="201"/>
    </row>
    <row r="3311" spans="1:63" ht="18" customHeight="1">
      <c r="A3311" s="114">
        <v>23</v>
      </c>
      <c r="B3311" s="24" t="s">
        <v>1077</v>
      </c>
      <c r="C3311" s="25" t="s">
        <v>1078</v>
      </c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229">
        <f t="shared" si="1381"/>
        <v>0</v>
      </c>
      <c r="AC3311" s="228">
        <f t="shared" si="1377"/>
        <v>0</v>
      </c>
      <c r="AD3311" s="19">
        <v>1</v>
      </c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  <c r="AZ3311" s="28"/>
      <c r="BA3311" s="28"/>
      <c r="BB3311" s="28"/>
      <c r="BC3311" s="229">
        <f t="shared" si="1382"/>
        <v>0</v>
      </c>
      <c r="BD3311" s="48">
        <f t="shared" si="1378"/>
        <v>0</v>
      </c>
      <c r="BE3311" s="19">
        <v>0</v>
      </c>
      <c r="BF3311" s="229">
        <f t="shared" si="1383"/>
        <v>0</v>
      </c>
      <c r="BG3311" s="210">
        <f t="shared" si="1379"/>
        <v>0</v>
      </c>
      <c r="BH3311" s="210">
        <f t="shared" si="1380"/>
        <v>1</v>
      </c>
      <c r="BI3311" s="213">
        <f t="shared" si="1376"/>
        <v>0</v>
      </c>
      <c r="BJ3311" s="141"/>
      <c r="BK3311" s="201"/>
    </row>
    <row r="3312" spans="1:63" ht="18" customHeight="1">
      <c r="A3312" s="114">
        <v>24</v>
      </c>
      <c r="B3312" s="24" t="s">
        <v>2273</v>
      </c>
      <c r="C3312" s="25" t="s">
        <v>2276</v>
      </c>
      <c r="D3312" s="121"/>
      <c r="E3312" s="121"/>
      <c r="F3312" s="121"/>
      <c r="G3312" s="121"/>
      <c r="H3312" s="121"/>
      <c r="I3312" s="121">
        <v>25</v>
      </c>
      <c r="J3312" s="121"/>
      <c r="K3312" s="121"/>
      <c r="L3312" s="121"/>
      <c r="M3312" s="121"/>
      <c r="N3312" s="121"/>
      <c r="O3312" s="121">
        <f>38+2</f>
        <v>40</v>
      </c>
      <c r="P3312" s="121"/>
      <c r="Q3312" s="121"/>
      <c r="R3312" s="121"/>
      <c r="S3312" s="121"/>
      <c r="T3312" s="121"/>
      <c r="U3312" s="121">
        <f>47+2</f>
        <v>49</v>
      </c>
      <c r="V3312" s="121"/>
      <c r="W3312" s="121"/>
      <c r="X3312" s="121"/>
      <c r="Y3312" s="121"/>
      <c r="Z3312" s="121"/>
      <c r="AA3312" s="121">
        <f>40+3</f>
        <v>43</v>
      </c>
      <c r="AB3312" s="229">
        <f t="shared" si="1381"/>
        <v>0</v>
      </c>
      <c r="AC3312" s="228">
        <f t="shared" si="1377"/>
        <v>157</v>
      </c>
      <c r="AD3312" s="19">
        <v>73</v>
      </c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29">
        <f t="shared" si="1382"/>
        <v>0</v>
      </c>
      <c r="BD3312" s="48">
        <f t="shared" si="1378"/>
        <v>0</v>
      </c>
      <c r="BE3312" s="19">
        <v>0</v>
      </c>
      <c r="BF3312" s="229">
        <f t="shared" si="1383"/>
        <v>0</v>
      </c>
      <c r="BG3312" s="210">
        <f t="shared" si="1379"/>
        <v>157</v>
      </c>
      <c r="BH3312" s="210">
        <f t="shared" si="1380"/>
        <v>73</v>
      </c>
      <c r="BI3312" s="213">
        <f t="shared" si="1376"/>
        <v>215.06849315068496</v>
      </c>
      <c r="BJ3312" s="141"/>
      <c r="BK3312" s="201"/>
    </row>
    <row r="3313" spans="1:65" ht="18" customHeight="1">
      <c r="A3313" s="114">
        <v>25</v>
      </c>
      <c r="B3313" s="24" t="s">
        <v>1079</v>
      </c>
      <c r="C3313" s="25" t="s">
        <v>1080</v>
      </c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229">
        <f t="shared" si="1381"/>
        <v>0</v>
      </c>
      <c r="AC3313" s="228">
        <f t="shared" si="1377"/>
        <v>0</v>
      </c>
      <c r="AD3313" s="19">
        <v>1</v>
      </c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29">
        <f t="shared" si="1382"/>
        <v>0</v>
      </c>
      <c r="BD3313" s="48">
        <f t="shared" si="1378"/>
        <v>0</v>
      </c>
      <c r="BE3313" s="19">
        <v>0</v>
      </c>
      <c r="BF3313" s="229">
        <f t="shared" si="1383"/>
        <v>0</v>
      </c>
      <c r="BG3313" s="210">
        <f t="shared" si="1379"/>
        <v>0</v>
      </c>
      <c r="BH3313" s="210">
        <f t="shared" si="1380"/>
        <v>1</v>
      </c>
      <c r="BI3313" s="213">
        <f t="shared" si="1376"/>
        <v>0</v>
      </c>
      <c r="BJ3313" s="141"/>
      <c r="BK3313" s="201"/>
    </row>
    <row r="3314" spans="1:65" ht="18" customHeight="1">
      <c r="A3314" s="114">
        <v>26</v>
      </c>
      <c r="B3314" s="24" t="s">
        <v>2260</v>
      </c>
      <c r="C3314" s="25" t="s">
        <v>2261</v>
      </c>
      <c r="D3314" s="338"/>
      <c r="E3314" s="338"/>
      <c r="F3314" s="338"/>
      <c r="G3314" s="338"/>
      <c r="H3314" s="338"/>
      <c r="I3314" s="338">
        <v>492</v>
      </c>
      <c r="J3314" s="338"/>
      <c r="K3314" s="338"/>
      <c r="L3314" s="338"/>
      <c r="M3314" s="338"/>
      <c r="N3314" s="338"/>
      <c r="O3314" s="338"/>
      <c r="P3314" s="338"/>
      <c r="Q3314" s="338"/>
      <c r="R3314" s="338"/>
      <c r="S3314" s="338"/>
      <c r="T3314" s="338"/>
      <c r="U3314" s="338">
        <v>784</v>
      </c>
      <c r="V3314" s="338"/>
      <c r="W3314" s="338"/>
      <c r="X3314" s="338"/>
      <c r="Y3314" s="338"/>
      <c r="Z3314" s="338"/>
      <c r="AA3314" s="338">
        <f>500+300</f>
        <v>800</v>
      </c>
      <c r="AB3314" s="338">
        <f t="shared" si="1381"/>
        <v>0</v>
      </c>
      <c r="AC3314" s="338">
        <f t="shared" si="1377"/>
        <v>2076</v>
      </c>
      <c r="AD3314" s="19">
        <v>0</v>
      </c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>
        <v>334</v>
      </c>
      <c r="AQ3314" s="28"/>
      <c r="AR3314" s="28"/>
      <c r="AS3314" s="28"/>
      <c r="AT3314" s="28"/>
      <c r="AU3314" s="28"/>
      <c r="AV3314" s="28"/>
      <c r="AW3314" s="28"/>
      <c r="AX3314" s="28"/>
      <c r="AY3314" s="28"/>
      <c r="AZ3314" s="28"/>
      <c r="BA3314" s="28"/>
      <c r="BB3314" s="28"/>
      <c r="BC3314" s="229">
        <f t="shared" si="1382"/>
        <v>0</v>
      </c>
      <c r="BD3314" s="48">
        <f t="shared" si="1378"/>
        <v>334</v>
      </c>
      <c r="BE3314" s="19">
        <v>0</v>
      </c>
      <c r="BF3314" s="229"/>
      <c r="BG3314" s="210">
        <f t="shared" si="1379"/>
        <v>2410</v>
      </c>
      <c r="BH3314" s="210">
        <f t="shared" si="1380"/>
        <v>0</v>
      </c>
      <c r="BI3314" s="213" t="e">
        <f t="shared" si="1376"/>
        <v>#DIV/0!</v>
      </c>
      <c r="BJ3314" s="141"/>
      <c r="BK3314" s="201"/>
    </row>
    <row r="3315" spans="1:65" ht="18" customHeight="1">
      <c r="A3315" s="114">
        <v>27</v>
      </c>
      <c r="B3315" s="24" t="s">
        <v>1349</v>
      </c>
      <c r="C3315" s="25" t="s">
        <v>1354</v>
      </c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229">
        <f t="shared" si="1381"/>
        <v>0</v>
      </c>
      <c r="AC3315" s="228">
        <f t="shared" si="1377"/>
        <v>0</v>
      </c>
      <c r="AD3315" s="19">
        <v>1</v>
      </c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29">
        <f t="shared" si="1382"/>
        <v>0</v>
      </c>
      <c r="BD3315" s="48">
        <f t="shared" si="1378"/>
        <v>0</v>
      </c>
      <c r="BE3315" s="19">
        <v>0</v>
      </c>
      <c r="BF3315" s="229">
        <f>AB3315+BC3315</f>
        <v>0</v>
      </c>
      <c r="BG3315" s="210">
        <f t="shared" si="1379"/>
        <v>0</v>
      </c>
      <c r="BH3315" s="210">
        <f t="shared" si="1380"/>
        <v>1</v>
      </c>
      <c r="BI3315" s="213">
        <f t="shared" si="1376"/>
        <v>0</v>
      </c>
      <c r="BJ3315" s="141"/>
      <c r="BK3315" s="201"/>
    </row>
    <row r="3316" spans="1:65" ht="18" customHeight="1">
      <c r="A3316" s="114">
        <v>28</v>
      </c>
      <c r="B3316" s="24" t="s">
        <v>1045</v>
      </c>
      <c r="C3316" s="25" t="s">
        <v>1046</v>
      </c>
      <c r="D3316" s="121"/>
      <c r="E3316" s="121"/>
      <c r="F3316" s="121"/>
      <c r="G3316" s="121"/>
      <c r="H3316" s="121"/>
      <c r="I3316" s="121">
        <v>48</v>
      </c>
      <c r="J3316" s="121"/>
      <c r="K3316" s="121"/>
      <c r="L3316" s="121"/>
      <c r="M3316" s="121"/>
      <c r="N3316" s="121"/>
      <c r="O3316" s="121">
        <f>57+1+156</f>
        <v>214</v>
      </c>
      <c r="P3316" s="121"/>
      <c r="Q3316" s="121"/>
      <c r="R3316" s="121"/>
      <c r="S3316" s="121"/>
      <c r="T3316" s="121"/>
      <c r="U3316" s="121">
        <f>58+2</f>
        <v>60</v>
      </c>
      <c r="V3316" s="121"/>
      <c r="W3316" s="121"/>
      <c r="X3316" s="121"/>
      <c r="Y3316" s="121"/>
      <c r="Z3316" s="121"/>
      <c r="AA3316" s="121">
        <v>69</v>
      </c>
      <c r="AB3316" s="229">
        <f t="shared" si="1381"/>
        <v>0</v>
      </c>
      <c r="AC3316" s="228">
        <f t="shared" si="1377"/>
        <v>391</v>
      </c>
      <c r="AD3316" s="19">
        <f>160+1</f>
        <v>161</v>
      </c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29">
        <f t="shared" si="1382"/>
        <v>0</v>
      </c>
      <c r="BD3316" s="48">
        <f t="shared" si="1378"/>
        <v>0</v>
      </c>
      <c r="BE3316" s="19">
        <v>0</v>
      </c>
      <c r="BF3316" s="229">
        <f>AB3316+BC3316</f>
        <v>0</v>
      </c>
      <c r="BG3316" s="210">
        <f t="shared" si="1379"/>
        <v>391</v>
      </c>
      <c r="BH3316" s="210">
        <f t="shared" si="1380"/>
        <v>161</v>
      </c>
      <c r="BI3316" s="213">
        <f t="shared" si="1376"/>
        <v>242.85714285714283</v>
      </c>
      <c r="BJ3316" s="141"/>
      <c r="BK3316" s="201"/>
    </row>
    <row r="3317" spans="1:65" ht="18" customHeight="1">
      <c r="A3317" s="114">
        <v>29</v>
      </c>
      <c r="B3317" s="24" t="s">
        <v>974</v>
      </c>
      <c r="C3317" s="25" t="s">
        <v>1083</v>
      </c>
      <c r="D3317" s="121"/>
      <c r="E3317" s="121"/>
      <c r="F3317" s="121"/>
      <c r="G3317" s="121"/>
      <c r="H3317" s="121"/>
      <c r="I3317" s="121">
        <v>161</v>
      </c>
      <c r="J3317" s="121"/>
      <c r="K3317" s="121"/>
      <c r="L3317" s="121"/>
      <c r="M3317" s="121"/>
      <c r="N3317" s="121"/>
      <c r="O3317" s="121">
        <v>3</v>
      </c>
      <c r="P3317" s="121"/>
      <c r="Q3317" s="121"/>
      <c r="R3317" s="121"/>
      <c r="S3317" s="121"/>
      <c r="T3317" s="121"/>
      <c r="U3317" s="121">
        <f>203+3</f>
        <v>206</v>
      </c>
      <c r="V3317" s="121"/>
      <c r="W3317" s="121"/>
      <c r="X3317" s="121"/>
      <c r="Y3317" s="121"/>
      <c r="Z3317" s="121"/>
      <c r="AA3317" s="121">
        <f>144+3</f>
        <v>147</v>
      </c>
      <c r="AB3317" s="229">
        <f t="shared" si="1381"/>
        <v>0</v>
      </c>
      <c r="AC3317" s="228">
        <f t="shared" si="1377"/>
        <v>517</v>
      </c>
      <c r="AD3317" s="19">
        <v>518</v>
      </c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>
        <v>1</v>
      </c>
      <c r="BC3317" s="229">
        <f t="shared" si="1382"/>
        <v>0</v>
      </c>
      <c r="BD3317" s="48">
        <f t="shared" si="1378"/>
        <v>1</v>
      </c>
      <c r="BE3317" s="19">
        <v>0</v>
      </c>
      <c r="BF3317" s="229">
        <f>AB3317+BC3317</f>
        <v>0</v>
      </c>
      <c r="BG3317" s="210">
        <f t="shared" si="1379"/>
        <v>518</v>
      </c>
      <c r="BH3317" s="210">
        <f t="shared" si="1380"/>
        <v>518</v>
      </c>
      <c r="BI3317" s="213">
        <f t="shared" si="1376"/>
        <v>100</v>
      </c>
      <c r="BJ3317" s="141"/>
      <c r="BK3317" s="201"/>
    </row>
    <row r="3318" spans="1:65" ht="18" customHeight="1">
      <c r="A3318" s="114">
        <v>30</v>
      </c>
      <c r="B3318" s="24" t="s">
        <v>2858</v>
      </c>
      <c r="C3318" s="25" t="s">
        <v>2859</v>
      </c>
      <c r="D3318" s="121"/>
      <c r="E3318" s="121"/>
      <c r="F3318" s="121"/>
      <c r="G3318" s="121"/>
      <c r="H3318" s="121"/>
      <c r="I3318" s="121">
        <f>88+20</f>
        <v>108</v>
      </c>
      <c r="J3318" s="121"/>
      <c r="K3318" s="121"/>
      <c r="L3318" s="121"/>
      <c r="M3318" s="121"/>
      <c r="N3318" s="121"/>
      <c r="O3318" s="121">
        <f>111+51</f>
        <v>162</v>
      </c>
      <c r="P3318" s="121"/>
      <c r="Q3318" s="121"/>
      <c r="R3318" s="121"/>
      <c r="S3318" s="121"/>
      <c r="T3318" s="121"/>
      <c r="U3318" s="121">
        <f>107+84</f>
        <v>191</v>
      </c>
      <c r="V3318" s="121"/>
      <c r="W3318" s="121"/>
      <c r="X3318" s="121"/>
      <c r="Y3318" s="121"/>
      <c r="Z3318" s="121"/>
      <c r="AA3318" s="121">
        <f>121+35</f>
        <v>156</v>
      </c>
      <c r="AB3318" s="229">
        <f t="shared" si="1381"/>
        <v>0</v>
      </c>
      <c r="AC3318" s="228">
        <f t="shared" si="1377"/>
        <v>617</v>
      </c>
      <c r="AD3318" s="19">
        <v>0</v>
      </c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29">
        <f t="shared" si="1382"/>
        <v>0</v>
      </c>
      <c r="BD3318" s="48">
        <f t="shared" si="1378"/>
        <v>0</v>
      </c>
      <c r="BE3318" s="19">
        <v>0</v>
      </c>
      <c r="BF3318" s="229">
        <f>AB3318+BC3318</f>
        <v>0</v>
      </c>
      <c r="BG3318" s="210">
        <f t="shared" si="1379"/>
        <v>617</v>
      </c>
      <c r="BH3318" s="210">
        <f t="shared" si="1380"/>
        <v>0</v>
      </c>
      <c r="BI3318" s="213" t="e">
        <f t="shared" si="1376"/>
        <v>#DIV/0!</v>
      </c>
      <c r="BJ3318" s="141"/>
      <c r="BK3318" s="201"/>
    </row>
    <row r="3319" spans="1:65" ht="18" customHeight="1">
      <c r="A3319" s="114">
        <v>31</v>
      </c>
      <c r="B3319" s="24" t="s">
        <v>1086</v>
      </c>
      <c r="C3319" s="25" t="s">
        <v>1087</v>
      </c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229">
        <f t="shared" si="1381"/>
        <v>0</v>
      </c>
      <c r="AC3319" s="228">
        <f t="shared" si="1377"/>
        <v>0</v>
      </c>
      <c r="AD3319" s="19">
        <v>1</v>
      </c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  <c r="AZ3319" s="28"/>
      <c r="BA3319" s="28"/>
      <c r="BB3319" s="28"/>
      <c r="BC3319" s="229">
        <f t="shared" si="1382"/>
        <v>0</v>
      </c>
      <c r="BD3319" s="48">
        <f t="shared" si="1378"/>
        <v>0</v>
      </c>
      <c r="BE3319" s="19">
        <v>0</v>
      </c>
      <c r="BF3319" s="229">
        <f>AB3319+BC3319</f>
        <v>0</v>
      </c>
      <c r="BG3319" s="210">
        <f t="shared" si="1379"/>
        <v>0</v>
      </c>
      <c r="BH3319" s="210">
        <f t="shared" si="1380"/>
        <v>1</v>
      </c>
      <c r="BI3319" s="213">
        <f t="shared" si="1376"/>
        <v>0</v>
      </c>
      <c r="BJ3319" s="141"/>
      <c r="BK3319" s="201"/>
    </row>
    <row r="3320" spans="1:65" ht="18" customHeight="1">
      <c r="A3320" s="114">
        <v>32</v>
      </c>
      <c r="B3320" s="24" t="s">
        <v>1898</v>
      </c>
      <c r="C3320" s="25" t="s">
        <v>3037</v>
      </c>
      <c r="D3320" s="283"/>
      <c r="E3320" s="283"/>
      <c r="F3320" s="283"/>
      <c r="G3320" s="283"/>
      <c r="H3320" s="283"/>
      <c r="I3320" s="283">
        <v>193</v>
      </c>
      <c r="J3320" s="283"/>
      <c r="K3320" s="283"/>
      <c r="L3320" s="283"/>
      <c r="M3320" s="283"/>
      <c r="N3320" s="283"/>
      <c r="O3320" s="283"/>
      <c r="P3320" s="283"/>
      <c r="Q3320" s="283"/>
      <c r="R3320" s="283"/>
      <c r="S3320" s="283"/>
      <c r="T3320" s="283"/>
      <c r="U3320" s="283">
        <v>200</v>
      </c>
      <c r="V3320" s="121"/>
      <c r="W3320" s="121"/>
      <c r="X3320" s="121"/>
      <c r="Y3320" s="121"/>
      <c r="Z3320" s="121"/>
      <c r="AA3320" s="121">
        <v>315</v>
      </c>
      <c r="AB3320" s="229">
        <f t="shared" si="1381"/>
        <v>0</v>
      </c>
      <c r="AC3320" s="228">
        <f t="shared" si="1377"/>
        <v>708</v>
      </c>
      <c r="AD3320" s="19">
        <v>0</v>
      </c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29">
        <f t="shared" si="1382"/>
        <v>0</v>
      </c>
      <c r="BD3320" s="48">
        <f t="shared" si="1378"/>
        <v>0</v>
      </c>
      <c r="BE3320" s="19">
        <v>0</v>
      </c>
      <c r="BF3320" s="229"/>
      <c r="BG3320" s="210">
        <f t="shared" si="1379"/>
        <v>708</v>
      </c>
      <c r="BH3320" s="210">
        <f t="shared" si="1380"/>
        <v>0</v>
      </c>
      <c r="BI3320" s="213" t="e">
        <f t="shared" si="1376"/>
        <v>#DIV/0!</v>
      </c>
      <c r="BJ3320" s="141"/>
      <c r="BK3320" s="201"/>
    </row>
    <row r="3321" spans="1:65" ht="18" customHeight="1">
      <c r="A3321" s="114">
        <v>33</v>
      </c>
      <c r="B3321" s="24" t="s">
        <v>892</v>
      </c>
      <c r="C3321" s="25" t="s">
        <v>893</v>
      </c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229">
        <f t="shared" si="1381"/>
        <v>0</v>
      </c>
      <c r="AC3321" s="228">
        <f t="shared" si="1377"/>
        <v>0</v>
      </c>
      <c r="AD3321" s="19">
        <v>1</v>
      </c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  <c r="AZ3321" s="28"/>
      <c r="BA3321" s="28"/>
      <c r="BB3321" s="28"/>
      <c r="BC3321" s="229">
        <f t="shared" si="1382"/>
        <v>0</v>
      </c>
      <c r="BD3321" s="48">
        <f t="shared" si="1378"/>
        <v>0</v>
      </c>
      <c r="BE3321" s="19">
        <v>0</v>
      </c>
      <c r="BF3321" s="229">
        <f t="shared" ref="BF3321:BF3332" si="1384">AB3321+BC3321</f>
        <v>0</v>
      </c>
      <c r="BG3321" s="210">
        <f t="shared" si="1379"/>
        <v>0</v>
      </c>
      <c r="BH3321" s="210">
        <f t="shared" si="1380"/>
        <v>1</v>
      </c>
      <c r="BI3321" s="213">
        <f t="shared" si="1376"/>
        <v>0</v>
      </c>
      <c r="BJ3321" s="141"/>
      <c r="BK3321" s="201"/>
    </row>
    <row r="3322" spans="1:65" ht="18" customHeight="1">
      <c r="A3322" s="114">
        <v>34</v>
      </c>
      <c r="B3322" s="24" t="s">
        <v>703</v>
      </c>
      <c r="C3322" s="25" t="s">
        <v>774</v>
      </c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229">
        <f t="shared" si="1381"/>
        <v>0</v>
      </c>
      <c r="AC3322" s="228">
        <f t="shared" si="1377"/>
        <v>0</v>
      </c>
      <c r="AD3322" s="19">
        <v>1</v>
      </c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29">
        <f t="shared" si="1382"/>
        <v>0</v>
      </c>
      <c r="BD3322" s="48">
        <f t="shared" si="1378"/>
        <v>0</v>
      </c>
      <c r="BE3322" s="19">
        <v>0</v>
      </c>
      <c r="BF3322" s="229">
        <f t="shared" si="1384"/>
        <v>0</v>
      </c>
      <c r="BG3322" s="210">
        <f t="shared" si="1379"/>
        <v>0</v>
      </c>
      <c r="BH3322" s="210">
        <f t="shared" si="1380"/>
        <v>1</v>
      </c>
      <c r="BI3322" s="213">
        <f t="shared" si="1376"/>
        <v>0</v>
      </c>
      <c r="BJ3322" s="141"/>
      <c r="BK3322" s="201"/>
    </row>
    <row r="3323" spans="1:65" ht="18" customHeight="1">
      <c r="A3323" s="114">
        <v>35</v>
      </c>
      <c r="B3323" s="24" t="s">
        <v>896</v>
      </c>
      <c r="C3323" s="25" t="s">
        <v>992</v>
      </c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229">
        <f t="shared" si="1381"/>
        <v>0</v>
      </c>
      <c r="AC3323" s="228">
        <f t="shared" si="1377"/>
        <v>0</v>
      </c>
      <c r="AD3323" s="19">
        <v>1</v>
      </c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29">
        <f t="shared" si="1382"/>
        <v>0</v>
      </c>
      <c r="BD3323" s="48">
        <f t="shared" si="1378"/>
        <v>0</v>
      </c>
      <c r="BE3323" s="19">
        <v>0</v>
      </c>
      <c r="BF3323" s="229">
        <f t="shared" si="1384"/>
        <v>0</v>
      </c>
      <c r="BG3323" s="210">
        <f t="shared" si="1379"/>
        <v>0</v>
      </c>
      <c r="BH3323" s="210">
        <f t="shared" si="1380"/>
        <v>1</v>
      </c>
      <c r="BI3323" s="213">
        <f t="shared" si="1376"/>
        <v>0</v>
      </c>
      <c r="BJ3323" s="141"/>
      <c r="BK3323" s="201"/>
    </row>
    <row r="3324" spans="1:65" ht="18" customHeight="1">
      <c r="A3324" s="114">
        <v>36</v>
      </c>
      <c r="B3324" s="24" t="s">
        <v>799</v>
      </c>
      <c r="C3324" s="25" t="s">
        <v>2831</v>
      </c>
      <c r="D3324" s="121"/>
      <c r="E3324" s="121"/>
      <c r="F3324" s="121"/>
      <c r="G3324" s="121"/>
      <c r="H3324" s="121"/>
      <c r="I3324" s="121">
        <v>21</v>
      </c>
      <c r="J3324" s="121"/>
      <c r="K3324" s="121"/>
      <c r="L3324" s="121"/>
      <c r="M3324" s="121"/>
      <c r="N3324" s="121"/>
      <c r="O3324" s="121">
        <v>19</v>
      </c>
      <c r="P3324" s="121"/>
      <c r="Q3324" s="121"/>
      <c r="R3324" s="121"/>
      <c r="S3324" s="121"/>
      <c r="T3324" s="121"/>
      <c r="U3324" s="121">
        <v>17</v>
      </c>
      <c r="V3324" s="121"/>
      <c r="W3324" s="121"/>
      <c r="X3324" s="121"/>
      <c r="Y3324" s="121"/>
      <c r="Z3324" s="121"/>
      <c r="AA3324" s="121">
        <v>15</v>
      </c>
      <c r="AB3324" s="229">
        <f t="shared" si="1381"/>
        <v>0</v>
      </c>
      <c r="AC3324" s="228">
        <f t="shared" si="1377"/>
        <v>72</v>
      </c>
      <c r="AD3324" s="19">
        <v>0</v>
      </c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29">
        <f t="shared" si="1382"/>
        <v>0</v>
      </c>
      <c r="BD3324" s="48">
        <f t="shared" si="1378"/>
        <v>0</v>
      </c>
      <c r="BE3324" s="19">
        <v>0</v>
      </c>
      <c r="BF3324" s="229">
        <f t="shared" si="1384"/>
        <v>0</v>
      </c>
      <c r="BG3324" s="210">
        <f t="shared" si="1379"/>
        <v>72</v>
      </c>
      <c r="BH3324" s="210">
        <f t="shared" si="1380"/>
        <v>0</v>
      </c>
      <c r="BI3324" s="213" t="e">
        <f t="shared" si="1376"/>
        <v>#DIV/0!</v>
      </c>
      <c r="BJ3324" s="141"/>
      <c r="BK3324" s="201"/>
    </row>
    <row r="3325" spans="1:65" ht="18" customHeight="1">
      <c r="A3325" s="114">
        <v>37</v>
      </c>
      <c r="B3325" s="24" t="s">
        <v>842</v>
      </c>
      <c r="C3325" s="25" t="s">
        <v>843</v>
      </c>
      <c r="D3325" s="121"/>
      <c r="E3325" s="121"/>
      <c r="F3325" s="121"/>
      <c r="G3325" s="121"/>
      <c r="H3325" s="121"/>
      <c r="I3325" s="121">
        <v>93</v>
      </c>
      <c r="J3325" s="121"/>
      <c r="K3325" s="121"/>
      <c r="L3325" s="121"/>
      <c r="M3325" s="121"/>
      <c r="N3325" s="121"/>
      <c r="O3325" s="121">
        <v>33</v>
      </c>
      <c r="P3325" s="121"/>
      <c r="Q3325" s="121"/>
      <c r="R3325" s="121"/>
      <c r="S3325" s="121"/>
      <c r="T3325" s="121"/>
      <c r="U3325" s="121">
        <f>56+3</f>
        <v>59</v>
      </c>
      <c r="V3325" s="121"/>
      <c r="W3325" s="121"/>
      <c r="X3325" s="121"/>
      <c r="Y3325" s="121"/>
      <c r="Z3325" s="121"/>
      <c r="AA3325" s="121">
        <f>43+6</f>
        <v>49</v>
      </c>
      <c r="AB3325" s="229">
        <f t="shared" si="1381"/>
        <v>0</v>
      </c>
      <c r="AC3325" s="228">
        <f t="shared" si="1377"/>
        <v>234</v>
      </c>
      <c r="AD3325" s="19">
        <v>186</v>
      </c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>
        <v>1</v>
      </c>
      <c r="AQ3325" s="28"/>
      <c r="AR3325" s="28"/>
      <c r="AS3325" s="28"/>
      <c r="AT3325" s="28"/>
      <c r="AU3325" s="28"/>
      <c r="AV3325" s="28"/>
      <c r="AW3325" s="28"/>
      <c r="AX3325" s="28"/>
      <c r="AY3325" s="28"/>
      <c r="AZ3325" s="28"/>
      <c r="BA3325" s="28"/>
      <c r="BB3325" s="28"/>
      <c r="BC3325" s="229">
        <f t="shared" si="1382"/>
        <v>0</v>
      </c>
      <c r="BD3325" s="48">
        <f t="shared" si="1378"/>
        <v>1</v>
      </c>
      <c r="BE3325" s="19">
        <v>0</v>
      </c>
      <c r="BF3325" s="229">
        <f t="shared" si="1384"/>
        <v>0</v>
      </c>
      <c r="BG3325" s="210">
        <f t="shared" si="1379"/>
        <v>235</v>
      </c>
      <c r="BH3325" s="210">
        <f t="shared" si="1380"/>
        <v>186</v>
      </c>
      <c r="BI3325" s="213">
        <f t="shared" si="1376"/>
        <v>126.34408602150538</v>
      </c>
      <c r="BJ3325" s="141"/>
      <c r="BK3325" s="201"/>
    </row>
    <row r="3326" spans="1:65" s="38" customFormat="1" ht="21.95" customHeight="1">
      <c r="A3326" s="114">
        <v>38</v>
      </c>
      <c r="B3326" s="24" t="s">
        <v>657</v>
      </c>
      <c r="C3326" s="27" t="s">
        <v>1401</v>
      </c>
      <c r="D3326" s="121"/>
      <c r="E3326" s="121"/>
      <c r="F3326" s="121"/>
      <c r="G3326" s="121"/>
      <c r="H3326" s="121"/>
      <c r="I3326" s="121">
        <v>43</v>
      </c>
      <c r="J3326" s="121"/>
      <c r="K3326" s="121"/>
      <c r="L3326" s="121"/>
      <c r="M3326" s="121"/>
      <c r="N3326" s="121"/>
      <c r="O3326" s="121">
        <v>47</v>
      </c>
      <c r="P3326" s="121"/>
      <c r="Q3326" s="121"/>
      <c r="R3326" s="121"/>
      <c r="S3326" s="121"/>
      <c r="T3326" s="121"/>
      <c r="U3326" s="121">
        <v>37</v>
      </c>
      <c r="V3326" s="121"/>
      <c r="W3326" s="121"/>
      <c r="X3326" s="121"/>
      <c r="Y3326" s="121"/>
      <c r="Z3326" s="121"/>
      <c r="AA3326" s="121">
        <v>15</v>
      </c>
      <c r="AB3326" s="229">
        <f t="shared" si="1381"/>
        <v>0</v>
      </c>
      <c r="AC3326" s="228">
        <f t="shared" si="1377"/>
        <v>142</v>
      </c>
      <c r="AD3326" s="19">
        <v>144</v>
      </c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  <c r="AZ3326" s="28"/>
      <c r="BA3326" s="28"/>
      <c r="BB3326" s="28"/>
      <c r="BC3326" s="229">
        <f t="shared" si="1382"/>
        <v>0</v>
      </c>
      <c r="BD3326" s="48">
        <f t="shared" si="1378"/>
        <v>0</v>
      </c>
      <c r="BE3326" s="19">
        <v>0</v>
      </c>
      <c r="BF3326" s="229">
        <f t="shared" si="1384"/>
        <v>0</v>
      </c>
      <c r="BG3326" s="210">
        <f t="shared" si="1379"/>
        <v>142</v>
      </c>
      <c r="BH3326" s="210">
        <f t="shared" si="1380"/>
        <v>144</v>
      </c>
      <c r="BI3326" s="213">
        <f t="shared" si="1376"/>
        <v>98.611111111111114</v>
      </c>
      <c r="BJ3326" s="141"/>
      <c r="BK3326" s="201"/>
      <c r="BL3326" s="4"/>
      <c r="BM3326" s="4"/>
    </row>
    <row r="3327" spans="1:65" s="38" customFormat="1" ht="21.95" customHeight="1">
      <c r="A3327" s="114">
        <v>39</v>
      </c>
      <c r="B3327" s="24" t="s">
        <v>658</v>
      </c>
      <c r="C3327" s="25" t="s">
        <v>779</v>
      </c>
      <c r="D3327" s="121"/>
      <c r="E3327" s="121"/>
      <c r="F3327" s="121"/>
      <c r="G3327" s="121"/>
      <c r="H3327" s="121"/>
      <c r="I3327" s="121">
        <v>12</v>
      </c>
      <c r="J3327" s="121"/>
      <c r="K3327" s="121"/>
      <c r="L3327" s="121"/>
      <c r="M3327" s="121"/>
      <c r="N3327" s="121"/>
      <c r="O3327" s="121">
        <v>5</v>
      </c>
      <c r="P3327" s="121"/>
      <c r="Q3327" s="121"/>
      <c r="R3327" s="121"/>
      <c r="S3327" s="121"/>
      <c r="T3327" s="121"/>
      <c r="U3327" s="121">
        <v>5</v>
      </c>
      <c r="V3327" s="121"/>
      <c r="W3327" s="121"/>
      <c r="X3327" s="121"/>
      <c r="Y3327" s="121"/>
      <c r="Z3327" s="121"/>
      <c r="AA3327" s="121">
        <v>1</v>
      </c>
      <c r="AB3327" s="229">
        <f t="shared" si="1381"/>
        <v>0</v>
      </c>
      <c r="AC3327" s="228">
        <f t="shared" si="1377"/>
        <v>23</v>
      </c>
      <c r="AD3327" s="19">
        <v>6</v>
      </c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29">
        <f t="shared" si="1382"/>
        <v>0</v>
      </c>
      <c r="BD3327" s="48">
        <f t="shared" si="1378"/>
        <v>0</v>
      </c>
      <c r="BE3327" s="19">
        <v>0</v>
      </c>
      <c r="BF3327" s="229">
        <f t="shared" si="1384"/>
        <v>0</v>
      </c>
      <c r="BG3327" s="210">
        <f t="shared" si="1379"/>
        <v>23</v>
      </c>
      <c r="BH3327" s="210">
        <f t="shared" si="1380"/>
        <v>6</v>
      </c>
      <c r="BI3327" s="213">
        <f t="shared" si="1376"/>
        <v>383.33333333333337</v>
      </c>
      <c r="BJ3327" s="141"/>
      <c r="BK3327" s="201"/>
      <c r="BL3327" s="4"/>
      <c r="BM3327" s="4"/>
    </row>
    <row r="3328" spans="1:65" s="38" customFormat="1" ht="18" customHeight="1">
      <c r="A3328" s="114">
        <v>40</v>
      </c>
      <c r="B3328" s="24" t="s">
        <v>780</v>
      </c>
      <c r="C3328" s="25" t="s">
        <v>781</v>
      </c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229">
        <f t="shared" si="1381"/>
        <v>0</v>
      </c>
      <c r="AC3328" s="228">
        <f t="shared" si="1377"/>
        <v>0</v>
      </c>
      <c r="AD3328" s="19">
        <v>1</v>
      </c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29">
        <f t="shared" si="1382"/>
        <v>0</v>
      </c>
      <c r="BD3328" s="48">
        <f t="shared" si="1378"/>
        <v>0</v>
      </c>
      <c r="BE3328" s="19">
        <v>0</v>
      </c>
      <c r="BF3328" s="229">
        <f t="shared" si="1384"/>
        <v>0</v>
      </c>
      <c r="BG3328" s="210">
        <f t="shared" si="1379"/>
        <v>0</v>
      </c>
      <c r="BH3328" s="210">
        <f t="shared" si="1380"/>
        <v>1</v>
      </c>
      <c r="BI3328" s="213">
        <f t="shared" si="1376"/>
        <v>0</v>
      </c>
      <c r="BJ3328" s="141"/>
      <c r="BK3328" s="201"/>
      <c r="BL3328" s="4"/>
      <c r="BM3328" s="4"/>
    </row>
    <row r="3329" spans="1:65" s="38" customFormat="1" ht="21.95" customHeight="1">
      <c r="A3329" s="114">
        <v>41</v>
      </c>
      <c r="B3329" s="24" t="s">
        <v>661</v>
      </c>
      <c r="C3329" s="27" t="s">
        <v>743</v>
      </c>
      <c r="D3329" s="121"/>
      <c r="E3329" s="121"/>
      <c r="F3329" s="121"/>
      <c r="G3329" s="121"/>
      <c r="H3329" s="121"/>
      <c r="I3329" s="121">
        <f>5+2</f>
        <v>7</v>
      </c>
      <c r="J3329" s="121"/>
      <c r="K3329" s="121"/>
      <c r="L3329" s="121"/>
      <c r="M3329" s="121"/>
      <c r="N3329" s="121"/>
      <c r="O3329" s="121">
        <v>2</v>
      </c>
      <c r="P3329" s="121"/>
      <c r="Q3329" s="121"/>
      <c r="R3329" s="121"/>
      <c r="S3329" s="121"/>
      <c r="T3329" s="121"/>
      <c r="U3329" s="121">
        <v>3</v>
      </c>
      <c r="V3329" s="121"/>
      <c r="W3329" s="121"/>
      <c r="X3329" s="121"/>
      <c r="Y3329" s="121"/>
      <c r="Z3329" s="121"/>
      <c r="AA3329" s="121">
        <v>2</v>
      </c>
      <c r="AB3329" s="229">
        <f t="shared" si="1381"/>
        <v>0</v>
      </c>
      <c r="AC3329" s="228">
        <f t="shared" si="1377"/>
        <v>14</v>
      </c>
      <c r="AD3329" s="19">
        <v>32</v>
      </c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29">
        <f t="shared" si="1382"/>
        <v>0</v>
      </c>
      <c r="BD3329" s="48">
        <f t="shared" si="1378"/>
        <v>0</v>
      </c>
      <c r="BE3329" s="19">
        <v>0</v>
      </c>
      <c r="BF3329" s="229">
        <f t="shared" si="1384"/>
        <v>0</v>
      </c>
      <c r="BG3329" s="210">
        <f t="shared" si="1379"/>
        <v>14</v>
      </c>
      <c r="BH3329" s="210">
        <f t="shared" si="1380"/>
        <v>32</v>
      </c>
      <c r="BI3329" s="213">
        <f t="shared" si="1376"/>
        <v>43.75</v>
      </c>
      <c r="BJ3329" s="141"/>
      <c r="BK3329" s="201"/>
      <c r="BL3329" s="4"/>
      <c r="BM3329" s="4"/>
    </row>
    <row r="3330" spans="1:65" s="38" customFormat="1" ht="21.95" customHeight="1">
      <c r="A3330" s="114">
        <v>42</v>
      </c>
      <c r="B3330" s="24" t="s">
        <v>667</v>
      </c>
      <c r="C3330" s="27" t="s">
        <v>792</v>
      </c>
      <c r="D3330" s="121"/>
      <c r="E3330" s="121"/>
      <c r="F3330" s="121"/>
      <c r="G3330" s="121"/>
      <c r="H3330" s="121"/>
      <c r="I3330" s="121">
        <v>10</v>
      </c>
      <c r="J3330" s="121"/>
      <c r="K3330" s="121"/>
      <c r="L3330" s="121"/>
      <c r="M3330" s="121"/>
      <c r="N3330" s="121"/>
      <c r="O3330" s="121">
        <v>23</v>
      </c>
      <c r="P3330" s="121"/>
      <c r="Q3330" s="121"/>
      <c r="R3330" s="121"/>
      <c r="S3330" s="121"/>
      <c r="T3330" s="121"/>
      <c r="U3330" s="121">
        <v>36</v>
      </c>
      <c r="V3330" s="121"/>
      <c r="W3330" s="121"/>
      <c r="X3330" s="121"/>
      <c r="Y3330" s="121"/>
      <c r="Z3330" s="121"/>
      <c r="AA3330" s="121">
        <v>15</v>
      </c>
      <c r="AB3330" s="229">
        <f t="shared" si="1381"/>
        <v>0</v>
      </c>
      <c r="AC3330" s="228">
        <f t="shared" si="1377"/>
        <v>84</v>
      </c>
      <c r="AD3330" s="19">
        <v>44</v>
      </c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29">
        <f t="shared" si="1382"/>
        <v>0</v>
      </c>
      <c r="BD3330" s="48">
        <f t="shared" si="1378"/>
        <v>0</v>
      </c>
      <c r="BE3330" s="19">
        <v>0</v>
      </c>
      <c r="BF3330" s="229">
        <f t="shared" si="1384"/>
        <v>0</v>
      </c>
      <c r="BG3330" s="210">
        <f t="shared" si="1379"/>
        <v>84</v>
      </c>
      <c r="BH3330" s="210">
        <f t="shared" si="1380"/>
        <v>44</v>
      </c>
      <c r="BI3330" s="213">
        <f t="shared" si="1376"/>
        <v>190.90909090909091</v>
      </c>
      <c r="BJ3330" s="141"/>
      <c r="BK3330" s="201"/>
      <c r="BL3330" s="4"/>
      <c r="BM3330" s="4"/>
    </row>
    <row r="3331" spans="1:65" s="38" customFormat="1" ht="18" customHeight="1">
      <c r="A3331" s="114">
        <v>43</v>
      </c>
      <c r="B3331" s="24" t="s">
        <v>998</v>
      </c>
      <c r="C3331" s="25" t="s">
        <v>999</v>
      </c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>
        <v>1</v>
      </c>
      <c r="AB3331" s="229">
        <f t="shared" si="1381"/>
        <v>0</v>
      </c>
      <c r="AC3331" s="228">
        <f t="shared" si="1377"/>
        <v>1</v>
      </c>
      <c r="AD3331" s="19">
        <v>3</v>
      </c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29">
        <f t="shared" si="1382"/>
        <v>0</v>
      </c>
      <c r="BD3331" s="48">
        <f t="shared" si="1378"/>
        <v>0</v>
      </c>
      <c r="BE3331" s="19">
        <v>0</v>
      </c>
      <c r="BF3331" s="229">
        <f t="shared" si="1384"/>
        <v>0</v>
      </c>
      <c r="BG3331" s="210">
        <f t="shared" si="1379"/>
        <v>1</v>
      </c>
      <c r="BH3331" s="210">
        <f t="shared" si="1380"/>
        <v>3</v>
      </c>
      <c r="BI3331" s="213">
        <f t="shared" si="1376"/>
        <v>33.333333333333329</v>
      </c>
      <c r="BJ3331" s="141"/>
      <c r="BK3331" s="201"/>
      <c r="BL3331" s="4"/>
      <c r="BM3331" s="4"/>
    </row>
    <row r="3332" spans="1:65" s="38" customFormat="1" ht="21.95" customHeight="1">
      <c r="A3332" s="114">
        <v>44</v>
      </c>
      <c r="B3332" s="24" t="s">
        <v>2043</v>
      </c>
      <c r="C3332" s="27" t="s">
        <v>2044</v>
      </c>
      <c r="D3332" s="121"/>
      <c r="E3332" s="121"/>
      <c r="F3332" s="121"/>
      <c r="G3332" s="121"/>
      <c r="H3332" s="121"/>
      <c r="I3332" s="121">
        <f>3355+75</f>
        <v>3430</v>
      </c>
      <c r="J3332" s="121"/>
      <c r="K3332" s="121"/>
      <c r="L3332" s="121"/>
      <c r="M3332" s="121"/>
      <c r="N3332" s="121"/>
      <c r="O3332" s="121">
        <f>3768+221</f>
        <v>3989</v>
      </c>
      <c r="P3332" s="121"/>
      <c r="Q3332" s="121"/>
      <c r="R3332" s="121"/>
      <c r="S3332" s="121"/>
      <c r="T3332" s="121"/>
      <c r="U3332" s="121">
        <f>4137+254</f>
        <v>4391</v>
      </c>
      <c r="V3332" s="121"/>
      <c r="W3332" s="121"/>
      <c r="X3332" s="121"/>
      <c r="Y3332" s="121"/>
      <c r="Z3332" s="121"/>
      <c r="AA3332" s="121">
        <f>3886+276</f>
        <v>4162</v>
      </c>
      <c r="AB3332" s="229">
        <f t="shared" si="1381"/>
        <v>0</v>
      </c>
      <c r="AC3332" s="228">
        <f t="shared" si="1377"/>
        <v>15972</v>
      </c>
      <c r="AD3332" s="19">
        <v>13398</v>
      </c>
      <c r="AE3332" s="28"/>
      <c r="AF3332" s="28"/>
      <c r="AG3332" s="28"/>
      <c r="AH3332" s="28"/>
      <c r="AI3332" s="28"/>
      <c r="AJ3332" s="28">
        <v>3</v>
      </c>
      <c r="AK3332" s="28"/>
      <c r="AL3332" s="28"/>
      <c r="AM3332" s="28"/>
      <c r="AN3332" s="28"/>
      <c r="AO3332" s="28"/>
      <c r="AP3332" s="28">
        <v>4</v>
      </c>
      <c r="AQ3332" s="28"/>
      <c r="AR3332" s="28"/>
      <c r="AS3332" s="28"/>
      <c r="AT3332" s="28"/>
      <c r="AU3332" s="28"/>
      <c r="AV3332" s="28">
        <f>3+1</f>
        <v>4</v>
      </c>
      <c r="AW3332" s="28"/>
      <c r="AX3332" s="28"/>
      <c r="AY3332" s="28"/>
      <c r="AZ3332" s="28"/>
      <c r="BA3332" s="28"/>
      <c r="BB3332" s="28">
        <f>2+2</f>
        <v>4</v>
      </c>
      <c r="BC3332" s="229">
        <f t="shared" si="1382"/>
        <v>0</v>
      </c>
      <c r="BD3332" s="48">
        <f t="shared" si="1378"/>
        <v>15</v>
      </c>
      <c r="BE3332" s="19">
        <v>15</v>
      </c>
      <c r="BF3332" s="229">
        <f t="shared" si="1384"/>
        <v>0</v>
      </c>
      <c r="BG3332" s="210">
        <f t="shared" si="1379"/>
        <v>15987</v>
      </c>
      <c r="BH3332" s="210">
        <f t="shared" si="1380"/>
        <v>13413</v>
      </c>
      <c r="BI3332" s="213">
        <f t="shared" si="1376"/>
        <v>119.19033773205099</v>
      </c>
      <c r="BJ3332" s="141"/>
      <c r="BK3332" s="201"/>
      <c r="BL3332" s="4"/>
      <c r="BM3332" s="4"/>
    </row>
    <row r="3333" spans="1:65" s="38" customFormat="1" ht="21.95" customHeight="1">
      <c r="A3333" s="373" t="s">
        <v>546</v>
      </c>
      <c r="B3333" s="373"/>
      <c r="C3333" s="373"/>
      <c r="D3333" s="220">
        <f t="shared" ref="D3333:AA3333" si="1385">SUM(D3334:D3345)</f>
        <v>0</v>
      </c>
      <c r="E3333" s="220">
        <f t="shared" si="1385"/>
        <v>0</v>
      </c>
      <c r="F3333" s="220">
        <f t="shared" si="1385"/>
        <v>0</v>
      </c>
      <c r="G3333" s="220">
        <f t="shared" si="1385"/>
        <v>0</v>
      </c>
      <c r="H3333" s="220">
        <f t="shared" si="1385"/>
        <v>0</v>
      </c>
      <c r="I3333" s="220">
        <f t="shared" si="1385"/>
        <v>105</v>
      </c>
      <c r="J3333" s="220">
        <f t="shared" si="1385"/>
        <v>0</v>
      </c>
      <c r="K3333" s="220">
        <f t="shared" si="1385"/>
        <v>0</v>
      </c>
      <c r="L3333" s="220">
        <f t="shared" si="1385"/>
        <v>0</v>
      </c>
      <c r="M3333" s="220">
        <f t="shared" si="1385"/>
        <v>0</v>
      </c>
      <c r="N3333" s="220">
        <f t="shared" si="1385"/>
        <v>0</v>
      </c>
      <c r="O3333" s="220">
        <f t="shared" si="1385"/>
        <v>67</v>
      </c>
      <c r="P3333" s="220">
        <f t="shared" si="1385"/>
        <v>0</v>
      </c>
      <c r="Q3333" s="220">
        <f t="shared" si="1385"/>
        <v>0</v>
      </c>
      <c r="R3333" s="220">
        <f t="shared" si="1385"/>
        <v>0</v>
      </c>
      <c r="S3333" s="220">
        <f t="shared" si="1385"/>
        <v>0</v>
      </c>
      <c r="T3333" s="220">
        <f t="shared" si="1385"/>
        <v>0</v>
      </c>
      <c r="U3333" s="220">
        <f t="shared" si="1385"/>
        <v>32</v>
      </c>
      <c r="V3333" s="220">
        <f t="shared" si="1385"/>
        <v>0</v>
      </c>
      <c r="W3333" s="220">
        <f t="shared" si="1385"/>
        <v>0</v>
      </c>
      <c r="X3333" s="220">
        <f t="shared" si="1385"/>
        <v>0</v>
      </c>
      <c r="Y3333" s="220">
        <f t="shared" si="1385"/>
        <v>0</v>
      </c>
      <c r="Z3333" s="220">
        <f t="shared" si="1385"/>
        <v>0</v>
      </c>
      <c r="AA3333" s="220">
        <f t="shared" si="1385"/>
        <v>72</v>
      </c>
      <c r="AB3333" s="220">
        <f t="shared" ref="AB3333:AB3346" si="1386">D3333+F3333+H3333+J3333+L3333+N3333+P3333+R3333+T3333+V3333+X3333+Z3333</f>
        <v>0</v>
      </c>
      <c r="AC3333" s="220">
        <f t="shared" ref="AC3333:AC3346" si="1387">E3333+G3333+I3333+K3333+M3333+O3333+Q3333+S3333+U3333+W3333+Y3333+AA3333</f>
        <v>276</v>
      </c>
      <c r="AD3333" s="220">
        <f t="shared" ref="AD3333:BB3333" si="1388">SUM(AD3334:AD3345)</f>
        <v>314</v>
      </c>
      <c r="AE3333" s="220">
        <f t="shared" si="1388"/>
        <v>0</v>
      </c>
      <c r="AF3333" s="220">
        <f t="shared" si="1388"/>
        <v>0</v>
      </c>
      <c r="AG3333" s="220">
        <f t="shared" si="1388"/>
        <v>0</v>
      </c>
      <c r="AH3333" s="220">
        <f t="shared" si="1388"/>
        <v>0</v>
      </c>
      <c r="AI3333" s="220">
        <f t="shared" si="1388"/>
        <v>0</v>
      </c>
      <c r="AJ3333" s="220">
        <f t="shared" si="1388"/>
        <v>0</v>
      </c>
      <c r="AK3333" s="220">
        <f t="shared" si="1388"/>
        <v>0</v>
      </c>
      <c r="AL3333" s="220">
        <f t="shared" si="1388"/>
        <v>0</v>
      </c>
      <c r="AM3333" s="220">
        <f t="shared" si="1388"/>
        <v>0</v>
      </c>
      <c r="AN3333" s="220">
        <f t="shared" si="1388"/>
        <v>0</v>
      </c>
      <c r="AO3333" s="220">
        <f t="shared" si="1388"/>
        <v>0</v>
      </c>
      <c r="AP3333" s="220">
        <f t="shared" si="1388"/>
        <v>0</v>
      </c>
      <c r="AQ3333" s="220">
        <f t="shared" si="1388"/>
        <v>0</v>
      </c>
      <c r="AR3333" s="220">
        <f t="shared" si="1388"/>
        <v>0</v>
      </c>
      <c r="AS3333" s="220">
        <f t="shared" si="1388"/>
        <v>0</v>
      </c>
      <c r="AT3333" s="220">
        <f t="shared" si="1388"/>
        <v>0</v>
      </c>
      <c r="AU3333" s="220">
        <f t="shared" si="1388"/>
        <v>0</v>
      </c>
      <c r="AV3333" s="220">
        <f t="shared" si="1388"/>
        <v>0</v>
      </c>
      <c r="AW3333" s="220">
        <f t="shared" si="1388"/>
        <v>0</v>
      </c>
      <c r="AX3333" s="220">
        <f t="shared" si="1388"/>
        <v>0</v>
      </c>
      <c r="AY3333" s="220">
        <f t="shared" si="1388"/>
        <v>0</v>
      </c>
      <c r="AZ3333" s="220">
        <f t="shared" si="1388"/>
        <v>0</v>
      </c>
      <c r="BA3333" s="220">
        <f t="shared" si="1388"/>
        <v>0</v>
      </c>
      <c r="BB3333" s="220">
        <f t="shared" si="1388"/>
        <v>0</v>
      </c>
      <c r="BC3333" s="220">
        <f t="shared" ref="BC3333:BC3346" si="1389">AE3333+AG3333+AI3333+AK3333+AM3333+AO3333+AQ3333+AS3333+AU3333+AW3333+AY3333+BA3333</f>
        <v>0</v>
      </c>
      <c r="BD3333" s="210">
        <f t="shared" ref="BD3333:BD3346" si="1390">AF3333+AH3333+AJ3333+AL3333+AN3333+AP3333+AR3333+AT3333+AV3333+AX3333+AZ3333+BB3333</f>
        <v>0</v>
      </c>
      <c r="BE3333" s="276">
        <v>0</v>
      </c>
      <c r="BF3333" s="220">
        <f t="shared" ref="BF3333:BF3346" si="1391">AB3333+BC3333</f>
        <v>0</v>
      </c>
      <c r="BG3333" s="210">
        <f t="shared" ref="BG3333:BG3346" si="1392">AC3333+BD3333</f>
        <v>276</v>
      </c>
      <c r="BH3333" s="210">
        <f t="shared" ref="BH3333:BH3346" si="1393">AD3333+BE3333</f>
        <v>314</v>
      </c>
      <c r="BI3333" s="213">
        <f t="shared" ref="BI3333:BI3346" si="1394">BG3333/BH3333*100</f>
        <v>87.898089171974519</v>
      </c>
      <c r="BJ3333" s="140">
        <v>314</v>
      </c>
      <c r="BK3333" s="203">
        <f>BH3333-BJ3333</f>
        <v>0</v>
      </c>
      <c r="BL3333" s="4"/>
      <c r="BM3333" s="4"/>
    </row>
    <row r="3334" spans="1:65" s="38" customFormat="1" ht="21.95" customHeight="1">
      <c r="A3334" s="114">
        <v>1</v>
      </c>
      <c r="B3334" s="24" t="s">
        <v>705</v>
      </c>
      <c r="C3334" s="27" t="s">
        <v>706</v>
      </c>
      <c r="D3334" s="121"/>
      <c r="E3334" s="121"/>
      <c r="F3334" s="121"/>
      <c r="G3334" s="121"/>
      <c r="H3334" s="121"/>
      <c r="I3334" s="121">
        <v>1</v>
      </c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>
        <v>1</v>
      </c>
      <c r="AB3334" s="229">
        <f t="shared" ref="AB3334:AB3345" si="1395">D3334+F3334+H3334+J3334+L3334+N3334+P3334+R3334+T3334+V3334+X3334+Z3334</f>
        <v>0</v>
      </c>
      <c r="AC3334" s="228">
        <f t="shared" si="1387"/>
        <v>2</v>
      </c>
      <c r="AD3334" s="19">
        <v>6</v>
      </c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29">
        <f t="shared" ref="BC3334:BC3345" si="1396">AE3334+AG3334+AI3334+AK3334+AM3334+AO3334+AQ3334+AS3334+AU3334+AW3334+AY3334+BA3334</f>
        <v>0</v>
      </c>
      <c r="BD3334" s="48">
        <f t="shared" si="1390"/>
        <v>0</v>
      </c>
      <c r="BE3334" s="19">
        <v>0</v>
      </c>
      <c r="BF3334" s="229">
        <f t="shared" ref="BF3334:BF3345" si="1397">AB3334+BC3334</f>
        <v>0</v>
      </c>
      <c r="BG3334" s="210">
        <f t="shared" si="1392"/>
        <v>2</v>
      </c>
      <c r="BH3334" s="210">
        <f t="shared" si="1393"/>
        <v>6</v>
      </c>
      <c r="BI3334" s="213">
        <f t="shared" ref="BI3334:BI3345" si="1398">BG3334/BH3334*100</f>
        <v>33.333333333333329</v>
      </c>
      <c r="BJ3334" s="270" t="s">
        <v>2857</v>
      </c>
      <c r="BK3334" s="201"/>
      <c r="BL3334" s="4"/>
      <c r="BM3334" s="4"/>
    </row>
    <row r="3335" spans="1:65" s="38" customFormat="1" ht="20.100000000000001" customHeight="1">
      <c r="A3335" s="114">
        <v>2</v>
      </c>
      <c r="B3335" s="24" t="s">
        <v>937</v>
      </c>
      <c r="C3335" s="25" t="s">
        <v>938</v>
      </c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>
        <v>1</v>
      </c>
      <c r="V3335" s="121"/>
      <c r="W3335" s="121"/>
      <c r="X3335" s="121"/>
      <c r="Y3335" s="121"/>
      <c r="Z3335" s="121"/>
      <c r="AA3335" s="121"/>
      <c r="AB3335" s="229">
        <f t="shared" si="1395"/>
        <v>0</v>
      </c>
      <c r="AC3335" s="228">
        <f t="shared" si="1387"/>
        <v>1</v>
      </c>
      <c r="AD3335" s="19">
        <v>0</v>
      </c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29">
        <f t="shared" si="1396"/>
        <v>0</v>
      </c>
      <c r="BD3335" s="48">
        <f t="shared" si="1390"/>
        <v>0</v>
      </c>
      <c r="BE3335" s="19">
        <v>0</v>
      </c>
      <c r="BF3335" s="229">
        <f t="shared" si="1397"/>
        <v>0</v>
      </c>
      <c r="BG3335" s="210">
        <f t="shared" si="1392"/>
        <v>1</v>
      </c>
      <c r="BH3335" s="210">
        <f t="shared" si="1393"/>
        <v>0</v>
      </c>
      <c r="BI3335" s="213" t="e">
        <f t="shared" si="1398"/>
        <v>#DIV/0!</v>
      </c>
      <c r="BJ3335" s="270" t="s">
        <v>2857</v>
      </c>
      <c r="BK3335" s="201"/>
      <c r="BL3335" s="4"/>
      <c r="BM3335" s="4"/>
    </row>
    <row r="3336" spans="1:65" s="38" customFormat="1" ht="18" customHeight="1">
      <c r="A3336" s="114">
        <v>3</v>
      </c>
      <c r="B3336" s="24" t="s">
        <v>1698</v>
      </c>
      <c r="C3336" s="25" t="s">
        <v>1699</v>
      </c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229">
        <f t="shared" si="1395"/>
        <v>0</v>
      </c>
      <c r="AC3336" s="228">
        <f t="shared" si="1387"/>
        <v>0</v>
      </c>
      <c r="AD3336" s="19">
        <v>26</v>
      </c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29">
        <f t="shared" si="1396"/>
        <v>0</v>
      </c>
      <c r="BD3336" s="48">
        <f t="shared" si="1390"/>
        <v>0</v>
      </c>
      <c r="BE3336" s="19">
        <v>0</v>
      </c>
      <c r="BF3336" s="229">
        <f t="shared" si="1397"/>
        <v>0</v>
      </c>
      <c r="BG3336" s="210">
        <f t="shared" si="1392"/>
        <v>0</v>
      </c>
      <c r="BH3336" s="210">
        <f t="shared" si="1393"/>
        <v>26</v>
      </c>
      <c r="BI3336" s="213">
        <f t="shared" si="1398"/>
        <v>0</v>
      </c>
      <c r="BJ3336" s="270" t="s">
        <v>2857</v>
      </c>
      <c r="BK3336" s="201"/>
      <c r="BL3336" s="4"/>
      <c r="BM3336" s="4"/>
    </row>
    <row r="3337" spans="1:65" s="38" customFormat="1" ht="18" customHeight="1">
      <c r="A3337" s="114">
        <v>4</v>
      </c>
      <c r="B3337" s="24" t="s">
        <v>2262</v>
      </c>
      <c r="C3337" s="25" t="s">
        <v>2263</v>
      </c>
      <c r="D3337" s="121"/>
      <c r="E3337" s="121"/>
      <c r="F3337" s="121"/>
      <c r="G3337" s="121"/>
      <c r="H3337" s="121"/>
      <c r="I3337" s="121">
        <v>9</v>
      </c>
      <c r="J3337" s="121"/>
      <c r="K3337" s="121"/>
      <c r="L3337" s="121"/>
      <c r="M3337" s="121"/>
      <c r="N3337" s="121"/>
      <c r="O3337" s="121">
        <v>2</v>
      </c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229">
        <f t="shared" si="1395"/>
        <v>0</v>
      </c>
      <c r="AC3337" s="228">
        <f t="shared" si="1387"/>
        <v>11</v>
      </c>
      <c r="AD3337" s="19">
        <v>10</v>
      </c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29">
        <f t="shared" si="1396"/>
        <v>0</v>
      </c>
      <c r="BD3337" s="48">
        <f t="shared" si="1390"/>
        <v>0</v>
      </c>
      <c r="BE3337" s="19">
        <v>0</v>
      </c>
      <c r="BF3337" s="229">
        <f t="shared" si="1397"/>
        <v>0</v>
      </c>
      <c r="BG3337" s="210">
        <f t="shared" si="1392"/>
        <v>11</v>
      </c>
      <c r="BH3337" s="210">
        <f t="shared" si="1393"/>
        <v>10</v>
      </c>
      <c r="BI3337" s="213">
        <f t="shared" si="1398"/>
        <v>110.00000000000001</v>
      </c>
      <c r="BJ3337" s="141"/>
      <c r="BK3337" s="201"/>
      <c r="BL3337" s="4"/>
      <c r="BM3337" s="4"/>
    </row>
    <row r="3338" spans="1:65" s="38" customFormat="1" ht="18" customHeight="1">
      <c r="A3338" s="114">
        <v>5</v>
      </c>
      <c r="B3338" s="24" t="s">
        <v>1184</v>
      </c>
      <c r="C3338" s="25" t="s">
        <v>1185</v>
      </c>
      <c r="D3338" s="121"/>
      <c r="E3338" s="121"/>
      <c r="F3338" s="121"/>
      <c r="G3338" s="121"/>
      <c r="H3338" s="121"/>
      <c r="I3338" s="121">
        <v>18</v>
      </c>
      <c r="J3338" s="121"/>
      <c r="K3338" s="121"/>
      <c r="L3338" s="121"/>
      <c r="M3338" s="121"/>
      <c r="N3338" s="121"/>
      <c r="O3338" s="121">
        <v>5</v>
      </c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229">
        <f t="shared" si="1395"/>
        <v>0</v>
      </c>
      <c r="AC3338" s="228">
        <f t="shared" si="1387"/>
        <v>23</v>
      </c>
      <c r="AD3338" s="19">
        <v>32</v>
      </c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29">
        <f t="shared" si="1396"/>
        <v>0</v>
      </c>
      <c r="BD3338" s="48">
        <f t="shared" si="1390"/>
        <v>0</v>
      </c>
      <c r="BE3338" s="19">
        <v>0</v>
      </c>
      <c r="BF3338" s="229">
        <f t="shared" si="1397"/>
        <v>0</v>
      </c>
      <c r="BG3338" s="210">
        <f t="shared" si="1392"/>
        <v>23</v>
      </c>
      <c r="BH3338" s="210">
        <f t="shared" si="1393"/>
        <v>32</v>
      </c>
      <c r="BI3338" s="213">
        <f t="shared" si="1398"/>
        <v>71.875</v>
      </c>
      <c r="BJ3338" s="141"/>
      <c r="BK3338" s="201"/>
      <c r="BL3338" s="4"/>
      <c r="BM3338" s="4"/>
    </row>
    <row r="3339" spans="1:65" s="38" customFormat="1" ht="18" customHeight="1">
      <c r="A3339" s="114">
        <v>6</v>
      </c>
      <c r="B3339" s="24" t="s">
        <v>571</v>
      </c>
      <c r="C3339" s="25" t="s">
        <v>572</v>
      </c>
      <c r="D3339" s="121"/>
      <c r="E3339" s="121"/>
      <c r="F3339" s="121"/>
      <c r="G3339" s="121"/>
      <c r="H3339" s="121"/>
      <c r="I3339" s="121">
        <v>2</v>
      </c>
      <c r="J3339" s="121"/>
      <c r="K3339" s="121"/>
      <c r="L3339" s="121"/>
      <c r="M3339" s="121"/>
      <c r="N3339" s="121"/>
      <c r="O3339" s="121">
        <v>12</v>
      </c>
      <c r="P3339" s="121"/>
      <c r="Q3339" s="121"/>
      <c r="R3339" s="121"/>
      <c r="S3339" s="121"/>
      <c r="T3339" s="121"/>
      <c r="U3339" s="121">
        <v>12</v>
      </c>
      <c r="V3339" s="121"/>
      <c r="W3339" s="121"/>
      <c r="X3339" s="121"/>
      <c r="Y3339" s="121"/>
      <c r="Z3339" s="121"/>
      <c r="AA3339" s="121">
        <v>7</v>
      </c>
      <c r="AB3339" s="229">
        <f t="shared" si="1395"/>
        <v>0</v>
      </c>
      <c r="AC3339" s="228">
        <f t="shared" si="1387"/>
        <v>33</v>
      </c>
      <c r="AD3339" s="19">
        <v>7</v>
      </c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  <c r="AZ3339" s="28"/>
      <c r="BA3339" s="28"/>
      <c r="BB3339" s="28"/>
      <c r="BC3339" s="229">
        <f t="shared" si="1396"/>
        <v>0</v>
      </c>
      <c r="BD3339" s="48">
        <f t="shared" si="1390"/>
        <v>0</v>
      </c>
      <c r="BE3339" s="19">
        <v>0</v>
      </c>
      <c r="BF3339" s="229">
        <f t="shared" si="1397"/>
        <v>0</v>
      </c>
      <c r="BG3339" s="210">
        <f t="shared" si="1392"/>
        <v>33</v>
      </c>
      <c r="BH3339" s="210">
        <f t="shared" si="1393"/>
        <v>7</v>
      </c>
      <c r="BI3339" s="213">
        <f t="shared" si="1398"/>
        <v>471.42857142857144</v>
      </c>
      <c r="BJ3339" s="141"/>
      <c r="BK3339" s="201"/>
      <c r="BL3339" s="4"/>
      <c r="BM3339" s="4"/>
    </row>
    <row r="3340" spans="1:65" s="38" customFormat="1" ht="18" customHeight="1">
      <c r="A3340" s="114">
        <v>7</v>
      </c>
      <c r="B3340" s="24" t="s">
        <v>585</v>
      </c>
      <c r="C3340" s="25" t="s">
        <v>586</v>
      </c>
      <c r="D3340" s="121"/>
      <c r="E3340" s="121"/>
      <c r="F3340" s="121"/>
      <c r="G3340" s="121"/>
      <c r="H3340" s="121"/>
      <c r="I3340" s="121">
        <v>11</v>
      </c>
      <c r="J3340" s="121"/>
      <c r="K3340" s="121"/>
      <c r="L3340" s="121"/>
      <c r="M3340" s="121"/>
      <c r="N3340" s="121"/>
      <c r="O3340" s="121">
        <v>6</v>
      </c>
      <c r="P3340" s="121"/>
      <c r="Q3340" s="121"/>
      <c r="R3340" s="121"/>
      <c r="S3340" s="121"/>
      <c r="T3340" s="121"/>
      <c r="U3340" s="121">
        <v>4</v>
      </c>
      <c r="V3340" s="121"/>
      <c r="W3340" s="121"/>
      <c r="X3340" s="121"/>
      <c r="Y3340" s="121"/>
      <c r="Z3340" s="121"/>
      <c r="AA3340" s="121">
        <v>5</v>
      </c>
      <c r="AB3340" s="229">
        <f t="shared" si="1395"/>
        <v>0</v>
      </c>
      <c r="AC3340" s="228">
        <f t="shared" si="1387"/>
        <v>26</v>
      </c>
      <c r="AD3340" s="19">
        <v>37</v>
      </c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29">
        <f t="shared" si="1396"/>
        <v>0</v>
      </c>
      <c r="BD3340" s="48">
        <f t="shared" si="1390"/>
        <v>0</v>
      </c>
      <c r="BE3340" s="19">
        <v>0</v>
      </c>
      <c r="BF3340" s="229">
        <f t="shared" si="1397"/>
        <v>0</v>
      </c>
      <c r="BG3340" s="210">
        <f t="shared" si="1392"/>
        <v>26</v>
      </c>
      <c r="BH3340" s="210">
        <f t="shared" si="1393"/>
        <v>37</v>
      </c>
      <c r="BI3340" s="213">
        <f t="shared" si="1398"/>
        <v>70.270270270270274</v>
      </c>
      <c r="BJ3340" s="141"/>
      <c r="BK3340" s="201"/>
      <c r="BL3340" s="4"/>
      <c r="BM3340" s="4"/>
    </row>
    <row r="3341" spans="1:65" s="38" customFormat="1" ht="18" customHeight="1">
      <c r="A3341" s="114">
        <v>8</v>
      </c>
      <c r="B3341" s="24" t="s">
        <v>892</v>
      </c>
      <c r="C3341" s="25" t="s">
        <v>893</v>
      </c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229">
        <f t="shared" si="1395"/>
        <v>0</v>
      </c>
      <c r="AC3341" s="228">
        <f t="shared" si="1387"/>
        <v>0</v>
      </c>
      <c r="AD3341" s="19">
        <v>0</v>
      </c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29">
        <f t="shared" si="1396"/>
        <v>0</v>
      </c>
      <c r="BD3341" s="48">
        <f t="shared" si="1390"/>
        <v>0</v>
      </c>
      <c r="BE3341" s="19">
        <v>0</v>
      </c>
      <c r="BF3341" s="229">
        <f t="shared" si="1397"/>
        <v>0</v>
      </c>
      <c r="BG3341" s="210">
        <f t="shared" si="1392"/>
        <v>0</v>
      </c>
      <c r="BH3341" s="210">
        <f t="shared" si="1393"/>
        <v>0</v>
      </c>
      <c r="BI3341" s="213" t="e">
        <f t="shared" si="1398"/>
        <v>#DIV/0!</v>
      </c>
      <c r="BJ3341" s="141"/>
      <c r="BK3341" s="201"/>
      <c r="BL3341" s="4"/>
      <c r="BM3341" s="4"/>
    </row>
    <row r="3342" spans="1:65" s="38" customFormat="1" ht="18" customHeight="1">
      <c r="A3342" s="114">
        <v>9</v>
      </c>
      <c r="B3342" s="24" t="s">
        <v>703</v>
      </c>
      <c r="C3342" s="25" t="s">
        <v>774</v>
      </c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229">
        <f t="shared" si="1395"/>
        <v>0</v>
      </c>
      <c r="AC3342" s="228">
        <f t="shared" si="1387"/>
        <v>0</v>
      </c>
      <c r="AD3342" s="19">
        <v>0</v>
      </c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  <c r="AZ3342" s="28"/>
      <c r="BA3342" s="28"/>
      <c r="BB3342" s="28"/>
      <c r="BC3342" s="229">
        <f t="shared" si="1396"/>
        <v>0</v>
      </c>
      <c r="BD3342" s="48">
        <f t="shared" si="1390"/>
        <v>0</v>
      </c>
      <c r="BE3342" s="19">
        <v>0</v>
      </c>
      <c r="BF3342" s="229">
        <f t="shared" si="1397"/>
        <v>0</v>
      </c>
      <c r="BG3342" s="210">
        <f t="shared" si="1392"/>
        <v>0</v>
      </c>
      <c r="BH3342" s="210">
        <f t="shared" si="1393"/>
        <v>0</v>
      </c>
      <c r="BI3342" s="213" t="e">
        <f t="shared" si="1398"/>
        <v>#DIV/0!</v>
      </c>
      <c r="BJ3342" s="141"/>
      <c r="BK3342" s="201"/>
      <c r="BL3342" s="4"/>
      <c r="BM3342" s="4"/>
    </row>
    <row r="3343" spans="1:65" s="38" customFormat="1" ht="18" customHeight="1">
      <c r="A3343" s="114">
        <v>10</v>
      </c>
      <c r="B3343" s="24" t="s">
        <v>842</v>
      </c>
      <c r="C3343" s="25" t="s">
        <v>2617</v>
      </c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229">
        <f t="shared" si="1395"/>
        <v>0</v>
      </c>
      <c r="AC3343" s="228">
        <f t="shared" si="1387"/>
        <v>0</v>
      </c>
      <c r="AD3343" s="19">
        <v>4</v>
      </c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  <c r="AZ3343" s="28"/>
      <c r="BA3343" s="28"/>
      <c r="BB3343" s="28"/>
      <c r="BC3343" s="229">
        <f t="shared" si="1396"/>
        <v>0</v>
      </c>
      <c r="BD3343" s="48">
        <f t="shared" si="1390"/>
        <v>0</v>
      </c>
      <c r="BE3343" s="19">
        <v>0</v>
      </c>
      <c r="BF3343" s="229">
        <f t="shared" si="1397"/>
        <v>0</v>
      </c>
      <c r="BG3343" s="210">
        <f t="shared" si="1392"/>
        <v>0</v>
      </c>
      <c r="BH3343" s="210">
        <f t="shared" si="1393"/>
        <v>4</v>
      </c>
      <c r="BI3343" s="213">
        <f t="shared" si="1398"/>
        <v>0</v>
      </c>
      <c r="BJ3343" s="141"/>
      <c r="BK3343" s="201"/>
      <c r="BL3343" s="4"/>
      <c r="BM3343" s="4"/>
    </row>
    <row r="3344" spans="1:65" s="38" customFormat="1" ht="21.95" customHeight="1">
      <c r="A3344" s="114">
        <v>11</v>
      </c>
      <c r="B3344" s="24" t="s">
        <v>657</v>
      </c>
      <c r="C3344" s="27" t="s">
        <v>1401</v>
      </c>
      <c r="D3344" s="121"/>
      <c r="E3344" s="121"/>
      <c r="F3344" s="121"/>
      <c r="G3344" s="121"/>
      <c r="H3344" s="121"/>
      <c r="I3344" s="121">
        <v>2</v>
      </c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229">
        <f t="shared" si="1395"/>
        <v>0</v>
      </c>
      <c r="AC3344" s="228">
        <f t="shared" si="1387"/>
        <v>2</v>
      </c>
      <c r="AD3344" s="19">
        <v>4</v>
      </c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8"/>
      <c r="BC3344" s="229">
        <f t="shared" si="1396"/>
        <v>0</v>
      </c>
      <c r="BD3344" s="48">
        <f t="shared" si="1390"/>
        <v>0</v>
      </c>
      <c r="BE3344" s="19">
        <v>0</v>
      </c>
      <c r="BF3344" s="229">
        <f t="shared" si="1397"/>
        <v>0</v>
      </c>
      <c r="BG3344" s="210">
        <f t="shared" si="1392"/>
        <v>2</v>
      </c>
      <c r="BH3344" s="210">
        <f t="shared" si="1393"/>
        <v>4</v>
      </c>
      <c r="BI3344" s="213">
        <f t="shared" si="1398"/>
        <v>50</v>
      </c>
      <c r="BJ3344" s="141"/>
      <c r="BK3344" s="201"/>
      <c r="BL3344" s="4"/>
      <c r="BM3344" s="4"/>
    </row>
    <row r="3345" spans="1:65" s="38" customFormat="1" ht="21.95" customHeight="1">
      <c r="A3345" s="114">
        <v>12</v>
      </c>
      <c r="B3345" s="24" t="s">
        <v>2043</v>
      </c>
      <c r="C3345" s="27" t="s">
        <v>2044</v>
      </c>
      <c r="D3345" s="121"/>
      <c r="E3345" s="121"/>
      <c r="F3345" s="121"/>
      <c r="G3345" s="121"/>
      <c r="H3345" s="121"/>
      <c r="I3345" s="121">
        <v>62</v>
      </c>
      <c r="J3345" s="121"/>
      <c r="K3345" s="121"/>
      <c r="L3345" s="121"/>
      <c r="M3345" s="121"/>
      <c r="N3345" s="121"/>
      <c r="O3345" s="121">
        <v>42</v>
      </c>
      <c r="P3345" s="121"/>
      <c r="Q3345" s="121"/>
      <c r="R3345" s="121"/>
      <c r="S3345" s="121"/>
      <c r="T3345" s="121"/>
      <c r="U3345" s="121">
        <v>15</v>
      </c>
      <c r="V3345" s="121"/>
      <c r="W3345" s="121"/>
      <c r="X3345" s="121"/>
      <c r="Y3345" s="121"/>
      <c r="Z3345" s="121"/>
      <c r="AA3345" s="121">
        <v>59</v>
      </c>
      <c r="AB3345" s="229">
        <f t="shared" si="1395"/>
        <v>0</v>
      </c>
      <c r="AC3345" s="228">
        <f t="shared" si="1387"/>
        <v>178</v>
      </c>
      <c r="AD3345" s="19">
        <v>188</v>
      </c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29">
        <f t="shared" si="1396"/>
        <v>0</v>
      </c>
      <c r="BD3345" s="48">
        <f t="shared" si="1390"/>
        <v>0</v>
      </c>
      <c r="BE3345" s="19">
        <v>0</v>
      </c>
      <c r="BF3345" s="229">
        <f t="shared" si="1397"/>
        <v>0</v>
      </c>
      <c r="BG3345" s="210">
        <f t="shared" si="1392"/>
        <v>178</v>
      </c>
      <c r="BH3345" s="210">
        <f t="shared" si="1393"/>
        <v>188</v>
      </c>
      <c r="BI3345" s="213">
        <f t="shared" si="1398"/>
        <v>94.680851063829792</v>
      </c>
      <c r="BJ3345" s="141"/>
      <c r="BK3345" s="201"/>
      <c r="BL3345" s="4"/>
      <c r="BM3345" s="4"/>
    </row>
    <row r="3346" spans="1:65" s="38" customFormat="1" ht="21.95" customHeight="1">
      <c r="A3346" s="373" t="s">
        <v>547</v>
      </c>
      <c r="B3346" s="373"/>
      <c r="C3346" s="373"/>
      <c r="D3346" s="220">
        <f t="shared" ref="D3346:BE3346" si="1399">SUM(D3347:D3394)</f>
        <v>0</v>
      </c>
      <c r="E3346" s="220">
        <f t="shared" si="1399"/>
        <v>0</v>
      </c>
      <c r="F3346" s="220">
        <f t="shared" si="1399"/>
        <v>0</v>
      </c>
      <c r="G3346" s="220">
        <f t="shared" si="1399"/>
        <v>0</v>
      </c>
      <c r="H3346" s="220">
        <f t="shared" si="1399"/>
        <v>0</v>
      </c>
      <c r="I3346" s="220">
        <f t="shared" si="1399"/>
        <v>9234</v>
      </c>
      <c r="J3346" s="220">
        <f t="shared" si="1399"/>
        <v>0</v>
      </c>
      <c r="K3346" s="220">
        <f t="shared" si="1399"/>
        <v>0</v>
      </c>
      <c r="L3346" s="220">
        <f t="shared" si="1399"/>
        <v>0</v>
      </c>
      <c r="M3346" s="220">
        <f t="shared" si="1399"/>
        <v>0</v>
      </c>
      <c r="N3346" s="220">
        <f t="shared" si="1399"/>
        <v>0</v>
      </c>
      <c r="O3346" s="220">
        <f t="shared" si="1399"/>
        <v>8756</v>
      </c>
      <c r="P3346" s="220">
        <f t="shared" si="1399"/>
        <v>0</v>
      </c>
      <c r="Q3346" s="220">
        <f t="shared" si="1399"/>
        <v>0</v>
      </c>
      <c r="R3346" s="220">
        <f t="shared" si="1399"/>
        <v>0</v>
      </c>
      <c r="S3346" s="220">
        <f t="shared" si="1399"/>
        <v>0</v>
      </c>
      <c r="T3346" s="220">
        <f t="shared" si="1399"/>
        <v>0</v>
      </c>
      <c r="U3346" s="220">
        <f t="shared" si="1399"/>
        <v>8378</v>
      </c>
      <c r="V3346" s="220">
        <f t="shared" si="1399"/>
        <v>0</v>
      </c>
      <c r="W3346" s="220">
        <f t="shared" si="1399"/>
        <v>0</v>
      </c>
      <c r="X3346" s="220">
        <f t="shared" si="1399"/>
        <v>0</v>
      </c>
      <c r="Y3346" s="220">
        <f t="shared" si="1399"/>
        <v>0</v>
      </c>
      <c r="Z3346" s="220">
        <f t="shared" si="1399"/>
        <v>0</v>
      </c>
      <c r="AA3346" s="220">
        <f t="shared" si="1399"/>
        <v>9060</v>
      </c>
      <c r="AB3346" s="220">
        <f t="shared" si="1386"/>
        <v>0</v>
      </c>
      <c r="AC3346" s="220">
        <f t="shared" si="1387"/>
        <v>35428</v>
      </c>
      <c r="AD3346" s="220">
        <f t="shared" si="1399"/>
        <v>35058</v>
      </c>
      <c r="AE3346" s="220">
        <f t="shared" si="1399"/>
        <v>0</v>
      </c>
      <c r="AF3346" s="220">
        <f t="shared" si="1399"/>
        <v>0</v>
      </c>
      <c r="AG3346" s="220">
        <f t="shared" si="1399"/>
        <v>0</v>
      </c>
      <c r="AH3346" s="220">
        <f t="shared" si="1399"/>
        <v>0</v>
      </c>
      <c r="AI3346" s="220">
        <f t="shared" si="1399"/>
        <v>0</v>
      </c>
      <c r="AJ3346" s="220">
        <f t="shared" si="1399"/>
        <v>68</v>
      </c>
      <c r="AK3346" s="220">
        <f t="shared" si="1399"/>
        <v>0</v>
      </c>
      <c r="AL3346" s="220">
        <f t="shared" si="1399"/>
        <v>0</v>
      </c>
      <c r="AM3346" s="220">
        <f t="shared" si="1399"/>
        <v>0</v>
      </c>
      <c r="AN3346" s="220">
        <f t="shared" si="1399"/>
        <v>0</v>
      </c>
      <c r="AO3346" s="220">
        <f t="shared" si="1399"/>
        <v>0</v>
      </c>
      <c r="AP3346" s="220">
        <f t="shared" si="1399"/>
        <v>78</v>
      </c>
      <c r="AQ3346" s="220">
        <f t="shared" si="1399"/>
        <v>0</v>
      </c>
      <c r="AR3346" s="220">
        <f t="shared" si="1399"/>
        <v>0</v>
      </c>
      <c r="AS3346" s="220">
        <f t="shared" si="1399"/>
        <v>0</v>
      </c>
      <c r="AT3346" s="220">
        <f t="shared" si="1399"/>
        <v>0</v>
      </c>
      <c r="AU3346" s="220">
        <f t="shared" si="1399"/>
        <v>0</v>
      </c>
      <c r="AV3346" s="220">
        <f t="shared" si="1399"/>
        <v>102</v>
      </c>
      <c r="AW3346" s="220">
        <f t="shared" si="1399"/>
        <v>0</v>
      </c>
      <c r="AX3346" s="220">
        <f t="shared" si="1399"/>
        <v>0</v>
      </c>
      <c r="AY3346" s="220">
        <f t="shared" si="1399"/>
        <v>0</v>
      </c>
      <c r="AZ3346" s="220">
        <f t="shared" si="1399"/>
        <v>0</v>
      </c>
      <c r="BA3346" s="220">
        <f t="shared" si="1399"/>
        <v>0</v>
      </c>
      <c r="BB3346" s="220">
        <f t="shared" si="1399"/>
        <v>111</v>
      </c>
      <c r="BC3346" s="220">
        <f t="shared" si="1389"/>
        <v>0</v>
      </c>
      <c r="BD3346" s="210">
        <f t="shared" si="1390"/>
        <v>359</v>
      </c>
      <c r="BE3346" s="220">
        <f t="shared" si="1399"/>
        <v>103</v>
      </c>
      <c r="BF3346" s="220">
        <f t="shared" si="1391"/>
        <v>0</v>
      </c>
      <c r="BG3346" s="210">
        <f t="shared" si="1392"/>
        <v>35787</v>
      </c>
      <c r="BH3346" s="210">
        <f t="shared" si="1393"/>
        <v>35161</v>
      </c>
      <c r="BI3346" s="213">
        <f t="shared" si="1394"/>
        <v>101.7803816728762</v>
      </c>
      <c r="BJ3346" s="140">
        <v>35161</v>
      </c>
      <c r="BK3346" s="203">
        <f>BH3346-BJ3346</f>
        <v>0</v>
      </c>
      <c r="BL3346" s="4"/>
      <c r="BM3346" s="4"/>
    </row>
    <row r="3347" spans="1:65" s="38" customFormat="1" ht="18" customHeight="1">
      <c r="A3347" s="114">
        <v>1</v>
      </c>
      <c r="B3347" s="24" t="s">
        <v>549</v>
      </c>
      <c r="C3347" s="25" t="s">
        <v>1393</v>
      </c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>
        <v>1</v>
      </c>
      <c r="AB3347" s="229">
        <f t="shared" ref="AB3347:AB3394" si="1400">D3347+F3347+H3347+J3347+L3347+N3347+P3347+R3347+T3347+V3347+X3347+Z3347</f>
        <v>0</v>
      </c>
      <c r="AC3347" s="228">
        <f t="shared" ref="AC3347:AC3394" si="1401">E3347+G3347+I3347+K3347+M3347+O3347+Q3347+S3347+U3347+W3347+Y3347+AA3347</f>
        <v>1</v>
      </c>
      <c r="AD3347" s="19">
        <v>14</v>
      </c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  <c r="AZ3347" s="28"/>
      <c r="BA3347" s="28"/>
      <c r="BB3347" s="28"/>
      <c r="BC3347" s="229">
        <f t="shared" ref="BC3347:BC3394" si="1402">AE3347+AG3347+AI3347+AK3347+AM3347+AO3347+AQ3347+AS3347+AU3347+AW3347+AY3347+BA3347</f>
        <v>0</v>
      </c>
      <c r="BD3347" s="48">
        <f t="shared" ref="BD3347:BD3394" si="1403">AF3347+AH3347+AJ3347+AL3347+AN3347+AP3347+AR3347+AT3347+AV3347+AX3347+AZ3347+BB3347</f>
        <v>0</v>
      </c>
      <c r="BE3347" s="19">
        <v>0</v>
      </c>
      <c r="BF3347" s="229">
        <f t="shared" ref="BF3347:BH3350" si="1404">AB3347+BC3347</f>
        <v>0</v>
      </c>
      <c r="BG3347" s="210">
        <f t="shared" si="1404"/>
        <v>1</v>
      </c>
      <c r="BH3347" s="210">
        <f t="shared" si="1404"/>
        <v>14</v>
      </c>
      <c r="BI3347" s="213">
        <f t="shared" ref="BI3347:BI3394" si="1405">BG3347/BH3347*100</f>
        <v>7.1428571428571423</v>
      </c>
      <c r="BJ3347" s="270" t="s">
        <v>2857</v>
      </c>
      <c r="BK3347" s="201"/>
      <c r="BL3347" s="4"/>
      <c r="BM3347" s="4"/>
    </row>
    <row r="3348" spans="1:65" s="38" customFormat="1" ht="21.95" customHeight="1">
      <c r="A3348" s="114">
        <v>2</v>
      </c>
      <c r="B3348" s="24" t="s">
        <v>705</v>
      </c>
      <c r="C3348" s="27" t="s">
        <v>706</v>
      </c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>
        <v>2</v>
      </c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229">
        <f t="shared" si="1400"/>
        <v>0</v>
      </c>
      <c r="AC3348" s="228">
        <f t="shared" si="1401"/>
        <v>2</v>
      </c>
      <c r="AD3348" s="19">
        <v>12</v>
      </c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29">
        <f t="shared" si="1402"/>
        <v>0</v>
      </c>
      <c r="BD3348" s="48">
        <f t="shared" si="1403"/>
        <v>0</v>
      </c>
      <c r="BE3348" s="19">
        <v>0</v>
      </c>
      <c r="BF3348" s="229">
        <f t="shared" si="1404"/>
        <v>0</v>
      </c>
      <c r="BG3348" s="210">
        <f t="shared" si="1404"/>
        <v>2</v>
      </c>
      <c r="BH3348" s="210">
        <f t="shared" si="1404"/>
        <v>12</v>
      </c>
      <c r="BI3348" s="213">
        <f t="shared" si="1405"/>
        <v>16.666666666666664</v>
      </c>
      <c r="BJ3348" s="270" t="s">
        <v>2857</v>
      </c>
      <c r="BK3348" s="201"/>
      <c r="BL3348" s="4"/>
      <c r="BM3348" s="4"/>
    </row>
    <row r="3349" spans="1:65" s="38" customFormat="1" ht="18" customHeight="1">
      <c r="A3349" s="114">
        <v>3</v>
      </c>
      <c r="B3349" s="24" t="s">
        <v>553</v>
      </c>
      <c r="C3349" s="25" t="s">
        <v>554</v>
      </c>
      <c r="D3349" s="121"/>
      <c r="E3349" s="121"/>
      <c r="F3349" s="121"/>
      <c r="G3349" s="121"/>
      <c r="H3349" s="121"/>
      <c r="I3349" s="121">
        <v>40</v>
      </c>
      <c r="J3349" s="121"/>
      <c r="K3349" s="121"/>
      <c r="L3349" s="121"/>
      <c r="M3349" s="121"/>
      <c r="N3349" s="121"/>
      <c r="O3349" s="121">
        <v>38</v>
      </c>
      <c r="P3349" s="121"/>
      <c r="Q3349" s="121"/>
      <c r="R3349" s="121"/>
      <c r="S3349" s="121"/>
      <c r="T3349" s="121"/>
      <c r="U3349" s="121">
        <v>17</v>
      </c>
      <c r="V3349" s="121"/>
      <c r="W3349" s="121"/>
      <c r="X3349" s="121"/>
      <c r="Y3349" s="121"/>
      <c r="Z3349" s="121"/>
      <c r="AA3349" s="121">
        <v>36</v>
      </c>
      <c r="AB3349" s="229">
        <f t="shared" si="1400"/>
        <v>0</v>
      </c>
      <c r="AC3349" s="228">
        <f t="shared" si="1401"/>
        <v>131</v>
      </c>
      <c r="AD3349" s="19">
        <v>210</v>
      </c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>
        <v>1</v>
      </c>
      <c r="AW3349" s="28"/>
      <c r="AX3349" s="28"/>
      <c r="AY3349" s="28"/>
      <c r="AZ3349" s="28"/>
      <c r="BA3349" s="28"/>
      <c r="BB3349" s="28">
        <v>1</v>
      </c>
      <c r="BC3349" s="229">
        <f t="shared" si="1402"/>
        <v>0</v>
      </c>
      <c r="BD3349" s="48">
        <f t="shared" si="1403"/>
        <v>2</v>
      </c>
      <c r="BE3349" s="19">
        <v>0</v>
      </c>
      <c r="BF3349" s="229">
        <f t="shared" si="1404"/>
        <v>0</v>
      </c>
      <c r="BG3349" s="210">
        <f t="shared" si="1404"/>
        <v>133</v>
      </c>
      <c r="BH3349" s="210">
        <f t="shared" si="1404"/>
        <v>210</v>
      </c>
      <c r="BI3349" s="213">
        <f t="shared" si="1405"/>
        <v>63.333333333333329</v>
      </c>
      <c r="BJ3349" s="141"/>
      <c r="BK3349" s="201"/>
      <c r="BL3349" s="4"/>
      <c r="BM3349" s="4"/>
    </row>
    <row r="3350" spans="1:65" s="38" customFormat="1" ht="18" customHeight="1">
      <c r="A3350" s="114">
        <v>4</v>
      </c>
      <c r="B3350" s="24" t="s">
        <v>571</v>
      </c>
      <c r="C3350" s="25" t="s">
        <v>1187</v>
      </c>
      <c r="D3350" s="121"/>
      <c r="E3350" s="121"/>
      <c r="F3350" s="121"/>
      <c r="G3350" s="121"/>
      <c r="H3350" s="121"/>
      <c r="I3350" s="121">
        <v>14</v>
      </c>
      <c r="J3350" s="121"/>
      <c r="K3350" s="121"/>
      <c r="L3350" s="121"/>
      <c r="M3350" s="121"/>
      <c r="N3350" s="121"/>
      <c r="O3350" s="121">
        <v>29</v>
      </c>
      <c r="P3350" s="121"/>
      <c r="Q3350" s="121"/>
      <c r="R3350" s="121"/>
      <c r="S3350" s="121"/>
      <c r="T3350" s="121"/>
      <c r="U3350" s="121">
        <v>78</v>
      </c>
      <c r="V3350" s="121"/>
      <c r="W3350" s="121"/>
      <c r="X3350" s="121"/>
      <c r="Y3350" s="121"/>
      <c r="Z3350" s="121"/>
      <c r="AA3350" s="121">
        <v>46</v>
      </c>
      <c r="AB3350" s="229">
        <f t="shared" si="1400"/>
        <v>0</v>
      </c>
      <c r="AC3350" s="228">
        <f t="shared" si="1401"/>
        <v>167</v>
      </c>
      <c r="AD3350" s="19">
        <v>70</v>
      </c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>
        <v>2</v>
      </c>
      <c r="AW3350" s="28"/>
      <c r="AX3350" s="28"/>
      <c r="AY3350" s="28"/>
      <c r="AZ3350" s="28"/>
      <c r="BA3350" s="28"/>
      <c r="BB3350" s="28"/>
      <c r="BC3350" s="229">
        <f t="shared" si="1402"/>
        <v>0</v>
      </c>
      <c r="BD3350" s="48">
        <f t="shared" si="1403"/>
        <v>2</v>
      </c>
      <c r="BE3350" s="19">
        <v>0</v>
      </c>
      <c r="BF3350" s="229">
        <f t="shared" si="1404"/>
        <v>0</v>
      </c>
      <c r="BG3350" s="210">
        <f t="shared" si="1404"/>
        <v>169</v>
      </c>
      <c r="BH3350" s="210">
        <f t="shared" si="1404"/>
        <v>70</v>
      </c>
      <c r="BI3350" s="213">
        <f t="shared" si="1405"/>
        <v>241.42857142857142</v>
      </c>
      <c r="BJ3350" s="141"/>
      <c r="BK3350" s="201"/>
      <c r="BL3350" s="4"/>
      <c r="BM3350" s="4"/>
    </row>
    <row r="3351" spans="1:65" s="38" customFormat="1" ht="18" customHeight="1">
      <c r="A3351" s="114">
        <v>5</v>
      </c>
      <c r="B3351" s="9" t="s">
        <v>540</v>
      </c>
      <c r="C3351" s="11" t="s">
        <v>1953</v>
      </c>
      <c r="D3351" s="13"/>
      <c r="E3351" s="13"/>
      <c r="F3351" s="13"/>
      <c r="G3351" s="13"/>
      <c r="H3351" s="13"/>
      <c r="I3351" s="13">
        <v>125</v>
      </c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229">
        <f t="shared" si="1400"/>
        <v>0</v>
      </c>
      <c r="AC3351" s="228">
        <f t="shared" si="1401"/>
        <v>125</v>
      </c>
      <c r="AD3351" s="19">
        <v>0</v>
      </c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  <c r="AZ3351" s="28"/>
      <c r="BA3351" s="28"/>
      <c r="BB3351" s="28"/>
      <c r="BC3351" s="229">
        <f t="shared" si="1402"/>
        <v>0</v>
      </c>
      <c r="BD3351" s="48">
        <f t="shared" si="1403"/>
        <v>0</v>
      </c>
      <c r="BE3351" s="19">
        <v>0</v>
      </c>
      <c r="BF3351" s="229"/>
      <c r="BG3351" s="210">
        <f t="shared" ref="BG3351:BG3394" si="1406">AC3351+BD3351</f>
        <v>125</v>
      </c>
      <c r="BH3351" s="210">
        <f t="shared" ref="BH3351:BH3394" si="1407">AD3351+BE3351</f>
        <v>0</v>
      </c>
      <c r="BI3351" s="213" t="e">
        <f t="shared" si="1405"/>
        <v>#DIV/0!</v>
      </c>
      <c r="BJ3351" s="141"/>
      <c r="BK3351" s="201"/>
      <c r="BL3351" s="4"/>
      <c r="BM3351" s="4"/>
    </row>
    <row r="3352" spans="1:65" s="38" customFormat="1" ht="18" customHeight="1">
      <c r="A3352" s="114">
        <v>6</v>
      </c>
      <c r="B3352" s="24" t="s">
        <v>585</v>
      </c>
      <c r="C3352" s="25" t="s">
        <v>586</v>
      </c>
      <c r="D3352" s="121"/>
      <c r="E3352" s="121"/>
      <c r="F3352" s="121"/>
      <c r="G3352" s="121"/>
      <c r="H3352" s="121"/>
      <c r="I3352" s="121">
        <f>234+27</f>
        <v>261</v>
      </c>
      <c r="J3352" s="121"/>
      <c r="K3352" s="121"/>
      <c r="L3352" s="121"/>
      <c r="M3352" s="121"/>
      <c r="N3352" s="121"/>
      <c r="O3352" s="121">
        <f>241+29</f>
        <v>270</v>
      </c>
      <c r="P3352" s="121"/>
      <c r="Q3352" s="121"/>
      <c r="R3352" s="121"/>
      <c r="S3352" s="121"/>
      <c r="T3352" s="121"/>
      <c r="U3352" s="121">
        <f>265+31</f>
        <v>296</v>
      </c>
      <c r="V3352" s="121"/>
      <c r="W3352" s="121"/>
      <c r="X3352" s="121"/>
      <c r="Y3352" s="121"/>
      <c r="Z3352" s="121"/>
      <c r="AA3352" s="121">
        <f>286+47</f>
        <v>333</v>
      </c>
      <c r="AB3352" s="229">
        <f t="shared" si="1400"/>
        <v>0</v>
      </c>
      <c r="AC3352" s="228">
        <f t="shared" si="1401"/>
        <v>1160</v>
      </c>
      <c r="AD3352" s="19">
        <v>1545</v>
      </c>
      <c r="AE3352" s="28"/>
      <c r="AF3352" s="28"/>
      <c r="AG3352" s="28"/>
      <c r="AH3352" s="28"/>
      <c r="AI3352" s="28"/>
      <c r="AJ3352" s="28">
        <v>6</v>
      </c>
      <c r="AK3352" s="28"/>
      <c r="AL3352" s="28"/>
      <c r="AM3352" s="28"/>
      <c r="AN3352" s="28"/>
      <c r="AO3352" s="28"/>
      <c r="AP3352" s="28">
        <v>2</v>
      </c>
      <c r="AQ3352" s="28"/>
      <c r="AR3352" s="28"/>
      <c r="AS3352" s="28"/>
      <c r="AT3352" s="28"/>
      <c r="AU3352" s="28"/>
      <c r="AV3352" s="28">
        <f>1+7</f>
        <v>8</v>
      </c>
      <c r="AW3352" s="28"/>
      <c r="AX3352" s="28"/>
      <c r="AY3352" s="28"/>
      <c r="AZ3352" s="28"/>
      <c r="BA3352" s="28"/>
      <c r="BB3352" s="28">
        <f>2+13</f>
        <v>15</v>
      </c>
      <c r="BC3352" s="229">
        <f t="shared" si="1402"/>
        <v>0</v>
      </c>
      <c r="BD3352" s="48">
        <f t="shared" si="1403"/>
        <v>31</v>
      </c>
      <c r="BE3352" s="19">
        <v>7</v>
      </c>
      <c r="BF3352" s="229">
        <f t="shared" ref="BF3352:BF3394" si="1408">AB3352+BC3352</f>
        <v>0</v>
      </c>
      <c r="BG3352" s="210">
        <f t="shared" si="1406"/>
        <v>1191</v>
      </c>
      <c r="BH3352" s="210">
        <f t="shared" si="1407"/>
        <v>1552</v>
      </c>
      <c r="BI3352" s="213">
        <f t="shared" si="1405"/>
        <v>76.739690721649495</v>
      </c>
      <c r="BJ3352" s="141"/>
      <c r="BK3352" s="201"/>
      <c r="BL3352" s="4"/>
      <c r="BM3352" s="4"/>
    </row>
    <row r="3353" spans="1:65" s="38" customFormat="1" ht="18" customHeight="1">
      <c r="A3353" s="114">
        <v>7</v>
      </c>
      <c r="B3353" s="24" t="s">
        <v>868</v>
      </c>
      <c r="C3353" s="25" t="s">
        <v>869</v>
      </c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229">
        <f t="shared" si="1400"/>
        <v>0</v>
      </c>
      <c r="AC3353" s="228">
        <f t="shared" si="1401"/>
        <v>0</v>
      </c>
      <c r="AD3353" s="19">
        <v>4</v>
      </c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29">
        <f t="shared" si="1402"/>
        <v>0</v>
      </c>
      <c r="BD3353" s="48">
        <f t="shared" si="1403"/>
        <v>0</v>
      </c>
      <c r="BE3353" s="19">
        <v>0</v>
      </c>
      <c r="BF3353" s="229">
        <f t="shared" si="1408"/>
        <v>0</v>
      </c>
      <c r="BG3353" s="210">
        <f t="shared" si="1406"/>
        <v>0</v>
      </c>
      <c r="BH3353" s="210">
        <f t="shared" si="1407"/>
        <v>4</v>
      </c>
      <c r="BI3353" s="213">
        <f t="shared" si="1405"/>
        <v>0</v>
      </c>
      <c r="BJ3353" s="141"/>
      <c r="BK3353" s="201"/>
      <c r="BL3353" s="4"/>
      <c r="BM3353" s="4"/>
    </row>
    <row r="3354" spans="1:65" s="38" customFormat="1" ht="18" customHeight="1">
      <c r="A3354" s="114">
        <v>8</v>
      </c>
      <c r="B3354" s="24" t="s">
        <v>1102</v>
      </c>
      <c r="C3354" s="25" t="s">
        <v>2613</v>
      </c>
      <c r="D3354" s="121"/>
      <c r="E3354" s="121"/>
      <c r="F3354" s="121"/>
      <c r="G3354" s="121"/>
      <c r="H3354" s="121"/>
      <c r="I3354" s="121">
        <v>4</v>
      </c>
      <c r="J3354" s="121"/>
      <c r="K3354" s="121"/>
      <c r="L3354" s="121"/>
      <c r="M3354" s="121"/>
      <c r="N3354" s="121"/>
      <c r="O3354" s="121">
        <v>6</v>
      </c>
      <c r="P3354" s="121"/>
      <c r="Q3354" s="121"/>
      <c r="R3354" s="121"/>
      <c r="S3354" s="121"/>
      <c r="T3354" s="121"/>
      <c r="U3354" s="121">
        <v>7</v>
      </c>
      <c r="V3354" s="121"/>
      <c r="W3354" s="121"/>
      <c r="X3354" s="121"/>
      <c r="Y3354" s="121"/>
      <c r="Z3354" s="121"/>
      <c r="AA3354" s="121">
        <v>7</v>
      </c>
      <c r="AB3354" s="229">
        <f t="shared" si="1400"/>
        <v>0</v>
      </c>
      <c r="AC3354" s="228">
        <f t="shared" si="1401"/>
        <v>24</v>
      </c>
      <c r="AD3354" s="19">
        <v>44</v>
      </c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29">
        <f t="shared" si="1402"/>
        <v>0</v>
      </c>
      <c r="BD3354" s="48">
        <f t="shared" si="1403"/>
        <v>0</v>
      </c>
      <c r="BE3354" s="19">
        <v>0</v>
      </c>
      <c r="BF3354" s="229">
        <f t="shared" si="1408"/>
        <v>0</v>
      </c>
      <c r="BG3354" s="210">
        <f t="shared" si="1406"/>
        <v>24</v>
      </c>
      <c r="BH3354" s="210">
        <f t="shared" si="1407"/>
        <v>44</v>
      </c>
      <c r="BI3354" s="213">
        <f t="shared" si="1405"/>
        <v>54.54545454545454</v>
      </c>
      <c r="BJ3354" s="141"/>
      <c r="BK3354" s="201"/>
      <c r="BL3354" s="4"/>
      <c r="BM3354" s="4"/>
    </row>
    <row r="3355" spans="1:65" s="38" customFormat="1" ht="18" customHeight="1">
      <c r="A3355" s="114">
        <v>9</v>
      </c>
      <c r="B3355" s="24" t="s">
        <v>1107</v>
      </c>
      <c r="C3355" s="25" t="s">
        <v>1188</v>
      </c>
      <c r="D3355" s="121"/>
      <c r="E3355" s="121"/>
      <c r="F3355" s="121"/>
      <c r="G3355" s="121"/>
      <c r="H3355" s="121"/>
      <c r="I3355" s="121">
        <v>47</v>
      </c>
      <c r="J3355" s="121"/>
      <c r="K3355" s="121"/>
      <c r="L3355" s="121"/>
      <c r="M3355" s="121"/>
      <c r="N3355" s="121"/>
      <c r="O3355" s="121">
        <v>27</v>
      </c>
      <c r="P3355" s="121"/>
      <c r="Q3355" s="121"/>
      <c r="R3355" s="121"/>
      <c r="S3355" s="121"/>
      <c r="T3355" s="121"/>
      <c r="U3355" s="121">
        <v>47</v>
      </c>
      <c r="V3355" s="121"/>
      <c r="W3355" s="121"/>
      <c r="X3355" s="121"/>
      <c r="Y3355" s="121"/>
      <c r="Z3355" s="121"/>
      <c r="AA3355" s="121">
        <f>29+2</f>
        <v>31</v>
      </c>
      <c r="AB3355" s="229">
        <f t="shared" si="1400"/>
        <v>0</v>
      </c>
      <c r="AC3355" s="228">
        <f t="shared" si="1401"/>
        <v>152</v>
      </c>
      <c r="AD3355" s="19">
        <v>237</v>
      </c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>
        <v>1</v>
      </c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29">
        <f t="shared" si="1402"/>
        <v>0</v>
      </c>
      <c r="BD3355" s="48">
        <f t="shared" si="1403"/>
        <v>1</v>
      </c>
      <c r="BE3355" s="19">
        <v>3</v>
      </c>
      <c r="BF3355" s="229">
        <f t="shared" si="1408"/>
        <v>0</v>
      </c>
      <c r="BG3355" s="210">
        <f t="shared" si="1406"/>
        <v>153</v>
      </c>
      <c r="BH3355" s="210">
        <f t="shared" si="1407"/>
        <v>240</v>
      </c>
      <c r="BI3355" s="213">
        <f t="shared" si="1405"/>
        <v>63.749999999999993</v>
      </c>
      <c r="BJ3355" s="141"/>
      <c r="BK3355" s="201"/>
      <c r="BL3355" s="4"/>
      <c r="BM3355" s="4"/>
    </row>
    <row r="3356" spans="1:65" s="38" customFormat="1" ht="18" customHeight="1">
      <c r="A3356" s="114">
        <v>10</v>
      </c>
      <c r="B3356" s="24" t="s">
        <v>794</v>
      </c>
      <c r="C3356" s="25" t="s">
        <v>1108</v>
      </c>
      <c r="D3356" s="121"/>
      <c r="E3356" s="121"/>
      <c r="F3356" s="121"/>
      <c r="G3356" s="121"/>
      <c r="H3356" s="121"/>
      <c r="I3356" s="121">
        <v>2</v>
      </c>
      <c r="J3356" s="121"/>
      <c r="K3356" s="121"/>
      <c r="L3356" s="121"/>
      <c r="M3356" s="121"/>
      <c r="N3356" s="121"/>
      <c r="O3356" s="121">
        <v>7</v>
      </c>
      <c r="P3356" s="121"/>
      <c r="Q3356" s="121"/>
      <c r="R3356" s="121"/>
      <c r="S3356" s="121"/>
      <c r="T3356" s="121"/>
      <c r="U3356" s="121">
        <v>8</v>
      </c>
      <c r="V3356" s="121"/>
      <c r="W3356" s="121"/>
      <c r="X3356" s="121"/>
      <c r="Y3356" s="121"/>
      <c r="Z3356" s="121"/>
      <c r="AA3356" s="121">
        <f>21+1</f>
        <v>22</v>
      </c>
      <c r="AB3356" s="229">
        <f t="shared" si="1400"/>
        <v>0</v>
      </c>
      <c r="AC3356" s="228">
        <f t="shared" si="1401"/>
        <v>39</v>
      </c>
      <c r="AD3356" s="19">
        <v>44</v>
      </c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29">
        <f t="shared" si="1402"/>
        <v>0</v>
      </c>
      <c r="BD3356" s="48">
        <f t="shared" si="1403"/>
        <v>0</v>
      </c>
      <c r="BE3356" s="19">
        <v>0</v>
      </c>
      <c r="BF3356" s="229">
        <f t="shared" si="1408"/>
        <v>0</v>
      </c>
      <c r="BG3356" s="210">
        <f t="shared" si="1406"/>
        <v>39</v>
      </c>
      <c r="BH3356" s="210">
        <f t="shared" si="1407"/>
        <v>44</v>
      </c>
      <c r="BI3356" s="213">
        <f t="shared" si="1405"/>
        <v>88.63636363636364</v>
      </c>
      <c r="BJ3356" s="141"/>
      <c r="BK3356" s="201"/>
      <c r="BL3356" s="4"/>
      <c r="BM3356" s="4"/>
    </row>
    <row r="3357" spans="1:65" s="38" customFormat="1" ht="18" customHeight="1">
      <c r="A3357" s="114">
        <v>11</v>
      </c>
      <c r="B3357" s="24" t="s">
        <v>1109</v>
      </c>
      <c r="C3357" s="25" t="s">
        <v>1110</v>
      </c>
      <c r="D3357" s="121"/>
      <c r="E3357" s="121"/>
      <c r="F3357" s="121"/>
      <c r="G3357" s="121"/>
      <c r="H3357" s="121"/>
      <c r="I3357" s="121">
        <v>45</v>
      </c>
      <c r="J3357" s="121"/>
      <c r="K3357" s="121"/>
      <c r="L3357" s="121"/>
      <c r="M3357" s="121"/>
      <c r="N3357" s="121"/>
      <c r="O3357" s="121">
        <v>25</v>
      </c>
      <c r="P3357" s="121"/>
      <c r="Q3357" s="121"/>
      <c r="R3357" s="121"/>
      <c r="S3357" s="121"/>
      <c r="T3357" s="121"/>
      <c r="U3357" s="121">
        <v>41</v>
      </c>
      <c r="V3357" s="121"/>
      <c r="W3357" s="121"/>
      <c r="X3357" s="121"/>
      <c r="Y3357" s="121"/>
      <c r="Z3357" s="121"/>
      <c r="AA3357" s="121">
        <f>22+2</f>
        <v>24</v>
      </c>
      <c r="AB3357" s="229">
        <f t="shared" si="1400"/>
        <v>0</v>
      </c>
      <c r="AC3357" s="228">
        <f t="shared" si="1401"/>
        <v>135</v>
      </c>
      <c r="AD3357" s="19">
        <v>212</v>
      </c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  <c r="AZ3357" s="28"/>
      <c r="BA3357" s="28"/>
      <c r="BB3357" s="28"/>
      <c r="BC3357" s="229">
        <f t="shared" si="1402"/>
        <v>0</v>
      </c>
      <c r="BD3357" s="48">
        <f t="shared" si="1403"/>
        <v>0</v>
      </c>
      <c r="BE3357" s="19">
        <v>0</v>
      </c>
      <c r="BF3357" s="229">
        <f t="shared" si="1408"/>
        <v>0</v>
      </c>
      <c r="BG3357" s="210">
        <f t="shared" si="1406"/>
        <v>135</v>
      </c>
      <c r="BH3357" s="210">
        <f t="shared" si="1407"/>
        <v>212</v>
      </c>
      <c r="BI3357" s="213">
        <f t="shared" si="1405"/>
        <v>63.679245283018872</v>
      </c>
      <c r="BJ3357" s="141"/>
      <c r="BK3357" s="201"/>
      <c r="BL3357" s="4"/>
      <c r="BM3357" s="4"/>
    </row>
    <row r="3358" spans="1:65" s="38" customFormat="1" ht="18" customHeight="1">
      <c r="A3358" s="114">
        <v>12</v>
      </c>
      <c r="B3358" s="24" t="s">
        <v>759</v>
      </c>
      <c r="C3358" s="25" t="s">
        <v>760</v>
      </c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>
        <v>3</v>
      </c>
      <c r="P3358" s="121"/>
      <c r="Q3358" s="121"/>
      <c r="R3358" s="121"/>
      <c r="S3358" s="121"/>
      <c r="T3358" s="121"/>
      <c r="U3358" s="121">
        <v>2</v>
      </c>
      <c r="V3358" s="121"/>
      <c r="W3358" s="121"/>
      <c r="X3358" s="121"/>
      <c r="Y3358" s="121"/>
      <c r="Z3358" s="121"/>
      <c r="AA3358" s="121">
        <f>6+1</f>
        <v>7</v>
      </c>
      <c r="AB3358" s="229">
        <f t="shared" si="1400"/>
        <v>0</v>
      </c>
      <c r="AC3358" s="228">
        <f t="shared" si="1401"/>
        <v>12</v>
      </c>
      <c r="AD3358" s="19">
        <v>16</v>
      </c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  <c r="AZ3358" s="28"/>
      <c r="BA3358" s="28"/>
      <c r="BB3358" s="28"/>
      <c r="BC3358" s="229">
        <f t="shared" si="1402"/>
        <v>0</v>
      </c>
      <c r="BD3358" s="48">
        <f t="shared" si="1403"/>
        <v>0</v>
      </c>
      <c r="BE3358" s="19">
        <v>0</v>
      </c>
      <c r="BF3358" s="229">
        <f t="shared" si="1408"/>
        <v>0</v>
      </c>
      <c r="BG3358" s="210">
        <f t="shared" si="1406"/>
        <v>12</v>
      </c>
      <c r="BH3358" s="210">
        <f t="shared" si="1407"/>
        <v>16</v>
      </c>
      <c r="BI3358" s="213">
        <f t="shared" si="1405"/>
        <v>75</v>
      </c>
      <c r="BJ3358" s="141"/>
      <c r="BK3358" s="201"/>
      <c r="BL3358" s="4"/>
      <c r="BM3358" s="4"/>
    </row>
    <row r="3359" spans="1:65" s="38" customFormat="1" ht="18" customHeight="1">
      <c r="A3359" s="114">
        <v>13</v>
      </c>
      <c r="B3359" s="24" t="s">
        <v>761</v>
      </c>
      <c r="C3359" s="25" t="s">
        <v>762</v>
      </c>
      <c r="D3359" s="121"/>
      <c r="E3359" s="121"/>
      <c r="F3359" s="121"/>
      <c r="G3359" s="121"/>
      <c r="H3359" s="121"/>
      <c r="I3359" s="121">
        <f>2650+71</f>
        <v>2721</v>
      </c>
      <c r="J3359" s="121"/>
      <c r="K3359" s="121"/>
      <c r="L3359" s="121"/>
      <c r="M3359" s="121"/>
      <c r="N3359" s="121"/>
      <c r="O3359" s="121">
        <f>2546+53</f>
        <v>2599</v>
      </c>
      <c r="P3359" s="121"/>
      <c r="Q3359" s="121"/>
      <c r="R3359" s="121"/>
      <c r="S3359" s="121"/>
      <c r="T3359" s="121"/>
      <c r="U3359" s="121">
        <f>2350+70</f>
        <v>2420</v>
      </c>
      <c r="V3359" s="121"/>
      <c r="W3359" s="121"/>
      <c r="X3359" s="121"/>
      <c r="Y3359" s="121"/>
      <c r="Z3359" s="121"/>
      <c r="AA3359" s="121">
        <f>2532+155</f>
        <v>2687</v>
      </c>
      <c r="AB3359" s="229">
        <f t="shared" si="1400"/>
        <v>0</v>
      </c>
      <c r="AC3359" s="228">
        <f t="shared" si="1401"/>
        <v>10427</v>
      </c>
      <c r="AD3359" s="19">
        <v>9897</v>
      </c>
      <c r="AE3359" s="28"/>
      <c r="AF3359" s="28"/>
      <c r="AG3359" s="28"/>
      <c r="AH3359" s="28"/>
      <c r="AI3359" s="28"/>
      <c r="AJ3359" s="28">
        <f>1+17</f>
        <v>18</v>
      </c>
      <c r="AK3359" s="28"/>
      <c r="AL3359" s="28"/>
      <c r="AM3359" s="28"/>
      <c r="AN3359" s="28"/>
      <c r="AO3359" s="28"/>
      <c r="AP3359" s="28">
        <f>2+21</f>
        <v>23</v>
      </c>
      <c r="AQ3359" s="28"/>
      <c r="AR3359" s="28"/>
      <c r="AS3359" s="28"/>
      <c r="AT3359" s="28"/>
      <c r="AU3359" s="28"/>
      <c r="AV3359" s="28">
        <f>2+24</f>
        <v>26</v>
      </c>
      <c r="AW3359" s="28"/>
      <c r="AX3359" s="28"/>
      <c r="AY3359" s="28"/>
      <c r="AZ3359" s="28"/>
      <c r="BA3359" s="28"/>
      <c r="BB3359" s="28">
        <f>4+22</f>
        <v>26</v>
      </c>
      <c r="BC3359" s="229">
        <f t="shared" si="1402"/>
        <v>0</v>
      </c>
      <c r="BD3359" s="48">
        <f t="shared" si="1403"/>
        <v>93</v>
      </c>
      <c r="BE3359" s="19">
        <v>27</v>
      </c>
      <c r="BF3359" s="229">
        <f t="shared" si="1408"/>
        <v>0</v>
      </c>
      <c r="BG3359" s="210">
        <f t="shared" si="1406"/>
        <v>10520</v>
      </c>
      <c r="BH3359" s="210">
        <f t="shared" si="1407"/>
        <v>9924</v>
      </c>
      <c r="BI3359" s="213">
        <f t="shared" si="1405"/>
        <v>106.00564288593309</v>
      </c>
      <c r="BJ3359" s="141"/>
      <c r="BK3359" s="201"/>
      <c r="BL3359" s="4"/>
      <c r="BM3359" s="4"/>
    </row>
    <row r="3360" spans="1:65" s="38" customFormat="1" ht="18" customHeight="1">
      <c r="A3360" s="114">
        <v>14</v>
      </c>
      <c r="B3360" s="24" t="s">
        <v>1112</v>
      </c>
      <c r="C3360" s="25" t="s">
        <v>1113</v>
      </c>
      <c r="D3360" s="121"/>
      <c r="E3360" s="121"/>
      <c r="F3360" s="121"/>
      <c r="G3360" s="121"/>
      <c r="H3360" s="121"/>
      <c r="I3360" s="121">
        <v>28</v>
      </c>
      <c r="J3360" s="121"/>
      <c r="K3360" s="121"/>
      <c r="L3360" s="121"/>
      <c r="M3360" s="121"/>
      <c r="N3360" s="121"/>
      <c r="O3360" s="121">
        <v>22</v>
      </c>
      <c r="P3360" s="121"/>
      <c r="Q3360" s="121"/>
      <c r="R3360" s="121"/>
      <c r="S3360" s="121"/>
      <c r="T3360" s="121"/>
      <c r="U3360" s="121">
        <f>19+1</f>
        <v>20</v>
      </c>
      <c r="V3360" s="121"/>
      <c r="W3360" s="121"/>
      <c r="X3360" s="121"/>
      <c r="Y3360" s="121"/>
      <c r="Z3360" s="121"/>
      <c r="AA3360" s="121">
        <v>31</v>
      </c>
      <c r="AB3360" s="229">
        <f t="shared" si="1400"/>
        <v>0</v>
      </c>
      <c r="AC3360" s="228">
        <f t="shared" si="1401"/>
        <v>101</v>
      </c>
      <c r="AD3360" s="19">
        <v>152</v>
      </c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>
        <v>2</v>
      </c>
      <c r="AW3360" s="28"/>
      <c r="AX3360" s="28"/>
      <c r="AY3360" s="28"/>
      <c r="AZ3360" s="28"/>
      <c r="BA3360" s="28"/>
      <c r="BB3360" s="28">
        <v>1</v>
      </c>
      <c r="BC3360" s="229">
        <f t="shared" si="1402"/>
        <v>0</v>
      </c>
      <c r="BD3360" s="48">
        <f t="shared" si="1403"/>
        <v>3</v>
      </c>
      <c r="BE3360" s="19">
        <v>0</v>
      </c>
      <c r="BF3360" s="229">
        <f t="shared" si="1408"/>
        <v>0</v>
      </c>
      <c r="BG3360" s="210">
        <f t="shared" si="1406"/>
        <v>104</v>
      </c>
      <c r="BH3360" s="210">
        <f t="shared" si="1407"/>
        <v>152</v>
      </c>
      <c r="BI3360" s="213">
        <f t="shared" si="1405"/>
        <v>68.421052631578945</v>
      </c>
      <c r="BJ3360" s="141"/>
      <c r="BK3360" s="201"/>
      <c r="BL3360" s="4"/>
      <c r="BM3360" s="4"/>
    </row>
    <row r="3361" spans="1:65" s="38" customFormat="1" ht="18" customHeight="1">
      <c r="A3361" s="114">
        <v>15</v>
      </c>
      <c r="B3361" s="24" t="s">
        <v>428</v>
      </c>
      <c r="C3361" s="25" t="s">
        <v>1116</v>
      </c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229">
        <f t="shared" si="1400"/>
        <v>0</v>
      </c>
      <c r="AC3361" s="228">
        <f t="shared" si="1401"/>
        <v>0</v>
      </c>
      <c r="AD3361" s="19">
        <v>1</v>
      </c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  <c r="AZ3361" s="28"/>
      <c r="BA3361" s="28"/>
      <c r="BB3361" s="28"/>
      <c r="BC3361" s="229">
        <f t="shared" si="1402"/>
        <v>0</v>
      </c>
      <c r="BD3361" s="48">
        <f t="shared" si="1403"/>
        <v>0</v>
      </c>
      <c r="BE3361" s="19">
        <v>0</v>
      </c>
      <c r="BF3361" s="229">
        <f t="shared" si="1408"/>
        <v>0</v>
      </c>
      <c r="BG3361" s="210">
        <f t="shared" si="1406"/>
        <v>0</v>
      </c>
      <c r="BH3361" s="210">
        <f t="shared" si="1407"/>
        <v>1</v>
      </c>
      <c r="BI3361" s="213">
        <f t="shared" si="1405"/>
        <v>0</v>
      </c>
      <c r="BJ3361" s="141"/>
      <c r="BK3361" s="201"/>
      <c r="BL3361" s="4"/>
      <c r="BM3361" s="4"/>
    </row>
    <row r="3362" spans="1:65" s="38" customFormat="1" ht="18" customHeight="1">
      <c r="A3362" s="114">
        <v>16</v>
      </c>
      <c r="B3362" s="24" t="s">
        <v>2029</v>
      </c>
      <c r="C3362" s="25" t="s">
        <v>2030</v>
      </c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229">
        <f t="shared" si="1400"/>
        <v>0</v>
      </c>
      <c r="AC3362" s="228">
        <f t="shared" si="1401"/>
        <v>0</v>
      </c>
      <c r="AD3362" s="19">
        <v>3</v>
      </c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29">
        <f t="shared" si="1402"/>
        <v>0</v>
      </c>
      <c r="BD3362" s="48">
        <f t="shared" si="1403"/>
        <v>0</v>
      </c>
      <c r="BE3362" s="19">
        <v>0</v>
      </c>
      <c r="BF3362" s="229">
        <f t="shared" si="1408"/>
        <v>0</v>
      </c>
      <c r="BG3362" s="210">
        <f t="shared" si="1406"/>
        <v>0</v>
      </c>
      <c r="BH3362" s="210">
        <f t="shared" si="1407"/>
        <v>3</v>
      </c>
      <c r="BI3362" s="213">
        <f t="shared" si="1405"/>
        <v>0</v>
      </c>
      <c r="BJ3362" s="141"/>
      <c r="BK3362" s="201"/>
      <c r="BL3362" s="4"/>
      <c r="BM3362" s="4"/>
    </row>
    <row r="3363" spans="1:65" s="38" customFormat="1" ht="18" customHeight="1">
      <c r="A3363" s="114">
        <v>17</v>
      </c>
      <c r="B3363" s="24" t="s">
        <v>1125</v>
      </c>
      <c r="C3363" s="25" t="s">
        <v>1126</v>
      </c>
      <c r="D3363" s="121"/>
      <c r="E3363" s="121"/>
      <c r="F3363" s="121"/>
      <c r="G3363" s="121"/>
      <c r="H3363" s="121"/>
      <c r="I3363" s="121">
        <v>5</v>
      </c>
      <c r="J3363" s="121"/>
      <c r="K3363" s="121"/>
      <c r="L3363" s="121"/>
      <c r="M3363" s="121"/>
      <c r="N3363" s="121"/>
      <c r="O3363" s="121">
        <v>6</v>
      </c>
      <c r="P3363" s="121"/>
      <c r="Q3363" s="121"/>
      <c r="R3363" s="121"/>
      <c r="S3363" s="121"/>
      <c r="T3363" s="121"/>
      <c r="U3363" s="121">
        <f>8+1</f>
        <v>9</v>
      </c>
      <c r="V3363" s="121"/>
      <c r="W3363" s="121"/>
      <c r="X3363" s="121"/>
      <c r="Y3363" s="121"/>
      <c r="Z3363" s="121"/>
      <c r="AA3363" s="121">
        <v>4</v>
      </c>
      <c r="AB3363" s="229">
        <f t="shared" si="1400"/>
        <v>0</v>
      </c>
      <c r="AC3363" s="228">
        <f t="shared" si="1401"/>
        <v>24</v>
      </c>
      <c r="AD3363" s="19">
        <v>25</v>
      </c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>
        <v>1</v>
      </c>
      <c r="AW3363" s="28"/>
      <c r="AX3363" s="28"/>
      <c r="AY3363" s="28"/>
      <c r="AZ3363" s="28"/>
      <c r="BA3363" s="28"/>
      <c r="BB3363" s="28"/>
      <c r="BC3363" s="229">
        <f t="shared" si="1402"/>
        <v>0</v>
      </c>
      <c r="BD3363" s="48">
        <f t="shared" si="1403"/>
        <v>1</v>
      </c>
      <c r="BE3363" s="19">
        <v>0</v>
      </c>
      <c r="BF3363" s="229">
        <f t="shared" si="1408"/>
        <v>0</v>
      </c>
      <c r="BG3363" s="210">
        <f t="shared" si="1406"/>
        <v>25</v>
      </c>
      <c r="BH3363" s="210">
        <f t="shared" si="1407"/>
        <v>25</v>
      </c>
      <c r="BI3363" s="213">
        <f t="shared" si="1405"/>
        <v>100</v>
      </c>
      <c r="BJ3363" s="141"/>
      <c r="BK3363" s="201"/>
      <c r="BL3363" s="4"/>
      <c r="BM3363" s="4"/>
    </row>
    <row r="3364" spans="1:65" s="38" customFormat="1" ht="18" customHeight="1">
      <c r="A3364" s="114">
        <v>18</v>
      </c>
      <c r="B3364" s="24" t="s">
        <v>1129</v>
      </c>
      <c r="C3364" s="25" t="s">
        <v>1130</v>
      </c>
      <c r="D3364" s="121"/>
      <c r="E3364" s="121"/>
      <c r="F3364" s="121"/>
      <c r="G3364" s="121"/>
      <c r="H3364" s="121"/>
      <c r="I3364" s="121">
        <v>18</v>
      </c>
      <c r="J3364" s="121"/>
      <c r="K3364" s="121"/>
      <c r="L3364" s="121"/>
      <c r="M3364" s="121"/>
      <c r="N3364" s="121"/>
      <c r="O3364" s="121">
        <v>23</v>
      </c>
      <c r="P3364" s="121"/>
      <c r="Q3364" s="121"/>
      <c r="R3364" s="121"/>
      <c r="S3364" s="121"/>
      <c r="T3364" s="121"/>
      <c r="U3364" s="121">
        <v>50</v>
      </c>
      <c r="V3364" s="121"/>
      <c r="W3364" s="121"/>
      <c r="X3364" s="121"/>
      <c r="Y3364" s="121"/>
      <c r="Z3364" s="121"/>
      <c r="AA3364" s="121">
        <f>26+2</f>
        <v>28</v>
      </c>
      <c r="AB3364" s="229">
        <f t="shared" si="1400"/>
        <v>0</v>
      </c>
      <c r="AC3364" s="228">
        <f t="shared" si="1401"/>
        <v>119</v>
      </c>
      <c r="AD3364" s="19">
        <v>195</v>
      </c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>
        <v>1</v>
      </c>
      <c r="AQ3364" s="28"/>
      <c r="AR3364" s="28"/>
      <c r="AS3364" s="28"/>
      <c r="AT3364" s="28"/>
      <c r="AU3364" s="28"/>
      <c r="AV3364" s="28"/>
      <c r="AW3364" s="28"/>
      <c r="AX3364" s="28"/>
      <c r="AY3364" s="28"/>
      <c r="AZ3364" s="28"/>
      <c r="BA3364" s="28"/>
      <c r="BB3364" s="28">
        <v>1</v>
      </c>
      <c r="BC3364" s="229">
        <f t="shared" si="1402"/>
        <v>0</v>
      </c>
      <c r="BD3364" s="48">
        <f t="shared" si="1403"/>
        <v>2</v>
      </c>
      <c r="BE3364" s="19">
        <v>0</v>
      </c>
      <c r="BF3364" s="229">
        <f t="shared" si="1408"/>
        <v>0</v>
      </c>
      <c r="BG3364" s="210">
        <f t="shared" si="1406"/>
        <v>121</v>
      </c>
      <c r="BH3364" s="210">
        <f t="shared" si="1407"/>
        <v>195</v>
      </c>
      <c r="BI3364" s="213">
        <f t="shared" si="1405"/>
        <v>62.051282051282051</v>
      </c>
      <c r="BJ3364" s="141"/>
      <c r="BK3364" s="201"/>
      <c r="BL3364" s="4"/>
      <c r="BM3364" s="4"/>
    </row>
    <row r="3365" spans="1:65" s="38" customFormat="1" ht="18" customHeight="1">
      <c r="A3365" s="114">
        <v>19</v>
      </c>
      <c r="B3365" s="24" t="s">
        <v>812</v>
      </c>
      <c r="C3365" s="25" t="s">
        <v>813</v>
      </c>
      <c r="D3365" s="121"/>
      <c r="E3365" s="121"/>
      <c r="F3365" s="121"/>
      <c r="G3365" s="121"/>
      <c r="H3365" s="121"/>
      <c r="I3365" s="121">
        <f>2648+71</f>
        <v>2719</v>
      </c>
      <c r="J3365" s="121"/>
      <c r="K3365" s="121"/>
      <c r="L3365" s="121"/>
      <c r="M3365" s="121"/>
      <c r="N3365" s="121"/>
      <c r="O3365" s="121">
        <f>2548+53</f>
        <v>2601</v>
      </c>
      <c r="P3365" s="121"/>
      <c r="Q3365" s="121"/>
      <c r="R3365" s="121"/>
      <c r="S3365" s="121"/>
      <c r="T3365" s="121"/>
      <c r="U3365" s="121">
        <f>2352+70</f>
        <v>2422</v>
      </c>
      <c r="V3365" s="121"/>
      <c r="W3365" s="121"/>
      <c r="X3365" s="121"/>
      <c r="Y3365" s="121"/>
      <c r="Z3365" s="121"/>
      <c r="AA3365" s="121">
        <f>2532+155</f>
        <v>2687</v>
      </c>
      <c r="AB3365" s="229">
        <f t="shared" si="1400"/>
        <v>0</v>
      </c>
      <c r="AC3365" s="228">
        <f t="shared" si="1401"/>
        <v>10429</v>
      </c>
      <c r="AD3365" s="19">
        <v>9987</v>
      </c>
      <c r="AE3365" s="28"/>
      <c r="AF3365" s="28"/>
      <c r="AG3365" s="28"/>
      <c r="AH3365" s="28"/>
      <c r="AI3365" s="28"/>
      <c r="AJ3365" s="28">
        <f>1+17</f>
        <v>18</v>
      </c>
      <c r="AK3365" s="28"/>
      <c r="AL3365" s="28"/>
      <c r="AM3365" s="28"/>
      <c r="AN3365" s="28"/>
      <c r="AO3365" s="28"/>
      <c r="AP3365" s="28">
        <f>2+21</f>
        <v>23</v>
      </c>
      <c r="AQ3365" s="28"/>
      <c r="AR3365" s="28"/>
      <c r="AS3365" s="28"/>
      <c r="AT3365" s="28"/>
      <c r="AU3365" s="28"/>
      <c r="AV3365" s="28">
        <f>2+24</f>
        <v>26</v>
      </c>
      <c r="AW3365" s="28"/>
      <c r="AX3365" s="28"/>
      <c r="AY3365" s="28"/>
      <c r="AZ3365" s="28"/>
      <c r="BA3365" s="28"/>
      <c r="BB3365" s="28">
        <f>4+22</f>
        <v>26</v>
      </c>
      <c r="BC3365" s="229">
        <f t="shared" si="1402"/>
        <v>0</v>
      </c>
      <c r="BD3365" s="48">
        <f t="shared" si="1403"/>
        <v>93</v>
      </c>
      <c r="BE3365" s="19">
        <v>27</v>
      </c>
      <c r="BF3365" s="229">
        <f t="shared" si="1408"/>
        <v>0</v>
      </c>
      <c r="BG3365" s="210">
        <f t="shared" si="1406"/>
        <v>10522</v>
      </c>
      <c r="BH3365" s="210">
        <f t="shared" si="1407"/>
        <v>10014</v>
      </c>
      <c r="BI3365" s="213">
        <f t="shared" si="1405"/>
        <v>105.07289794287998</v>
      </c>
      <c r="BJ3365" s="141"/>
      <c r="BK3365" s="201"/>
      <c r="BL3365" s="4"/>
      <c r="BM3365" s="4"/>
    </row>
    <row r="3366" spans="1:65" s="38" customFormat="1" ht="18" customHeight="1">
      <c r="A3366" s="114">
        <v>20</v>
      </c>
      <c r="B3366" s="24" t="s">
        <v>1131</v>
      </c>
      <c r="C3366" s="25" t="s">
        <v>1132</v>
      </c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>
        <v>1</v>
      </c>
      <c r="AB3366" s="229">
        <f t="shared" si="1400"/>
        <v>0</v>
      </c>
      <c r="AC3366" s="228">
        <f t="shared" si="1401"/>
        <v>1</v>
      </c>
      <c r="AD3366" s="19">
        <v>1</v>
      </c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8"/>
      <c r="BA3366" s="28"/>
      <c r="BB3366" s="28"/>
      <c r="BC3366" s="229">
        <f t="shared" si="1402"/>
        <v>0</v>
      </c>
      <c r="BD3366" s="48">
        <f t="shared" si="1403"/>
        <v>0</v>
      </c>
      <c r="BE3366" s="19">
        <v>0</v>
      </c>
      <c r="BF3366" s="229">
        <f t="shared" si="1408"/>
        <v>0</v>
      </c>
      <c r="BG3366" s="210">
        <f t="shared" si="1406"/>
        <v>1</v>
      </c>
      <c r="BH3366" s="210">
        <f t="shared" si="1407"/>
        <v>1</v>
      </c>
      <c r="BI3366" s="213">
        <f t="shared" si="1405"/>
        <v>100</v>
      </c>
      <c r="BJ3366" s="141"/>
      <c r="BK3366" s="201"/>
      <c r="BL3366" s="4"/>
      <c r="BM3366" s="4"/>
    </row>
    <row r="3367" spans="1:65" s="38" customFormat="1" ht="18" customHeight="1">
      <c r="A3367" s="114">
        <v>21</v>
      </c>
      <c r="B3367" s="24" t="s">
        <v>628</v>
      </c>
      <c r="C3367" s="25" t="s">
        <v>629</v>
      </c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229">
        <f t="shared" si="1400"/>
        <v>0</v>
      </c>
      <c r="AC3367" s="228">
        <f t="shared" si="1401"/>
        <v>0</v>
      </c>
      <c r="AD3367" s="19">
        <v>1</v>
      </c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29">
        <f t="shared" si="1402"/>
        <v>0</v>
      </c>
      <c r="BD3367" s="48">
        <f t="shared" si="1403"/>
        <v>0</v>
      </c>
      <c r="BE3367" s="19">
        <v>0</v>
      </c>
      <c r="BF3367" s="229">
        <f t="shared" si="1408"/>
        <v>0</v>
      </c>
      <c r="BG3367" s="210">
        <f t="shared" si="1406"/>
        <v>0</v>
      </c>
      <c r="BH3367" s="210">
        <f t="shared" si="1407"/>
        <v>1</v>
      </c>
      <c r="BI3367" s="213">
        <f t="shared" si="1405"/>
        <v>0</v>
      </c>
      <c r="BJ3367" s="141"/>
      <c r="BK3367" s="201"/>
      <c r="BL3367" s="4"/>
      <c r="BM3367" s="4"/>
    </row>
    <row r="3368" spans="1:65" s="38" customFormat="1" ht="18" customHeight="1">
      <c r="A3368" s="114">
        <v>22</v>
      </c>
      <c r="B3368" s="24" t="s">
        <v>795</v>
      </c>
      <c r="C3368" s="25" t="s">
        <v>982</v>
      </c>
      <c r="D3368" s="121"/>
      <c r="E3368" s="121"/>
      <c r="F3368" s="121"/>
      <c r="G3368" s="121"/>
      <c r="H3368" s="121"/>
      <c r="I3368" s="121">
        <f>20+1</f>
        <v>21</v>
      </c>
      <c r="J3368" s="121"/>
      <c r="K3368" s="121"/>
      <c r="L3368" s="121"/>
      <c r="M3368" s="121"/>
      <c r="N3368" s="121"/>
      <c r="O3368" s="121">
        <v>16</v>
      </c>
      <c r="P3368" s="121"/>
      <c r="Q3368" s="121"/>
      <c r="R3368" s="121"/>
      <c r="S3368" s="121"/>
      <c r="T3368" s="121"/>
      <c r="U3368" s="121">
        <f>9+2</f>
        <v>11</v>
      </c>
      <c r="V3368" s="121"/>
      <c r="W3368" s="121"/>
      <c r="X3368" s="121"/>
      <c r="Y3368" s="121"/>
      <c r="Z3368" s="121"/>
      <c r="AA3368" s="121">
        <v>21</v>
      </c>
      <c r="AB3368" s="229">
        <f t="shared" si="1400"/>
        <v>0</v>
      </c>
      <c r="AC3368" s="228">
        <f t="shared" si="1401"/>
        <v>69</v>
      </c>
      <c r="AD3368" s="19">
        <v>98</v>
      </c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>
        <v>1</v>
      </c>
      <c r="AW3368" s="28"/>
      <c r="AX3368" s="28"/>
      <c r="AY3368" s="28"/>
      <c r="AZ3368" s="28"/>
      <c r="BA3368" s="28"/>
      <c r="BB3368" s="28"/>
      <c r="BC3368" s="229">
        <f t="shared" si="1402"/>
        <v>0</v>
      </c>
      <c r="BD3368" s="48">
        <f t="shared" si="1403"/>
        <v>1</v>
      </c>
      <c r="BE3368" s="19">
        <v>0</v>
      </c>
      <c r="BF3368" s="229">
        <f t="shared" si="1408"/>
        <v>0</v>
      </c>
      <c r="BG3368" s="210">
        <f t="shared" si="1406"/>
        <v>70</v>
      </c>
      <c r="BH3368" s="210">
        <f t="shared" si="1407"/>
        <v>98</v>
      </c>
      <c r="BI3368" s="213">
        <f t="shared" si="1405"/>
        <v>71.428571428571431</v>
      </c>
      <c r="BJ3368" s="141"/>
      <c r="BK3368" s="201"/>
      <c r="BL3368" s="4"/>
      <c r="BM3368" s="4"/>
    </row>
    <row r="3369" spans="1:65" s="38" customFormat="1" ht="18" customHeight="1">
      <c r="A3369" s="114">
        <v>23</v>
      </c>
      <c r="B3369" s="24" t="s">
        <v>512</v>
      </c>
      <c r="C3369" s="25" t="s">
        <v>513</v>
      </c>
      <c r="D3369" s="121"/>
      <c r="E3369" s="121"/>
      <c r="F3369" s="121"/>
      <c r="G3369" s="121"/>
      <c r="H3369" s="121"/>
      <c r="I3369" s="121">
        <v>11</v>
      </c>
      <c r="J3369" s="121"/>
      <c r="K3369" s="121"/>
      <c r="L3369" s="121"/>
      <c r="M3369" s="121"/>
      <c r="N3369" s="121"/>
      <c r="O3369" s="121">
        <v>3</v>
      </c>
      <c r="P3369" s="121"/>
      <c r="Q3369" s="121"/>
      <c r="R3369" s="121"/>
      <c r="S3369" s="121"/>
      <c r="T3369" s="121"/>
      <c r="U3369" s="121">
        <f>8+1</f>
        <v>9</v>
      </c>
      <c r="V3369" s="121"/>
      <c r="W3369" s="121"/>
      <c r="X3369" s="121"/>
      <c r="Y3369" s="121"/>
      <c r="Z3369" s="121"/>
      <c r="AA3369" s="121">
        <f>8+1</f>
        <v>9</v>
      </c>
      <c r="AB3369" s="229">
        <f t="shared" si="1400"/>
        <v>0</v>
      </c>
      <c r="AC3369" s="228">
        <f t="shared" si="1401"/>
        <v>32</v>
      </c>
      <c r="AD3369" s="19">
        <v>0</v>
      </c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  <c r="AZ3369" s="28"/>
      <c r="BA3369" s="28"/>
      <c r="BB3369" s="28"/>
      <c r="BC3369" s="229">
        <f t="shared" si="1402"/>
        <v>0</v>
      </c>
      <c r="BD3369" s="48">
        <f t="shared" si="1403"/>
        <v>0</v>
      </c>
      <c r="BE3369" s="19">
        <v>0</v>
      </c>
      <c r="BF3369" s="229">
        <f t="shared" si="1408"/>
        <v>0</v>
      </c>
      <c r="BG3369" s="210">
        <f t="shared" si="1406"/>
        <v>32</v>
      </c>
      <c r="BH3369" s="210">
        <f t="shared" si="1407"/>
        <v>0</v>
      </c>
      <c r="BI3369" s="213" t="e">
        <f t="shared" si="1405"/>
        <v>#DIV/0!</v>
      </c>
      <c r="BJ3369" s="141"/>
      <c r="BK3369" s="201"/>
      <c r="BL3369" s="4"/>
      <c r="BM3369" s="4"/>
    </row>
    <row r="3370" spans="1:65" s="38" customFormat="1" ht="18" customHeight="1">
      <c r="A3370" s="114">
        <v>24</v>
      </c>
      <c r="B3370" s="24" t="s">
        <v>1133</v>
      </c>
      <c r="C3370" s="25" t="s">
        <v>1134</v>
      </c>
      <c r="D3370" s="121"/>
      <c r="E3370" s="121"/>
      <c r="F3370" s="121"/>
      <c r="G3370" s="121"/>
      <c r="H3370" s="121"/>
      <c r="I3370" s="121">
        <v>18</v>
      </c>
      <c r="J3370" s="121"/>
      <c r="K3370" s="121"/>
      <c r="L3370" s="121"/>
      <c r="M3370" s="121"/>
      <c r="N3370" s="121"/>
      <c r="O3370" s="121">
        <v>17</v>
      </c>
      <c r="P3370" s="121"/>
      <c r="Q3370" s="121"/>
      <c r="R3370" s="121"/>
      <c r="S3370" s="121"/>
      <c r="T3370" s="121"/>
      <c r="U3370" s="121">
        <v>46</v>
      </c>
      <c r="V3370" s="121"/>
      <c r="W3370" s="121"/>
      <c r="X3370" s="121"/>
      <c r="Y3370" s="121"/>
      <c r="Z3370" s="121"/>
      <c r="AA3370" s="121">
        <f>18+1</f>
        <v>19</v>
      </c>
      <c r="AB3370" s="229">
        <f t="shared" si="1400"/>
        <v>0</v>
      </c>
      <c r="AC3370" s="228">
        <f t="shared" si="1401"/>
        <v>100</v>
      </c>
      <c r="AD3370" s="19">
        <v>95</v>
      </c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>
        <v>1</v>
      </c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>
        <v>1</v>
      </c>
      <c r="BC3370" s="229">
        <f t="shared" si="1402"/>
        <v>0</v>
      </c>
      <c r="BD3370" s="48">
        <f t="shared" si="1403"/>
        <v>2</v>
      </c>
      <c r="BE3370" s="19">
        <v>0</v>
      </c>
      <c r="BF3370" s="229">
        <f t="shared" si="1408"/>
        <v>0</v>
      </c>
      <c r="BG3370" s="210">
        <f t="shared" si="1406"/>
        <v>102</v>
      </c>
      <c r="BH3370" s="210">
        <f t="shared" si="1407"/>
        <v>95</v>
      </c>
      <c r="BI3370" s="213">
        <f t="shared" si="1405"/>
        <v>107.36842105263158</v>
      </c>
      <c r="BJ3370" s="141"/>
      <c r="BK3370" s="201"/>
      <c r="BL3370" s="4"/>
      <c r="BM3370" s="4"/>
    </row>
    <row r="3371" spans="1:65" s="38" customFormat="1" ht="18" customHeight="1">
      <c r="A3371" s="114">
        <v>25</v>
      </c>
      <c r="B3371" s="24" t="s">
        <v>766</v>
      </c>
      <c r="C3371" s="25" t="s">
        <v>767</v>
      </c>
      <c r="D3371" s="121"/>
      <c r="E3371" s="121"/>
      <c r="F3371" s="121"/>
      <c r="G3371" s="121"/>
      <c r="H3371" s="121"/>
      <c r="I3371" s="121">
        <v>2</v>
      </c>
      <c r="J3371" s="121"/>
      <c r="K3371" s="121"/>
      <c r="L3371" s="121"/>
      <c r="M3371" s="121"/>
      <c r="N3371" s="121"/>
      <c r="O3371" s="121">
        <v>1</v>
      </c>
      <c r="P3371" s="121"/>
      <c r="Q3371" s="121"/>
      <c r="R3371" s="121"/>
      <c r="S3371" s="121"/>
      <c r="T3371" s="121"/>
      <c r="U3371" s="121">
        <v>1</v>
      </c>
      <c r="V3371" s="121"/>
      <c r="W3371" s="121"/>
      <c r="X3371" s="121"/>
      <c r="Y3371" s="121"/>
      <c r="Z3371" s="121"/>
      <c r="AA3371" s="121">
        <v>2</v>
      </c>
      <c r="AB3371" s="229">
        <f t="shared" si="1400"/>
        <v>0</v>
      </c>
      <c r="AC3371" s="228">
        <f t="shared" si="1401"/>
        <v>6</v>
      </c>
      <c r="AD3371" s="19">
        <v>46</v>
      </c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  <c r="AZ3371" s="28"/>
      <c r="BA3371" s="28"/>
      <c r="BB3371" s="28"/>
      <c r="BC3371" s="229">
        <f t="shared" si="1402"/>
        <v>0</v>
      </c>
      <c r="BD3371" s="48">
        <f t="shared" si="1403"/>
        <v>0</v>
      </c>
      <c r="BE3371" s="19">
        <v>2</v>
      </c>
      <c r="BF3371" s="229">
        <f t="shared" si="1408"/>
        <v>0</v>
      </c>
      <c r="BG3371" s="210">
        <f t="shared" si="1406"/>
        <v>6</v>
      </c>
      <c r="BH3371" s="210">
        <f t="shared" si="1407"/>
        <v>48</v>
      </c>
      <c r="BI3371" s="213">
        <f t="shared" si="1405"/>
        <v>12.5</v>
      </c>
      <c r="BJ3371" s="141"/>
      <c r="BK3371" s="201"/>
      <c r="BL3371" s="4"/>
      <c r="BM3371" s="4"/>
    </row>
    <row r="3372" spans="1:65" s="38" customFormat="1" ht="18" customHeight="1">
      <c r="A3372" s="114">
        <v>26</v>
      </c>
      <c r="B3372" s="24" t="s">
        <v>768</v>
      </c>
      <c r="C3372" s="25" t="s">
        <v>769</v>
      </c>
      <c r="D3372" s="121"/>
      <c r="E3372" s="121"/>
      <c r="F3372" s="121"/>
      <c r="G3372" s="121"/>
      <c r="H3372" s="121"/>
      <c r="I3372" s="121">
        <v>17</v>
      </c>
      <c r="J3372" s="121"/>
      <c r="K3372" s="121"/>
      <c r="L3372" s="121"/>
      <c r="M3372" s="121"/>
      <c r="N3372" s="121"/>
      <c r="O3372" s="121">
        <v>22</v>
      </c>
      <c r="P3372" s="121"/>
      <c r="Q3372" s="121"/>
      <c r="R3372" s="121"/>
      <c r="S3372" s="121"/>
      <c r="T3372" s="121"/>
      <c r="U3372" s="121">
        <v>6</v>
      </c>
      <c r="V3372" s="121"/>
      <c r="W3372" s="121"/>
      <c r="X3372" s="121"/>
      <c r="Y3372" s="121"/>
      <c r="Z3372" s="121"/>
      <c r="AA3372" s="121">
        <v>9</v>
      </c>
      <c r="AB3372" s="229">
        <f t="shared" si="1400"/>
        <v>0</v>
      </c>
      <c r="AC3372" s="228">
        <f t="shared" si="1401"/>
        <v>54</v>
      </c>
      <c r="AD3372" s="19">
        <v>92</v>
      </c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29">
        <f t="shared" si="1402"/>
        <v>0</v>
      </c>
      <c r="BD3372" s="48">
        <f t="shared" si="1403"/>
        <v>0</v>
      </c>
      <c r="BE3372" s="19">
        <v>0</v>
      </c>
      <c r="BF3372" s="229">
        <f t="shared" si="1408"/>
        <v>0</v>
      </c>
      <c r="BG3372" s="210">
        <f t="shared" si="1406"/>
        <v>54</v>
      </c>
      <c r="BH3372" s="210">
        <f t="shared" si="1407"/>
        <v>92</v>
      </c>
      <c r="BI3372" s="213">
        <f t="shared" si="1405"/>
        <v>58.695652173913047</v>
      </c>
      <c r="BJ3372" s="141"/>
      <c r="BK3372" s="201"/>
      <c r="BL3372" s="4"/>
      <c r="BM3372" s="4"/>
    </row>
    <row r="3373" spans="1:65" s="38" customFormat="1" ht="18" customHeight="1">
      <c r="A3373" s="114">
        <v>27</v>
      </c>
      <c r="B3373" s="24" t="s">
        <v>630</v>
      </c>
      <c r="C3373" s="25" t="s">
        <v>631</v>
      </c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229">
        <f t="shared" si="1400"/>
        <v>0</v>
      </c>
      <c r="AC3373" s="228">
        <f t="shared" si="1401"/>
        <v>0</v>
      </c>
      <c r="AD3373" s="19">
        <v>5</v>
      </c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/>
      <c r="BC3373" s="229">
        <f t="shared" si="1402"/>
        <v>0</v>
      </c>
      <c r="BD3373" s="48">
        <f t="shared" si="1403"/>
        <v>0</v>
      </c>
      <c r="BE3373" s="19">
        <v>0</v>
      </c>
      <c r="BF3373" s="229">
        <f t="shared" si="1408"/>
        <v>0</v>
      </c>
      <c r="BG3373" s="210">
        <f t="shared" si="1406"/>
        <v>0</v>
      </c>
      <c r="BH3373" s="210">
        <f t="shared" si="1407"/>
        <v>5</v>
      </c>
      <c r="BI3373" s="213">
        <f t="shared" si="1405"/>
        <v>0</v>
      </c>
      <c r="BJ3373" s="141"/>
      <c r="BK3373" s="201"/>
      <c r="BL3373" s="4"/>
      <c r="BM3373" s="4"/>
    </row>
    <row r="3374" spans="1:65" s="38" customFormat="1" ht="18" customHeight="1">
      <c r="A3374" s="114">
        <v>28</v>
      </c>
      <c r="B3374" s="24" t="s">
        <v>1056</v>
      </c>
      <c r="C3374" s="25" t="s">
        <v>1057</v>
      </c>
      <c r="D3374" s="121"/>
      <c r="E3374" s="121"/>
      <c r="F3374" s="121"/>
      <c r="G3374" s="121"/>
      <c r="H3374" s="121"/>
      <c r="I3374" s="121">
        <v>49</v>
      </c>
      <c r="J3374" s="121"/>
      <c r="K3374" s="121"/>
      <c r="L3374" s="121"/>
      <c r="M3374" s="121"/>
      <c r="N3374" s="121"/>
      <c r="O3374" s="121">
        <f>71+1</f>
        <v>72</v>
      </c>
      <c r="P3374" s="121"/>
      <c r="Q3374" s="121"/>
      <c r="R3374" s="121"/>
      <c r="S3374" s="121"/>
      <c r="T3374" s="121"/>
      <c r="U3374" s="121">
        <f>41+1</f>
        <v>42</v>
      </c>
      <c r="V3374" s="121"/>
      <c r="W3374" s="121"/>
      <c r="X3374" s="121"/>
      <c r="Y3374" s="121"/>
      <c r="Z3374" s="121"/>
      <c r="AA3374" s="121">
        <v>34</v>
      </c>
      <c r="AB3374" s="229">
        <f t="shared" si="1400"/>
        <v>0</v>
      </c>
      <c r="AC3374" s="228">
        <f t="shared" si="1401"/>
        <v>197</v>
      </c>
      <c r="AD3374" s="19">
        <v>336</v>
      </c>
      <c r="AE3374" s="28"/>
      <c r="AF3374" s="28"/>
      <c r="AG3374" s="28"/>
      <c r="AH3374" s="28"/>
      <c r="AI3374" s="28"/>
      <c r="AJ3374" s="28">
        <v>1</v>
      </c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>
        <f>1+1</f>
        <v>2</v>
      </c>
      <c r="AW3374" s="28"/>
      <c r="AX3374" s="28"/>
      <c r="AY3374" s="28"/>
      <c r="AZ3374" s="28"/>
      <c r="BA3374" s="28"/>
      <c r="BB3374" s="28"/>
      <c r="BC3374" s="229">
        <f t="shared" si="1402"/>
        <v>0</v>
      </c>
      <c r="BD3374" s="48">
        <f t="shared" si="1403"/>
        <v>3</v>
      </c>
      <c r="BE3374" s="19">
        <v>0</v>
      </c>
      <c r="BF3374" s="229">
        <f t="shared" si="1408"/>
        <v>0</v>
      </c>
      <c r="BG3374" s="210">
        <f t="shared" si="1406"/>
        <v>200</v>
      </c>
      <c r="BH3374" s="210">
        <f t="shared" si="1407"/>
        <v>336</v>
      </c>
      <c r="BI3374" s="213">
        <f t="shared" si="1405"/>
        <v>59.523809523809526</v>
      </c>
      <c r="BJ3374" s="141"/>
      <c r="BK3374" s="201"/>
      <c r="BL3374" s="4"/>
      <c r="BM3374" s="4"/>
    </row>
    <row r="3375" spans="1:65" s="38" customFormat="1" ht="18" customHeight="1">
      <c r="A3375" s="114">
        <v>29</v>
      </c>
      <c r="B3375" s="24" t="s">
        <v>1011</v>
      </c>
      <c r="C3375" s="25" t="s">
        <v>2614</v>
      </c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229">
        <f t="shared" si="1400"/>
        <v>0</v>
      </c>
      <c r="AC3375" s="228">
        <f t="shared" si="1401"/>
        <v>0</v>
      </c>
      <c r="AD3375" s="19">
        <v>4</v>
      </c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  <c r="AZ3375" s="28"/>
      <c r="BA3375" s="28"/>
      <c r="BB3375" s="28"/>
      <c r="BC3375" s="229">
        <f t="shared" si="1402"/>
        <v>0</v>
      </c>
      <c r="BD3375" s="48">
        <f t="shared" si="1403"/>
        <v>0</v>
      </c>
      <c r="BE3375" s="19">
        <v>0</v>
      </c>
      <c r="BF3375" s="229">
        <f t="shared" si="1408"/>
        <v>0</v>
      </c>
      <c r="BG3375" s="210">
        <f t="shared" si="1406"/>
        <v>0</v>
      </c>
      <c r="BH3375" s="210">
        <f t="shared" si="1407"/>
        <v>4</v>
      </c>
      <c r="BI3375" s="213">
        <f t="shared" si="1405"/>
        <v>0</v>
      </c>
      <c r="BJ3375" s="141"/>
      <c r="BK3375" s="201"/>
      <c r="BL3375" s="4"/>
      <c r="BM3375" s="4"/>
    </row>
    <row r="3376" spans="1:65" s="38" customFormat="1" ht="18" customHeight="1">
      <c r="A3376" s="114">
        <v>30</v>
      </c>
      <c r="B3376" s="24" t="s">
        <v>892</v>
      </c>
      <c r="C3376" s="25" t="s">
        <v>893</v>
      </c>
      <c r="D3376" s="121"/>
      <c r="E3376" s="121"/>
      <c r="F3376" s="121"/>
      <c r="G3376" s="121"/>
      <c r="H3376" s="121"/>
      <c r="I3376" s="121">
        <v>32</v>
      </c>
      <c r="J3376" s="121"/>
      <c r="K3376" s="121"/>
      <c r="L3376" s="121"/>
      <c r="M3376" s="121"/>
      <c r="N3376" s="121"/>
      <c r="O3376" s="121">
        <v>25</v>
      </c>
      <c r="P3376" s="121"/>
      <c r="Q3376" s="121"/>
      <c r="R3376" s="121"/>
      <c r="S3376" s="121"/>
      <c r="T3376" s="121"/>
      <c r="U3376" s="121">
        <v>20</v>
      </c>
      <c r="V3376" s="121"/>
      <c r="W3376" s="121"/>
      <c r="X3376" s="121"/>
      <c r="Y3376" s="121"/>
      <c r="Z3376" s="121"/>
      <c r="AA3376" s="121">
        <v>6</v>
      </c>
      <c r="AB3376" s="229">
        <f t="shared" si="1400"/>
        <v>0</v>
      </c>
      <c r="AC3376" s="228">
        <f t="shared" si="1401"/>
        <v>83</v>
      </c>
      <c r="AD3376" s="19">
        <v>88</v>
      </c>
      <c r="AE3376" s="28"/>
      <c r="AF3376" s="28"/>
      <c r="AG3376" s="28"/>
      <c r="AH3376" s="28"/>
      <c r="AI3376" s="28"/>
      <c r="AJ3376" s="28">
        <v>1</v>
      </c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29">
        <f t="shared" si="1402"/>
        <v>0</v>
      </c>
      <c r="BD3376" s="48">
        <f t="shared" si="1403"/>
        <v>1</v>
      </c>
      <c r="BE3376" s="19">
        <v>0</v>
      </c>
      <c r="BF3376" s="229">
        <f t="shared" si="1408"/>
        <v>0</v>
      </c>
      <c r="BG3376" s="210">
        <f t="shared" si="1406"/>
        <v>84</v>
      </c>
      <c r="BH3376" s="210">
        <f t="shared" si="1407"/>
        <v>88</v>
      </c>
      <c r="BI3376" s="213">
        <f t="shared" si="1405"/>
        <v>95.454545454545453</v>
      </c>
      <c r="BJ3376" s="141"/>
      <c r="BK3376" s="201"/>
      <c r="BL3376" s="4"/>
      <c r="BM3376" s="4"/>
    </row>
    <row r="3377" spans="1:65" s="38" customFormat="1" ht="18" customHeight="1">
      <c r="A3377" s="114">
        <v>31</v>
      </c>
      <c r="B3377" s="24" t="s">
        <v>703</v>
      </c>
      <c r="C3377" s="25" t="s">
        <v>774</v>
      </c>
      <c r="D3377" s="121"/>
      <c r="E3377" s="121"/>
      <c r="F3377" s="121"/>
      <c r="G3377" s="121"/>
      <c r="H3377" s="121"/>
      <c r="I3377" s="121">
        <f>147+23</f>
        <v>170</v>
      </c>
      <c r="J3377" s="121"/>
      <c r="K3377" s="121"/>
      <c r="L3377" s="121"/>
      <c r="M3377" s="121"/>
      <c r="N3377" s="121"/>
      <c r="O3377" s="121">
        <f>136+24</f>
        <v>160</v>
      </c>
      <c r="P3377" s="121"/>
      <c r="Q3377" s="121"/>
      <c r="R3377" s="121"/>
      <c r="S3377" s="121"/>
      <c r="T3377" s="121"/>
      <c r="U3377" s="121">
        <f>147+29</f>
        <v>176</v>
      </c>
      <c r="V3377" s="121"/>
      <c r="W3377" s="121"/>
      <c r="X3377" s="121"/>
      <c r="Y3377" s="121"/>
      <c r="Z3377" s="121"/>
      <c r="AA3377" s="121">
        <f>151+38</f>
        <v>189</v>
      </c>
      <c r="AB3377" s="229">
        <f t="shared" si="1400"/>
        <v>0</v>
      </c>
      <c r="AC3377" s="228">
        <f t="shared" si="1401"/>
        <v>695</v>
      </c>
      <c r="AD3377" s="19">
        <v>720</v>
      </c>
      <c r="AE3377" s="28"/>
      <c r="AF3377" s="28"/>
      <c r="AG3377" s="28"/>
      <c r="AH3377" s="28"/>
      <c r="AI3377" s="28"/>
      <c r="AJ3377" s="28">
        <v>5</v>
      </c>
      <c r="AK3377" s="28"/>
      <c r="AL3377" s="28"/>
      <c r="AM3377" s="28"/>
      <c r="AN3377" s="28"/>
      <c r="AO3377" s="28"/>
      <c r="AP3377" s="28">
        <v>2</v>
      </c>
      <c r="AQ3377" s="28"/>
      <c r="AR3377" s="28"/>
      <c r="AS3377" s="28"/>
      <c r="AT3377" s="28"/>
      <c r="AU3377" s="28"/>
      <c r="AV3377" s="28">
        <v>4</v>
      </c>
      <c r="AW3377" s="28"/>
      <c r="AX3377" s="28"/>
      <c r="AY3377" s="28"/>
      <c r="AZ3377" s="28"/>
      <c r="BA3377" s="28"/>
      <c r="BB3377" s="28">
        <f>2+9</f>
        <v>11</v>
      </c>
      <c r="BC3377" s="229">
        <f t="shared" si="1402"/>
        <v>0</v>
      </c>
      <c r="BD3377" s="48">
        <f t="shared" si="1403"/>
        <v>22</v>
      </c>
      <c r="BE3377" s="19">
        <v>7</v>
      </c>
      <c r="BF3377" s="229">
        <f t="shared" si="1408"/>
        <v>0</v>
      </c>
      <c r="BG3377" s="210">
        <f t="shared" si="1406"/>
        <v>717</v>
      </c>
      <c r="BH3377" s="210">
        <f t="shared" si="1407"/>
        <v>727</v>
      </c>
      <c r="BI3377" s="213">
        <f t="shared" si="1405"/>
        <v>98.624484181568079</v>
      </c>
      <c r="BJ3377" s="141"/>
      <c r="BK3377" s="201"/>
      <c r="BL3377" s="4"/>
      <c r="BM3377" s="4"/>
    </row>
    <row r="3378" spans="1:65" s="38" customFormat="1" ht="18" customHeight="1">
      <c r="A3378" s="114">
        <v>32</v>
      </c>
      <c r="B3378" s="24" t="s">
        <v>1454</v>
      </c>
      <c r="C3378" s="25" t="s">
        <v>1455</v>
      </c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229">
        <f t="shared" si="1400"/>
        <v>0</v>
      </c>
      <c r="AC3378" s="228">
        <f t="shared" si="1401"/>
        <v>0</v>
      </c>
      <c r="AD3378" s="19">
        <v>112</v>
      </c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  <c r="AZ3378" s="28"/>
      <c r="BA3378" s="28"/>
      <c r="BB3378" s="28"/>
      <c r="BC3378" s="229">
        <f t="shared" si="1402"/>
        <v>0</v>
      </c>
      <c r="BD3378" s="48">
        <f t="shared" si="1403"/>
        <v>0</v>
      </c>
      <c r="BE3378" s="19">
        <v>0</v>
      </c>
      <c r="BF3378" s="229">
        <f t="shared" si="1408"/>
        <v>0</v>
      </c>
      <c r="BG3378" s="210">
        <f t="shared" si="1406"/>
        <v>0</v>
      </c>
      <c r="BH3378" s="210">
        <f t="shared" si="1407"/>
        <v>112</v>
      </c>
      <c r="BI3378" s="213">
        <f t="shared" si="1405"/>
        <v>0</v>
      </c>
      <c r="BJ3378" s="141"/>
      <c r="BK3378" s="201"/>
      <c r="BL3378" s="4"/>
      <c r="BM3378" s="4"/>
    </row>
    <row r="3379" spans="1:65" s="38" customFormat="1" ht="18" customHeight="1">
      <c r="A3379" s="114">
        <v>33</v>
      </c>
      <c r="B3379" s="24" t="s">
        <v>822</v>
      </c>
      <c r="C3379" s="25" t="s">
        <v>823</v>
      </c>
      <c r="D3379" s="121"/>
      <c r="E3379" s="121"/>
      <c r="F3379" s="121"/>
      <c r="G3379" s="121"/>
      <c r="H3379" s="121"/>
      <c r="I3379" s="121">
        <v>48</v>
      </c>
      <c r="J3379" s="121"/>
      <c r="K3379" s="121"/>
      <c r="L3379" s="121"/>
      <c r="M3379" s="121"/>
      <c r="N3379" s="121"/>
      <c r="O3379" s="121">
        <f>71+1</f>
        <v>72</v>
      </c>
      <c r="P3379" s="121"/>
      <c r="Q3379" s="121"/>
      <c r="R3379" s="121"/>
      <c r="S3379" s="121"/>
      <c r="T3379" s="121"/>
      <c r="U3379" s="121">
        <f>41+1</f>
        <v>42</v>
      </c>
      <c r="V3379" s="121"/>
      <c r="W3379" s="121"/>
      <c r="X3379" s="121"/>
      <c r="Y3379" s="121"/>
      <c r="Z3379" s="121"/>
      <c r="AA3379" s="121">
        <v>34</v>
      </c>
      <c r="AB3379" s="229">
        <f t="shared" si="1400"/>
        <v>0</v>
      </c>
      <c r="AC3379" s="228">
        <f t="shared" si="1401"/>
        <v>196</v>
      </c>
      <c r="AD3379" s="19">
        <v>354</v>
      </c>
      <c r="AE3379" s="28"/>
      <c r="AF3379" s="28"/>
      <c r="AG3379" s="28"/>
      <c r="AH3379" s="28"/>
      <c r="AI3379" s="28"/>
      <c r="AJ3379" s="28">
        <v>1</v>
      </c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>
        <f>1+1</f>
        <v>2</v>
      </c>
      <c r="AW3379" s="28"/>
      <c r="AX3379" s="28"/>
      <c r="AY3379" s="28"/>
      <c r="AZ3379" s="28"/>
      <c r="BA3379" s="28"/>
      <c r="BB3379" s="28"/>
      <c r="BC3379" s="229">
        <f t="shared" si="1402"/>
        <v>0</v>
      </c>
      <c r="BD3379" s="48">
        <f t="shared" si="1403"/>
        <v>3</v>
      </c>
      <c r="BE3379" s="19">
        <v>0</v>
      </c>
      <c r="BF3379" s="229">
        <f t="shared" si="1408"/>
        <v>0</v>
      </c>
      <c r="BG3379" s="210">
        <f t="shared" si="1406"/>
        <v>199</v>
      </c>
      <c r="BH3379" s="210">
        <f t="shared" si="1407"/>
        <v>354</v>
      </c>
      <c r="BI3379" s="213">
        <f t="shared" si="1405"/>
        <v>56.21468926553672</v>
      </c>
      <c r="BJ3379" s="141"/>
      <c r="BK3379" s="201"/>
      <c r="BL3379" s="4"/>
      <c r="BM3379" s="4"/>
    </row>
    <row r="3380" spans="1:65" s="38" customFormat="1" ht="21.95" customHeight="1">
      <c r="A3380" s="114">
        <v>34</v>
      </c>
      <c r="B3380" s="24" t="s">
        <v>657</v>
      </c>
      <c r="C3380" s="27" t="s">
        <v>1401</v>
      </c>
      <c r="D3380" s="121"/>
      <c r="E3380" s="121"/>
      <c r="F3380" s="121"/>
      <c r="G3380" s="121"/>
      <c r="H3380" s="121"/>
      <c r="I3380" s="121">
        <v>80</v>
      </c>
      <c r="J3380" s="121"/>
      <c r="K3380" s="121"/>
      <c r="L3380" s="121"/>
      <c r="M3380" s="121"/>
      <c r="N3380" s="121"/>
      <c r="O3380" s="121">
        <f>115+7</f>
        <v>122</v>
      </c>
      <c r="P3380" s="121"/>
      <c r="Q3380" s="121"/>
      <c r="R3380" s="121"/>
      <c r="S3380" s="121"/>
      <c r="T3380" s="121"/>
      <c r="U3380" s="121">
        <v>123</v>
      </c>
      <c r="V3380" s="121"/>
      <c r="W3380" s="121"/>
      <c r="X3380" s="121"/>
      <c r="Y3380" s="121"/>
      <c r="Z3380" s="121"/>
      <c r="AA3380" s="121">
        <v>72</v>
      </c>
      <c r="AB3380" s="229">
        <f t="shared" si="1400"/>
        <v>0</v>
      </c>
      <c r="AC3380" s="228">
        <f t="shared" si="1401"/>
        <v>397</v>
      </c>
      <c r="AD3380" s="19">
        <v>310</v>
      </c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>
        <v>1</v>
      </c>
      <c r="AW3380" s="28"/>
      <c r="AX3380" s="28"/>
      <c r="AY3380" s="28"/>
      <c r="AZ3380" s="28"/>
      <c r="BA3380" s="28"/>
      <c r="BB3380" s="28">
        <v>1</v>
      </c>
      <c r="BC3380" s="229">
        <f t="shared" si="1402"/>
        <v>0</v>
      </c>
      <c r="BD3380" s="48">
        <f t="shared" si="1403"/>
        <v>2</v>
      </c>
      <c r="BE3380" s="19">
        <v>0</v>
      </c>
      <c r="BF3380" s="229">
        <f t="shared" si="1408"/>
        <v>0</v>
      </c>
      <c r="BG3380" s="210">
        <f t="shared" si="1406"/>
        <v>399</v>
      </c>
      <c r="BH3380" s="210">
        <f t="shared" si="1407"/>
        <v>310</v>
      </c>
      <c r="BI3380" s="213">
        <f t="shared" si="1405"/>
        <v>128.70967741935485</v>
      </c>
      <c r="BJ3380" s="141"/>
      <c r="BK3380" s="201"/>
      <c r="BL3380" s="4"/>
      <c r="BM3380" s="4"/>
    </row>
    <row r="3381" spans="1:65" s="38" customFormat="1" ht="21.95" customHeight="1">
      <c r="A3381" s="114">
        <v>35</v>
      </c>
      <c r="B3381" s="24" t="s">
        <v>903</v>
      </c>
      <c r="C3381" s="25" t="s">
        <v>1165</v>
      </c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229">
        <f t="shared" si="1400"/>
        <v>0</v>
      </c>
      <c r="AC3381" s="228">
        <f t="shared" si="1401"/>
        <v>0</v>
      </c>
      <c r="AD3381" s="19">
        <v>1</v>
      </c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29">
        <f t="shared" si="1402"/>
        <v>0</v>
      </c>
      <c r="BD3381" s="48">
        <f t="shared" si="1403"/>
        <v>0</v>
      </c>
      <c r="BE3381" s="19">
        <v>0</v>
      </c>
      <c r="BF3381" s="229">
        <f t="shared" si="1408"/>
        <v>0</v>
      </c>
      <c r="BG3381" s="210">
        <f t="shared" si="1406"/>
        <v>0</v>
      </c>
      <c r="BH3381" s="210">
        <f t="shared" si="1407"/>
        <v>1</v>
      </c>
      <c r="BI3381" s="213">
        <f t="shared" si="1405"/>
        <v>0</v>
      </c>
      <c r="BJ3381" s="141"/>
      <c r="BK3381" s="201"/>
      <c r="BL3381" s="4"/>
      <c r="BM3381" s="4"/>
    </row>
    <row r="3382" spans="1:65" s="38" customFormat="1" ht="21.95" customHeight="1">
      <c r="A3382" s="114">
        <v>36</v>
      </c>
      <c r="B3382" s="24" t="s">
        <v>661</v>
      </c>
      <c r="C3382" s="27" t="s">
        <v>743</v>
      </c>
      <c r="D3382" s="121"/>
      <c r="E3382" s="121"/>
      <c r="F3382" s="121"/>
      <c r="G3382" s="121"/>
      <c r="H3382" s="121"/>
      <c r="I3382" s="121">
        <v>16</v>
      </c>
      <c r="J3382" s="121"/>
      <c r="K3382" s="121"/>
      <c r="L3382" s="121"/>
      <c r="M3382" s="121"/>
      <c r="N3382" s="121"/>
      <c r="O3382" s="121">
        <v>15</v>
      </c>
      <c r="P3382" s="121"/>
      <c r="Q3382" s="121"/>
      <c r="R3382" s="121"/>
      <c r="S3382" s="121"/>
      <c r="T3382" s="121"/>
      <c r="U3382" s="121">
        <f>16+1</f>
        <v>17</v>
      </c>
      <c r="V3382" s="121"/>
      <c r="W3382" s="121"/>
      <c r="X3382" s="121"/>
      <c r="Y3382" s="121"/>
      <c r="Z3382" s="121"/>
      <c r="AA3382" s="121">
        <f>6+1</f>
        <v>7</v>
      </c>
      <c r="AB3382" s="229">
        <f t="shared" si="1400"/>
        <v>0</v>
      </c>
      <c r="AC3382" s="228">
        <f t="shared" si="1401"/>
        <v>55</v>
      </c>
      <c r="AD3382" s="19">
        <v>67</v>
      </c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  <c r="AZ3382" s="28"/>
      <c r="BA3382" s="28"/>
      <c r="BB3382" s="28"/>
      <c r="BC3382" s="229">
        <f t="shared" si="1402"/>
        <v>0</v>
      </c>
      <c r="BD3382" s="48">
        <f t="shared" si="1403"/>
        <v>0</v>
      </c>
      <c r="BE3382" s="19">
        <v>0</v>
      </c>
      <c r="BF3382" s="229">
        <f t="shared" si="1408"/>
        <v>0</v>
      </c>
      <c r="BG3382" s="210">
        <f t="shared" si="1406"/>
        <v>55</v>
      </c>
      <c r="BH3382" s="210">
        <f t="shared" si="1407"/>
        <v>67</v>
      </c>
      <c r="BI3382" s="213">
        <f t="shared" si="1405"/>
        <v>82.089552238805979</v>
      </c>
      <c r="BJ3382" s="141"/>
      <c r="BK3382" s="201"/>
      <c r="BL3382" s="4"/>
      <c r="BM3382" s="4"/>
    </row>
    <row r="3383" spans="1:65" s="38" customFormat="1" ht="18" customHeight="1">
      <c r="A3383" s="114">
        <v>37</v>
      </c>
      <c r="B3383" s="154" t="s">
        <v>1703</v>
      </c>
      <c r="C3383" s="31" t="s">
        <v>1704</v>
      </c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229">
        <f t="shared" si="1400"/>
        <v>0</v>
      </c>
      <c r="AC3383" s="228">
        <f t="shared" si="1401"/>
        <v>0</v>
      </c>
      <c r="AD3383" s="19">
        <v>2</v>
      </c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  <c r="AZ3383" s="28"/>
      <c r="BA3383" s="28"/>
      <c r="BB3383" s="28"/>
      <c r="BC3383" s="229">
        <f t="shared" si="1402"/>
        <v>0</v>
      </c>
      <c r="BD3383" s="48">
        <f t="shared" si="1403"/>
        <v>0</v>
      </c>
      <c r="BE3383" s="19">
        <v>0</v>
      </c>
      <c r="BF3383" s="229">
        <f t="shared" si="1408"/>
        <v>0</v>
      </c>
      <c r="BG3383" s="210">
        <f t="shared" si="1406"/>
        <v>0</v>
      </c>
      <c r="BH3383" s="210">
        <f t="shared" si="1407"/>
        <v>2</v>
      </c>
      <c r="BI3383" s="213">
        <f t="shared" si="1405"/>
        <v>0</v>
      </c>
      <c r="BJ3383" s="141"/>
      <c r="BK3383" s="201"/>
      <c r="BL3383" s="4"/>
      <c r="BM3383" s="4"/>
    </row>
    <row r="3384" spans="1:65" s="38" customFormat="1" ht="18" customHeight="1">
      <c r="A3384" s="114">
        <v>38</v>
      </c>
      <c r="B3384" s="24" t="s">
        <v>1703</v>
      </c>
      <c r="C3384" s="25" t="s">
        <v>1704</v>
      </c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229">
        <f t="shared" si="1400"/>
        <v>0</v>
      </c>
      <c r="AC3384" s="228">
        <f t="shared" si="1401"/>
        <v>0</v>
      </c>
      <c r="AD3384" s="19">
        <v>1</v>
      </c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29">
        <f t="shared" si="1402"/>
        <v>0</v>
      </c>
      <c r="BD3384" s="48">
        <f t="shared" si="1403"/>
        <v>0</v>
      </c>
      <c r="BE3384" s="19">
        <v>0</v>
      </c>
      <c r="BF3384" s="229">
        <f t="shared" si="1408"/>
        <v>0</v>
      </c>
      <c r="BG3384" s="210">
        <f t="shared" si="1406"/>
        <v>0</v>
      </c>
      <c r="BH3384" s="210">
        <f t="shared" si="1407"/>
        <v>1</v>
      </c>
      <c r="BI3384" s="213">
        <f t="shared" si="1405"/>
        <v>0</v>
      </c>
      <c r="BJ3384" s="141"/>
      <c r="BK3384" s="201"/>
      <c r="BL3384" s="4"/>
      <c r="BM3384" s="4"/>
    </row>
    <row r="3385" spans="1:65" s="38" customFormat="1" ht="18" customHeight="1">
      <c r="A3385" s="114">
        <v>39</v>
      </c>
      <c r="B3385" s="24" t="s">
        <v>1173</v>
      </c>
      <c r="C3385" s="25" t="s">
        <v>1371</v>
      </c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229">
        <f t="shared" si="1400"/>
        <v>0</v>
      </c>
      <c r="AC3385" s="228">
        <f t="shared" si="1401"/>
        <v>0</v>
      </c>
      <c r="AD3385" s="19">
        <v>1</v>
      </c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29">
        <f t="shared" si="1402"/>
        <v>0</v>
      </c>
      <c r="BD3385" s="48">
        <f t="shared" si="1403"/>
        <v>0</v>
      </c>
      <c r="BE3385" s="19">
        <v>0</v>
      </c>
      <c r="BF3385" s="229">
        <f t="shared" si="1408"/>
        <v>0</v>
      </c>
      <c r="BG3385" s="210">
        <f t="shared" si="1406"/>
        <v>0</v>
      </c>
      <c r="BH3385" s="210">
        <f t="shared" si="1407"/>
        <v>1</v>
      </c>
      <c r="BI3385" s="213">
        <f t="shared" si="1405"/>
        <v>0</v>
      </c>
      <c r="BJ3385" s="141"/>
      <c r="BK3385" s="201"/>
      <c r="BL3385" s="4"/>
      <c r="BM3385" s="4"/>
    </row>
    <row r="3386" spans="1:65" s="38" customFormat="1" ht="21.95" customHeight="1">
      <c r="A3386" s="114">
        <v>40</v>
      </c>
      <c r="B3386" s="24" t="s">
        <v>791</v>
      </c>
      <c r="C3386" s="27" t="s">
        <v>2318</v>
      </c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>
        <v>3</v>
      </c>
      <c r="AB3386" s="229">
        <f t="shared" si="1400"/>
        <v>0</v>
      </c>
      <c r="AC3386" s="228">
        <f t="shared" si="1401"/>
        <v>3</v>
      </c>
      <c r="AD3386" s="19">
        <v>16</v>
      </c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  <c r="AZ3386" s="28"/>
      <c r="BA3386" s="28"/>
      <c r="BB3386" s="28"/>
      <c r="BC3386" s="229">
        <f t="shared" si="1402"/>
        <v>0</v>
      </c>
      <c r="BD3386" s="48">
        <f t="shared" si="1403"/>
        <v>0</v>
      </c>
      <c r="BE3386" s="19">
        <v>0</v>
      </c>
      <c r="BF3386" s="229">
        <f t="shared" si="1408"/>
        <v>0</v>
      </c>
      <c r="BG3386" s="210">
        <f t="shared" si="1406"/>
        <v>3</v>
      </c>
      <c r="BH3386" s="210">
        <f t="shared" si="1407"/>
        <v>16</v>
      </c>
      <c r="BI3386" s="213">
        <f t="shared" si="1405"/>
        <v>18.75</v>
      </c>
      <c r="BJ3386" s="141"/>
      <c r="BK3386" s="201"/>
      <c r="BL3386" s="4"/>
      <c r="BM3386" s="4"/>
    </row>
    <row r="3387" spans="1:65" s="38" customFormat="1" ht="21.95" customHeight="1">
      <c r="A3387" s="114">
        <v>41</v>
      </c>
      <c r="B3387" s="24" t="s">
        <v>744</v>
      </c>
      <c r="C3387" s="27" t="s">
        <v>745</v>
      </c>
      <c r="D3387" s="121"/>
      <c r="E3387" s="121"/>
      <c r="F3387" s="121"/>
      <c r="G3387" s="121"/>
      <c r="H3387" s="121"/>
      <c r="I3387" s="121">
        <v>18</v>
      </c>
      <c r="J3387" s="121"/>
      <c r="K3387" s="121"/>
      <c r="L3387" s="121"/>
      <c r="M3387" s="121"/>
      <c r="N3387" s="121"/>
      <c r="O3387" s="121">
        <v>17</v>
      </c>
      <c r="P3387" s="121"/>
      <c r="Q3387" s="121"/>
      <c r="R3387" s="121"/>
      <c r="S3387" s="121"/>
      <c r="T3387" s="121"/>
      <c r="U3387" s="121">
        <v>46</v>
      </c>
      <c r="V3387" s="121"/>
      <c r="W3387" s="121"/>
      <c r="X3387" s="121"/>
      <c r="Y3387" s="121"/>
      <c r="Z3387" s="121"/>
      <c r="AA3387" s="121">
        <f>18+1</f>
        <v>19</v>
      </c>
      <c r="AB3387" s="229">
        <f t="shared" si="1400"/>
        <v>0</v>
      </c>
      <c r="AC3387" s="228">
        <f t="shared" si="1401"/>
        <v>100</v>
      </c>
      <c r="AD3387" s="19">
        <v>97</v>
      </c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>
        <v>1</v>
      </c>
      <c r="AQ3387" s="28"/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>
        <v>1</v>
      </c>
      <c r="BC3387" s="229">
        <f t="shared" si="1402"/>
        <v>0</v>
      </c>
      <c r="BD3387" s="48">
        <f t="shared" si="1403"/>
        <v>2</v>
      </c>
      <c r="BE3387" s="19">
        <v>0</v>
      </c>
      <c r="BF3387" s="229">
        <f t="shared" si="1408"/>
        <v>0</v>
      </c>
      <c r="BG3387" s="210">
        <f t="shared" si="1406"/>
        <v>102</v>
      </c>
      <c r="BH3387" s="210">
        <f t="shared" si="1407"/>
        <v>97</v>
      </c>
      <c r="BI3387" s="213">
        <f t="shared" si="1405"/>
        <v>105.15463917525774</v>
      </c>
      <c r="BJ3387" s="141"/>
      <c r="BK3387" s="201"/>
      <c r="BL3387" s="4"/>
      <c r="BM3387" s="4"/>
    </row>
    <row r="3388" spans="1:65" s="38" customFormat="1" ht="18" customHeight="1">
      <c r="A3388" s="114">
        <v>42</v>
      </c>
      <c r="B3388" s="24" t="s">
        <v>1143</v>
      </c>
      <c r="C3388" s="25" t="s">
        <v>1144</v>
      </c>
      <c r="D3388" s="121"/>
      <c r="E3388" s="121"/>
      <c r="F3388" s="121"/>
      <c r="G3388" s="121"/>
      <c r="H3388" s="121"/>
      <c r="I3388" s="121">
        <v>2</v>
      </c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>
        <v>1</v>
      </c>
      <c r="AB3388" s="229">
        <f t="shared" si="1400"/>
        <v>0</v>
      </c>
      <c r="AC3388" s="228">
        <f t="shared" si="1401"/>
        <v>3</v>
      </c>
      <c r="AD3388" s="19">
        <v>7</v>
      </c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29">
        <f t="shared" si="1402"/>
        <v>0</v>
      </c>
      <c r="BD3388" s="48">
        <f t="shared" si="1403"/>
        <v>0</v>
      </c>
      <c r="BE3388" s="19">
        <v>0</v>
      </c>
      <c r="BF3388" s="229">
        <f t="shared" si="1408"/>
        <v>0</v>
      </c>
      <c r="BG3388" s="210">
        <f t="shared" si="1406"/>
        <v>3</v>
      </c>
      <c r="BH3388" s="210">
        <f t="shared" si="1407"/>
        <v>7</v>
      </c>
      <c r="BI3388" s="213">
        <f t="shared" si="1405"/>
        <v>42.857142857142854</v>
      </c>
      <c r="BJ3388" s="141"/>
      <c r="BK3388" s="201"/>
      <c r="BL3388" s="4"/>
      <c r="BM3388" s="4"/>
    </row>
    <row r="3389" spans="1:65" s="38" customFormat="1" ht="18" customHeight="1">
      <c r="A3389" s="114">
        <v>43</v>
      </c>
      <c r="B3389" s="24" t="s">
        <v>998</v>
      </c>
      <c r="C3389" s="25" t="s">
        <v>999</v>
      </c>
      <c r="D3389" s="121"/>
      <c r="E3389" s="121"/>
      <c r="F3389" s="121"/>
      <c r="G3389" s="121"/>
      <c r="H3389" s="121"/>
      <c r="I3389" s="121">
        <f>2650+71</f>
        <v>2721</v>
      </c>
      <c r="J3389" s="121"/>
      <c r="K3389" s="121"/>
      <c r="L3389" s="121"/>
      <c r="M3389" s="121"/>
      <c r="N3389" s="121"/>
      <c r="O3389" s="121">
        <f>2545+11</f>
        <v>2556</v>
      </c>
      <c r="P3389" s="121"/>
      <c r="Q3389" s="121"/>
      <c r="R3389" s="121"/>
      <c r="S3389" s="121"/>
      <c r="T3389" s="121"/>
      <c r="U3389" s="121">
        <f>2351+71</f>
        <v>2422</v>
      </c>
      <c r="V3389" s="121"/>
      <c r="W3389" s="121"/>
      <c r="X3389" s="121"/>
      <c r="Y3389" s="121"/>
      <c r="Z3389" s="121"/>
      <c r="AA3389" s="121">
        <f>2533+155</f>
        <v>2688</v>
      </c>
      <c r="AB3389" s="229">
        <f t="shared" si="1400"/>
        <v>0</v>
      </c>
      <c r="AC3389" s="228">
        <f t="shared" si="1401"/>
        <v>10387</v>
      </c>
      <c r="AD3389" s="19">
        <v>9925</v>
      </c>
      <c r="AE3389" s="28"/>
      <c r="AF3389" s="28"/>
      <c r="AG3389" s="28"/>
      <c r="AH3389" s="28"/>
      <c r="AI3389" s="28"/>
      <c r="AJ3389" s="28">
        <f>1+17</f>
        <v>18</v>
      </c>
      <c r="AK3389" s="28"/>
      <c r="AL3389" s="28"/>
      <c r="AM3389" s="28"/>
      <c r="AN3389" s="28"/>
      <c r="AO3389" s="28"/>
      <c r="AP3389" s="28">
        <f>2+22</f>
        <v>24</v>
      </c>
      <c r="AQ3389" s="28"/>
      <c r="AR3389" s="28"/>
      <c r="AS3389" s="28"/>
      <c r="AT3389" s="28"/>
      <c r="AU3389" s="28"/>
      <c r="AV3389" s="28">
        <f>2+24</f>
        <v>26</v>
      </c>
      <c r="AW3389" s="28"/>
      <c r="AX3389" s="28"/>
      <c r="AY3389" s="28"/>
      <c r="AZ3389" s="28"/>
      <c r="BA3389" s="28"/>
      <c r="BB3389" s="28">
        <f>4+23</f>
        <v>27</v>
      </c>
      <c r="BC3389" s="229">
        <f t="shared" si="1402"/>
        <v>0</v>
      </c>
      <c r="BD3389" s="48">
        <f t="shared" si="1403"/>
        <v>95</v>
      </c>
      <c r="BE3389" s="19">
        <v>30</v>
      </c>
      <c r="BF3389" s="229">
        <f t="shared" si="1408"/>
        <v>0</v>
      </c>
      <c r="BG3389" s="210">
        <f t="shared" si="1406"/>
        <v>10482</v>
      </c>
      <c r="BH3389" s="210">
        <f t="shared" si="1407"/>
        <v>9955</v>
      </c>
      <c r="BI3389" s="213">
        <f t="shared" si="1405"/>
        <v>105.29382219989955</v>
      </c>
      <c r="BJ3389" s="141"/>
      <c r="BK3389" s="201"/>
      <c r="BL3389" s="4"/>
      <c r="BM3389" s="4"/>
    </row>
    <row r="3390" spans="1:65" s="38" customFormat="1" ht="18" customHeight="1">
      <c r="A3390" s="114">
        <v>44</v>
      </c>
      <c r="B3390" s="24" t="s">
        <v>2031</v>
      </c>
      <c r="C3390" s="25" t="s">
        <v>2430</v>
      </c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229">
        <f t="shared" si="1400"/>
        <v>0</v>
      </c>
      <c r="AC3390" s="228">
        <f t="shared" si="1401"/>
        <v>0</v>
      </c>
      <c r="AD3390" s="19">
        <v>3</v>
      </c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29">
        <f t="shared" si="1402"/>
        <v>0</v>
      </c>
      <c r="BD3390" s="48">
        <f t="shared" si="1403"/>
        <v>0</v>
      </c>
      <c r="BE3390" s="19">
        <v>0</v>
      </c>
      <c r="BF3390" s="229">
        <f t="shared" si="1408"/>
        <v>0</v>
      </c>
      <c r="BG3390" s="210">
        <f t="shared" si="1406"/>
        <v>0</v>
      </c>
      <c r="BH3390" s="210">
        <f t="shared" si="1407"/>
        <v>3</v>
      </c>
      <c r="BI3390" s="213">
        <f t="shared" si="1405"/>
        <v>0</v>
      </c>
      <c r="BJ3390" s="265" t="s">
        <v>2855</v>
      </c>
      <c r="BK3390" s="201"/>
      <c r="BL3390" s="4"/>
      <c r="BM3390" s="4"/>
    </row>
    <row r="3391" spans="1:65" s="38" customFormat="1" ht="18" customHeight="1">
      <c r="A3391" s="114">
        <v>45</v>
      </c>
      <c r="B3391" s="154" t="s">
        <v>1807</v>
      </c>
      <c r="C3391" s="320" t="s">
        <v>1808</v>
      </c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229">
        <f t="shared" si="1400"/>
        <v>0</v>
      </c>
      <c r="AC3391" s="228">
        <f t="shared" si="1401"/>
        <v>0</v>
      </c>
      <c r="AD3391" s="19">
        <v>1</v>
      </c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29">
        <f t="shared" si="1402"/>
        <v>0</v>
      </c>
      <c r="BD3391" s="48">
        <f t="shared" si="1403"/>
        <v>0</v>
      </c>
      <c r="BE3391" s="19">
        <v>0</v>
      </c>
      <c r="BF3391" s="229">
        <f t="shared" si="1408"/>
        <v>0</v>
      </c>
      <c r="BG3391" s="210">
        <f t="shared" si="1406"/>
        <v>0</v>
      </c>
      <c r="BH3391" s="210">
        <f t="shared" si="1407"/>
        <v>1</v>
      </c>
      <c r="BI3391" s="213">
        <f t="shared" si="1405"/>
        <v>0</v>
      </c>
      <c r="BJ3391" s="269" t="s">
        <v>2856</v>
      </c>
      <c r="BK3391" s="201"/>
      <c r="BL3391" s="4"/>
      <c r="BM3391" s="4"/>
    </row>
    <row r="3392" spans="1:65" s="38" customFormat="1" ht="18" customHeight="1">
      <c r="A3392" s="114">
        <v>46</v>
      </c>
      <c r="B3392" s="154" t="s">
        <v>1811</v>
      </c>
      <c r="C3392" s="320" t="s">
        <v>1812</v>
      </c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229">
        <f t="shared" si="1400"/>
        <v>0</v>
      </c>
      <c r="AC3392" s="228">
        <f t="shared" si="1401"/>
        <v>0</v>
      </c>
      <c r="AD3392" s="19">
        <v>1</v>
      </c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29">
        <f t="shared" si="1402"/>
        <v>0</v>
      </c>
      <c r="BD3392" s="48">
        <f t="shared" si="1403"/>
        <v>0</v>
      </c>
      <c r="BE3392" s="19">
        <v>0</v>
      </c>
      <c r="BF3392" s="229">
        <f t="shared" si="1408"/>
        <v>0</v>
      </c>
      <c r="BG3392" s="210">
        <f t="shared" si="1406"/>
        <v>0</v>
      </c>
      <c r="BH3392" s="210">
        <f t="shared" si="1407"/>
        <v>1</v>
      </c>
      <c r="BI3392" s="213">
        <f t="shared" si="1405"/>
        <v>0</v>
      </c>
      <c r="BJ3392" s="269" t="s">
        <v>2856</v>
      </c>
      <c r="BK3392" s="201"/>
      <c r="BL3392" s="4"/>
      <c r="BM3392" s="4"/>
    </row>
    <row r="3393" spans="1:65" s="38" customFormat="1" ht="18" customHeight="1">
      <c r="A3393" s="114">
        <v>47</v>
      </c>
      <c r="B3393" s="24" t="s">
        <v>1893</v>
      </c>
      <c r="C3393" s="25" t="s">
        <v>2425</v>
      </c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229">
        <f t="shared" si="1400"/>
        <v>0</v>
      </c>
      <c r="AC3393" s="228">
        <f t="shared" si="1401"/>
        <v>0</v>
      </c>
      <c r="AD3393" s="19">
        <v>1</v>
      </c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29">
        <f t="shared" si="1402"/>
        <v>0</v>
      </c>
      <c r="BD3393" s="48">
        <f t="shared" si="1403"/>
        <v>0</v>
      </c>
      <c r="BE3393" s="19">
        <v>0</v>
      </c>
      <c r="BF3393" s="229">
        <f t="shared" si="1408"/>
        <v>0</v>
      </c>
      <c r="BG3393" s="210">
        <f t="shared" si="1406"/>
        <v>0</v>
      </c>
      <c r="BH3393" s="210">
        <f t="shared" si="1407"/>
        <v>1</v>
      </c>
      <c r="BI3393" s="213">
        <f t="shared" si="1405"/>
        <v>0</v>
      </c>
      <c r="BJ3393" s="266" t="s">
        <v>2854</v>
      </c>
      <c r="BK3393" s="201"/>
      <c r="BL3393" s="4"/>
      <c r="BM3393" s="4"/>
    </row>
    <row r="3394" spans="1:65" s="38" customFormat="1" ht="18" customHeight="1">
      <c r="A3394" s="114">
        <v>48</v>
      </c>
      <c r="B3394" s="24" t="s">
        <v>2018</v>
      </c>
      <c r="C3394" s="122" t="s">
        <v>2019</v>
      </c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>
        <v>2</v>
      </c>
      <c r="AB3394" s="229">
        <f t="shared" si="1400"/>
        <v>0</v>
      </c>
      <c r="AC3394" s="228">
        <f t="shared" si="1401"/>
        <v>2</v>
      </c>
      <c r="AD3394" s="19">
        <v>5</v>
      </c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29">
        <f t="shared" si="1402"/>
        <v>0</v>
      </c>
      <c r="BD3394" s="48">
        <f t="shared" si="1403"/>
        <v>0</v>
      </c>
      <c r="BE3394" s="19">
        <v>0</v>
      </c>
      <c r="BF3394" s="229">
        <f t="shared" si="1408"/>
        <v>0</v>
      </c>
      <c r="BG3394" s="210">
        <f t="shared" si="1406"/>
        <v>2</v>
      </c>
      <c r="BH3394" s="210">
        <f t="shared" si="1407"/>
        <v>5</v>
      </c>
      <c r="BI3394" s="213">
        <f t="shared" si="1405"/>
        <v>40</v>
      </c>
      <c r="BJ3394" s="266" t="s">
        <v>2854</v>
      </c>
      <c r="BK3394" s="201"/>
      <c r="BL3394" s="4"/>
      <c r="BM3394" s="4"/>
    </row>
    <row r="3395" spans="1:65" s="38" customFormat="1" ht="21.95" customHeight="1">
      <c r="A3395" s="373" t="s">
        <v>548</v>
      </c>
      <c r="B3395" s="373"/>
      <c r="C3395" s="373"/>
      <c r="D3395" s="220">
        <f t="shared" ref="D3395:BB3395" si="1409">SUM(D3396:D3413)</f>
        <v>0</v>
      </c>
      <c r="E3395" s="220">
        <f t="shared" si="1409"/>
        <v>0</v>
      </c>
      <c r="F3395" s="220">
        <f t="shared" si="1409"/>
        <v>0</v>
      </c>
      <c r="G3395" s="220">
        <f t="shared" si="1409"/>
        <v>0</v>
      </c>
      <c r="H3395" s="220">
        <f t="shared" si="1409"/>
        <v>0</v>
      </c>
      <c r="I3395" s="220">
        <f t="shared" si="1409"/>
        <v>410</v>
      </c>
      <c r="J3395" s="220">
        <f t="shared" si="1409"/>
        <v>0</v>
      </c>
      <c r="K3395" s="220">
        <f t="shared" si="1409"/>
        <v>0</v>
      </c>
      <c r="L3395" s="220">
        <f t="shared" si="1409"/>
        <v>0</v>
      </c>
      <c r="M3395" s="220">
        <f t="shared" si="1409"/>
        <v>0</v>
      </c>
      <c r="N3395" s="220">
        <f t="shared" si="1409"/>
        <v>0</v>
      </c>
      <c r="O3395" s="220">
        <f t="shared" si="1409"/>
        <v>420</v>
      </c>
      <c r="P3395" s="220">
        <f t="shared" si="1409"/>
        <v>0</v>
      </c>
      <c r="Q3395" s="220">
        <f t="shared" si="1409"/>
        <v>0</v>
      </c>
      <c r="R3395" s="220">
        <f t="shared" si="1409"/>
        <v>0</v>
      </c>
      <c r="S3395" s="220">
        <f t="shared" si="1409"/>
        <v>0</v>
      </c>
      <c r="T3395" s="220">
        <f t="shared" si="1409"/>
        <v>0</v>
      </c>
      <c r="U3395" s="220">
        <f t="shared" si="1409"/>
        <v>309</v>
      </c>
      <c r="V3395" s="220">
        <f t="shared" si="1409"/>
        <v>0</v>
      </c>
      <c r="W3395" s="220">
        <f t="shared" si="1409"/>
        <v>0</v>
      </c>
      <c r="X3395" s="220">
        <f t="shared" si="1409"/>
        <v>0</v>
      </c>
      <c r="Y3395" s="220">
        <f t="shared" si="1409"/>
        <v>0</v>
      </c>
      <c r="Z3395" s="220">
        <f t="shared" si="1409"/>
        <v>0</v>
      </c>
      <c r="AA3395" s="220">
        <f t="shared" si="1409"/>
        <v>383</v>
      </c>
      <c r="AB3395" s="220">
        <f t="shared" ref="AB3395:AB3461" si="1410">D3395+F3395+H3395+J3395+L3395+N3395+P3395+R3395+T3395+V3395+X3395+Z3395</f>
        <v>0</v>
      </c>
      <c r="AC3395" s="220">
        <f t="shared" ref="AC3395:AC3461" si="1411">E3395+G3395+I3395+K3395+M3395+O3395+Q3395+S3395+U3395+W3395+Y3395+AA3395</f>
        <v>1522</v>
      </c>
      <c r="AD3395" s="220">
        <f t="shared" si="1409"/>
        <v>1339</v>
      </c>
      <c r="AE3395" s="220">
        <f t="shared" si="1409"/>
        <v>0</v>
      </c>
      <c r="AF3395" s="220">
        <f t="shared" si="1409"/>
        <v>0</v>
      </c>
      <c r="AG3395" s="220">
        <f t="shared" si="1409"/>
        <v>0</v>
      </c>
      <c r="AH3395" s="220">
        <f t="shared" si="1409"/>
        <v>0</v>
      </c>
      <c r="AI3395" s="220">
        <f t="shared" si="1409"/>
        <v>0</v>
      </c>
      <c r="AJ3395" s="220">
        <f t="shared" si="1409"/>
        <v>2</v>
      </c>
      <c r="AK3395" s="220">
        <f t="shared" si="1409"/>
        <v>0</v>
      </c>
      <c r="AL3395" s="220">
        <f t="shared" si="1409"/>
        <v>0</v>
      </c>
      <c r="AM3395" s="220">
        <f t="shared" si="1409"/>
        <v>0</v>
      </c>
      <c r="AN3395" s="220">
        <f t="shared" si="1409"/>
        <v>0</v>
      </c>
      <c r="AO3395" s="220">
        <f t="shared" si="1409"/>
        <v>0</v>
      </c>
      <c r="AP3395" s="220">
        <f t="shared" si="1409"/>
        <v>0</v>
      </c>
      <c r="AQ3395" s="220">
        <f t="shared" si="1409"/>
        <v>0</v>
      </c>
      <c r="AR3395" s="220">
        <f t="shared" si="1409"/>
        <v>0</v>
      </c>
      <c r="AS3395" s="220">
        <f t="shared" si="1409"/>
        <v>0</v>
      </c>
      <c r="AT3395" s="220">
        <f t="shared" si="1409"/>
        <v>0</v>
      </c>
      <c r="AU3395" s="220">
        <f t="shared" si="1409"/>
        <v>0</v>
      </c>
      <c r="AV3395" s="220">
        <f t="shared" si="1409"/>
        <v>0</v>
      </c>
      <c r="AW3395" s="220">
        <f t="shared" si="1409"/>
        <v>0</v>
      </c>
      <c r="AX3395" s="220">
        <f t="shared" si="1409"/>
        <v>0</v>
      </c>
      <c r="AY3395" s="220">
        <f t="shared" si="1409"/>
        <v>0</v>
      </c>
      <c r="AZ3395" s="220">
        <f t="shared" si="1409"/>
        <v>0</v>
      </c>
      <c r="BA3395" s="220">
        <f t="shared" si="1409"/>
        <v>0</v>
      </c>
      <c r="BB3395" s="220">
        <f t="shared" si="1409"/>
        <v>0</v>
      </c>
      <c r="BC3395" s="220">
        <f t="shared" ref="BC3395:BC3461" si="1412">AE3395+AG3395+AI3395+AK3395+AM3395+AO3395+AQ3395+AS3395+AU3395+AW3395+AY3395+BA3395</f>
        <v>0</v>
      </c>
      <c r="BD3395" s="210">
        <f t="shared" ref="BD3395:BD3461" si="1413">AF3395+AH3395+AJ3395+AL3395+AN3395+AP3395+AR3395+AT3395+AV3395+AX3395+AZ3395+BB3395</f>
        <v>2</v>
      </c>
      <c r="BE3395" s="276">
        <v>0</v>
      </c>
      <c r="BF3395" s="220">
        <f t="shared" ref="BF3395:BF3461" si="1414">AB3395+BC3395</f>
        <v>0</v>
      </c>
      <c r="BG3395" s="210">
        <f t="shared" ref="BG3395:BG3461" si="1415">AC3395+BD3395</f>
        <v>1524</v>
      </c>
      <c r="BH3395" s="210">
        <f t="shared" ref="BH3395:BH3430" si="1416">AD3395+BE3395</f>
        <v>1339</v>
      </c>
      <c r="BI3395" s="213">
        <f t="shared" ref="BI3395:BI3461" si="1417">BG3395/BH3395*100</f>
        <v>113.81628080657207</v>
      </c>
      <c r="BJ3395" s="142">
        <v>1339</v>
      </c>
      <c r="BK3395" s="203">
        <f>BH3395-BJ3395</f>
        <v>0</v>
      </c>
      <c r="BL3395" s="4"/>
      <c r="BM3395" s="4"/>
    </row>
    <row r="3396" spans="1:65" s="38" customFormat="1" ht="21.95" customHeight="1">
      <c r="A3396" s="114">
        <v>1</v>
      </c>
      <c r="B3396" s="24" t="s">
        <v>705</v>
      </c>
      <c r="C3396" s="27" t="s">
        <v>706</v>
      </c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229">
        <f t="shared" ref="AB3396:AC3400" si="1418">D3396+F3396+H3396+J3396+L3396+N3396+P3396+R3396+T3396+V3396+X3396+Z3396</f>
        <v>0</v>
      </c>
      <c r="AC3396" s="228">
        <f t="shared" si="1418"/>
        <v>0</v>
      </c>
      <c r="AD3396" s="19">
        <v>2</v>
      </c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  <c r="AZ3396" s="28"/>
      <c r="BA3396" s="28"/>
      <c r="BB3396" s="28"/>
      <c r="BC3396" s="229">
        <f t="shared" ref="BC3396:BD3400" si="1419">AE3396+AG3396+AI3396+AK3396+AM3396+AO3396+AQ3396+AS3396+AU3396+AW3396+AY3396+BA3396</f>
        <v>0</v>
      </c>
      <c r="BD3396" s="48">
        <f t="shared" si="1419"/>
        <v>0</v>
      </c>
      <c r="BE3396" s="19">
        <v>0</v>
      </c>
      <c r="BF3396" s="229">
        <f t="shared" ref="BF3396:BH3400" si="1420">AB3396+BC3396</f>
        <v>0</v>
      </c>
      <c r="BG3396" s="210">
        <f t="shared" si="1420"/>
        <v>0</v>
      </c>
      <c r="BH3396" s="210">
        <f t="shared" si="1420"/>
        <v>2</v>
      </c>
      <c r="BI3396" s="213">
        <f t="shared" ref="BI3396:BI3413" si="1421">BG3396/BH3396*100</f>
        <v>0</v>
      </c>
      <c r="BJ3396" s="270" t="s">
        <v>2857</v>
      </c>
      <c r="BK3396" s="201"/>
      <c r="BL3396" s="4"/>
      <c r="BM3396" s="4"/>
    </row>
    <row r="3397" spans="1:65" s="38" customFormat="1" ht="18" customHeight="1">
      <c r="A3397" s="114">
        <v>2</v>
      </c>
      <c r="B3397" s="24" t="s">
        <v>585</v>
      </c>
      <c r="C3397" s="25" t="s">
        <v>586</v>
      </c>
      <c r="D3397" s="121"/>
      <c r="E3397" s="121"/>
      <c r="F3397" s="121"/>
      <c r="G3397" s="121"/>
      <c r="H3397" s="121"/>
      <c r="I3397" s="121">
        <v>89</v>
      </c>
      <c r="J3397" s="121"/>
      <c r="K3397" s="121"/>
      <c r="L3397" s="121"/>
      <c r="M3397" s="121"/>
      <c r="N3397" s="121"/>
      <c r="O3397" s="121">
        <v>91</v>
      </c>
      <c r="P3397" s="121"/>
      <c r="Q3397" s="121"/>
      <c r="R3397" s="121"/>
      <c r="S3397" s="121"/>
      <c r="T3397" s="121"/>
      <c r="U3397" s="121">
        <v>84</v>
      </c>
      <c r="V3397" s="121"/>
      <c r="W3397" s="121"/>
      <c r="X3397" s="121"/>
      <c r="Y3397" s="121"/>
      <c r="Z3397" s="121"/>
      <c r="AA3397" s="121">
        <v>109</v>
      </c>
      <c r="AB3397" s="229">
        <f t="shared" si="1418"/>
        <v>0</v>
      </c>
      <c r="AC3397" s="228">
        <f t="shared" si="1418"/>
        <v>373</v>
      </c>
      <c r="AD3397" s="19">
        <v>310</v>
      </c>
      <c r="AE3397" s="28"/>
      <c r="AF3397" s="28"/>
      <c r="AG3397" s="28"/>
      <c r="AH3397" s="28"/>
      <c r="AI3397" s="28"/>
      <c r="AJ3397" s="28">
        <v>1</v>
      </c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29">
        <f t="shared" si="1419"/>
        <v>0</v>
      </c>
      <c r="BD3397" s="48">
        <f t="shared" si="1419"/>
        <v>1</v>
      </c>
      <c r="BE3397" s="19">
        <v>0</v>
      </c>
      <c r="BF3397" s="229">
        <f t="shared" si="1420"/>
        <v>0</v>
      </c>
      <c r="BG3397" s="210">
        <f t="shared" si="1420"/>
        <v>374</v>
      </c>
      <c r="BH3397" s="210">
        <f t="shared" si="1420"/>
        <v>310</v>
      </c>
      <c r="BI3397" s="213">
        <f t="shared" si="1421"/>
        <v>120.64516129032259</v>
      </c>
      <c r="BJ3397" s="141"/>
      <c r="BK3397" s="201"/>
      <c r="BL3397" s="4"/>
      <c r="BM3397" s="4"/>
    </row>
    <row r="3398" spans="1:65" s="38" customFormat="1" ht="18" customHeight="1">
      <c r="A3398" s="114">
        <v>3</v>
      </c>
      <c r="B3398" s="24" t="s">
        <v>1107</v>
      </c>
      <c r="C3398" s="25" t="s">
        <v>1188</v>
      </c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229">
        <f t="shared" si="1418"/>
        <v>0</v>
      </c>
      <c r="AC3398" s="228">
        <f t="shared" si="1418"/>
        <v>0</v>
      </c>
      <c r="AD3398" s="19">
        <v>1</v>
      </c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  <c r="AZ3398" s="28"/>
      <c r="BA3398" s="28"/>
      <c r="BB3398" s="28"/>
      <c r="BC3398" s="229">
        <f t="shared" si="1419"/>
        <v>0</v>
      </c>
      <c r="BD3398" s="48">
        <f t="shared" si="1419"/>
        <v>0</v>
      </c>
      <c r="BE3398" s="19">
        <v>0</v>
      </c>
      <c r="BF3398" s="229">
        <f t="shared" si="1420"/>
        <v>0</v>
      </c>
      <c r="BG3398" s="210">
        <f t="shared" si="1420"/>
        <v>0</v>
      </c>
      <c r="BH3398" s="210">
        <f t="shared" si="1420"/>
        <v>1</v>
      </c>
      <c r="BI3398" s="213">
        <f t="shared" si="1421"/>
        <v>0</v>
      </c>
      <c r="BJ3398" s="141"/>
      <c r="BK3398" s="201"/>
      <c r="BL3398" s="4"/>
      <c r="BM3398" s="4"/>
    </row>
    <row r="3399" spans="1:65" s="38" customFormat="1" ht="18" customHeight="1">
      <c r="A3399" s="114">
        <v>4</v>
      </c>
      <c r="B3399" s="24" t="s">
        <v>794</v>
      </c>
      <c r="C3399" s="25" t="s">
        <v>1108</v>
      </c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229">
        <f t="shared" si="1418"/>
        <v>0</v>
      </c>
      <c r="AC3399" s="228">
        <f t="shared" si="1418"/>
        <v>0</v>
      </c>
      <c r="AD3399" s="19">
        <v>8</v>
      </c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  <c r="AZ3399" s="28"/>
      <c r="BA3399" s="28"/>
      <c r="BB3399" s="28"/>
      <c r="BC3399" s="229">
        <f t="shared" si="1419"/>
        <v>0</v>
      </c>
      <c r="BD3399" s="48">
        <f t="shared" si="1419"/>
        <v>0</v>
      </c>
      <c r="BE3399" s="19">
        <v>0</v>
      </c>
      <c r="BF3399" s="229">
        <f t="shared" si="1420"/>
        <v>0</v>
      </c>
      <c r="BG3399" s="210">
        <f t="shared" si="1420"/>
        <v>0</v>
      </c>
      <c r="BH3399" s="210">
        <f t="shared" si="1420"/>
        <v>8</v>
      </c>
      <c r="BI3399" s="213">
        <f t="shared" si="1421"/>
        <v>0</v>
      </c>
      <c r="BJ3399" s="141"/>
      <c r="BK3399" s="201"/>
      <c r="BL3399" s="4"/>
      <c r="BM3399" s="4"/>
    </row>
    <row r="3400" spans="1:65" s="38" customFormat="1" ht="18" customHeight="1">
      <c r="A3400" s="114">
        <v>5</v>
      </c>
      <c r="B3400" s="24" t="s">
        <v>761</v>
      </c>
      <c r="C3400" s="25" t="s">
        <v>762</v>
      </c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229">
        <f t="shared" si="1418"/>
        <v>0</v>
      </c>
      <c r="AC3400" s="228">
        <f t="shared" si="1418"/>
        <v>0</v>
      </c>
      <c r="AD3400" s="19">
        <v>2</v>
      </c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29">
        <f t="shared" si="1419"/>
        <v>0</v>
      </c>
      <c r="BD3400" s="48">
        <f t="shared" si="1419"/>
        <v>0</v>
      </c>
      <c r="BE3400" s="19">
        <v>0</v>
      </c>
      <c r="BF3400" s="229">
        <f t="shared" si="1420"/>
        <v>0</v>
      </c>
      <c r="BG3400" s="210">
        <f t="shared" si="1420"/>
        <v>0</v>
      </c>
      <c r="BH3400" s="210">
        <f t="shared" si="1420"/>
        <v>2</v>
      </c>
      <c r="BI3400" s="213">
        <f t="shared" si="1421"/>
        <v>0</v>
      </c>
      <c r="BJ3400" s="141"/>
      <c r="BK3400" s="201"/>
      <c r="BL3400" s="4"/>
      <c r="BM3400" s="4"/>
    </row>
    <row r="3401" spans="1:65" s="38" customFormat="1" ht="18" customHeight="1">
      <c r="A3401" s="114">
        <v>6</v>
      </c>
      <c r="B3401" s="24" t="s">
        <v>1125</v>
      </c>
      <c r="C3401" s="25" t="s">
        <v>1126</v>
      </c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>
        <v>1</v>
      </c>
      <c r="V3401" s="121"/>
      <c r="W3401" s="121"/>
      <c r="X3401" s="121"/>
      <c r="Y3401" s="121"/>
      <c r="Z3401" s="121"/>
      <c r="AA3401" s="121"/>
      <c r="AB3401" s="229"/>
      <c r="AC3401" s="228">
        <f t="shared" ref="AC3401:AC3413" si="1422">E3401+G3401+I3401+K3401+M3401+O3401+Q3401+S3401+U3401+W3401+Y3401+AA3401</f>
        <v>1</v>
      </c>
      <c r="AD3401" s="19">
        <v>0</v>
      </c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29"/>
      <c r="BD3401" s="48">
        <f t="shared" ref="BD3401:BD3413" si="1423">AF3401+AH3401+AJ3401+AL3401+AN3401+AP3401+AR3401+AT3401+AV3401+AX3401+AZ3401+BB3401</f>
        <v>0</v>
      </c>
      <c r="BE3401" s="19">
        <v>0</v>
      </c>
      <c r="BF3401" s="229"/>
      <c r="BG3401" s="210">
        <f t="shared" ref="BG3401:BG3413" si="1424">AC3401+BD3401</f>
        <v>1</v>
      </c>
      <c r="BH3401" s="210">
        <f t="shared" ref="BH3401:BH3413" si="1425">AD3401+BE3401</f>
        <v>0</v>
      </c>
      <c r="BI3401" s="213" t="e">
        <f t="shared" si="1421"/>
        <v>#DIV/0!</v>
      </c>
      <c r="BJ3401" s="141"/>
      <c r="BK3401" s="201"/>
      <c r="BL3401" s="4"/>
      <c r="BM3401" s="4"/>
    </row>
    <row r="3402" spans="1:65" s="38" customFormat="1" ht="18" customHeight="1">
      <c r="A3402" s="114">
        <v>7</v>
      </c>
      <c r="B3402" s="24" t="s">
        <v>1129</v>
      </c>
      <c r="C3402" s="25" t="s">
        <v>1130</v>
      </c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229">
        <f t="shared" ref="AB3402:AB3408" si="1426">D3402+F3402+H3402+J3402+L3402+N3402+P3402+R3402+T3402+V3402+X3402+Z3402</f>
        <v>0</v>
      </c>
      <c r="AC3402" s="228">
        <f t="shared" si="1422"/>
        <v>0</v>
      </c>
      <c r="AD3402" s="19">
        <v>1</v>
      </c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  <c r="AZ3402" s="28"/>
      <c r="BA3402" s="28"/>
      <c r="BB3402" s="28"/>
      <c r="BC3402" s="229">
        <f t="shared" ref="BC3402:BC3408" si="1427">AE3402+AG3402+AI3402+AK3402+AM3402+AO3402+AQ3402+AS3402+AU3402+AW3402+AY3402+BA3402</f>
        <v>0</v>
      </c>
      <c r="BD3402" s="48">
        <f t="shared" si="1423"/>
        <v>0</v>
      </c>
      <c r="BE3402" s="19">
        <v>0</v>
      </c>
      <c r="BF3402" s="229">
        <f t="shared" ref="BF3402:BF3408" si="1428">AB3402+BC3402</f>
        <v>0</v>
      </c>
      <c r="BG3402" s="210">
        <f t="shared" si="1424"/>
        <v>0</v>
      </c>
      <c r="BH3402" s="210">
        <f t="shared" si="1425"/>
        <v>1</v>
      </c>
      <c r="BI3402" s="213">
        <f t="shared" si="1421"/>
        <v>0</v>
      </c>
      <c r="BJ3402" s="141"/>
      <c r="BK3402" s="201"/>
      <c r="BL3402" s="4"/>
      <c r="BM3402" s="4"/>
    </row>
    <row r="3403" spans="1:65" s="38" customFormat="1" ht="18" customHeight="1">
      <c r="A3403" s="114">
        <v>8</v>
      </c>
      <c r="B3403" s="24" t="s">
        <v>812</v>
      </c>
      <c r="C3403" s="25" t="s">
        <v>813</v>
      </c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229">
        <f t="shared" si="1426"/>
        <v>0</v>
      </c>
      <c r="AC3403" s="228">
        <f t="shared" si="1422"/>
        <v>0</v>
      </c>
      <c r="AD3403" s="19">
        <v>2</v>
      </c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29">
        <f t="shared" si="1427"/>
        <v>0</v>
      </c>
      <c r="BD3403" s="48">
        <f t="shared" si="1423"/>
        <v>0</v>
      </c>
      <c r="BE3403" s="19">
        <v>0</v>
      </c>
      <c r="BF3403" s="229">
        <f t="shared" si="1428"/>
        <v>0</v>
      </c>
      <c r="BG3403" s="210">
        <f t="shared" si="1424"/>
        <v>0</v>
      </c>
      <c r="BH3403" s="210">
        <f t="shared" si="1425"/>
        <v>2</v>
      </c>
      <c r="BI3403" s="213">
        <f t="shared" si="1421"/>
        <v>0</v>
      </c>
      <c r="BJ3403" s="141"/>
      <c r="BK3403" s="201"/>
      <c r="BL3403" s="4"/>
      <c r="BM3403" s="4"/>
    </row>
    <row r="3404" spans="1:65" s="38" customFormat="1" ht="18" customHeight="1">
      <c r="A3404" s="114">
        <v>9</v>
      </c>
      <c r="B3404" s="24" t="s">
        <v>1131</v>
      </c>
      <c r="C3404" s="25" t="s">
        <v>1132</v>
      </c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229">
        <f t="shared" si="1426"/>
        <v>0</v>
      </c>
      <c r="AC3404" s="228">
        <f t="shared" si="1422"/>
        <v>0</v>
      </c>
      <c r="AD3404" s="19">
        <v>1</v>
      </c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  <c r="AZ3404" s="28"/>
      <c r="BA3404" s="28"/>
      <c r="BB3404" s="28"/>
      <c r="BC3404" s="229">
        <f t="shared" si="1427"/>
        <v>0</v>
      </c>
      <c r="BD3404" s="48">
        <f t="shared" si="1423"/>
        <v>0</v>
      </c>
      <c r="BE3404" s="19">
        <v>0</v>
      </c>
      <c r="BF3404" s="229">
        <f t="shared" si="1428"/>
        <v>0</v>
      </c>
      <c r="BG3404" s="210">
        <f t="shared" si="1424"/>
        <v>0</v>
      </c>
      <c r="BH3404" s="210">
        <f t="shared" si="1425"/>
        <v>1</v>
      </c>
      <c r="BI3404" s="213">
        <f t="shared" si="1421"/>
        <v>0</v>
      </c>
      <c r="BJ3404" s="141"/>
      <c r="BK3404" s="201"/>
      <c r="BL3404" s="4"/>
      <c r="BM3404" s="4"/>
    </row>
    <row r="3405" spans="1:65" s="38" customFormat="1" ht="18" customHeight="1">
      <c r="A3405" s="114">
        <v>10</v>
      </c>
      <c r="B3405" s="24" t="s">
        <v>512</v>
      </c>
      <c r="C3405" s="25" t="s">
        <v>513</v>
      </c>
      <c r="D3405" s="121"/>
      <c r="E3405" s="121"/>
      <c r="F3405" s="121"/>
      <c r="G3405" s="121"/>
      <c r="H3405" s="121"/>
      <c r="I3405" s="121">
        <v>1</v>
      </c>
      <c r="J3405" s="121"/>
      <c r="K3405" s="121"/>
      <c r="L3405" s="121"/>
      <c r="M3405" s="121"/>
      <c r="N3405" s="121"/>
      <c r="O3405" s="121">
        <v>1</v>
      </c>
      <c r="P3405" s="121"/>
      <c r="Q3405" s="121"/>
      <c r="R3405" s="121"/>
      <c r="S3405" s="121"/>
      <c r="T3405" s="121"/>
      <c r="U3405" s="121">
        <v>1</v>
      </c>
      <c r="V3405" s="121"/>
      <c r="W3405" s="121"/>
      <c r="X3405" s="121"/>
      <c r="Y3405" s="121"/>
      <c r="Z3405" s="121"/>
      <c r="AA3405" s="121">
        <v>1</v>
      </c>
      <c r="AB3405" s="229">
        <f t="shared" si="1426"/>
        <v>0</v>
      </c>
      <c r="AC3405" s="228">
        <f t="shared" si="1422"/>
        <v>4</v>
      </c>
      <c r="AD3405" s="19">
        <v>0</v>
      </c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  <c r="AZ3405" s="28"/>
      <c r="BA3405" s="28"/>
      <c r="BB3405" s="28"/>
      <c r="BC3405" s="229">
        <f t="shared" si="1427"/>
        <v>0</v>
      </c>
      <c r="BD3405" s="48">
        <f t="shared" si="1423"/>
        <v>0</v>
      </c>
      <c r="BE3405" s="19">
        <v>0</v>
      </c>
      <c r="BF3405" s="229">
        <f t="shared" si="1428"/>
        <v>0</v>
      </c>
      <c r="BG3405" s="210">
        <f t="shared" si="1424"/>
        <v>4</v>
      </c>
      <c r="BH3405" s="210">
        <f t="shared" si="1425"/>
        <v>0</v>
      </c>
      <c r="BI3405" s="213" t="e">
        <f t="shared" si="1421"/>
        <v>#DIV/0!</v>
      </c>
      <c r="BJ3405" s="141"/>
      <c r="BK3405" s="201"/>
      <c r="BL3405" s="4"/>
      <c r="BM3405" s="4"/>
    </row>
    <row r="3406" spans="1:65" s="38" customFormat="1" ht="18" customHeight="1">
      <c r="A3406" s="114">
        <v>11</v>
      </c>
      <c r="B3406" s="24" t="s">
        <v>892</v>
      </c>
      <c r="C3406" s="25" t="s">
        <v>893</v>
      </c>
      <c r="D3406" s="121"/>
      <c r="E3406" s="121"/>
      <c r="F3406" s="121"/>
      <c r="G3406" s="121"/>
      <c r="H3406" s="121"/>
      <c r="I3406" s="121">
        <v>37</v>
      </c>
      <c r="J3406" s="121"/>
      <c r="K3406" s="121"/>
      <c r="L3406" s="121"/>
      <c r="M3406" s="121"/>
      <c r="N3406" s="121"/>
      <c r="O3406" s="121">
        <v>46</v>
      </c>
      <c r="P3406" s="121"/>
      <c r="Q3406" s="121"/>
      <c r="R3406" s="121"/>
      <c r="S3406" s="121"/>
      <c r="T3406" s="121"/>
      <c r="U3406" s="121">
        <v>23</v>
      </c>
      <c r="V3406" s="121"/>
      <c r="W3406" s="121"/>
      <c r="X3406" s="121"/>
      <c r="Y3406" s="121"/>
      <c r="Z3406" s="121"/>
      <c r="AA3406" s="121">
        <v>21</v>
      </c>
      <c r="AB3406" s="229">
        <f t="shared" si="1426"/>
        <v>0</v>
      </c>
      <c r="AC3406" s="228">
        <f t="shared" si="1422"/>
        <v>127</v>
      </c>
      <c r="AD3406" s="19">
        <v>113</v>
      </c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  <c r="AZ3406" s="28"/>
      <c r="BA3406" s="28"/>
      <c r="BB3406" s="28"/>
      <c r="BC3406" s="229">
        <f t="shared" si="1427"/>
        <v>0</v>
      </c>
      <c r="BD3406" s="48">
        <f t="shared" si="1423"/>
        <v>0</v>
      </c>
      <c r="BE3406" s="19">
        <v>0</v>
      </c>
      <c r="BF3406" s="229">
        <f t="shared" si="1428"/>
        <v>0</v>
      </c>
      <c r="BG3406" s="210">
        <f t="shared" si="1424"/>
        <v>127</v>
      </c>
      <c r="BH3406" s="210">
        <f t="shared" si="1425"/>
        <v>113</v>
      </c>
      <c r="BI3406" s="213">
        <f t="shared" si="1421"/>
        <v>112.38938053097345</v>
      </c>
      <c r="BJ3406" s="141"/>
      <c r="BK3406" s="201"/>
      <c r="BL3406" s="4"/>
      <c r="BM3406" s="4"/>
    </row>
    <row r="3407" spans="1:65" s="38" customFormat="1" ht="18" customHeight="1">
      <c r="A3407" s="114">
        <v>12</v>
      </c>
      <c r="B3407" s="24" t="s">
        <v>703</v>
      </c>
      <c r="C3407" s="25" t="s">
        <v>774</v>
      </c>
      <c r="D3407" s="121"/>
      <c r="E3407" s="121"/>
      <c r="F3407" s="121"/>
      <c r="G3407" s="121"/>
      <c r="H3407" s="121"/>
      <c r="I3407" s="121">
        <v>17</v>
      </c>
      <c r="J3407" s="121"/>
      <c r="K3407" s="121"/>
      <c r="L3407" s="121"/>
      <c r="M3407" s="121"/>
      <c r="N3407" s="121"/>
      <c r="O3407" s="121">
        <v>23</v>
      </c>
      <c r="P3407" s="121"/>
      <c r="Q3407" s="121"/>
      <c r="R3407" s="121"/>
      <c r="S3407" s="121"/>
      <c r="T3407" s="121"/>
      <c r="U3407" s="121">
        <v>20</v>
      </c>
      <c r="V3407" s="121"/>
      <c r="W3407" s="121"/>
      <c r="X3407" s="121"/>
      <c r="Y3407" s="121"/>
      <c r="Z3407" s="121"/>
      <c r="AA3407" s="121">
        <v>30</v>
      </c>
      <c r="AB3407" s="229">
        <f t="shared" si="1426"/>
        <v>0</v>
      </c>
      <c r="AC3407" s="228">
        <f t="shared" si="1422"/>
        <v>90</v>
      </c>
      <c r="AD3407" s="19">
        <v>64</v>
      </c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  <c r="AZ3407" s="28"/>
      <c r="BA3407" s="28"/>
      <c r="BB3407" s="28"/>
      <c r="BC3407" s="229">
        <f t="shared" si="1427"/>
        <v>0</v>
      </c>
      <c r="BD3407" s="48">
        <f t="shared" si="1423"/>
        <v>0</v>
      </c>
      <c r="BE3407" s="19">
        <v>0</v>
      </c>
      <c r="BF3407" s="229">
        <f t="shared" si="1428"/>
        <v>0</v>
      </c>
      <c r="BG3407" s="210">
        <f t="shared" si="1424"/>
        <v>90</v>
      </c>
      <c r="BH3407" s="210">
        <f t="shared" si="1425"/>
        <v>64</v>
      </c>
      <c r="BI3407" s="213">
        <f t="shared" si="1421"/>
        <v>140.625</v>
      </c>
      <c r="BJ3407" s="141"/>
      <c r="BK3407" s="201"/>
      <c r="BL3407" s="4"/>
      <c r="BM3407" s="4"/>
    </row>
    <row r="3408" spans="1:65" s="38" customFormat="1" ht="21.95" customHeight="1">
      <c r="A3408" s="114">
        <v>13</v>
      </c>
      <c r="B3408" s="24" t="s">
        <v>657</v>
      </c>
      <c r="C3408" s="27" t="s">
        <v>1401</v>
      </c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>
        <v>6</v>
      </c>
      <c r="P3408" s="121"/>
      <c r="Q3408" s="121"/>
      <c r="R3408" s="121"/>
      <c r="S3408" s="121"/>
      <c r="T3408" s="121"/>
      <c r="U3408" s="121">
        <v>1</v>
      </c>
      <c r="V3408" s="121"/>
      <c r="W3408" s="121"/>
      <c r="X3408" s="121"/>
      <c r="Y3408" s="121"/>
      <c r="Z3408" s="121"/>
      <c r="AA3408" s="121"/>
      <c r="AB3408" s="229">
        <f t="shared" si="1426"/>
        <v>0</v>
      </c>
      <c r="AC3408" s="228">
        <f t="shared" si="1422"/>
        <v>7</v>
      </c>
      <c r="AD3408" s="19">
        <v>8</v>
      </c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  <c r="AZ3408" s="28"/>
      <c r="BA3408" s="28"/>
      <c r="BB3408" s="28"/>
      <c r="BC3408" s="229">
        <f t="shared" si="1427"/>
        <v>0</v>
      </c>
      <c r="BD3408" s="48">
        <f t="shared" si="1423"/>
        <v>0</v>
      </c>
      <c r="BE3408" s="19">
        <v>0</v>
      </c>
      <c r="BF3408" s="229">
        <f t="shared" si="1428"/>
        <v>0</v>
      </c>
      <c r="BG3408" s="210">
        <f t="shared" si="1424"/>
        <v>7</v>
      </c>
      <c r="BH3408" s="210">
        <f t="shared" si="1425"/>
        <v>8</v>
      </c>
      <c r="BI3408" s="213">
        <f t="shared" si="1421"/>
        <v>87.5</v>
      </c>
      <c r="BJ3408" s="141"/>
      <c r="BK3408" s="201"/>
      <c r="BL3408" s="4"/>
      <c r="BM3408" s="4"/>
    </row>
    <row r="3409" spans="1:65" s="38" customFormat="1" ht="21.95" customHeight="1">
      <c r="A3409" s="114">
        <v>14</v>
      </c>
      <c r="B3409" s="24" t="s">
        <v>661</v>
      </c>
      <c r="C3409" s="27" t="s">
        <v>1166</v>
      </c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>
        <v>2</v>
      </c>
      <c r="P3409" s="121"/>
      <c r="Q3409" s="121"/>
      <c r="R3409" s="121"/>
      <c r="S3409" s="121"/>
      <c r="T3409" s="121"/>
      <c r="U3409" s="121">
        <v>1</v>
      </c>
      <c r="V3409" s="121"/>
      <c r="W3409" s="121"/>
      <c r="X3409" s="121"/>
      <c r="Y3409" s="121"/>
      <c r="Z3409" s="121"/>
      <c r="AA3409" s="121">
        <v>2</v>
      </c>
      <c r="AB3409" s="229"/>
      <c r="AC3409" s="228">
        <f t="shared" si="1422"/>
        <v>5</v>
      </c>
      <c r="AD3409" s="19">
        <v>0</v>
      </c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29"/>
      <c r="BD3409" s="48">
        <f t="shared" si="1423"/>
        <v>0</v>
      </c>
      <c r="BE3409" s="19">
        <v>0</v>
      </c>
      <c r="BF3409" s="229"/>
      <c r="BG3409" s="210">
        <f t="shared" si="1424"/>
        <v>5</v>
      </c>
      <c r="BH3409" s="210">
        <f t="shared" si="1425"/>
        <v>0</v>
      </c>
      <c r="BI3409" s="213" t="e">
        <f t="shared" si="1421"/>
        <v>#DIV/0!</v>
      </c>
      <c r="BJ3409" s="141"/>
      <c r="BK3409" s="201"/>
      <c r="BL3409" s="4"/>
      <c r="BM3409" s="4"/>
    </row>
    <row r="3410" spans="1:65" s="38" customFormat="1" ht="18" customHeight="1">
      <c r="A3410" s="114">
        <v>15</v>
      </c>
      <c r="B3410" s="24" t="s">
        <v>1173</v>
      </c>
      <c r="C3410" s="25" t="s">
        <v>1371</v>
      </c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229">
        <f>D3410+F3410+H3410+J3410+L3410+N3410+P3410+R3410+T3410+V3410+X3410+Z3410</f>
        <v>0</v>
      </c>
      <c r="AC3410" s="228">
        <f t="shared" si="1422"/>
        <v>0</v>
      </c>
      <c r="AD3410" s="19">
        <v>1</v>
      </c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29">
        <f>AE3410+AG3410+AI3410+AK3410+AM3410+AO3410+AQ3410+AS3410+AU3410+AW3410+AY3410+BA3410</f>
        <v>0</v>
      </c>
      <c r="BD3410" s="48">
        <f t="shared" si="1423"/>
        <v>0</v>
      </c>
      <c r="BE3410" s="19">
        <v>0</v>
      </c>
      <c r="BF3410" s="229">
        <f>AB3410+BC3410</f>
        <v>0</v>
      </c>
      <c r="BG3410" s="210">
        <f t="shared" si="1424"/>
        <v>0</v>
      </c>
      <c r="BH3410" s="210">
        <f t="shared" si="1425"/>
        <v>1</v>
      </c>
      <c r="BI3410" s="213">
        <f t="shared" si="1421"/>
        <v>0</v>
      </c>
      <c r="BJ3410" s="141"/>
      <c r="BK3410" s="201"/>
      <c r="BL3410" s="4"/>
      <c r="BM3410" s="4"/>
    </row>
    <row r="3411" spans="1:65" s="38" customFormat="1" ht="21.95" customHeight="1">
      <c r="A3411" s="114">
        <v>16</v>
      </c>
      <c r="B3411" s="24" t="s">
        <v>791</v>
      </c>
      <c r="C3411" s="27" t="s">
        <v>2318</v>
      </c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229">
        <f>D3411+F3411+H3411+J3411+L3411+N3411+P3411+R3411+T3411+V3411+X3411+Z3411</f>
        <v>0</v>
      </c>
      <c r="AC3411" s="228">
        <f t="shared" si="1422"/>
        <v>0</v>
      </c>
      <c r="AD3411" s="19">
        <v>4</v>
      </c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29">
        <f>AE3411+AG3411+AI3411+AK3411+AM3411+AO3411+AQ3411+AS3411+AU3411+AW3411+AY3411+BA3411</f>
        <v>0</v>
      </c>
      <c r="BD3411" s="48">
        <f t="shared" si="1423"/>
        <v>0</v>
      </c>
      <c r="BE3411" s="19">
        <v>0</v>
      </c>
      <c r="BF3411" s="229">
        <f>AB3411+BC3411</f>
        <v>0</v>
      </c>
      <c r="BG3411" s="210">
        <f t="shared" si="1424"/>
        <v>0</v>
      </c>
      <c r="BH3411" s="210">
        <f t="shared" si="1425"/>
        <v>4</v>
      </c>
      <c r="BI3411" s="213">
        <f t="shared" si="1421"/>
        <v>0</v>
      </c>
      <c r="BJ3411" s="141"/>
      <c r="BK3411" s="201"/>
      <c r="BL3411" s="4"/>
      <c r="BM3411" s="4"/>
    </row>
    <row r="3412" spans="1:65" s="38" customFormat="1" ht="18" customHeight="1">
      <c r="A3412" s="114">
        <v>17</v>
      </c>
      <c r="B3412" s="24" t="s">
        <v>1143</v>
      </c>
      <c r="C3412" s="25" t="s">
        <v>1144</v>
      </c>
      <c r="D3412" s="121"/>
      <c r="E3412" s="121"/>
      <c r="F3412" s="121"/>
      <c r="G3412" s="121"/>
      <c r="H3412" s="121"/>
      <c r="I3412" s="121">
        <v>1</v>
      </c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>
        <v>1</v>
      </c>
      <c r="V3412" s="121"/>
      <c r="W3412" s="121"/>
      <c r="X3412" s="121"/>
      <c r="Y3412" s="121"/>
      <c r="Z3412" s="121"/>
      <c r="AA3412" s="121"/>
      <c r="AB3412" s="229">
        <f>D3412+F3412+H3412+J3412+L3412+N3412+P3412+R3412+T3412+V3412+X3412+Z3412</f>
        <v>0</v>
      </c>
      <c r="AC3412" s="228">
        <f t="shared" si="1422"/>
        <v>2</v>
      </c>
      <c r="AD3412" s="19">
        <v>6</v>
      </c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29">
        <f>AE3412+AG3412+AI3412+AK3412+AM3412+AO3412+AQ3412+AS3412+AU3412+AW3412+AY3412+BA3412</f>
        <v>0</v>
      </c>
      <c r="BD3412" s="48">
        <f t="shared" si="1423"/>
        <v>0</v>
      </c>
      <c r="BE3412" s="19">
        <v>0</v>
      </c>
      <c r="BF3412" s="229">
        <f>AB3412+BC3412</f>
        <v>0</v>
      </c>
      <c r="BG3412" s="210">
        <f t="shared" si="1424"/>
        <v>2</v>
      </c>
      <c r="BH3412" s="210">
        <f t="shared" si="1425"/>
        <v>6</v>
      </c>
      <c r="BI3412" s="213">
        <f t="shared" si="1421"/>
        <v>33.333333333333329</v>
      </c>
      <c r="BJ3412" s="141"/>
      <c r="BK3412" s="201"/>
      <c r="BL3412" s="4"/>
      <c r="BM3412" s="4"/>
    </row>
    <row r="3413" spans="1:65" s="38" customFormat="1" ht="18" customHeight="1">
      <c r="A3413" s="114">
        <v>18</v>
      </c>
      <c r="B3413" s="24" t="s">
        <v>998</v>
      </c>
      <c r="C3413" s="25" t="s">
        <v>999</v>
      </c>
      <c r="D3413" s="121"/>
      <c r="E3413" s="121"/>
      <c r="F3413" s="121"/>
      <c r="G3413" s="121"/>
      <c r="H3413" s="121"/>
      <c r="I3413" s="121">
        <v>265</v>
      </c>
      <c r="J3413" s="121"/>
      <c r="K3413" s="121"/>
      <c r="L3413" s="121"/>
      <c r="M3413" s="121"/>
      <c r="N3413" s="121"/>
      <c r="O3413" s="121">
        <v>251</v>
      </c>
      <c r="P3413" s="121"/>
      <c r="Q3413" s="121"/>
      <c r="R3413" s="121"/>
      <c r="S3413" s="121"/>
      <c r="T3413" s="121"/>
      <c r="U3413" s="121">
        <v>177</v>
      </c>
      <c r="V3413" s="121"/>
      <c r="W3413" s="121"/>
      <c r="X3413" s="121"/>
      <c r="Y3413" s="121"/>
      <c r="Z3413" s="121"/>
      <c r="AA3413" s="121">
        <v>220</v>
      </c>
      <c r="AB3413" s="229">
        <f>D3413+F3413+H3413+J3413+L3413+N3413+P3413+R3413+T3413+V3413+X3413+Z3413</f>
        <v>0</v>
      </c>
      <c r="AC3413" s="228">
        <f t="shared" si="1422"/>
        <v>913</v>
      </c>
      <c r="AD3413" s="19">
        <v>816</v>
      </c>
      <c r="AE3413" s="28"/>
      <c r="AF3413" s="28"/>
      <c r="AG3413" s="28"/>
      <c r="AH3413" s="28"/>
      <c r="AI3413" s="28"/>
      <c r="AJ3413" s="28">
        <v>1</v>
      </c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29">
        <f>AE3413+AG3413+AI3413+AK3413+AM3413+AO3413+AQ3413+AS3413+AU3413+AW3413+AY3413+BA3413</f>
        <v>0</v>
      </c>
      <c r="BD3413" s="48">
        <f t="shared" si="1423"/>
        <v>1</v>
      </c>
      <c r="BE3413" s="19">
        <v>0</v>
      </c>
      <c r="BF3413" s="229">
        <f>AB3413+BC3413</f>
        <v>0</v>
      </c>
      <c r="BG3413" s="210">
        <f t="shared" si="1424"/>
        <v>914</v>
      </c>
      <c r="BH3413" s="210">
        <f t="shared" si="1425"/>
        <v>816</v>
      </c>
      <c r="BI3413" s="213">
        <f t="shared" si="1421"/>
        <v>112.00980392156863</v>
      </c>
      <c r="BJ3413" s="141"/>
      <c r="BK3413" s="201"/>
      <c r="BL3413" s="4"/>
      <c r="BM3413" s="4"/>
    </row>
    <row r="3414" spans="1:65" s="38" customFormat="1" ht="21.95" customHeight="1">
      <c r="A3414" s="374" t="s">
        <v>2780</v>
      </c>
      <c r="B3414" s="374"/>
      <c r="C3414" s="374"/>
      <c r="D3414" s="220">
        <f t="shared" ref="D3414:BE3414" si="1429">SUM(D3415:D3429)</f>
        <v>0</v>
      </c>
      <c r="E3414" s="220">
        <f t="shared" si="1429"/>
        <v>0</v>
      </c>
      <c r="F3414" s="220">
        <f t="shared" si="1429"/>
        <v>0</v>
      </c>
      <c r="G3414" s="220">
        <f t="shared" si="1429"/>
        <v>0</v>
      </c>
      <c r="H3414" s="220">
        <f t="shared" si="1429"/>
        <v>0</v>
      </c>
      <c r="I3414" s="220">
        <f t="shared" si="1429"/>
        <v>5004</v>
      </c>
      <c r="J3414" s="220">
        <f t="shared" si="1429"/>
        <v>0</v>
      </c>
      <c r="K3414" s="220">
        <f t="shared" si="1429"/>
        <v>0</v>
      </c>
      <c r="L3414" s="220">
        <f t="shared" si="1429"/>
        <v>0</v>
      </c>
      <c r="M3414" s="220">
        <f t="shared" si="1429"/>
        <v>0</v>
      </c>
      <c r="N3414" s="220">
        <f t="shared" si="1429"/>
        <v>0</v>
      </c>
      <c r="O3414" s="220">
        <f t="shared" si="1429"/>
        <v>4378</v>
      </c>
      <c r="P3414" s="220">
        <f t="shared" si="1429"/>
        <v>0</v>
      </c>
      <c r="Q3414" s="220">
        <f t="shared" si="1429"/>
        <v>0</v>
      </c>
      <c r="R3414" s="220">
        <f t="shared" si="1429"/>
        <v>0</v>
      </c>
      <c r="S3414" s="220">
        <f t="shared" si="1429"/>
        <v>0</v>
      </c>
      <c r="T3414" s="220">
        <f t="shared" si="1429"/>
        <v>0</v>
      </c>
      <c r="U3414" s="220">
        <f t="shared" si="1429"/>
        <v>8300</v>
      </c>
      <c r="V3414" s="220">
        <f t="shared" si="1429"/>
        <v>0</v>
      </c>
      <c r="W3414" s="220">
        <f t="shared" si="1429"/>
        <v>0</v>
      </c>
      <c r="X3414" s="220">
        <f t="shared" si="1429"/>
        <v>0</v>
      </c>
      <c r="Y3414" s="220">
        <f t="shared" si="1429"/>
        <v>0</v>
      </c>
      <c r="Z3414" s="220">
        <f t="shared" si="1429"/>
        <v>0</v>
      </c>
      <c r="AA3414" s="220">
        <f t="shared" si="1429"/>
        <v>14352</v>
      </c>
      <c r="AB3414" s="220">
        <f t="shared" si="1410"/>
        <v>0</v>
      </c>
      <c r="AC3414" s="220">
        <f t="shared" si="1411"/>
        <v>32034</v>
      </c>
      <c r="AD3414" s="220">
        <f t="shared" si="1429"/>
        <v>18864</v>
      </c>
      <c r="AE3414" s="220">
        <f t="shared" si="1429"/>
        <v>0</v>
      </c>
      <c r="AF3414" s="220">
        <f t="shared" si="1429"/>
        <v>0</v>
      </c>
      <c r="AG3414" s="220">
        <f t="shared" si="1429"/>
        <v>0</v>
      </c>
      <c r="AH3414" s="220">
        <f t="shared" si="1429"/>
        <v>0</v>
      </c>
      <c r="AI3414" s="220">
        <f t="shared" si="1429"/>
        <v>0</v>
      </c>
      <c r="AJ3414" s="220">
        <f t="shared" si="1429"/>
        <v>37</v>
      </c>
      <c r="AK3414" s="220">
        <f t="shared" si="1429"/>
        <v>0</v>
      </c>
      <c r="AL3414" s="220">
        <f t="shared" si="1429"/>
        <v>0</v>
      </c>
      <c r="AM3414" s="220">
        <f t="shared" si="1429"/>
        <v>0</v>
      </c>
      <c r="AN3414" s="220">
        <f t="shared" si="1429"/>
        <v>0</v>
      </c>
      <c r="AO3414" s="220">
        <f t="shared" si="1429"/>
        <v>0</v>
      </c>
      <c r="AP3414" s="220">
        <f t="shared" si="1429"/>
        <v>45</v>
      </c>
      <c r="AQ3414" s="220">
        <f t="shared" si="1429"/>
        <v>0</v>
      </c>
      <c r="AR3414" s="220">
        <f t="shared" si="1429"/>
        <v>0</v>
      </c>
      <c r="AS3414" s="220">
        <f t="shared" si="1429"/>
        <v>0</v>
      </c>
      <c r="AT3414" s="220">
        <f t="shared" si="1429"/>
        <v>0</v>
      </c>
      <c r="AU3414" s="220">
        <f t="shared" si="1429"/>
        <v>0</v>
      </c>
      <c r="AV3414" s="220">
        <f t="shared" si="1429"/>
        <v>49</v>
      </c>
      <c r="AW3414" s="220">
        <f t="shared" si="1429"/>
        <v>0</v>
      </c>
      <c r="AX3414" s="220">
        <f t="shared" si="1429"/>
        <v>0</v>
      </c>
      <c r="AY3414" s="220">
        <f t="shared" si="1429"/>
        <v>0</v>
      </c>
      <c r="AZ3414" s="220">
        <f t="shared" si="1429"/>
        <v>0</v>
      </c>
      <c r="BA3414" s="220">
        <f t="shared" si="1429"/>
        <v>0</v>
      </c>
      <c r="BB3414" s="220">
        <f t="shared" si="1429"/>
        <v>44</v>
      </c>
      <c r="BC3414" s="220">
        <f t="shared" si="1412"/>
        <v>0</v>
      </c>
      <c r="BD3414" s="210">
        <f t="shared" si="1413"/>
        <v>175</v>
      </c>
      <c r="BE3414" s="210">
        <f t="shared" si="1429"/>
        <v>75</v>
      </c>
      <c r="BF3414" s="220">
        <f t="shared" si="1414"/>
        <v>0</v>
      </c>
      <c r="BG3414" s="210">
        <f t="shared" si="1415"/>
        <v>32209</v>
      </c>
      <c r="BH3414" s="210">
        <f t="shared" si="1416"/>
        <v>18939</v>
      </c>
      <c r="BI3414" s="213">
        <f t="shared" si="1417"/>
        <v>170.06705739479381</v>
      </c>
      <c r="BJ3414" s="142">
        <v>17664</v>
      </c>
      <c r="BK3414" s="203">
        <f>BH3414-BJ3414</f>
        <v>1275</v>
      </c>
      <c r="BL3414" s="4"/>
      <c r="BM3414" s="4"/>
    </row>
    <row r="3415" spans="1:65" s="38" customFormat="1" ht="18" customHeight="1">
      <c r="A3415" s="115" t="s">
        <v>1191</v>
      </c>
      <c r="B3415" s="24" t="s">
        <v>1482</v>
      </c>
      <c r="C3415" s="25" t="s">
        <v>1483</v>
      </c>
      <c r="D3415" s="121"/>
      <c r="E3415" s="121"/>
      <c r="F3415" s="121"/>
      <c r="G3415" s="121"/>
      <c r="H3415" s="121"/>
      <c r="I3415" s="121">
        <f>3008+3+43</f>
        <v>3054</v>
      </c>
      <c r="J3415" s="121"/>
      <c r="K3415" s="121"/>
      <c r="L3415" s="121"/>
      <c r="M3415" s="121"/>
      <c r="N3415" s="121"/>
      <c r="O3415" s="121">
        <f>2732+5+45</f>
        <v>2782</v>
      </c>
      <c r="P3415" s="121"/>
      <c r="Q3415" s="121"/>
      <c r="R3415" s="121"/>
      <c r="S3415" s="121"/>
      <c r="T3415" s="121"/>
      <c r="U3415" s="121">
        <f>2918+8+33+2</f>
        <v>2961</v>
      </c>
      <c r="V3415" s="121"/>
      <c r="W3415" s="121"/>
      <c r="X3415" s="121"/>
      <c r="Y3415" s="121"/>
      <c r="Z3415" s="121"/>
      <c r="AA3415" s="121">
        <f>3803+6</f>
        <v>3809</v>
      </c>
      <c r="AB3415" s="229">
        <f t="shared" ref="AB3415:AC3421" si="1430">D3415+F3415+H3415+J3415+L3415+N3415+P3415+R3415+T3415+V3415+X3415+Z3415</f>
        <v>0</v>
      </c>
      <c r="AC3415" s="228">
        <f t="shared" si="1430"/>
        <v>12606</v>
      </c>
      <c r="AD3415" s="19">
        <v>11654</v>
      </c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  <c r="AZ3415" s="28"/>
      <c r="BA3415" s="28"/>
      <c r="BB3415" s="28"/>
      <c r="BC3415" s="229">
        <f t="shared" ref="BC3415:BD3421" si="1431">AE3415+AG3415+AI3415+AK3415+AM3415+AO3415+AQ3415+AS3415+AU3415+AW3415+AY3415+BA3415</f>
        <v>0</v>
      </c>
      <c r="BD3415" s="48">
        <f t="shared" si="1431"/>
        <v>0</v>
      </c>
      <c r="BE3415" s="19">
        <v>0</v>
      </c>
      <c r="BF3415" s="229">
        <f t="shared" ref="BF3415:BH3422" si="1432">AB3415+BC3415</f>
        <v>0</v>
      </c>
      <c r="BG3415" s="210">
        <f t="shared" si="1432"/>
        <v>12606</v>
      </c>
      <c r="BH3415" s="210">
        <f t="shared" si="1432"/>
        <v>11654</v>
      </c>
      <c r="BI3415" s="213">
        <f t="shared" ref="BI3415:BI3422" si="1433">BG3415/BH3415*100</f>
        <v>108.16886905783423</v>
      </c>
      <c r="BJ3415" s="270" t="s">
        <v>2857</v>
      </c>
      <c r="BK3415" s="201"/>
      <c r="BL3415" s="4"/>
      <c r="BM3415" s="4"/>
    </row>
    <row r="3416" spans="1:65" s="38" customFormat="1" ht="18" customHeight="1">
      <c r="A3416" s="115" t="s">
        <v>1192</v>
      </c>
      <c r="B3416" s="24" t="s">
        <v>585</v>
      </c>
      <c r="C3416" s="25" t="s">
        <v>586</v>
      </c>
      <c r="D3416" s="121"/>
      <c r="E3416" s="121"/>
      <c r="F3416" s="121"/>
      <c r="G3416" s="121"/>
      <c r="H3416" s="121"/>
      <c r="I3416" s="121">
        <v>80</v>
      </c>
      <c r="J3416" s="121"/>
      <c r="K3416" s="121"/>
      <c r="L3416" s="121"/>
      <c r="M3416" s="121"/>
      <c r="N3416" s="121"/>
      <c r="O3416" s="121">
        <v>96</v>
      </c>
      <c r="P3416" s="121"/>
      <c r="Q3416" s="121"/>
      <c r="R3416" s="121"/>
      <c r="S3416" s="121"/>
      <c r="T3416" s="121"/>
      <c r="U3416" s="121">
        <v>159</v>
      </c>
      <c r="V3416" s="121"/>
      <c r="W3416" s="121"/>
      <c r="X3416" s="121"/>
      <c r="Y3416" s="121"/>
      <c r="Z3416" s="121"/>
      <c r="AA3416" s="121">
        <v>113</v>
      </c>
      <c r="AB3416" s="229">
        <f t="shared" si="1430"/>
        <v>0</v>
      </c>
      <c r="AC3416" s="228">
        <f t="shared" si="1430"/>
        <v>448</v>
      </c>
      <c r="AD3416" s="19">
        <v>415</v>
      </c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29">
        <f t="shared" si="1431"/>
        <v>0</v>
      </c>
      <c r="BD3416" s="48">
        <f t="shared" si="1431"/>
        <v>0</v>
      </c>
      <c r="BE3416" s="19">
        <v>0</v>
      </c>
      <c r="BF3416" s="229">
        <f t="shared" si="1432"/>
        <v>0</v>
      </c>
      <c r="BG3416" s="210">
        <f t="shared" si="1432"/>
        <v>448</v>
      </c>
      <c r="BH3416" s="210">
        <f t="shared" si="1432"/>
        <v>415</v>
      </c>
      <c r="BI3416" s="213">
        <f t="shared" si="1433"/>
        <v>107.95180722891567</v>
      </c>
      <c r="BJ3416" s="141"/>
      <c r="BK3416" s="201"/>
      <c r="BL3416" s="4"/>
      <c r="BM3416" s="4"/>
    </row>
    <row r="3417" spans="1:65" s="38" customFormat="1" ht="18" customHeight="1">
      <c r="A3417" s="115" t="s">
        <v>1193</v>
      </c>
      <c r="B3417" s="24" t="s">
        <v>1197</v>
      </c>
      <c r="C3417" s="29" t="s">
        <v>1198</v>
      </c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>
        <v>49</v>
      </c>
      <c r="V3417" s="121"/>
      <c r="W3417" s="121"/>
      <c r="X3417" s="121"/>
      <c r="Y3417" s="121"/>
      <c r="Z3417" s="121"/>
      <c r="AA3417" s="121">
        <v>50</v>
      </c>
      <c r="AB3417" s="229">
        <f t="shared" si="1430"/>
        <v>0</v>
      </c>
      <c r="AC3417" s="228">
        <f t="shared" si="1430"/>
        <v>99</v>
      </c>
      <c r="AD3417" s="19">
        <v>1</v>
      </c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29">
        <f t="shared" si="1431"/>
        <v>0</v>
      </c>
      <c r="BD3417" s="48">
        <f t="shared" si="1431"/>
        <v>0</v>
      </c>
      <c r="BE3417" s="19">
        <v>0</v>
      </c>
      <c r="BF3417" s="229">
        <f t="shared" si="1432"/>
        <v>0</v>
      </c>
      <c r="BG3417" s="210">
        <f t="shared" si="1432"/>
        <v>99</v>
      </c>
      <c r="BH3417" s="210">
        <f t="shared" si="1432"/>
        <v>1</v>
      </c>
      <c r="BI3417" s="213">
        <f t="shared" si="1433"/>
        <v>9900</v>
      </c>
      <c r="BJ3417" s="141"/>
      <c r="BK3417" s="201"/>
      <c r="BL3417" s="4"/>
      <c r="BM3417" s="4"/>
    </row>
    <row r="3418" spans="1:65" s="38" customFormat="1" ht="18" customHeight="1">
      <c r="A3418" s="115" t="s">
        <v>1194</v>
      </c>
      <c r="B3418" s="24" t="s">
        <v>1200</v>
      </c>
      <c r="C3418" s="29" t="s">
        <v>1201</v>
      </c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>
        <v>26</v>
      </c>
      <c r="V3418" s="121"/>
      <c r="W3418" s="121"/>
      <c r="X3418" s="121"/>
      <c r="Y3418" s="121"/>
      <c r="Z3418" s="121"/>
      <c r="AA3418" s="121">
        <v>16</v>
      </c>
      <c r="AB3418" s="229">
        <f t="shared" si="1430"/>
        <v>0</v>
      </c>
      <c r="AC3418" s="228">
        <f t="shared" si="1430"/>
        <v>42</v>
      </c>
      <c r="AD3418" s="19">
        <v>3</v>
      </c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  <c r="AZ3418" s="28"/>
      <c r="BA3418" s="28"/>
      <c r="BB3418" s="28"/>
      <c r="BC3418" s="229">
        <f t="shared" si="1431"/>
        <v>0</v>
      </c>
      <c r="BD3418" s="48">
        <f t="shared" si="1431"/>
        <v>0</v>
      </c>
      <c r="BE3418" s="19">
        <v>0</v>
      </c>
      <c r="BF3418" s="229">
        <f t="shared" si="1432"/>
        <v>0</v>
      </c>
      <c r="BG3418" s="210">
        <f t="shared" si="1432"/>
        <v>42</v>
      </c>
      <c r="BH3418" s="210">
        <f t="shared" si="1432"/>
        <v>3</v>
      </c>
      <c r="BI3418" s="213">
        <f t="shared" si="1433"/>
        <v>1400</v>
      </c>
      <c r="BJ3418" s="141"/>
      <c r="BK3418" s="201"/>
      <c r="BL3418" s="4"/>
      <c r="BM3418" s="4"/>
    </row>
    <row r="3419" spans="1:65" s="38" customFormat="1" ht="18" customHeight="1">
      <c r="A3419" s="115" t="s">
        <v>1195</v>
      </c>
      <c r="B3419" s="24" t="s">
        <v>854</v>
      </c>
      <c r="C3419" s="29" t="s">
        <v>1208</v>
      </c>
      <c r="D3419" s="121"/>
      <c r="E3419" s="121"/>
      <c r="F3419" s="121"/>
      <c r="G3419" s="121"/>
      <c r="H3419" s="121"/>
      <c r="I3419" s="121">
        <v>1194</v>
      </c>
      <c r="J3419" s="121"/>
      <c r="K3419" s="121"/>
      <c r="L3419" s="121"/>
      <c r="M3419" s="121"/>
      <c r="N3419" s="121"/>
      <c r="O3419" s="121">
        <v>1056</v>
      </c>
      <c r="P3419" s="121"/>
      <c r="Q3419" s="121"/>
      <c r="R3419" s="121"/>
      <c r="S3419" s="121"/>
      <c r="T3419" s="121"/>
      <c r="U3419" s="121">
        <v>1037</v>
      </c>
      <c r="V3419" s="121"/>
      <c r="W3419" s="121"/>
      <c r="X3419" s="121"/>
      <c r="Y3419" s="121"/>
      <c r="Z3419" s="121"/>
      <c r="AA3419" s="121">
        <f>1554+1</f>
        <v>1555</v>
      </c>
      <c r="AB3419" s="229">
        <f t="shared" si="1430"/>
        <v>0</v>
      </c>
      <c r="AC3419" s="228">
        <f t="shared" si="1430"/>
        <v>4842</v>
      </c>
      <c r="AD3419" s="19">
        <v>3447</v>
      </c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  <c r="AZ3419" s="28"/>
      <c r="BA3419" s="28"/>
      <c r="BB3419" s="28">
        <f>1+1</f>
        <v>2</v>
      </c>
      <c r="BC3419" s="229">
        <f t="shared" si="1431"/>
        <v>0</v>
      </c>
      <c r="BD3419" s="48">
        <f t="shared" si="1431"/>
        <v>2</v>
      </c>
      <c r="BE3419" s="19">
        <v>0</v>
      </c>
      <c r="BF3419" s="229">
        <f t="shared" si="1432"/>
        <v>0</v>
      </c>
      <c r="BG3419" s="210">
        <f t="shared" si="1432"/>
        <v>4844</v>
      </c>
      <c r="BH3419" s="210">
        <f t="shared" si="1432"/>
        <v>3447</v>
      </c>
      <c r="BI3419" s="213">
        <f t="shared" si="1433"/>
        <v>140.52799535828257</v>
      </c>
      <c r="BJ3419" s="141"/>
      <c r="BK3419" s="201"/>
      <c r="BL3419" s="4"/>
      <c r="BM3419" s="4"/>
    </row>
    <row r="3420" spans="1:65" s="38" customFormat="1" ht="18" customHeight="1">
      <c r="A3420" s="115" t="s">
        <v>1196</v>
      </c>
      <c r="B3420" s="24" t="s">
        <v>1211</v>
      </c>
      <c r="C3420" s="29" t="s">
        <v>2594</v>
      </c>
      <c r="D3420" s="121"/>
      <c r="E3420" s="121"/>
      <c r="F3420" s="121"/>
      <c r="G3420" s="121"/>
      <c r="H3420" s="121"/>
      <c r="I3420" s="121">
        <v>631</v>
      </c>
      <c r="J3420" s="121"/>
      <c r="K3420" s="121"/>
      <c r="L3420" s="121"/>
      <c r="M3420" s="121"/>
      <c r="N3420" s="121"/>
      <c r="O3420" s="121">
        <v>426</v>
      </c>
      <c r="P3420" s="121"/>
      <c r="Q3420" s="121"/>
      <c r="R3420" s="121"/>
      <c r="S3420" s="121"/>
      <c r="T3420" s="121"/>
      <c r="U3420" s="121">
        <v>408</v>
      </c>
      <c r="V3420" s="121"/>
      <c r="W3420" s="121"/>
      <c r="X3420" s="121"/>
      <c r="Y3420" s="121"/>
      <c r="Z3420" s="121"/>
      <c r="AA3420" s="121">
        <v>829</v>
      </c>
      <c r="AB3420" s="229">
        <f t="shared" si="1430"/>
        <v>0</v>
      </c>
      <c r="AC3420" s="228">
        <f t="shared" si="1430"/>
        <v>2294</v>
      </c>
      <c r="AD3420" s="19">
        <v>1879</v>
      </c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  <c r="AZ3420" s="28"/>
      <c r="BA3420" s="28"/>
      <c r="BB3420" s="28"/>
      <c r="BC3420" s="229">
        <f t="shared" si="1431"/>
        <v>0</v>
      </c>
      <c r="BD3420" s="48">
        <f t="shared" si="1431"/>
        <v>0</v>
      </c>
      <c r="BE3420" s="19">
        <v>0</v>
      </c>
      <c r="BF3420" s="229">
        <f t="shared" si="1432"/>
        <v>0</v>
      </c>
      <c r="BG3420" s="210">
        <f t="shared" si="1432"/>
        <v>2294</v>
      </c>
      <c r="BH3420" s="210">
        <f t="shared" si="1432"/>
        <v>1879</v>
      </c>
      <c r="BI3420" s="213">
        <f t="shared" si="1433"/>
        <v>122.08621607237893</v>
      </c>
      <c r="BJ3420" s="141"/>
      <c r="BK3420" s="201"/>
      <c r="BL3420" s="4"/>
      <c r="BM3420" s="4"/>
    </row>
    <row r="3421" spans="1:65" s="38" customFormat="1" ht="18" customHeight="1">
      <c r="A3421" s="115" t="s">
        <v>1199</v>
      </c>
      <c r="B3421" s="24" t="s">
        <v>795</v>
      </c>
      <c r="C3421" s="25" t="s">
        <v>982</v>
      </c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>
        <v>4</v>
      </c>
      <c r="V3421" s="121"/>
      <c r="W3421" s="121"/>
      <c r="X3421" s="121"/>
      <c r="Y3421" s="121"/>
      <c r="Z3421" s="121"/>
      <c r="AA3421" s="121">
        <v>2</v>
      </c>
      <c r="AB3421" s="229">
        <f t="shared" si="1430"/>
        <v>0</v>
      </c>
      <c r="AC3421" s="228">
        <f t="shared" si="1430"/>
        <v>6</v>
      </c>
      <c r="AD3421" s="19">
        <v>1</v>
      </c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  <c r="AZ3421" s="28"/>
      <c r="BA3421" s="28"/>
      <c r="BB3421" s="28"/>
      <c r="BC3421" s="229">
        <f t="shared" si="1431"/>
        <v>0</v>
      </c>
      <c r="BD3421" s="48">
        <f t="shared" si="1431"/>
        <v>0</v>
      </c>
      <c r="BE3421" s="19">
        <v>0</v>
      </c>
      <c r="BF3421" s="229">
        <f t="shared" si="1432"/>
        <v>0</v>
      </c>
      <c r="BG3421" s="210">
        <f t="shared" si="1432"/>
        <v>6</v>
      </c>
      <c r="BH3421" s="210">
        <f t="shared" si="1432"/>
        <v>1</v>
      </c>
      <c r="BI3421" s="213">
        <f t="shared" si="1433"/>
        <v>600</v>
      </c>
      <c r="BJ3421" s="141"/>
      <c r="BK3421" s="201"/>
      <c r="BL3421" s="4"/>
      <c r="BM3421" s="4"/>
    </row>
    <row r="3422" spans="1:65" s="38" customFormat="1" ht="18" customHeight="1">
      <c r="A3422" s="115" t="s">
        <v>1202</v>
      </c>
      <c r="B3422" s="24" t="s">
        <v>896</v>
      </c>
      <c r="C3422" s="25" t="s">
        <v>992</v>
      </c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>
        <v>4</v>
      </c>
      <c r="V3422" s="121"/>
      <c r="W3422" s="121"/>
      <c r="X3422" s="121"/>
      <c r="Y3422" s="121"/>
      <c r="Z3422" s="121"/>
      <c r="AA3422" s="121">
        <v>9</v>
      </c>
      <c r="AB3422" s="229"/>
      <c r="AC3422" s="228">
        <f t="shared" ref="AC3422:AC3429" si="1434">E3422+G3422+I3422+K3422+M3422+O3422+Q3422+S3422+U3422+W3422+Y3422+AA3422</f>
        <v>13</v>
      </c>
      <c r="AD3422" s="19">
        <v>0</v>
      </c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29"/>
      <c r="BD3422" s="48">
        <f t="shared" ref="BD3422:BD3429" si="1435">AF3422+AH3422+AJ3422+AL3422+AN3422+AP3422+AR3422+AT3422+AV3422+AX3422+AZ3422+BB3422</f>
        <v>0</v>
      </c>
      <c r="BE3422" s="19">
        <v>0</v>
      </c>
      <c r="BF3422" s="229"/>
      <c r="BG3422" s="210">
        <f t="shared" si="1432"/>
        <v>13</v>
      </c>
      <c r="BH3422" s="210">
        <f t="shared" ref="BH3422:BH3429" si="1436">AD3422+BE3422</f>
        <v>0</v>
      </c>
      <c r="BI3422" s="213" t="e">
        <f t="shared" si="1433"/>
        <v>#DIV/0!</v>
      </c>
      <c r="BJ3422" s="141"/>
      <c r="BK3422" s="201"/>
      <c r="BL3422" s="4"/>
      <c r="BM3422" s="4"/>
    </row>
    <row r="3423" spans="1:65" s="38" customFormat="1" ht="18" customHeight="1">
      <c r="A3423" s="115" t="s">
        <v>1203</v>
      </c>
      <c r="B3423" s="24" t="s">
        <v>653</v>
      </c>
      <c r="C3423" s="25" t="s">
        <v>654</v>
      </c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>
        <v>1</v>
      </c>
      <c r="P3423" s="121"/>
      <c r="Q3423" s="121"/>
      <c r="R3423" s="121"/>
      <c r="S3423" s="121"/>
      <c r="T3423" s="121"/>
      <c r="U3423" s="121">
        <v>1</v>
      </c>
      <c r="V3423" s="121"/>
      <c r="W3423" s="121"/>
      <c r="X3423" s="121"/>
      <c r="Y3423" s="121"/>
      <c r="Z3423" s="121"/>
      <c r="AA3423" s="121"/>
      <c r="AB3423" s="229">
        <f>D3423+F3423+H3423+J3423+L3423+N3423+P3423+R3423+T3423+V3423+X3423+Z3423</f>
        <v>0</v>
      </c>
      <c r="AC3423" s="228">
        <f t="shared" si="1434"/>
        <v>2</v>
      </c>
      <c r="AD3423" s="19">
        <v>2</v>
      </c>
      <c r="AE3423" s="28"/>
      <c r="AF3423" s="28"/>
      <c r="AG3423" s="28"/>
      <c r="AH3423" s="28"/>
      <c r="AI3423" s="28"/>
      <c r="AJ3423" s="28">
        <v>37</v>
      </c>
      <c r="AK3423" s="28"/>
      <c r="AL3423" s="28"/>
      <c r="AM3423" s="28"/>
      <c r="AN3423" s="28"/>
      <c r="AO3423" s="28"/>
      <c r="AP3423" s="28">
        <v>45</v>
      </c>
      <c r="AQ3423" s="28"/>
      <c r="AR3423" s="28"/>
      <c r="AS3423" s="28"/>
      <c r="AT3423" s="28"/>
      <c r="AU3423" s="28"/>
      <c r="AV3423" s="28">
        <v>45</v>
      </c>
      <c r="AW3423" s="28"/>
      <c r="AX3423" s="28"/>
      <c r="AY3423" s="28"/>
      <c r="AZ3423" s="28"/>
      <c r="BA3423" s="28"/>
      <c r="BB3423" s="28">
        <v>37</v>
      </c>
      <c r="BC3423" s="229">
        <f>AE3423+AG3423+AI3423+AK3423+AM3423+AO3423+AQ3423+AS3423+AU3423+AW3423+AY3423+BA3423</f>
        <v>0</v>
      </c>
      <c r="BD3423" s="48">
        <f t="shared" si="1435"/>
        <v>164</v>
      </c>
      <c r="BE3423" s="19">
        <v>75</v>
      </c>
      <c r="BF3423" s="229">
        <f t="shared" ref="BF3423:BG3426" si="1437">AB3423+BC3423</f>
        <v>0</v>
      </c>
      <c r="BG3423" s="210">
        <f t="shared" si="1437"/>
        <v>166</v>
      </c>
      <c r="BH3423" s="210">
        <f t="shared" si="1436"/>
        <v>77</v>
      </c>
      <c r="BI3423" s="213">
        <f t="shared" ref="BI3423:BI3429" si="1438">BG3423/BH3423*100</f>
        <v>215.58441558441558</v>
      </c>
      <c r="BJ3423" s="141"/>
      <c r="BK3423" s="201"/>
      <c r="BL3423" s="4"/>
      <c r="BM3423" s="4"/>
    </row>
    <row r="3424" spans="1:65" s="38" customFormat="1" ht="18" customHeight="1">
      <c r="A3424" s="115" t="s">
        <v>1204</v>
      </c>
      <c r="B3424" s="24" t="s">
        <v>1164</v>
      </c>
      <c r="C3424" s="25" t="s">
        <v>2434</v>
      </c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>
        <v>1503</v>
      </c>
      <c r="V3424" s="121"/>
      <c r="W3424" s="121"/>
      <c r="X3424" s="121"/>
      <c r="Y3424" s="121"/>
      <c r="Z3424" s="121"/>
      <c r="AA3424" s="121">
        <v>3741</v>
      </c>
      <c r="AB3424" s="229">
        <f>D3424+F3424+H3424+J3424+L3424+N3424+P3424+R3424+T3424+V3424+X3424+Z3424</f>
        <v>0</v>
      </c>
      <c r="AC3424" s="228">
        <f t="shared" si="1434"/>
        <v>5244</v>
      </c>
      <c r="AD3424" s="19">
        <v>1</v>
      </c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>
        <v>2</v>
      </c>
      <c r="AW3424" s="28"/>
      <c r="AX3424" s="28"/>
      <c r="AY3424" s="28"/>
      <c r="AZ3424" s="28"/>
      <c r="BA3424" s="28"/>
      <c r="BB3424" s="28">
        <v>2</v>
      </c>
      <c r="BC3424" s="229">
        <f>AE3424+AG3424+AI3424+AK3424+AM3424+AO3424+AQ3424+AS3424+AU3424+AW3424+AY3424+BA3424</f>
        <v>0</v>
      </c>
      <c r="BD3424" s="48">
        <f t="shared" si="1435"/>
        <v>4</v>
      </c>
      <c r="BE3424" s="19">
        <v>0</v>
      </c>
      <c r="BF3424" s="229">
        <f t="shared" si="1437"/>
        <v>0</v>
      </c>
      <c r="BG3424" s="210">
        <f t="shared" si="1437"/>
        <v>5248</v>
      </c>
      <c r="BH3424" s="210">
        <f t="shared" si="1436"/>
        <v>1</v>
      </c>
      <c r="BI3424" s="313">
        <f t="shared" si="1438"/>
        <v>524800</v>
      </c>
      <c r="BJ3424" s="141"/>
      <c r="BK3424" s="201"/>
      <c r="BL3424" s="4"/>
      <c r="BM3424" s="4"/>
    </row>
    <row r="3425" spans="1:65" s="38" customFormat="1" ht="18" customHeight="1">
      <c r="A3425" s="115" t="s">
        <v>1205</v>
      </c>
      <c r="B3425" s="24" t="s">
        <v>1213</v>
      </c>
      <c r="C3425" s="25" t="s">
        <v>1214</v>
      </c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>
        <v>1494</v>
      </c>
      <c r="V3425" s="121"/>
      <c r="W3425" s="121"/>
      <c r="X3425" s="121"/>
      <c r="Y3425" s="121"/>
      <c r="Z3425" s="121"/>
      <c r="AA3425" s="121">
        <v>3701</v>
      </c>
      <c r="AB3425" s="229">
        <f>D3425+F3425+H3425+J3425+L3425+N3425+P3425+R3425+T3425+V3425+X3425+Z3425</f>
        <v>0</v>
      </c>
      <c r="AC3425" s="228">
        <f t="shared" si="1434"/>
        <v>5195</v>
      </c>
      <c r="AD3425" s="19">
        <v>1</v>
      </c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>
        <v>2</v>
      </c>
      <c r="AW3425" s="28"/>
      <c r="AX3425" s="28"/>
      <c r="AY3425" s="28"/>
      <c r="AZ3425" s="28"/>
      <c r="BA3425" s="28"/>
      <c r="BB3425" s="28">
        <v>2</v>
      </c>
      <c r="BC3425" s="229">
        <f>AE3425+AG3425+AI3425+AK3425+AM3425+AO3425+AQ3425+AS3425+AU3425+AW3425+AY3425+BA3425</f>
        <v>0</v>
      </c>
      <c r="BD3425" s="48">
        <f t="shared" si="1435"/>
        <v>4</v>
      </c>
      <c r="BE3425" s="19">
        <v>0</v>
      </c>
      <c r="BF3425" s="229">
        <f t="shared" si="1437"/>
        <v>0</v>
      </c>
      <c r="BG3425" s="210">
        <f t="shared" si="1437"/>
        <v>5199</v>
      </c>
      <c r="BH3425" s="210">
        <f t="shared" si="1436"/>
        <v>1</v>
      </c>
      <c r="BI3425" s="313">
        <f t="shared" si="1438"/>
        <v>519900</v>
      </c>
      <c r="BJ3425" s="141"/>
      <c r="BK3425" s="201"/>
      <c r="BL3425" s="4"/>
      <c r="BM3425" s="4"/>
    </row>
    <row r="3426" spans="1:65" s="38" customFormat="1" ht="21.75" customHeight="1">
      <c r="A3426" s="115" t="s">
        <v>1206</v>
      </c>
      <c r="B3426" s="24" t="s">
        <v>657</v>
      </c>
      <c r="C3426" s="27" t="s">
        <v>1401</v>
      </c>
      <c r="D3426" s="121"/>
      <c r="E3426" s="121"/>
      <c r="F3426" s="121"/>
      <c r="G3426" s="121"/>
      <c r="H3426" s="121"/>
      <c r="I3426" s="121">
        <v>45</v>
      </c>
      <c r="J3426" s="121"/>
      <c r="K3426" s="121"/>
      <c r="L3426" s="121"/>
      <c r="M3426" s="121"/>
      <c r="N3426" s="121"/>
      <c r="O3426" s="121">
        <v>17</v>
      </c>
      <c r="P3426" s="121"/>
      <c r="Q3426" s="121"/>
      <c r="R3426" s="121"/>
      <c r="S3426" s="121"/>
      <c r="T3426" s="121"/>
      <c r="U3426" s="121">
        <v>6</v>
      </c>
      <c r="V3426" s="121"/>
      <c r="W3426" s="121"/>
      <c r="X3426" s="121"/>
      <c r="Y3426" s="121"/>
      <c r="Z3426" s="121"/>
      <c r="AA3426" s="121">
        <v>10</v>
      </c>
      <c r="AB3426" s="229">
        <f>D3426+F3426+H3426+J3426+L3426+N3426+P3426+R3426+T3426+V3426+X3426+Z3426</f>
        <v>0</v>
      </c>
      <c r="AC3426" s="228">
        <f t="shared" si="1434"/>
        <v>78</v>
      </c>
      <c r="AD3426" s="19">
        <v>185</v>
      </c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  <c r="AZ3426" s="28"/>
      <c r="BA3426" s="28"/>
      <c r="BB3426" s="28"/>
      <c r="BC3426" s="229">
        <f>AE3426+AG3426+AI3426+AK3426+AM3426+AO3426+AQ3426+AS3426+AU3426+AW3426+AY3426+BA3426</f>
        <v>0</v>
      </c>
      <c r="BD3426" s="48">
        <f t="shared" si="1435"/>
        <v>0</v>
      </c>
      <c r="BE3426" s="19">
        <v>0</v>
      </c>
      <c r="BF3426" s="229">
        <f t="shared" si="1437"/>
        <v>0</v>
      </c>
      <c r="BG3426" s="210">
        <f t="shared" si="1437"/>
        <v>78</v>
      </c>
      <c r="BH3426" s="210">
        <f t="shared" si="1436"/>
        <v>185</v>
      </c>
      <c r="BI3426" s="213">
        <f t="shared" si="1438"/>
        <v>42.162162162162161</v>
      </c>
      <c r="BJ3426" s="141"/>
      <c r="BK3426" s="201"/>
      <c r="BL3426" s="4"/>
      <c r="BM3426" s="4"/>
    </row>
    <row r="3427" spans="1:65" s="38" customFormat="1" ht="21.75" customHeight="1">
      <c r="A3427" s="115" t="s">
        <v>1207</v>
      </c>
      <c r="B3427" s="24" t="s">
        <v>790</v>
      </c>
      <c r="C3427" s="27" t="s">
        <v>3178</v>
      </c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>
        <v>1</v>
      </c>
      <c r="V3427" s="121"/>
      <c r="W3427" s="121"/>
      <c r="X3427" s="121"/>
      <c r="Y3427" s="121"/>
      <c r="Z3427" s="121"/>
      <c r="AA3427" s="121"/>
      <c r="AB3427" s="229"/>
      <c r="AC3427" s="228">
        <f t="shared" si="1434"/>
        <v>1</v>
      </c>
      <c r="AD3427" s="19">
        <v>0</v>
      </c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/>
      <c r="BC3427" s="229"/>
      <c r="BD3427" s="48">
        <f t="shared" si="1435"/>
        <v>0</v>
      </c>
      <c r="BE3427" s="19">
        <v>0</v>
      </c>
      <c r="BF3427" s="229"/>
      <c r="BG3427" s="210">
        <f>AC3427+BD3427</f>
        <v>1</v>
      </c>
      <c r="BH3427" s="210">
        <f t="shared" si="1436"/>
        <v>0</v>
      </c>
      <c r="BI3427" s="213" t="e">
        <f t="shared" si="1438"/>
        <v>#DIV/0!</v>
      </c>
      <c r="BJ3427" s="141"/>
      <c r="BK3427" s="201"/>
      <c r="BL3427" s="4"/>
      <c r="BM3427" s="4"/>
    </row>
    <row r="3428" spans="1:65" s="38" customFormat="1" ht="18" customHeight="1">
      <c r="A3428" s="115" t="s">
        <v>1209</v>
      </c>
      <c r="B3428" s="24" t="s">
        <v>3168</v>
      </c>
      <c r="C3428" s="25" t="s">
        <v>3169</v>
      </c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>
        <v>17</v>
      </c>
      <c r="V3428" s="121"/>
      <c r="W3428" s="121"/>
      <c r="X3428" s="121"/>
      <c r="Y3428" s="121"/>
      <c r="Z3428" s="121"/>
      <c r="AA3428" s="121">
        <v>145</v>
      </c>
      <c r="AB3428" s="229"/>
      <c r="AC3428" s="228">
        <f t="shared" si="1434"/>
        <v>162</v>
      </c>
      <c r="AD3428" s="19">
        <v>600</v>
      </c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>
        <v>1</v>
      </c>
      <c r="BC3428" s="229"/>
      <c r="BD3428" s="48">
        <f t="shared" si="1435"/>
        <v>1</v>
      </c>
      <c r="BE3428" s="19">
        <v>0</v>
      </c>
      <c r="BF3428" s="229"/>
      <c r="BG3428" s="210">
        <f>AC3428+BD3428</f>
        <v>163</v>
      </c>
      <c r="BH3428" s="210">
        <f t="shared" si="1436"/>
        <v>600</v>
      </c>
      <c r="BI3428" s="213">
        <f t="shared" si="1438"/>
        <v>27.166666666666668</v>
      </c>
      <c r="BJ3428" s="141"/>
      <c r="BK3428" s="201"/>
      <c r="BL3428" s="4"/>
      <c r="BM3428" s="4"/>
    </row>
    <row r="3429" spans="1:65" s="38" customFormat="1" ht="18" customHeight="1">
      <c r="A3429" s="115" t="s">
        <v>1210</v>
      </c>
      <c r="B3429" s="24" t="s">
        <v>3170</v>
      </c>
      <c r="C3429" s="25" t="s">
        <v>3171</v>
      </c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>
        <v>630</v>
      </c>
      <c r="V3429" s="121"/>
      <c r="W3429" s="121"/>
      <c r="X3429" s="121"/>
      <c r="Y3429" s="121"/>
      <c r="Z3429" s="121"/>
      <c r="AA3429" s="121">
        <v>372</v>
      </c>
      <c r="AB3429" s="229"/>
      <c r="AC3429" s="228">
        <f t="shared" si="1434"/>
        <v>1002</v>
      </c>
      <c r="AD3429" s="19">
        <v>675</v>
      </c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29"/>
      <c r="BD3429" s="48">
        <f t="shared" si="1435"/>
        <v>0</v>
      </c>
      <c r="BE3429" s="19">
        <v>0</v>
      </c>
      <c r="BF3429" s="229"/>
      <c r="BG3429" s="210">
        <f>AC3429+BD3429</f>
        <v>1002</v>
      </c>
      <c r="BH3429" s="210">
        <f t="shared" si="1436"/>
        <v>675</v>
      </c>
      <c r="BI3429" s="213">
        <f t="shared" si="1438"/>
        <v>148.44444444444446</v>
      </c>
      <c r="BJ3429" s="141"/>
      <c r="BK3429" s="201"/>
      <c r="BL3429" s="4"/>
      <c r="BM3429" s="4"/>
    </row>
    <row r="3430" spans="1:65" s="38" customFormat="1" ht="21.95" customHeight="1">
      <c r="A3430" s="374" t="s">
        <v>2781</v>
      </c>
      <c r="B3430" s="374"/>
      <c r="C3430" s="374"/>
      <c r="D3430" s="220">
        <f t="shared" ref="D3430:AA3430" si="1439">SUM(D3431:D3457)</f>
        <v>0</v>
      </c>
      <c r="E3430" s="220">
        <f t="shared" si="1439"/>
        <v>0</v>
      </c>
      <c r="F3430" s="220">
        <f t="shared" si="1439"/>
        <v>0</v>
      </c>
      <c r="G3430" s="220">
        <f t="shared" si="1439"/>
        <v>0</v>
      </c>
      <c r="H3430" s="220">
        <f t="shared" si="1439"/>
        <v>0</v>
      </c>
      <c r="I3430" s="220">
        <f t="shared" si="1439"/>
        <v>10859</v>
      </c>
      <c r="J3430" s="220">
        <f t="shared" si="1439"/>
        <v>0</v>
      </c>
      <c r="K3430" s="220">
        <f t="shared" si="1439"/>
        <v>0</v>
      </c>
      <c r="L3430" s="220">
        <f t="shared" si="1439"/>
        <v>0</v>
      </c>
      <c r="M3430" s="220">
        <f t="shared" si="1439"/>
        <v>0</v>
      </c>
      <c r="N3430" s="220">
        <f t="shared" si="1439"/>
        <v>0</v>
      </c>
      <c r="O3430" s="220">
        <f t="shared" si="1439"/>
        <v>12396</v>
      </c>
      <c r="P3430" s="220">
        <f t="shared" si="1439"/>
        <v>0</v>
      </c>
      <c r="Q3430" s="220">
        <f t="shared" si="1439"/>
        <v>0</v>
      </c>
      <c r="R3430" s="220">
        <f t="shared" si="1439"/>
        <v>0</v>
      </c>
      <c r="S3430" s="220">
        <f t="shared" si="1439"/>
        <v>0</v>
      </c>
      <c r="T3430" s="220">
        <f t="shared" si="1439"/>
        <v>0</v>
      </c>
      <c r="U3430" s="220">
        <f t="shared" si="1439"/>
        <v>9407</v>
      </c>
      <c r="V3430" s="220">
        <f t="shared" si="1439"/>
        <v>0</v>
      </c>
      <c r="W3430" s="220">
        <f t="shared" si="1439"/>
        <v>0</v>
      </c>
      <c r="X3430" s="220">
        <f t="shared" si="1439"/>
        <v>0</v>
      </c>
      <c r="Y3430" s="220">
        <f t="shared" si="1439"/>
        <v>0</v>
      </c>
      <c r="Z3430" s="220">
        <f t="shared" si="1439"/>
        <v>0</v>
      </c>
      <c r="AA3430" s="220">
        <f t="shared" si="1439"/>
        <v>11312</v>
      </c>
      <c r="AB3430" s="220">
        <f t="shared" si="1410"/>
        <v>0</v>
      </c>
      <c r="AC3430" s="220">
        <f t="shared" si="1411"/>
        <v>43974</v>
      </c>
      <c r="AD3430" s="220">
        <f t="shared" ref="AD3430:BB3430" si="1440">SUM(AD3431:AD3457)</f>
        <v>42891</v>
      </c>
      <c r="AE3430" s="220">
        <f t="shared" si="1440"/>
        <v>0</v>
      </c>
      <c r="AF3430" s="220">
        <f t="shared" si="1440"/>
        <v>0</v>
      </c>
      <c r="AG3430" s="220">
        <f t="shared" si="1440"/>
        <v>0</v>
      </c>
      <c r="AH3430" s="220">
        <f t="shared" si="1440"/>
        <v>0</v>
      </c>
      <c r="AI3430" s="220">
        <f t="shared" si="1440"/>
        <v>0</v>
      </c>
      <c r="AJ3430" s="220">
        <f t="shared" si="1440"/>
        <v>9</v>
      </c>
      <c r="AK3430" s="220">
        <f t="shared" si="1440"/>
        <v>0</v>
      </c>
      <c r="AL3430" s="220">
        <f t="shared" si="1440"/>
        <v>0</v>
      </c>
      <c r="AM3430" s="220">
        <f t="shared" si="1440"/>
        <v>0</v>
      </c>
      <c r="AN3430" s="220">
        <f t="shared" si="1440"/>
        <v>0</v>
      </c>
      <c r="AO3430" s="220">
        <f t="shared" si="1440"/>
        <v>0</v>
      </c>
      <c r="AP3430" s="220">
        <f t="shared" si="1440"/>
        <v>8</v>
      </c>
      <c r="AQ3430" s="220">
        <f t="shared" si="1440"/>
        <v>0</v>
      </c>
      <c r="AR3430" s="220">
        <f t="shared" si="1440"/>
        <v>0</v>
      </c>
      <c r="AS3430" s="220">
        <f t="shared" si="1440"/>
        <v>0</v>
      </c>
      <c r="AT3430" s="220">
        <f t="shared" si="1440"/>
        <v>0</v>
      </c>
      <c r="AU3430" s="220">
        <f t="shared" si="1440"/>
        <v>0</v>
      </c>
      <c r="AV3430" s="220">
        <f t="shared" si="1440"/>
        <v>2</v>
      </c>
      <c r="AW3430" s="220">
        <f t="shared" si="1440"/>
        <v>0</v>
      </c>
      <c r="AX3430" s="220">
        <f t="shared" si="1440"/>
        <v>0</v>
      </c>
      <c r="AY3430" s="220">
        <f t="shared" si="1440"/>
        <v>0</v>
      </c>
      <c r="AZ3430" s="220">
        <f t="shared" si="1440"/>
        <v>0</v>
      </c>
      <c r="BA3430" s="220">
        <f t="shared" si="1440"/>
        <v>0</v>
      </c>
      <c r="BB3430" s="220">
        <f t="shared" si="1440"/>
        <v>0</v>
      </c>
      <c r="BC3430" s="220">
        <f t="shared" si="1412"/>
        <v>0</v>
      </c>
      <c r="BD3430" s="210">
        <f t="shared" si="1413"/>
        <v>19</v>
      </c>
      <c r="BE3430" s="220">
        <f>SUM(BE3431:BE3457)</f>
        <v>203</v>
      </c>
      <c r="BF3430" s="220">
        <f t="shared" si="1414"/>
        <v>0</v>
      </c>
      <c r="BG3430" s="210">
        <f t="shared" si="1415"/>
        <v>43993</v>
      </c>
      <c r="BH3430" s="210">
        <f t="shared" si="1416"/>
        <v>43094</v>
      </c>
      <c r="BI3430" s="213">
        <f t="shared" si="1417"/>
        <v>102.08613728129205</v>
      </c>
      <c r="BJ3430" s="142">
        <v>43094</v>
      </c>
      <c r="BK3430" s="203">
        <f>BH3430-BJ3430</f>
        <v>0</v>
      </c>
      <c r="BL3430" s="4"/>
      <c r="BM3430" s="4"/>
    </row>
    <row r="3431" spans="1:65" ht="18" customHeight="1">
      <c r="A3431" s="114">
        <v>1</v>
      </c>
      <c r="B3431" s="24" t="s">
        <v>1482</v>
      </c>
      <c r="C3431" s="25" t="s">
        <v>1483</v>
      </c>
      <c r="D3431" s="121"/>
      <c r="E3431" s="121"/>
      <c r="F3431" s="121"/>
      <c r="G3431" s="121"/>
      <c r="H3431" s="121"/>
      <c r="I3431" s="121">
        <f>741+428</f>
        <v>1169</v>
      </c>
      <c r="J3431" s="121"/>
      <c r="K3431" s="121"/>
      <c r="L3431" s="121"/>
      <c r="M3431" s="121"/>
      <c r="N3431" s="121"/>
      <c r="O3431" s="121">
        <f>921+23+9+435</f>
        <v>1388</v>
      </c>
      <c r="P3431" s="121"/>
      <c r="Q3431" s="121"/>
      <c r="R3431" s="121"/>
      <c r="S3431" s="121"/>
      <c r="T3431" s="121"/>
      <c r="U3431" s="121">
        <f>687+4+442</f>
        <v>1133</v>
      </c>
      <c r="V3431" s="121"/>
      <c r="W3431" s="121"/>
      <c r="X3431" s="121"/>
      <c r="Y3431" s="121"/>
      <c r="Z3431" s="121"/>
      <c r="AA3431" s="121">
        <f>892+2</f>
        <v>894</v>
      </c>
      <c r="AB3431" s="229">
        <f>D3431+F3431+H3431+J3431+L3431+N3431+P3431+R3431+T3431+V3431+X3431+Z3431</f>
        <v>0</v>
      </c>
      <c r="AC3431" s="228">
        <f>E3431+G3431+I3431+K3431+M3431+O3431+Q3431+S3431+U3431+W3431+Y3431+AA3431</f>
        <v>4584</v>
      </c>
      <c r="AD3431" s="19">
        <v>3284</v>
      </c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  <c r="AZ3431" s="28"/>
      <c r="BA3431" s="28"/>
      <c r="BB3431" s="28"/>
      <c r="BC3431" s="229">
        <f>AE3431+AG3431+AI3431+AK3431+AM3431+AO3431+AQ3431+AS3431+AU3431+AW3431+AY3431+BA3431</f>
        <v>0</v>
      </c>
      <c r="BD3431" s="48">
        <f>AF3431+AH3431+AJ3431+AL3431+AN3431+AP3431+AR3431+AT3431+AV3431+AX3431+AZ3431+BB3431</f>
        <v>0</v>
      </c>
      <c r="BE3431" s="19">
        <v>0</v>
      </c>
      <c r="BF3431" s="229">
        <f t="shared" ref="BF3431:BH3432" si="1441">AB3431+BC3431</f>
        <v>0</v>
      </c>
      <c r="BG3431" s="210">
        <f t="shared" si="1441"/>
        <v>4584</v>
      </c>
      <c r="BH3431" s="210">
        <f t="shared" si="1441"/>
        <v>3284</v>
      </c>
      <c r="BI3431" s="213">
        <f t="shared" ref="BI3431:BI3457" si="1442">BG3431/BH3431*100</f>
        <v>139.58587088915957</v>
      </c>
      <c r="BJ3431" s="270" t="s">
        <v>2857</v>
      </c>
      <c r="BK3431" s="201"/>
    </row>
    <row r="3432" spans="1:65" ht="18" customHeight="1">
      <c r="A3432" s="114">
        <v>2</v>
      </c>
      <c r="B3432" s="24" t="s">
        <v>1216</v>
      </c>
      <c r="C3432" s="25" t="s">
        <v>1217</v>
      </c>
      <c r="D3432" s="121"/>
      <c r="E3432" s="121"/>
      <c r="F3432" s="121"/>
      <c r="G3432" s="121"/>
      <c r="H3432" s="121"/>
      <c r="I3432" s="121">
        <v>4</v>
      </c>
      <c r="J3432" s="121"/>
      <c r="K3432" s="121"/>
      <c r="L3432" s="121"/>
      <c r="M3432" s="121"/>
      <c r="N3432" s="121"/>
      <c r="O3432" s="121">
        <v>5</v>
      </c>
      <c r="P3432" s="121"/>
      <c r="Q3432" s="121"/>
      <c r="R3432" s="121"/>
      <c r="S3432" s="121"/>
      <c r="T3432" s="121"/>
      <c r="U3432" s="121">
        <v>4</v>
      </c>
      <c r="V3432" s="121"/>
      <c r="W3432" s="121"/>
      <c r="X3432" s="121"/>
      <c r="Y3432" s="121"/>
      <c r="Z3432" s="121"/>
      <c r="AA3432" s="121">
        <v>2</v>
      </c>
      <c r="AB3432" s="229">
        <f>D3432+F3432+H3432+J3432+L3432+N3432+P3432+R3432+T3432+V3432+X3432+Z3432</f>
        <v>0</v>
      </c>
      <c r="AC3432" s="228">
        <f>E3432+G3432+I3432+K3432+M3432+O3432+Q3432+S3432+U3432+W3432+Y3432+AA3432</f>
        <v>15</v>
      </c>
      <c r="AD3432" s="19">
        <v>25</v>
      </c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29">
        <f>AE3432+AG3432+AI3432+AK3432+AM3432+AO3432+AQ3432+AS3432+AU3432+AW3432+AY3432+BA3432</f>
        <v>0</v>
      </c>
      <c r="BD3432" s="48">
        <f>AF3432+AH3432+AJ3432+AL3432+AN3432+AP3432+AR3432+AT3432+AV3432+AX3432+AZ3432+BB3432</f>
        <v>0</v>
      </c>
      <c r="BE3432" s="19">
        <v>0</v>
      </c>
      <c r="BF3432" s="229">
        <f t="shared" si="1441"/>
        <v>0</v>
      </c>
      <c r="BG3432" s="210">
        <f t="shared" si="1441"/>
        <v>15</v>
      </c>
      <c r="BH3432" s="210">
        <f t="shared" si="1441"/>
        <v>25</v>
      </c>
      <c r="BI3432" s="213">
        <f t="shared" si="1442"/>
        <v>60</v>
      </c>
      <c r="BJ3432" s="141"/>
      <c r="BK3432" s="201"/>
    </row>
    <row r="3433" spans="1:65" ht="18" customHeight="1">
      <c r="A3433" s="114">
        <v>3</v>
      </c>
      <c r="B3433" s="24" t="s">
        <v>3054</v>
      </c>
      <c r="C3433" s="25" t="s">
        <v>2481</v>
      </c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>
        <v>1</v>
      </c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>
        <v>1</v>
      </c>
      <c r="AB3433" s="229"/>
      <c r="AC3433" s="228">
        <f t="shared" ref="AC3433:AC3457" si="1443">E3433+G3433+I3433+K3433+M3433+O3433+Q3433+S3433+U3433+W3433+Y3433+AA3433</f>
        <v>2</v>
      </c>
      <c r="AD3433" s="19">
        <v>0</v>
      </c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  <c r="AZ3433" s="28"/>
      <c r="BA3433" s="28"/>
      <c r="BB3433" s="28"/>
      <c r="BC3433" s="229"/>
      <c r="BD3433" s="48">
        <f t="shared" ref="BD3433:BD3457" si="1444">AF3433+AH3433+AJ3433+AL3433+AN3433+AP3433+AR3433+AT3433+AV3433+AX3433+AZ3433+BB3433</f>
        <v>0</v>
      </c>
      <c r="BE3433" s="19">
        <v>0</v>
      </c>
      <c r="BF3433" s="229"/>
      <c r="BG3433" s="210">
        <f t="shared" ref="BG3433:BG3457" si="1445">AC3433+BD3433</f>
        <v>2</v>
      </c>
      <c r="BH3433" s="210">
        <f t="shared" ref="BH3433:BH3457" si="1446">AD3433+BE3433</f>
        <v>0</v>
      </c>
      <c r="BI3433" s="213" t="e">
        <f t="shared" si="1442"/>
        <v>#DIV/0!</v>
      </c>
      <c r="BJ3433" s="141"/>
      <c r="BK3433" s="201"/>
    </row>
    <row r="3434" spans="1:65" ht="18" customHeight="1">
      <c r="A3434" s="114">
        <v>4</v>
      </c>
      <c r="B3434" s="24" t="s">
        <v>453</v>
      </c>
      <c r="C3434" s="25" t="s">
        <v>3055</v>
      </c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>
        <v>1</v>
      </c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>
        <v>1</v>
      </c>
      <c r="AB3434" s="229"/>
      <c r="AC3434" s="228">
        <f t="shared" si="1443"/>
        <v>2</v>
      </c>
      <c r="AD3434" s="19">
        <v>0</v>
      </c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29"/>
      <c r="BD3434" s="48">
        <f t="shared" si="1444"/>
        <v>0</v>
      </c>
      <c r="BE3434" s="19">
        <v>0</v>
      </c>
      <c r="BF3434" s="229"/>
      <c r="BG3434" s="210">
        <f t="shared" si="1445"/>
        <v>2</v>
      </c>
      <c r="BH3434" s="210">
        <f t="shared" si="1446"/>
        <v>0</v>
      </c>
      <c r="BI3434" s="213" t="e">
        <f t="shared" si="1442"/>
        <v>#DIV/0!</v>
      </c>
      <c r="BJ3434" s="141"/>
      <c r="BK3434" s="201"/>
    </row>
    <row r="3435" spans="1:65" ht="18" customHeight="1">
      <c r="A3435" s="114">
        <v>5</v>
      </c>
      <c r="B3435" s="24" t="s">
        <v>796</v>
      </c>
      <c r="C3435" s="25" t="s">
        <v>1135</v>
      </c>
      <c r="D3435" s="121"/>
      <c r="E3435" s="121"/>
      <c r="F3435" s="121"/>
      <c r="G3435" s="121"/>
      <c r="H3435" s="121"/>
      <c r="I3435" s="121">
        <v>164</v>
      </c>
      <c r="J3435" s="121"/>
      <c r="K3435" s="121"/>
      <c r="L3435" s="121"/>
      <c r="M3435" s="121"/>
      <c r="N3435" s="121"/>
      <c r="O3435" s="121">
        <v>181</v>
      </c>
      <c r="P3435" s="121"/>
      <c r="Q3435" s="121"/>
      <c r="R3435" s="121"/>
      <c r="S3435" s="121"/>
      <c r="T3435" s="121"/>
      <c r="U3435" s="121">
        <v>194</v>
      </c>
      <c r="V3435" s="121"/>
      <c r="W3435" s="121"/>
      <c r="X3435" s="121"/>
      <c r="Y3435" s="121"/>
      <c r="Z3435" s="121"/>
      <c r="AA3435" s="121">
        <v>302</v>
      </c>
      <c r="AB3435" s="229">
        <f t="shared" ref="AB3435:AB3457" si="1447">D3435+F3435+H3435+J3435+L3435+N3435+P3435+R3435+T3435+V3435+X3435+Z3435</f>
        <v>0</v>
      </c>
      <c r="AC3435" s="228">
        <f t="shared" si="1443"/>
        <v>841</v>
      </c>
      <c r="AD3435" s="19">
        <v>235</v>
      </c>
      <c r="AE3435" s="28"/>
      <c r="AF3435" s="28"/>
      <c r="AG3435" s="28"/>
      <c r="AH3435" s="28"/>
      <c r="AI3435" s="28"/>
      <c r="AJ3435" s="28">
        <v>2</v>
      </c>
      <c r="AK3435" s="28"/>
      <c r="AL3435" s="28"/>
      <c r="AM3435" s="28"/>
      <c r="AN3435" s="28"/>
      <c r="AO3435" s="28"/>
      <c r="AP3435" s="28">
        <v>1</v>
      </c>
      <c r="AQ3435" s="28"/>
      <c r="AR3435" s="28"/>
      <c r="AS3435" s="28"/>
      <c r="AT3435" s="28"/>
      <c r="AU3435" s="28"/>
      <c r="AV3435" s="28">
        <v>1</v>
      </c>
      <c r="AW3435" s="28"/>
      <c r="AX3435" s="28"/>
      <c r="AY3435" s="28"/>
      <c r="AZ3435" s="28"/>
      <c r="BA3435" s="28"/>
      <c r="BB3435" s="28"/>
      <c r="BC3435" s="229">
        <f t="shared" ref="BC3435:BC3457" si="1448">AE3435+AG3435+AI3435+AK3435+AM3435+AO3435+AQ3435+AS3435+AU3435+AW3435+AY3435+BA3435</f>
        <v>0</v>
      </c>
      <c r="BD3435" s="48">
        <f t="shared" si="1444"/>
        <v>4</v>
      </c>
      <c r="BE3435" s="19">
        <v>0</v>
      </c>
      <c r="BF3435" s="229">
        <f t="shared" ref="BF3435:BF3457" si="1449">AB3435+BC3435</f>
        <v>0</v>
      </c>
      <c r="BG3435" s="210">
        <f t="shared" si="1445"/>
        <v>845</v>
      </c>
      <c r="BH3435" s="210">
        <f t="shared" si="1446"/>
        <v>235</v>
      </c>
      <c r="BI3435" s="213">
        <f t="shared" si="1442"/>
        <v>359.57446808510639</v>
      </c>
      <c r="BJ3435" s="141"/>
      <c r="BK3435" s="201"/>
    </row>
    <row r="3436" spans="1:65" ht="18" customHeight="1">
      <c r="A3436" s="114">
        <v>6</v>
      </c>
      <c r="B3436" s="24" t="s">
        <v>1007</v>
      </c>
      <c r="C3436" s="25" t="s">
        <v>1008</v>
      </c>
      <c r="D3436" s="121"/>
      <c r="E3436" s="121"/>
      <c r="F3436" s="121"/>
      <c r="G3436" s="121"/>
      <c r="H3436" s="121"/>
      <c r="I3436" s="121">
        <v>656</v>
      </c>
      <c r="J3436" s="121"/>
      <c r="K3436" s="121"/>
      <c r="L3436" s="121"/>
      <c r="M3436" s="121"/>
      <c r="N3436" s="121"/>
      <c r="O3436" s="121">
        <v>747</v>
      </c>
      <c r="P3436" s="121"/>
      <c r="Q3436" s="121"/>
      <c r="R3436" s="121"/>
      <c r="S3436" s="121"/>
      <c r="T3436" s="121"/>
      <c r="U3436" s="121">
        <v>623</v>
      </c>
      <c r="V3436" s="121"/>
      <c r="W3436" s="121"/>
      <c r="X3436" s="121"/>
      <c r="Y3436" s="121"/>
      <c r="Z3436" s="121"/>
      <c r="AA3436" s="121">
        <v>850</v>
      </c>
      <c r="AB3436" s="229">
        <f t="shared" si="1447"/>
        <v>0</v>
      </c>
      <c r="AC3436" s="228">
        <f t="shared" si="1443"/>
        <v>2876</v>
      </c>
      <c r="AD3436" s="19">
        <v>2223</v>
      </c>
      <c r="AE3436" s="28"/>
      <c r="AF3436" s="28"/>
      <c r="AG3436" s="28"/>
      <c r="AH3436" s="28"/>
      <c r="AI3436" s="28"/>
      <c r="AJ3436" s="28">
        <v>4</v>
      </c>
      <c r="AK3436" s="28"/>
      <c r="AL3436" s="28"/>
      <c r="AM3436" s="28"/>
      <c r="AN3436" s="28"/>
      <c r="AO3436" s="28"/>
      <c r="AP3436" s="28">
        <v>1</v>
      </c>
      <c r="AQ3436" s="28"/>
      <c r="AR3436" s="28"/>
      <c r="AS3436" s="28"/>
      <c r="AT3436" s="28"/>
      <c r="AU3436" s="28"/>
      <c r="AV3436" s="28">
        <v>1</v>
      </c>
      <c r="AW3436" s="28"/>
      <c r="AX3436" s="28"/>
      <c r="AY3436" s="28"/>
      <c r="AZ3436" s="28"/>
      <c r="BA3436" s="28"/>
      <c r="BB3436" s="28"/>
      <c r="BC3436" s="229">
        <f t="shared" si="1448"/>
        <v>0</v>
      </c>
      <c r="BD3436" s="48">
        <f t="shared" si="1444"/>
        <v>6</v>
      </c>
      <c r="BE3436" s="19">
        <v>10</v>
      </c>
      <c r="BF3436" s="229">
        <f t="shared" si="1449"/>
        <v>0</v>
      </c>
      <c r="BG3436" s="210">
        <f t="shared" si="1445"/>
        <v>2882</v>
      </c>
      <c r="BH3436" s="210">
        <f t="shared" si="1446"/>
        <v>2233</v>
      </c>
      <c r="BI3436" s="213">
        <f t="shared" si="1442"/>
        <v>129.06403940886699</v>
      </c>
      <c r="BJ3436" s="141"/>
      <c r="BK3436" s="201"/>
    </row>
    <row r="3437" spans="1:65" ht="18" customHeight="1">
      <c r="A3437" s="114">
        <v>7</v>
      </c>
      <c r="B3437" s="24" t="s">
        <v>1139</v>
      </c>
      <c r="C3437" s="25" t="s">
        <v>1140</v>
      </c>
      <c r="D3437" s="121"/>
      <c r="E3437" s="121"/>
      <c r="F3437" s="121"/>
      <c r="G3437" s="121"/>
      <c r="H3437" s="121"/>
      <c r="I3437" s="121">
        <v>626</v>
      </c>
      <c r="J3437" s="121"/>
      <c r="K3437" s="121"/>
      <c r="L3437" s="121"/>
      <c r="M3437" s="121"/>
      <c r="N3437" s="121"/>
      <c r="O3437" s="121">
        <v>663</v>
      </c>
      <c r="P3437" s="121"/>
      <c r="Q3437" s="121"/>
      <c r="R3437" s="121"/>
      <c r="S3437" s="121"/>
      <c r="T3437" s="121"/>
      <c r="U3437" s="121">
        <v>513</v>
      </c>
      <c r="V3437" s="121"/>
      <c r="W3437" s="121"/>
      <c r="X3437" s="121"/>
      <c r="Y3437" s="121"/>
      <c r="Z3437" s="121"/>
      <c r="AA3437" s="121">
        <v>635</v>
      </c>
      <c r="AB3437" s="229">
        <f t="shared" si="1447"/>
        <v>0</v>
      </c>
      <c r="AC3437" s="228">
        <f t="shared" si="1443"/>
        <v>2437</v>
      </c>
      <c r="AD3437" s="19">
        <v>2334</v>
      </c>
      <c r="AE3437" s="28"/>
      <c r="AF3437" s="28"/>
      <c r="AG3437" s="28"/>
      <c r="AH3437" s="28"/>
      <c r="AI3437" s="28"/>
      <c r="AJ3437" s="28">
        <v>2</v>
      </c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29">
        <f t="shared" si="1448"/>
        <v>0</v>
      </c>
      <c r="BD3437" s="48">
        <f t="shared" si="1444"/>
        <v>2</v>
      </c>
      <c r="BE3437" s="19">
        <v>12</v>
      </c>
      <c r="BF3437" s="229">
        <f t="shared" si="1449"/>
        <v>0</v>
      </c>
      <c r="BG3437" s="210">
        <f t="shared" si="1445"/>
        <v>2439</v>
      </c>
      <c r="BH3437" s="210">
        <f t="shared" si="1446"/>
        <v>2346</v>
      </c>
      <c r="BI3437" s="213">
        <f t="shared" si="1442"/>
        <v>103.96419437340154</v>
      </c>
      <c r="BJ3437" s="141"/>
      <c r="BK3437" s="201"/>
    </row>
    <row r="3438" spans="1:65" ht="18" customHeight="1">
      <c r="A3438" s="114">
        <v>8</v>
      </c>
      <c r="B3438" s="24" t="s">
        <v>1141</v>
      </c>
      <c r="C3438" s="29" t="s">
        <v>1142</v>
      </c>
      <c r="D3438" s="121"/>
      <c r="E3438" s="121"/>
      <c r="F3438" s="121"/>
      <c r="G3438" s="121"/>
      <c r="H3438" s="121"/>
      <c r="I3438" s="121">
        <v>7</v>
      </c>
      <c r="J3438" s="121"/>
      <c r="K3438" s="121"/>
      <c r="L3438" s="121"/>
      <c r="M3438" s="121"/>
      <c r="N3438" s="121"/>
      <c r="O3438" s="121">
        <v>7</v>
      </c>
      <c r="P3438" s="121"/>
      <c r="Q3438" s="121"/>
      <c r="R3438" s="121"/>
      <c r="S3438" s="121"/>
      <c r="T3438" s="121"/>
      <c r="U3438" s="121">
        <v>5</v>
      </c>
      <c r="V3438" s="121"/>
      <c r="W3438" s="121"/>
      <c r="X3438" s="121"/>
      <c r="Y3438" s="121"/>
      <c r="Z3438" s="121"/>
      <c r="AA3438" s="121">
        <v>4</v>
      </c>
      <c r="AB3438" s="229">
        <f t="shared" si="1447"/>
        <v>0</v>
      </c>
      <c r="AC3438" s="228">
        <f t="shared" si="1443"/>
        <v>23</v>
      </c>
      <c r="AD3438" s="19">
        <f>35+1</f>
        <v>36</v>
      </c>
      <c r="AE3438" s="28"/>
      <c r="AF3438" s="28"/>
      <c r="AG3438" s="28"/>
      <c r="AH3438" s="28"/>
      <c r="AI3438" s="28"/>
      <c r="AJ3438" s="28">
        <v>1</v>
      </c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  <c r="AZ3438" s="28"/>
      <c r="BA3438" s="28"/>
      <c r="BB3438" s="28"/>
      <c r="BC3438" s="229">
        <f t="shared" si="1448"/>
        <v>0</v>
      </c>
      <c r="BD3438" s="48">
        <f t="shared" si="1444"/>
        <v>1</v>
      </c>
      <c r="BE3438" s="19">
        <v>0</v>
      </c>
      <c r="BF3438" s="229">
        <f t="shared" si="1449"/>
        <v>0</v>
      </c>
      <c r="BG3438" s="210">
        <f t="shared" si="1445"/>
        <v>24</v>
      </c>
      <c r="BH3438" s="210">
        <f t="shared" si="1446"/>
        <v>36</v>
      </c>
      <c r="BI3438" s="213">
        <f t="shared" si="1442"/>
        <v>66.666666666666657</v>
      </c>
      <c r="BJ3438" s="141"/>
      <c r="BK3438" s="201"/>
    </row>
    <row r="3439" spans="1:65" ht="18" customHeight="1">
      <c r="A3439" s="114">
        <v>9</v>
      </c>
      <c r="B3439" s="156" t="s">
        <v>1798</v>
      </c>
      <c r="C3439" s="25" t="s">
        <v>1047</v>
      </c>
      <c r="D3439" s="121"/>
      <c r="E3439" s="121"/>
      <c r="F3439" s="121"/>
      <c r="G3439" s="121"/>
      <c r="H3439" s="121"/>
      <c r="I3439" s="121">
        <f>491+2</f>
        <v>493</v>
      </c>
      <c r="J3439" s="121"/>
      <c r="K3439" s="121"/>
      <c r="L3439" s="121"/>
      <c r="M3439" s="121"/>
      <c r="N3439" s="121"/>
      <c r="O3439" s="121">
        <v>555</v>
      </c>
      <c r="P3439" s="121"/>
      <c r="Q3439" s="121"/>
      <c r="R3439" s="121"/>
      <c r="S3439" s="121"/>
      <c r="T3439" s="121"/>
      <c r="U3439" s="121">
        <v>423</v>
      </c>
      <c r="V3439" s="121"/>
      <c r="W3439" s="121"/>
      <c r="X3439" s="121"/>
      <c r="Y3439" s="121"/>
      <c r="Z3439" s="121"/>
      <c r="AA3439" s="121">
        <v>544</v>
      </c>
      <c r="AB3439" s="229">
        <f t="shared" si="1447"/>
        <v>0</v>
      </c>
      <c r="AC3439" s="228">
        <f t="shared" si="1443"/>
        <v>2015</v>
      </c>
      <c r="AD3439" s="19">
        <v>1828</v>
      </c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29">
        <f t="shared" si="1448"/>
        <v>0</v>
      </c>
      <c r="BD3439" s="48">
        <f t="shared" si="1444"/>
        <v>0</v>
      </c>
      <c r="BE3439" s="19">
        <v>10</v>
      </c>
      <c r="BF3439" s="229">
        <f t="shared" si="1449"/>
        <v>0</v>
      </c>
      <c r="BG3439" s="210">
        <f t="shared" si="1445"/>
        <v>2015</v>
      </c>
      <c r="BH3439" s="210">
        <f t="shared" si="1446"/>
        <v>1838</v>
      </c>
      <c r="BI3439" s="213">
        <f t="shared" si="1442"/>
        <v>109.63003264417846</v>
      </c>
      <c r="BJ3439" s="339" t="s">
        <v>2856</v>
      </c>
      <c r="BK3439" s="201"/>
    </row>
    <row r="3440" spans="1:65" ht="18" customHeight="1">
      <c r="A3440" s="114">
        <v>10</v>
      </c>
      <c r="B3440" s="156" t="s">
        <v>1813</v>
      </c>
      <c r="C3440" s="159" t="s">
        <v>1814</v>
      </c>
      <c r="D3440" s="121"/>
      <c r="E3440" s="121"/>
      <c r="F3440" s="121"/>
      <c r="G3440" s="121"/>
      <c r="H3440" s="121"/>
      <c r="I3440" s="121">
        <f>488+1</f>
        <v>489</v>
      </c>
      <c r="J3440" s="121"/>
      <c r="K3440" s="121"/>
      <c r="L3440" s="121"/>
      <c r="M3440" s="121"/>
      <c r="N3440" s="121"/>
      <c r="O3440" s="121">
        <v>554</v>
      </c>
      <c r="P3440" s="121"/>
      <c r="Q3440" s="121"/>
      <c r="R3440" s="121"/>
      <c r="S3440" s="121"/>
      <c r="T3440" s="121"/>
      <c r="U3440" s="121">
        <v>421</v>
      </c>
      <c r="V3440" s="121"/>
      <c r="W3440" s="121"/>
      <c r="X3440" s="121"/>
      <c r="Y3440" s="121"/>
      <c r="Z3440" s="121"/>
      <c r="AA3440" s="121">
        <v>545</v>
      </c>
      <c r="AB3440" s="229">
        <f t="shared" si="1447"/>
        <v>0</v>
      </c>
      <c r="AC3440" s="228">
        <f t="shared" si="1443"/>
        <v>2009</v>
      </c>
      <c r="AD3440" s="19">
        <v>1870</v>
      </c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  <c r="AZ3440" s="28"/>
      <c r="BA3440" s="28"/>
      <c r="BB3440" s="28"/>
      <c r="BC3440" s="229">
        <f t="shared" si="1448"/>
        <v>0</v>
      </c>
      <c r="BD3440" s="48">
        <f t="shared" si="1444"/>
        <v>0</v>
      </c>
      <c r="BE3440" s="19">
        <v>10</v>
      </c>
      <c r="BF3440" s="229">
        <f t="shared" si="1449"/>
        <v>0</v>
      </c>
      <c r="BG3440" s="210">
        <f t="shared" si="1445"/>
        <v>2009</v>
      </c>
      <c r="BH3440" s="210">
        <f t="shared" si="1446"/>
        <v>1880</v>
      </c>
      <c r="BI3440" s="213">
        <f t="shared" si="1442"/>
        <v>106.86170212765957</v>
      </c>
      <c r="BJ3440" s="339" t="s">
        <v>2856</v>
      </c>
      <c r="BK3440" s="201"/>
    </row>
    <row r="3441" spans="1:63" ht="18" customHeight="1">
      <c r="A3441" s="114">
        <v>11</v>
      </c>
      <c r="B3441" s="156" t="s">
        <v>1815</v>
      </c>
      <c r="C3441" s="159" t="s">
        <v>1816</v>
      </c>
      <c r="D3441" s="121"/>
      <c r="E3441" s="121"/>
      <c r="F3441" s="121"/>
      <c r="G3441" s="121"/>
      <c r="H3441" s="121"/>
      <c r="I3441" s="121">
        <f>500+1</f>
        <v>501</v>
      </c>
      <c r="J3441" s="121"/>
      <c r="K3441" s="121"/>
      <c r="L3441" s="121"/>
      <c r="M3441" s="121"/>
      <c r="N3441" s="121"/>
      <c r="O3441" s="121">
        <v>568</v>
      </c>
      <c r="P3441" s="121"/>
      <c r="Q3441" s="121"/>
      <c r="R3441" s="121"/>
      <c r="S3441" s="121"/>
      <c r="T3441" s="121"/>
      <c r="U3441" s="121">
        <v>427</v>
      </c>
      <c r="V3441" s="121"/>
      <c r="W3441" s="121"/>
      <c r="X3441" s="121"/>
      <c r="Y3441" s="121"/>
      <c r="Z3441" s="121"/>
      <c r="AA3441" s="121">
        <v>555</v>
      </c>
      <c r="AB3441" s="229">
        <f t="shared" si="1447"/>
        <v>0</v>
      </c>
      <c r="AC3441" s="228">
        <f t="shared" si="1443"/>
        <v>2051</v>
      </c>
      <c r="AD3441" s="19">
        <v>1895</v>
      </c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29">
        <f t="shared" si="1448"/>
        <v>0</v>
      </c>
      <c r="BD3441" s="48">
        <f t="shared" si="1444"/>
        <v>0</v>
      </c>
      <c r="BE3441" s="19">
        <v>13</v>
      </c>
      <c r="BF3441" s="229">
        <f t="shared" si="1449"/>
        <v>0</v>
      </c>
      <c r="BG3441" s="210">
        <f t="shared" si="1445"/>
        <v>2051</v>
      </c>
      <c r="BH3441" s="210">
        <f t="shared" si="1446"/>
        <v>1908</v>
      </c>
      <c r="BI3441" s="213">
        <f t="shared" si="1442"/>
        <v>107.49475890985325</v>
      </c>
      <c r="BJ3441" s="339" t="s">
        <v>2856</v>
      </c>
      <c r="BK3441" s="201"/>
    </row>
    <row r="3442" spans="1:63" ht="18" customHeight="1">
      <c r="A3442" s="114">
        <v>12</v>
      </c>
      <c r="B3442" s="156" t="s">
        <v>1817</v>
      </c>
      <c r="C3442" s="159" t="s">
        <v>1818</v>
      </c>
      <c r="D3442" s="121"/>
      <c r="E3442" s="121"/>
      <c r="F3442" s="121"/>
      <c r="G3442" s="121"/>
      <c r="H3442" s="121"/>
      <c r="I3442" s="121">
        <f>500+1</f>
        <v>501</v>
      </c>
      <c r="J3442" s="121"/>
      <c r="K3442" s="121"/>
      <c r="L3442" s="121"/>
      <c r="M3442" s="121"/>
      <c r="N3442" s="121"/>
      <c r="O3442" s="121">
        <v>568</v>
      </c>
      <c r="P3442" s="121"/>
      <c r="Q3442" s="121"/>
      <c r="R3442" s="121"/>
      <c r="S3442" s="121"/>
      <c r="T3442" s="121"/>
      <c r="U3442" s="121">
        <v>427</v>
      </c>
      <c r="V3442" s="121"/>
      <c r="W3442" s="121"/>
      <c r="X3442" s="121"/>
      <c r="Y3442" s="121"/>
      <c r="Z3442" s="121"/>
      <c r="AA3442" s="121">
        <v>554</v>
      </c>
      <c r="AB3442" s="229">
        <f t="shared" si="1447"/>
        <v>0</v>
      </c>
      <c r="AC3442" s="228">
        <f t="shared" si="1443"/>
        <v>2050</v>
      </c>
      <c r="AD3442" s="19">
        <v>1983</v>
      </c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29">
        <f t="shared" si="1448"/>
        <v>0</v>
      </c>
      <c r="BD3442" s="48">
        <f t="shared" si="1444"/>
        <v>0</v>
      </c>
      <c r="BE3442" s="19">
        <v>13</v>
      </c>
      <c r="BF3442" s="229">
        <f t="shared" si="1449"/>
        <v>0</v>
      </c>
      <c r="BG3442" s="210">
        <f t="shared" si="1445"/>
        <v>2050</v>
      </c>
      <c r="BH3442" s="210">
        <f t="shared" si="1446"/>
        <v>1996</v>
      </c>
      <c r="BI3442" s="213">
        <f t="shared" si="1442"/>
        <v>102.70541082164328</v>
      </c>
      <c r="BJ3442" s="339" t="s">
        <v>2856</v>
      </c>
      <c r="BK3442" s="201"/>
    </row>
    <row r="3443" spans="1:63" ht="18" customHeight="1">
      <c r="A3443" s="114">
        <v>13</v>
      </c>
      <c r="B3443" s="156" t="s">
        <v>1819</v>
      </c>
      <c r="C3443" s="159" t="s">
        <v>1820</v>
      </c>
      <c r="D3443" s="121"/>
      <c r="E3443" s="121"/>
      <c r="F3443" s="121"/>
      <c r="G3443" s="121"/>
      <c r="H3443" s="121"/>
      <c r="I3443" s="121">
        <f>500+1</f>
        <v>501</v>
      </c>
      <c r="J3443" s="121"/>
      <c r="K3443" s="121"/>
      <c r="L3443" s="121"/>
      <c r="M3443" s="121"/>
      <c r="N3443" s="121"/>
      <c r="O3443" s="121">
        <v>568</v>
      </c>
      <c r="P3443" s="121"/>
      <c r="Q3443" s="121"/>
      <c r="R3443" s="121"/>
      <c r="S3443" s="121"/>
      <c r="T3443" s="121"/>
      <c r="U3443" s="121">
        <v>427</v>
      </c>
      <c r="V3443" s="121"/>
      <c r="W3443" s="121"/>
      <c r="X3443" s="121"/>
      <c r="Y3443" s="121"/>
      <c r="Z3443" s="121"/>
      <c r="AA3443" s="121">
        <v>554</v>
      </c>
      <c r="AB3443" s="229">
        <f t="shared" si="1447"/>
        <v>0</v>
      </c>
      <c r="AC3443" s="228">
        <f t="shared" si="1443"/>
        <v>2050</v>
      </c>
      <c r="AD3443" s="19">
        <v>1973</v>
      </c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  <c r="AZ3443" s="28"/>
      <c r="BA3443" s="28"/>
      <c r="BB3443" s="28"/>
      <c r="BC3443" s="229">
        <f t="shared" si="1448"/>
        <v>0</v>
      </c>
      <c r="BD3443" s="48">
        <f t="shared" si="1444"/>
        <v>0</v>
      </c>
      <c r="BE3443" s="19">
        <v>12</v>
      </c>
      <c r="BF3443" s="229">
        <f t="shared" si="1449"/>
        <v>0</v>
      </c>
      <c r="BG3443" s="210">
        <f t="shared" si="1445"/>
        <v>2050</v>
      </c>
      <c r="BH3443" s="210">
        <f t="shared" si="1446"/>
        <v>1985</v>
      </c>
      <c r="BI3443" s="213">
        <f t="shared" si="1442"/>
        <v>103.27455919395464</v>
      </c>
      <c r="BJ3443" s="339" t="s">
        <v>2856</v>
      </c>
      <c r="BK3443" s="201"/>
    </row>
    <row r="3444" spans="1:63" ht="18" customHeight="1">
      <c r="A3444" s="114">
        <v>14</v>
      </c>
      <c r="B3444" s="156" t="s">
        <v>1821</v>
      </c>
      <c r="C3444" s="25" t="s">
        <v>1218</v>
      </c>
      <c r="D3444" s="121"/>
      <c r="E3444" s="121"/>
      <c r="F3444" s="121"/>
      <c r="G3444" s="121"/>
      <c r="H3444" s="121"/>
      <c r="I3444" s="121">
        <f>705+2</f>
        <v>707</v>
      </c>
      <c r="J3444" s="121"/>
      <c r="K3444" s="121"/>
      <c r="L3444" s="121"/>
      <c r="M3444" s="121"/>
      <c r="N3444" s="121"/>
      <c r="O3444" s="121">
        <v>824</v>
      </c>
      <c r="P3444" s="121"/>
      <c r="Q3444" s="121"/>
      <c r="R3444" s="121"/>
      <c r="S3444" s="121"/>
      <c r="T3444" s="121"/>
      <c r="U3444" s="121">
        <v>568</v>
      </c>
      <c r="V3444" s="121"/>
      <c r="W3444" s="121"/>
      <c r="X3444" s="121"/>
      <c r="Y3444" s="121"/>
      <c r="Z3444" s="121"/>
      <c r="AA3444" s="121">
        <v>665</v>
      </c>
      <c r="AB3444" s="229">
        <f t="shared" si="1447"/>
        <v>0</v>
      </c>
      <c r="AC3444" s="228">
        <f t="shared" si="1443"/>
        <v>2764</v>
      </c>
      <c r="AD3444" s="19">
        <v>2840</v>
      </c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>
        <v>1</v>
      </c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29">
        <f t="shared" si="1448"/>
        <v>0</v>
      </c>
      <c r="BD3444" s="48">
        <f t="shared" si="1444"/>
        <v>1</v>
      </c>
      <c r="BE3444" s="19">
        <v>14</v>
      </c>
      <c r="BF3444" s="229">
        <f t="shared" si="1449"/>
        <v>0</v>
      </c>
      <c r="BG3444" s="210">
        <f t="shared" si="1445"/>
        <v>2765</v>
      </c>
      <c r="BH3444" s="210">
        <f t="shared" si="1446"/>
        <v>2854</v>
      </c>
      <c r="BI3444" s="213">
        <f t="shared" si="1442"/>
        <v>96.881569726699368</v>
      </c>
      <c r="BJ3444" s="339" t="s">
        <v>2856</v>
      </c>
      <c r="BK3444" s="201"/>
    </row>
    <row r="3445" spans="1:63" ht="18" customHeight="1">
      <c r="A3445" s="114">
        <v>15</v>
      </c>
      <c r="B3445" s="156" t="s">
        <v>1822</v>
      </c>
      <c r="C3445" s="25" t="s">
        <v>1219</v>
      </c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229">
        <f t="shared" si="1447"/>
        <v>0</v>
      </c>
      <c r="AC3445" s="228">
        <f t="shared" si="1443"/>
        <v>0</v>
      </c>
      <c r="AD3445" s="19">
        <v>2840</v>
      </c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  <c r="AZ3445" s="28"/>
      <c r="BA3445" s="28"/>
      <c r="BB3445" s="28"/>
      <c r="BC3445" s="229">
        <f t="shared" si="1448"/>
        <v>0</v>
      </c>
      <c r="BD3445" s="48">
        <f t="shared" si="1444"/>
        <v>0</v>
      </c>
      <c r="BE3445" s="19">
        <v>14</v>
      </c>
      <c r="BF3445" s="229">
        <f t="shared" si="1449"/>
        <v>0</v>
      </c>
      <c r="BG3445" s="210">
        <f t="shared" si="1445"/>
        <v>0</v>
      </c>
      <c r="BH3445" s="210">
        <f t="shared" si="1446"/>
        <v>2854</v>
      </c>
      <c r="BI3445" s="213">
        <f t="shared" si="1442"/>
        <v>0</v>
      </c>
      <c r="BJ3445" s="339" t="s">
        <v>2856</v>
      </c>
      <c r="BK3445" s="201"/>
    </row>
    <row r="3446" spans="1:63" ht="18" customHeight="1">
      <c r="A3446" s="114">
        <v>16</v>
      </c>
      <c r="B3446" s="156" t="s">
        <v>1823</v>
      </c>
      <c r="C3446" s="25" t="s">
        <v>1220</v>
      </c>
      <c r="D3446" s="121"/>
      <c r="E3446" s="121"/>
      <c r="F3446" s="121"/>
      <c r="G3446" s="121"/>
      <c r="H3446" s="121"/>
      <c r="I3446" s="121">
        <f>705+2</f>
        <v>707</v>
      </c>
      <c r="J3446" s="121"/>
      <c r="K3446" s="121"/>
      <c r="L3446" s="121"/>
      <c r="M3446" s="121"/>
      <c r="N3446" s="121"/>
      <c r="O3446" s="121">
        <v>824</v>
      </c>
      <c r="P3446" s="121"/>
      <c r="Q3446" s="121"/>
      <c r="R3446" s="121"/>
      <c r="S3446" s="121"/>
      <c r="T3446" s="121"/>
      <c r="U3446" s="121">
        <v>568</v>
      </c>
      <c r="V3446" s="121"/>
      <c r="W3446" s="121"/>
      <c r="X3446" s="121"/>
      <c r="Y3446" s="121"/>
      <c r="Z3446" s="121"/>
      <c r="AA3446" s="121">
        <v>664</v>
      </c>
      <c r="AB3446" s="229">
        <f t="shared" si="1447"/>
        <v>0</v>
      </c>
      <c r="AC3446" s="228">
        <f t="shared" si="1443"/>
        <v>2763</v>
      </c>
      <c r="AD3446" s="19">
        <v>2840</v>
      </c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>
        <v>1</v>
      </c>
      <c r="AQ3446" s="28"/>
      <c r="AR3446" s="28"/>
      <c r="AS3446" s="28"/>
      <c r="AT3446" s="28"/>
      <c r="AU3446" s="28"/>
      <c r="AV3446" s="28"/>
      <c r="AW3446" s="28"/>
      <c r="AX3446" s="28"/>
      <c r="AY3446" s="28"/>
      <c r="AZ3446" s="28"/>
      <c r="BA3446" s="28"/>
      <c r="BB3446" s="28"/>
      <c r="BC3446" s="229">
        <f t="shared" si="1448"/>
        <v>0</v>
      </c>
      <c r="BD3446" s="48">
        <f t="shared" si="1444"/>
        <v>1</v>
      </c>
      <c r="BE3446" s="19">
        <v>14</v>
      </c>
      <c r="BF3446" s="229">
        <f t="shared" si="1449"/>
        <v>0</v>
      </c>
      <c r="BG3446" s="210">
        <f t="shared" si="1445"/>
        <v>2764</v>
      </c>
      <c r="BH3446" s="210">
        <f t="shared" si="1446"/>
        <v>2854</v>
      </c>
      <c r="BI3446" s="213">
        <f t="shared" si="1442"/>
        <v>96.846531184302734</v>
      </c>
      <c r="BJ3446" s="339" t="s">
        <v>2856</v>
      </c>
      <c r="BK3446" s="201"/>
    </row>
    <row r="3447" spans="1:63" ht="18" customHeight="1">
      <c r="A3447" s="114">
        <v>17</v>
      </c>
      <c r="B3447" s="156" t="s">
        <v>1824</v>
      </c>
      <c r="C3447" s="25" t="s">
        <v>1221</v>
      </c>
      <c r="D3447" s="121"/>
      <c r="E3447" s="121"/>
      <c r="F3447" s="121"/>
      <c r="G3447" s="121"/>
      <c r="H3447" s="121"/>
      <c r="I3447" s="121">
        <f>697+1</f>
        <v>698</v>
      </c>
      <c r="J3447" s="121"/>
      <c r="K3447" s="121"/>
      <c r="L3447" s="121"/>
      <c r="M3447" s="121"/>
      <c r="N3447" s="121"/>
      <c r="O3447" s="121">
        <v>812</v>
      </c>
      <c r="P3447" s="121"/>
      <c r="Q3447" s="121"/>
      <c r="R3447" s="121"/>
      <c r="S3447" s="121"/>
      <c r="T3447" s="121"/>
      <c r="U3447" s="121">
        <v>560</v>
      </c>
      <c r="V3447" s="121"/>
      <c r="W3447" s="121"/>
      <c r="X3447" s="121"/>
      <c r="Y3447" s="121"/>
      <c r="Z3447" s="121"/>
      <c r="AA3447" s="121">
        <v>660</v>
      </c>
      <c r="AB3447" s="229">
        <f t="shared" si="1447"/>
        <v>0</v>
      </c>
      <c r="AC3447" s="228">
        <f t="shared" si="1443"/>
        <v>2730</v>
      </c>
      <c r="AD3447" s="19">
        <v>2780</v>
      </c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>
        <v>1</v>
      </c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29">
        <f t="shared" si="1448"/>
        <v>0</v>
      </c>
      <c r="BD3447" s="48">
        <f t="shared" si="1444"/>
        <v>1</v>
      </c>
      <c r="BE3447" s="19">
        <v>14</v>
      </c>
      <c r="BF3447" s="229">
        <f t="shared" si="1449"/>
        <v>0</v>
      </c>
      <c r="BG3447" s="210">
        <f t="shared" si="1445"/>
        <v>2731</v>
      </c>
      <c r="BH3447" s="210">
        <f t="shared" si="1446"/>
        <v>2794</v>
      </c>
      <c r="BI3447" s="213">
        <f t="shared" si="1442"/>
        <v>97.745168217609162</v>
      </c>
      <c r="BJ3447" s="339" t="s">
        <v>2856</v>
      </c>
      <c r="BK3447" s="201"/>
    </row>
    <row r="3448" spans="1:63" ht="18" customHeight="1">
      <c r="A3448" s="114">
        <v>18</v>
      </c>
      <c r="B3448" s="156" t="s">
        <v>1825</v>
      </c>
      <c r="C3448" s="25" t="s">
        <v>1923</v>
      </c>
      <c r="D3448" s="121"/>
      <c r="E3448" s="121"/>
      <c r="F3448" s="121"/>
      <c r="G3448" s="121"/>
      <c r="H3448" s="121"/>
      <c r="I3448" s="121">
        <f>691+1</f>
        <v>692</v>
      </c>
      <c r="J3448" s="121"/>
      <c r="K3448" s="121"/>
      <c r="L3448" s="121"/>
      <c r="M3448" s="121"/>
      <c r="N3448" s="121"/>
      <c r="O3448" s="121">
        <v>802</v>
      </c>
      <c r="P3448" s="121"/>
      <c r="Q3448" s="121"/>
      <c r="R3448" s="121"/>
      <c r="S3448" s="121"/>
      <c r="T3448" s="121"/>
      <c r="U3448" s="121">
        <v>567</v>
      </c>
      <c r="V3448" s="121"/>
      <c r="W3448" s="121"/>
      <c r="X3448" s="121"/>
      <c r="Y3448" s="121"/>
      <c r="Z3448" s="121"/>
      <c r="AA3448" s="121">
        <v>653</v>
      </c>
      <c r="AB3448" s="229">
        <f t="shared" si="1447"/>
        <v>0</v>
      </c>
      <c r="AC3448" s="228">
        <f t="shared" si="1443"/>
        <v>2714</v>
      </c>
      <c r="AD3448" s="19">
        <v>2748</v>
      </c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>
        <v>1</v>
      </c>
      <c r="AQ3448" s="28"/>
      <c r="AR3448" s="28"/>
      <c r="AS3448" s="28"/>
      <c r="AT3448" s="28"/>
      <c r="AU3448" s="28"/>
      <c r="AV3448" s="28"/>
      <c r="AW3448" s="28"/>
      <c r="AX3448" s="28"/>
      <c r="AY3448" s="28"/>
      <c r="AZ3448" s="28"/>
      <c r="BA3448" s="28"/>
      <c r="BB3448" s="28"/>
      <c r="BC3448" s="229">
        <f t="shared" si="1448"/>
        <v>0</v>
      </c>
      <c r="BD3448" s="48">
        <f t="shared" si="1444"/>
        <v>1</v>
      </c>
      <c r="BE3448" s="19">
        <v>12</v>
      </c>
      <c r="BF3448" s="229">
        <f t="shared" si="1449"/>
        <v>0</v>
      </c>
      <c r="BG3448" s="210">
        <f t="shared" si="1445"/>
        <v>2715</v>
      </c>
      <c r="BH3448" s="210">
        <f t="shared" si="1446"/>
        <v>2760</v>
      </c>
      <c r="BI3448" s="213">
        <f t="shared" si="1442"/>
        <v>98.369565217391312</v>
      </c>
      <c r="BJ3448" s="339" t="s">
        <v>2856</v>
      </c>
      <c r="BK3448" s="201"/>
    </row>
    <row r="3449" spans="1:63" ht="18" customHeight="1">
      <c r="A3449" s="114">
        <v>19</v>
      </c>
      <c r="B3449" s="156" t="s">
        <v>1826</v>
      </c>
      <c r="C3449" s="159" t="s">
        <v>1827</v>
      </c>
      <c r="D3449" s="121"/>
      <c r="E3449" s="121"/>
      <c r="F3449" s="121"/>
      <c r="G3449" s="121"/>
      <c r="H3449" s="121"/>
      <c r="I3449" s="121">
        <v>205</v>
      </c>
      <c r="J3449" s="121"/>
      <c r="K3449" s="121"/>
      <c r="L3449" s="121"/>
      <c r="M3449" s="121"/>
      <c r="N3449" s="121"/>
      <c r="O3449" s="121">
        <v>248</v>
      </c>
      <c r="P3449" s="121"/>
      <c r="Q3449" s="121"/>
      <c r="R3449" s="121"/>
      <c r="S3449" s="121"/>
      <c r="T3449" s="121"/>
      <c r="U3449" s="121">
        <v>136</v>
      </c>
      <c r="V3449" s="121"/>
      <c r="W3449" s="121"/>
      <c r="X3449" s="121"/>
      <c r="Y3449" s="121"/>
      <c r="Z3449" s="121"/>
      <c r="AA3449" s="121">
        <v>110</v>
      </c>
      <c r="AB3449" s="229">
        <f t="shared" si="1447"/>
        <v>0</v>
      </c>
      <c r="AC3449" s="228">
        <f t="shared" si="1443"/>
        <v>699</v>
      </c>
      <c r="AD3449" s="19">
        <v>887</v>
      </c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>
        <v>1</v>
      </c>
      <c r="AQ3449" s="28"/>
      <c r="AR3449" s="28"/>
      <c r="AS3449" s="28"/>
      <c r="AT3449" s="28"/>
      <c r="AU3449" s="28"/>
      <c r="AV3449" s="28"/>
      <c r="AW3449" s="28"/>
      <c r="AX3449" s="28"/>
      <c r="AY3449" s="28"/>
      <c r="AZ3449" s="28"/>
      <c r="BA3449" s="28"/>
      <c r="BB3449" s="28"/>
      <c r="BC3449" s="229">
        <f t="shared" si="1448"/>
        <v>0</v>
      </c>
      <c r="BD3449" s="48">
        <f t="shared" si="1444"/>
        <v>1</v>
      </c>
      <c r="BE3449" s="19">
        <v>3</v>
      </c>
      <c r="BF3449" s="229">
        <f t="shared" si="1449"/>
        <v>0</v>
      </c>
      <c r="BG3449" s="210">
        <f t="shared" si="1445"/>
        <v>700</v>
      </c>
      <c r="BH3449" s="210">
        <f t="shared" si="1446"/>
        <v>890</v>
      </c>
      <c r="BI3449" s="213">
        <f t="shared" si="1442"/>
        <v>78.651685393258433</v>
      </c>
      <c r="BJ3449" s="339" t="s">
        <v>2856</v>
      </c>
      <c r="BK3449" s="201"/>
    </row>
    <row r="3450" spans="1:63" ht="18" customHeight="1">
      <c r="A3450" s="114">
        <v>20</v>
      </c>
      <c r="B3450" s="156" t="s">
        <v>1799</v>
      </c>
      <c r="C3450" s="159" t="s">
        <v>1800</v>
      </c>
      <c r="D3450" s="121"/>
      <c r="E3450" s="121"/>
      <c r="F3450" s="121"/>
      <c r="G3450" s="121"/>
      <c r="H3450" s="121"/>
      <c r="I3450" s="121">
        <f>487+1</f>
        <v>488</v>
      </c>
      <c r="J3450" s="121"/>
      <c r="K3450" s="121"/>
      <c r="L3450" s="121"/>
      <c r="M3450" s="121"/>
      <c r="N3450" s="121"/>
      <c r="O3450" s="121">
        <v>565</v>
      </c>
      <c r="P3450" s="121"/>
      <c r="Q3450" s="121"/>
      <c r="R3450" s="121"/>
      <c r="S3450" s="121"/>
      <c r="T3450" s="121"/>
      <c r="U3450" s="121">
        <v>430</v>
      </c>
      <c r="V3450" s="121"/>
      <c r="W3450" s="121"/>
      <c r="X3450" s="121"/>
      <c r="Y3450" s="121"/>
      <c r="Z3450" s="121"/>
      <c r="AA3450" s="121">
        <v>549</v>
      </c>
      <c r="AB3450" s="229">
        <f t="shared" si="1447"/>
        <v>0</v>
      </c>
      <c r="AC3450" s="228">
        <f t="shared" si="1443"/>
        <v>2032</v>
      </c>
      <c r="AD3450" s="19">
        <v>1872</v>
      </c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  <c r="AZ3450" s="28"/>
      <c r="BA3450" s="28"/>
      <c r="BB3450" s="28"/>
      <c r="BC3450" s="229">
        <f t="shared" si="1448"/>
        <v>0</v>
      </c>
      <c r="BD3450" s="48">
        <f t="shared" si="1444"/>
        <v>0</v>
      </c>
      <c r="BE3450" s="19">
        <v>10</v>
      </c>
      <c r="BF3450" s="229">
        <f t="shared" si="1449"/>
        <v>0</v>
      </c>
      <c r="BG3450" s="210">
        <f t="shared" si="1445"/>
        <v>2032</v>
      </c>
      <c r="BH3450" s="210">
        <f t="shared" si="1446"/>
        <v>1882</v>
      </c>
      <c r="BI3450" s="213">
        <f t="shared" si="1442"/>
        <v>107.97024442082889</v>
      </c>
      <c r="BJ3450" s="339" t="s">
        <v>2856</v>
      </c>
      <c r="BK3450" s="201"/>
    </row>
    <row r="3451" spans="1:63" ht="18" customHeight="1">
      <c r="A3451" s="114">
        <v>21</v>
      </c>
      <c r="B3451" s="156" t="s">
        <v>1828</v>
      </c>
      <c r="C3451" s="159" t="s">
        <v>1829</v>
      </c>
      <c r="D3451" s="121"/>
      <c r="E3451" s="121"/>
      <c r="F3451" s="121"/>
      <c r="G3451" s="121"/>
      <c r="H3451" s="121"/>
      <c r="I3451" s="121">
        <f>486+1</f>
        <v>487</v>
      </c>
      <c r="J3451" s="121"/>
      <c r="K3451" s="121"/>
      <c r="L3451" s="121"/>
      <c r="M3451" s="121"/>
      <c r="N3451" s="121"/>
      <c r="O3451" s="121">
        <v>554</v>
      </c>
      <c r="P3451" s="121"/>
      <c r="Q3451" s="121"/>
      <c r="R3451" s="121"/>
      <c r="S3451" s="121"/>
      <c r="T3451" s="121"/>
      <c r="U3451" s="121">
        <v>421</v>
      </c>
      <c r="V3451" s="121"/>
      <c r="W3451" s="121"/>
      <c r="X3451" s="121"/>
      <c r="Y3451" s="121"/>
      <c r="Z3451" s="121"/>
      <c r="AA3451" s="121">
        <v>545</v>
      </c>
      <c r="AB3451" s="229">
        <f t="shared" si="1447"/>
        <v>0</v>
      </c>
      <c r="AC3451" s="228">
        <f t="shared" si="1443"/>
        <v>2007</v>
      </c>
      <c r="AD3451" s="19">
        <v>1870</v>
      </c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  <c r="AZ3451" s="28"/>
      <c r="BA3451" s="28"/>
      <c r="BB3451" s="28"/>
      <c r="BC3451" s="229">
        <f t="shared" si="1448"/>
        <v>0</v>
      </c>
      <c r="BD3451" s="48">
        <f t="shared" si="1444"/>
        <v>0</v>
      </c>
      <c r="BE3451" s="19">
        <v>10</v>
      </c>
      <c r="BF3451" s="229">
        <f t="shared" si="1449"/>
        <v>0</v>
      </c>
      <c r="BG3451" s="210">
        <f t="shared" si="1445"/>
        <v>2007</v>
      </c>
      <c r="BH3451" s="210">
        <f t="shared" si="1446"/>
        <v>1880</v>
      </c>
      <c r="BI3451" s="213">
        <f t="shared" si="1442"/>
        <v>106.75531914893617</v>
      </c>
      <c r="BJ3451" s="339" t="s">
        <v>2856</v>
      </c>
      <c r="BK3451" s="201"/>
    </row>
    <row r="3452" spans="1:63" ht="18" customHeight="1">
      <c r="A3452" s="114">
        <v>22</v>
      </c>
      <c r="B3452" s="156" t="s">
        <v>1830</v>
      </c>
      <c r="C3452" s="159" t="s">
        <v>1831</v>
      </c>
      <c r="D3452" s="121"/>
      <c r="E3452" s="121"/>
      <c r="F3452" s="121"/>
      <c r="G3452" s="121"/>
      <c r="H3452" s="121"/>
      <c r="I3452" s="121">
        <f>486+1</f>
        <v>487</v>
      </c>
      <c r="J3452" s="121"/>
      <c r="K3452" s="121"/>
      <c r="L3452" s="121"/>
      <c r="M3452" s="121"/>
      <c r="N3452" s="121"/>
      <c r="O3452" s="121">
        <v>554</v>
      </c>
      <c r="P3452" s="121"/>
      <c r="Q3452" s="121"/>
      <c r="R3452" s="121"/>
      <c r="S3452" s="121"/>
      <c r="T3452" s="121"/>
      <c r="U3452" s="121">
        <v>421</v>
      </c>
      <c r="V3452" s="121"/>
      <c r="W3452" s="121"/>
      <c r="X3452" s="121"/>
      <c r="Y3452" s="121"/>
      <c r="Z3452" s="121"/>
      <c r="AA3452" s="121">
        <v>543</v>
      </c>
      <c r="AB3452" s="229">
        <f t="shared" si="1447"/>
        <v>0</v>
      </c>
      <c r="AC3452" s="228">
        <f t="shared" si="1443"/>
        <v>2005</v>
      </c>
      <c r="AD3452" s="19">
        <v>1870</v>
      </c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  <c r="AZ3452" s="28"/>
      <c r="BA3452" s="28"/>
      <c r="BB3452" s="28"/>
      <c r="BC3452" s="229">
        <f t="shared" si="1448"/>
        <v>0</v>
      </c>
      <c r="BD3452" s="48">
        <f t="shared" si="1444"/>
        <v>0</v>
      </c>
      <c r="BE3452" s="19">
        <v>10</v>
      </c>
      <c r="BF3452" s="229">
        <f t="shared" si="1449"/>
        <v>0</v>
      </c>
      <c r="BG3452" s="210">
        <f t="shared" si="1445"/>
        <v>2005</v>
      </c>
      <c r="BH3452" s="210">
        <f t="shared" si="1446"/>
        <v>1880</v>
      </c>
      <c r="BI3452" s="213">
        <f t="shared" si="1442"/>
        <v>106.64893617021276</v>
      </c>
      <c r="BJ3452" s="339" t="s">
        <v>2856</v>
      </c>
      <c r="BK3452" s="201"/>
    </row>
    <row r="3453" spans="1:63" ht="18" customHeight="1">
      <c r="A3453" s="114">
        <v>23</v>
      </c>
      <c r="B3453" s="156" t="s">
        <v>1832</v>
      </c>
      <c r="C3453" s="159" t="s">
        <v>1833</v>
      </c>
      <c r="D3453" s="121"/>
      <c r="E3453" s="121"/>
      <c r="F3453" s="121"/>
      <c r="G3453" s="121"/>
      <c r="H3453" s="121"/>
      <c r="I3453" s="121">
        <f>486+1</f>
        <v>487</v>
      </c>
      <c r="J3453" s="121"/>
      <c r="K3453" s="121"/>
      <c r="L3453" s="121"/>
      <c r="M3453" s="121"/>
      <c r="N3453" s="121"/>
      <c r="O3453" s="121">
        <v>554</v>
      </c>
      <c r="P3453" s="121"/>
      <c r="Q3453" s="121"/>
      <c r="R3453" s="121"/>
      <c r="S3453" s="121"/>
      <c r="T3453" s="121"/>
      <c r="U3453" s="121">
        <v>421</v>
      </c>
      <c r="V3453" s="121"/>
      <c r="W3453" s="121"/>
      <c r="X3453" s="121"/>
      <c r="Y3453" s="121"/>
      <c r="Z3453" s="121"/>
      <c r="AA3453" s="121">
        <v>543</v>
      </c>
      <c r="AB3453" s="229">
        <f t="shared" si="1447"/>
        <v>0</v>
      </c>
      <c r="AC3453" s="228">
        <f t="shared" si="1443"/>
        <v>2005</v>
      </c>
      <c r="AD3453" s="19">
        <v>1870</v>
      </c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  <c r="AZ3453" s="28"/>
      <c r="BA3453" s="28"/>
      <c r="BB3453" s="28"/>
      <c r="BC3453" s="229">
        <f t="shared" si="1448"/>
        <v>0</v>
      </c>
      <c r="BD3453" s="48">
        <f t="shared" si="1444"/>
        <v>0</v>
      </c>
      <c r="BE3453" s="19">
        <v>10</v>
      </c>
      <c r="BF3453" s="229">
        <f t="shared" si="1449"/>
        <v>0</v>
      </c>
      <c r="BG3453" s="210">
        <f t="shared" si="1445"/>
        <v>2005</v>
      </c>
      <c r="BH3453" s="210">
        <f t="shared" si="1446"/>
        <v>1880</v>
      </c>
      <c r="BI3453" s="213">
        <f t="shared" si="1442"/>
        <v>106.64893617021276</v>
      </c>
      <c r="BJ3453" s="339" t="s">
        <v>2856</v>
      </c>
      <c r="BK3453" s="201"/>
    </row>
    <row r="3454" spans="1:63" ht="18" customHeight="1">
      <c r="A3454" s="114">
        <v>24</v>
      </c>
      <c r="B3454" s="156" t="s">
        <v>1834</v>
      </c>
      <c r="C3454" s="159" t="s">
        <v>1835</v>
      </c>
      <c r="D3454" s="121"/>
      <c r="E3454" s="121"/>
      <c r="F3454" s="121"/>
      <c r="G3454" s="121"/>
      <c r="H3454" s="121"/>
      <c r="I3454" s="121">
        <v>124</v>
      </c>
      <c r="J3454" s="121"/>
      <c r="K3454" s="121"/>
      <c r="L3454" s="121"/>
      <c r="M3454" s="121"/>
      <c r="N3454" s="121"/>
      <c r="O3454" s="121">
        <v>87</v>
      </c>
      <c r="P3454" s="121"/>
      <c r="Q3454" s="121"/>
      <c r="R3454" s="121"/>
      <c r="S3454" s="121"/>
      <c r="T3454" s="121"/>
      <c r="U3454" s="121">
        <v>80</v>
      </c>
      <c r="V3454" s="121"/>
      <c r="W3454" s="121"/>
      <c r="X3454" s="121"/>
      <c r="Y3454" s="121"/>
      <c r="Z3454" s="121"/>
      <c r="AA3454" s="121">
        <v>78</v>
      </c>
      <c r="AB3454" s="229">
        <f t="shared" si="1447"/>
        <v>0</v>
      </c>
      <c r="AC3454" s="228">
        <f t="shared" si="1443"/>
        <v>369</v>
      </c>
      <c r="AD3454" s="19">
        <v>705</v>
      </c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29">
        <f t="shared" si="1448"/>
        <v>0</v>
      </c>
      <c r="BD3454" s="48">
        <f t="shared" si="1444"/>
        <v>0</v>
      </c>
      <c r="BE3454" s="19">
        <v>2</v>
      </c>
      <c r="BF3454" s="229">
        <f t="shared" si="1449"/>
        <v>0</v>
      </c>
      <c r="BG3454" s="210">
        <f t="shared" si="1445"/>
        <v>369</v>
      </c>
      <c r="BH3454" s="210">
        <f t="shared" si="1446"/>
        <v>707</v>
      </c>
      <c r="BI3454" s="213">
        <f t="shared" si="1442"/>
        <v>52.192362093352195</v>
      </c>
      <c r="BJ3454" s="339" t="s">
        <v>2856</v>
      </c>
      <c r="BK3454" s="201"/>
    </row>
    <row r="3455" spans="1:63" ht="18" customHeight="1">
      <c r="A3455" s="114">
        <v>25</v>
      </c>
      <c r="B3455" s="156" t="s">
        <v>1794</v>
      </c>
      <c r="C3455" s="159" t="s">
        <v>1795</v>
      </c>
      <c r="D3455" s="121"/>
      <c r="E3455" s="121"/>
      <c r="F3455" s="121"/>
      <c r="G3455" s="121"/>
      <c r="H3455" s="121"/>
      <c r="I3455" s="121">
        <f>657+1</f>
        <v>658</v>
      </c>
      <c r="J3455" s="121"/>
      <c r="K3455" s="121"/>
      <c r="L3455" s="121"/>
      <c r="M3455" s="121"/>
      <c r="N3455" s="121"/>
      <c r="O3455" s="121">
        <v>759</v>
      </c>
      <c r="P3455" s="121"/>
      <c r="Q3455" s="121"/>
      <c r="R3455" s="121"/>
      <c r="S3455" s="121"/>
      <c r="T3455" s="121"/>
      <c r="U3455" s="121">
        <f>632+1</f>
        <v>633</v>
      </c>
      <c r="V3455" s="121"/>
      <c r="W3455" s="121"/>
      <c r="X3455" s="121"/>
      <c r="Y3455" s="121"/>
      <c r="Z3455" s="121"/>
      <c r="AA3455" s="121">
        <v>856</v>
      </c>
      <c r="AB3455" s="229">
        <f t="shared" si="1447"/>
        <v>0</v>
      </c>
      <c r="AC3455" s="228">
        <f t="shared" si="1443"/>
        <v>2906</v>
      </c>
      <c r="AD3455" s="19">
        <v>2047</v>
      </c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>
        <v>1</v>
      </c>
      <c r="AQ3455" s="28"/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29">
        <f t="shared" si="1448"/>
        <v>0</v>
      </c>
      <c r="BD3455" s="48">
        <f t="shared" si="1444"/>
        <v>1</v>
      </c>
      <c r="BE3455" s="19">
        <v>10</v>
      </c>
      <c r="BF3455" s="229">
        <f t="shared" si="1449"/>
        <v>0</v>
      </c>
      <c r="BG3455" s="210">
        <f t="shared" si="1445"/>
        <v>2907</v>
      </c>
      <c r="BH3455" s="210">
        <f t="shared" si="1446"/>
        <v>2057</v>
      </c>
      <c r="BI3455" s="213">
        <f t="shared" si="1442"/>
        <v>141.32231404958677</v>
      </c>
      <c r="BJ3455" s="339" t="s">
        <v>2856</v>
      </c>
      <c r="BK3455" s="201"/>
    </row>
    <row r="3456" spans="1:63" ht="18" customHeight="1">
      <c r="A3456" s="114">
        <v>26</v>
      </c>
      <c r="B3456" s="156" t="s">
        <v>1836</v>
      </c>
      <c r="C3456" s="159" t="s">
        <v>1837</v>
      </c>
      <c r="D3456" s="121"/>
      <c r="E3456" s="121"/>
      <c r="F3456" s="121"/>
      <c r="G3456" s="121"/>
      <c r="H3456" s="121"/>
      <c r="I3456" s="121">
        <f>7+1</f>
        <v>8</v>
      </c>
      <c r="J3456" s="121"/>
      <c r="K3456" s="121"/>
      <c r="L3456" s="121"/>
      <c r="M3456" s="121"/>
      <c r="N3456" s="121"/>
      <c r="O3456" s="121">
        <v>7</v>
      </c>
      <c r="P3456" s="121"/>
      <c r="Q3456" s="121"/>
      <c r="R3456" s="121"/>
      <c r="S3456" s="121"/>
      <c r="T3456" s="121"/>
      <c r="U3456" s="121">
        <v>5</v>
      </c>
      <c r="V3456" s="121"/>
      <c r="W3456" s="121"/>
      <c r="X3456" s="121"/>
      <c r="Y3456" s="121"/>
      <c r="Z3456" s="121"/>
      <c r="AA3456" s="121">
        <v>5</v>
      </c>
      <c r="AB3456" s="229">
        <f t="shared" si="1447"/>
        <v>0</v>
      </c>
      <c r="AC3456" s="228">
        <f t="shared" si="1443"/>
        <v>25</v>
      </c>
      <c r="AD3456" s="19">
        <v>35</v>
      </c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29">
        <f t="shared" si="1448"/>
        <v>0</v>
      </c>
      <c r="BD3456" s="48">
        <f t="shared" si="1444"/>
        <v>0</v>
      </c>
      <c r="BE3456" s="19">
        <v>0</v>
      </c>
      <c r="BF3456" s="229">
        <f t="shared" si="1449"/>
        <v>0</v>
      </c>
      <c r="BG3456" s="210">
        <f t="shared" si="1445"/>
        <v>25</v>
      </c>
      <c r="BH3456" s="210">
        <f t="shared" si="1446"/>
        <v>35</v>
      </c>
      <c r="BI3456" s="213">
        <f t="shared" si="1442"/>
        <v>71.428571428571431</v>
      </c>
      <c r="BJ3456" s="339" t="s">
        <v>2856</v>
      </c>
      <c r="BK3456" s="201"/>
    </row>
    <row r="3457" spans="1:65" ht="18" customHeight="1">
      <c r="A3457" s="114">
        <v>27</v>
      </c>
      <c r="B3457" s="24" t="s">
        <v>1792</v>
      </c>
      <c r="C3457" s="162" t="s">
        <v>1793</v>
      </c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229">
        <f t="shared" si="1447"/>
        <v>0</v>
      </c>
      <c r="AC3457" s="228">
        <f t="shared" si="1443"/>
        <v>0</v>
      </c>
      <c r="AD3457" s="19">
        <v>1</v>
      </c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29">
        <f t="shared" si="1448"/>
        <v>0</v>
      </c>
      <c r="BD3457" s="48">
        <f t="shared" si="1444"/>
        <v>0</v>
      </c>
      <c r="BE3457" s="19">
        <v>0</v>
      </c>
      <c r="BF3457" s="229">
        <f t="shared" si="1449"/>
        <v>0</v>
      </c>
      <c r="BG3457" s="210">
        <f t="shared" si="1445"/>
        <v>0</v>
      </c>
      <c r="BH3457" s="210">
        <f t="shared" si="1446"/>
        <v>1</v>
      </c>
      <c r="BI3457" s="213">
        <f t="shared" si="1442"/>
        <v>0</v>
      </c>
      <c r="BJ3457" s="339" t="s">
        <v>2856</v>
      </c>
      <c r="BK3457" s="136"/>
    </row>
    <row r="3458" spans="1:65" s="38" customFormat="1" ht="21.95" customHeight="1">
      <c r="A3458" s="374" t="s">
        <v>1222</v>
      </c>
      <c r="B3458" s="374"/>
      <c r="C3458" s="374"/>
      <c r="D3458" s="220">
        <f t="shared" ref="D3458:BE3458" si="1450">SUM(D3459:D3460)</f>
        <v>0</v>
      </c>
      <c r="E3458" s="220">
        <f t="shared" si="1450"/>
        <v>0</v>
      </c>
      <c r="F3458" s="220">
        <f t="shared" si="1450"/>
        <v>0</v>
      </c>
      <c r="G3458" s="220">
        <f t="shared" si="1450"/>
        <v>0</v>
      </c>
      <c r="H3458" s="220">
        <f t="shared" si="1450"/>
        <v>0</v>
      </c>
      <c r="I3458" s="220">
        <f t="shared" si="1450"/>
        <v>230</v>
      </c>
      <c r="J3458" s="220">
        <f t="shared" si="1450"/>
        <v>0</v>
      </c>
      <c r="K3458" s="220">
        <f t="shared" si="1450"/>
        <v>0</v>
      </c>
      <c r="L3458" s="220">
        <f t="shared" si="1450"/>
        <v>0</v>
      </c>
      <c r="M3458" s="220">
        <f t="shared" si="1450"/>
        <v>0</v>
      </c>
      <c r="N3458" s="220">
        <f t="shared" si="1450"/>
        <v>0</v>
      </c>
      <c r="O3458" s="220">
        <f t="shared" si="1450"/>
        <v>0</v>
      </c>
      <c r="P3458" s="220">
        <f t="shared" si="1450"/>
        <v>0</v>
      </c>
      <c r="Q3458" s="220">
        <f t="shared" si="1450"/>
        <v>0</v>
      </c>
      <c r="R3458" s="220">
        <f t="shared" si="1450"/>
        <v>0</v>
      </c>
      <c r="S3458" s="220">
        <f t="shared" si="1450"/>
        <v>0</v>
      </c>
      <c r="T3458" s="220">
        <f t="shared" si="1450"/>
        <v>0</v>
      </c>
      <c r="U3458" s="220">
        <f t="shared" si="1450"/>
        <v>0</v>
      </c>
      <c r="V3458" s="220">
        <f t="shared" si="1450"/>
        <v>0</v>
      </c>
      <c r="W3458" s="220">
        <f t="shared" si="1450"/>
        <v>0</v>
      </c>
      <c r="X3458" s="220">
        <f t="shared" si="1450"/>
        <v>0</v>
      </c>
      <c r="Y3458" s="220">
        <f t="shared" si="1450"/>
        <v>0</v>
      </c>
      <c r="Z3458" s="220">
        <f t="shared" si="1450"/>
        <v>0</v>
      </c>
      <c r="AA3458" s="220">
        <f t="shared" si="1450"/>
        <v>0</v>
      </c>
      <c r="AB3458" s="220">
        <f t="shared" si="1410"/>
        <v>0</v>
      </c>
      <c r="AC3458" s="220">
        <f t="shared" si="1411"/>
        <v>230</v>
      </c>
      <c r="AD3458" s="220">
        <f t="shared" si="1450"/>
        <v>3614</v>
      </c>
      <c r="AE3458" s="220">
        <f t="shared" si="1450"/>
        <v>0</v>
      </c>
      <c r="AF3458" s="220">
        <f t="shared" si="1450"/>
        <v>0</v>
      </c>
      <c r="AG3458" s="220">
        <f t="shared" si="1450"/>
        <v>0</v>
      </c>
      <c r="AH3458" s="220">
        <f t="shared" si="1450"/>
        <v>0</v>
      </c>
      <c r="AI3458" s="220">
        <f t="shared" si="1450"/>
        <v>0</v>
      </c>
      <c r="AJ3458" s="220">
        <f t="shared" si="1450"/>
        <v>0</v>
      </c>
      <c r="AK3458" s="220">
        <f t="shared" si="1450"/>
        <v>0</v>
      </c>
      <c r="AL3458" s="220">
        <f t="shared" si="1450"/>
        <v>0</v>
      </c>
      <c r="AM3458" s="220">
        <f t="shared" si="1450"/>
        <v>0</v>
      </c>
      <c r="AN3458" s="220">
        <f t="shared" si="1450"/>
        <v>0</v>
      </c>
      <c r="AO3458" s="220">
        <f t="shared" si="1450"/>
        <v>0</v>
      </c>
      <c r="AP3458" s="220">
        <f t="shared" si="1450"/>
        <v>0</v>
      </c>
      <c r="AQ3458" s="220">
        <f t="shared" si="1450"/>
        <v>0</v>
      </c>
      <c r="AR3458" s="220">
        <f t="shared" si="1450"/>
        <v>0</v>
      </c>
      <c r="AS3458" s="220">
        <f t="shared" si="1450"/>
        <v>0</v>
      </c>
      <c r="AT3458" s="220">
        <f t="shared" si="1450"/>
        <v>0</v>
      </c>
      <c r="AU3458" s="220">
        <f t="shared" ref="AU3458:AX3458" si="1451">SUM(AU3459:AU3460)</f>
        <v>0</v>
      </c>
      <c r="AV3458" s="220">
        <f t="shared" si="1451"/>
        <v>0</v>
      </c>
      <c r="AW3458" s="220">
        <f t="shared" si="1451"/>
        <v>0</v>
      </c>
      <c r="AX3458" s="220">
        <f t="shared" si="1451"/>
        <v>0</v>
      </c>
      <c r="AY3458" s="220">
        <f t="shared" si="1450"/>
        <v>0</v>
      </c>
      <c r="AZ3458" s="220">
        <f t="shared" si="1450"/>
        <v>0</v>
      </c>
      <c r="BA3458" s="220">
        <f t="shared" si="1450"/>
        <v>0</v>
      </c>
      <c r="BB3458" s="220">
        <f t="shared" si="1450"/>
        <v>0</v>
      </c>
      <c r="BC3458" s="220">
        <f t="shared" si="1412"/>
        <v>0</v>
      </c>
      <c r="BD3458" s="210">
        <f t="shared" si="1413"/>
        <v>0</v>
      </c>
      <c r="BE3458" s="220">
        <f t="shared" si="1450"/>
        <v>3</v>
      </c>
      <c r="BF3458" s="220">
        <f t="shared" si="1414"/>
        <v>0</v>
      </c>
      <c r="BG3458" s="210">
        <f t="shared" si="1415"/>
        <v>230</v>
      </c>
      <c r="BH3458" s="210">
        <f t="shared" ref="BH3458:BH3496" si="1452">AD3458+BE3458</f>
        <v>3617</v>
      </c>
      <c r="BI3458" s="213">
        <f t="shared" si="1417"/>
        <v>6.3588609344760849</v>
      </c>
      <c r="BJ3458" s="142">
        <v>3617</v>
      </c>
      <c r="BK3458" s="203">
        <f>BH3458-BJ3458</f>
        <v>0</v>
      </c>
      <c r="BL3458" s="4"/>
      <c r="BM3458" s="4"/>
    </row>
    <row r="3459" spans="1:65" s="38" customFormat="1" ht="18" customHeight="1">
      <c r="A3459" s="115" t="s">
        <v>1191</v>
      </c>
      <c r="B3459" s="24" t="s">
        <v>1482</v>
      </c>
      <c r="C3459" s="29" t="s">
        <v>1483</v>
      </c>
      <c r="D3459" s="121"/>
      <c r="E3459" s="121"/>
      <c r="F3459" s="121"/>
      <c r="G3459" s="121"/>
      <c r="H3459" s="121"/>
      <c r="I3459" s="121">
        <v>119</v>
      </c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229">
        <f t="shared" si="1410"/>
        <v>0</v>
      </c>
      <c r="AC3459" s="228">
        <f t="shared" si="1411"/>
        <v>119</v>
      </c>
      <c r="AD3459" s="74">
        <v>1860</v>
      </c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229">
        <f t="shared" si="1412"/>
        <v>0</v>
      </c>
      <c r="BD3459" s="48">
        <f t="shared" si="1413"/>
        <v>0</v>
      </c>
      <c r="BE3459" s="71">
        <v>0</v>
      </c>
      <c r="BF3459" s="229">
        <f t="shared" si="1414"/>
        <v>0</v>
      </c>
      <c r="BG3459" s="210">
        <f t="shared" si="1415"/>
        <v>119</v>
      </c>
      <c r="BH3459" s="210">
        <f t="shared" si="1452"/>
        <v>1860</v>
      </c>
      <c r="BI3459" s="213">
        <f t="shared" si="1417"/>
        <v>6.3978494623655919</v>
      </c>
      <c r="BJ3459" s="270" t="s">
        <v>2857</v>
      </c>
      <c r="BK3459" s="201"/>
      <c r="BL3459" s="4"/>
      <c r="BM3459" s="4"/>
    </row>
    <row r="3460" spans="1:65" s="38" customFormat="1" ht="21.95" customHeight="1">
      <c r="A3460" s="114">
        <v>2</v>
      </c>
      <c r="B3460" s="24" t="s">
        <v>677</v>
      </c>
      <c r="C3460" s="27" t="s">
        <v>2607</v>
      </c>
      <c r="D3460" s="121"/>
      <c r="E3460" s="121"/>
      <c r="F3460" s="121"/>
      <c r="G3460" s="121"/>
      <c r="H3460" s="121"/>
      <c r="I3460" s="121">
        <v>111</v>
      </c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229">
        <f t="shared" si="1410"/>
        <v>0</v>
      </c>
      <c r="AC3460" s="228">
        <f t="shared" si="1411"/>
        <v>111</v>
      </c>
      <c r="AD3460" s="19">
        <v>1754</v>
      </c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  <c r="AZ3460" s="28"/>
      <c r="BA3460" s="28"/>
      <c r="BB3460" s="28"/>
      <c r="BC3460" s="229">
        <f t="shared" si="1412"/>
        <v>0</v>
      </c>
      <c r="BD3460" s="48">
        <f t="shared" si="1413"/>
        <v>0</v>
      </c>
      <c r="BE3460" s="19">
        <v>3</v>
      </c>
      <c r="BF3460" s="229">
        <f t="shared" si="1414"/>
        <v>0</v>
      </c>
      <c r="BG3460" s="210">
        <f t="shared" si="1415"/>
        <v>111</v>
      </c>
      <c r="BH3460" s="210">
        <f t="shared" si="1452"/>
        <v>1757</v>
      </c>
      <c r="BI3460" s="213">
        <f t="shared" si="1417"/>
        <v>6.317586795674444</v>
      </c>
      <c r="BJ3460" s="141"/>
      <c r="BK3460" s="201"/>
      <c r="BL3460" s="4"/>
      <c r="BM3460" s="4"/>
    </row>
    <row r="3461" spans="1:65" s="38" customFormat="1" ht="21.95" customHeight="1">
      <c r="A3461" s="372" t="s">
        <v>2782</v>
      </c>
      <c r="B3461" s="372"/>
      <c r="C3461" s="372"/>
      <c r="D3461" s="220">
        <f t="shared" ref="D3461:BE3461" si="1453">SUM(D3462:D3473)</f>
        <v>0</v>
      </c>
      <c r="E3461" s="220">
        <f t="shared" si="1453"/>
        <v>0</v>
      </c>
      <c r="F3461" s="220">
        <f t="shared" si="1453"/>
        <v>0</v>
      </c>
      <c r="G3461" s="220">
        <f t="shared" si="1453"/>
        <v>0</v>
      </c>
      <c r="H3461" s="220">
        <f t="shared" si="1453"/>
        <v>0</v>
      </c>
      <c r="I3461" s="220">
        <f t="shared" si="1453"/>
        <v>1</v>
      </c>
      <c r="J3461" s="220">
        <f t="shared" si="1453"/>
        <v>0</v>
      </c>
      <c r="K3461" s="220">
        <f t="shared" si="1453"/>
        <v>0</v>
      </c>
      <c r="L3461" s="220">
        <f t="shared" si="1453"/>
        <v>0</v>
      </c>
      <c r="M3461" s="220">
        <f t="shared" si="1453"/>
        <v>0</v>
      </c>
      <c r="N3461" s="220">
        <f t="shared" si="1453"/>
        <v>0</v>
      </c>
      <c r="O3461" s="220">
        <f t="shared" si="1453"/>
        <v>0</v>
      </c>
      <c r="P3461" s="220">
        <f t="shared" si="1453"/>
        <v>0</v>
      </c>
      <c r="Q3461" s="220">
        <f t="shared" si="1453"/>
        <v>0</v>
      </c>
      <c r="R3461" s="220">
        <f t="shared" si="1453"/>
        <v>0</v>
      </c>
      <c r="S3461" s="220">
        <f t="shared" si="1453"/>
        <v>0</v>
      </c>
      <c r="T3461" s="220">
        <f t="shared" si="1453"/>
        <v>0</v>
      </c>
      <c r="U3461" s="220">
        <f t="shared" si="1453"/>
        <v>0</v>
      </c>
      <c r="V3461" s="220">
        <f t="shared" si="1453"/>
        <v>0</v>
      </c>
      <c r="W3461" s="220">
        <f t="shared" si="1453"/>
        <v>0</v>
      </c>
      <c r="X3461" s="220">
        <f t="shared" si="1453"/>
        <v>0</v>
      </c>
      <c r="Y3461" s="220">
        <f t="shared" si="1453"/>
        <v>0</v>
      </c>
      <c r="Z3461" s="220">
        <f t="shared" si="1453"/>
        <v>0</v>
      </c>
      <c r="AA3461" s="220">
        <f t="shared" si="1453"/>
        <v>0</v>
      </c>
      <c r="AB3461" s="220">
        <f t="shared" si="1410"/>
        <v>0</v>
      </c>
      <c r="AC3461" s="220">
        <f t="shared" si="1411"/>
        <v>1</v>
      </c>
      <c r="AD3461" s="220">
        <f t="shared" si="1453"/>
        <v>45</v>
      </c>
      <c r="AE3461" s="220">
        <f t="shared" si="1453"/>
        <v>0</v>
      </c>
      <c r="AF3461" s="220">
        <f t="shared" si="1453"/>
        <v>0</v>
      </c>
      <c r="AG3461" s="220">
        <f t="shared" si="1453"/>
        <v>0</v>
      </c>
      <c r="AH3461" s="220">
        <f t="shared" si="1453"/>
        <v>0</v>
      </c>
      <c r="AI3461" s="220">
        <f t="shared" si="1453"/>
        <v>0</v>
      </c>
      <c r="AJ3461" s="220">
        <f t="shared" si="1453"/>
        <v>1437</v>
      </c>
      <c r="AK3461" s="220">
        <f t="shared" si="1453"/>
        <v>0</v>
      </c>
      <c r="AL3461" s="220">
        <f t="shared" si="1453"/>
        <v>0</v>
      </c>
      <c r="AM3461" s="220">
        <f t="shared" si="1453"/>
        <v>0</v>
      </c>
      <c r="AN3461" s="220">
        <f t="shared" si="1453"/>
        <v>0</v>
      </c>
      <c r="AO3461" s="220">
        <f t="shared" si="1453"/>
        <v>0</v>
      </c>
      <c r="AP3461" s="220">
        <f t="shared" si="1453"/>
        <v>1397</v>
      </c>
      <c r="AQ3461" s="220">
        <f t="shared" si="1453"/>
        <v>0</v>
      </c>
      <c r="AR3461" s="220">
        <f t="shared" si="1453"/>
        <v>0</v>
      </c>
      <c r="AS3461" s="220">
        <f t="shared" si="1453"/>
        <v>0</v>
      </c>
      <c r="AT3461" s="220">
        <f t="shared" si="1453"/>
        <v>0</v>
      </c>
      <c r="AU3461" s="220">
        <f t="shared" ref="AU3461:AX3461" si="1454">SUM(AU3462:AU3473)</f>
        <v>0</v>
      </c>
      <c r="AV3461" s="220">
        <f t="shared" si="1454"/>
        <v>1839</v>
      </c>
      <c r="AW3461" s="220">
        <f t="shared" si="1454"/>
        <v>0</v>
      </c>
      <c r="AX3461" s="220">
        <f t="shared" si="1454"/>
        <v>0</v>
      </c>
      <c r="AY3461" s="220">
        <f t="shared" si="1453"/>
        <v>0</v>
      </c>
      <c r="AZ3461" s="220">
        <f t="shared" si="1453"/>
        <v>0</v>
      </c>
      <c r="BA3461" s="220">
        <f t="shared" si="1453"/>
        <v>0</v>
      </c>
      <c r="BB3461" s="220">
        <f t="shared" si="1453"/>
        <v>1357</v>
      </c>
      <c r="BC3461" s="220">
        <f t="shared" si="1412"/>
        <v>0</v>
      </c>
      <c r="BD3461" s="210">
        <f t="shared" si="1413"/>
        <v>6030</v>
      </c>
      <c r="BE3461" s="276">
        <f t="shared" si="1453"/>
        <v>5896</v>
      </c>
      <c r="BF3461" s="220">
        <f t="shared" si="1414"/>
        <v>0</v>
      </c>
      <c r="BG3461" s="210">
        <f t="shared" si="1415"/>
        <v>6031</v>
      </c>
      <c r="BH3461" s="210">
        <f t="shared" si="1452"/>
        <v>5941</v>
      </c>
      <c r="BI3461" s="213">
        <f t="shared" si="1417"/>
        <v>101.51489648207372</v>
      </c>
      <c r="BJ3461" s="142">
        <v>5941</v>
      </c>
      <c r="BK3461" s="203">
        <f>BH3461-BJ3461</f>
        <v>0</v>
      </c>
      <c r="BL3461" s="4"/>
      <c r="BM3461" s="4"/>
    </row>
    <row r="3462" spans="1:65" s="38" customFormat="1" ht="18" customHeight="1">
      <c r="A3462" s="114">
        <v>1</v>
      </c>
      <c r="B3462" s="24" t="s">
        <v>2239</v>
      </c>
      <c r="C3462" s="25" t="s">
        <v>2240</v>
      </c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229">
        <f t="shared" ref="AB3462:AB3473" si="1455">D3462+F3462+H3462+J3462+L3462+N3462+P3462+R3462+T3462+V3462+X3462+Z3462</f>
        <v>0</v>
      </c>
      <c r="AC3462" s="228">
        <f t="shared" ref="AC3462:AC3473" si="1456">E3462+G3462+I3462+K3462+M3462+O3462+Q3462+S3462+U3462+W3462+Y3462+AA3462</f>
        <v>0</v>
      </c>
      <c r="AD3462" s="19">
        <v>0</v>
      </c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29">
        <f t="shared" ref="BC3462:BC3473" si="1457">AE3462+AG3462+AI3462+AK3462+AM3462+AO3462+AQ3462+AS3462+AU3462+AW3462+AY3462+BA3462</f>
        <v>0</v>
      </c>
      <c r="BD3462" s="48">
        <f t="shared" ref="BD3462:BD3473" si="1458">AF3462+AH3462+AJ3462+AL3462+AN3462+AP3462+AR3462+AT3462+AV3462+AX3462+AZ3462+BB3462</f>
        <v>0</v>
      </c>
      <c r="BE3462" s="19">
        <v>55</v>
      </c>
      <c r="BF3462" s="229">
        <f t="shared" ref="BF3462:BF3473" si="1459">AB3462+BC3462</f>
        <v>0</v>
      </c>
      <c r="BG3462" s="210">
        <f t="shared" ref="BG3462:BG3473" si="1460">AC3462+BD3462</f>
        <v>0</v>
      </c>
      <c r="BH3462" s="210">
        <f t="shared" si="1452"/>
        <v>55</v>
      </c>
      <c r="BI3462" s="213">
        <f t="shared" ref="BI3462:BI3473" si="1461">BG3462/BH3462*100</f>
        <v>0</v>
      </c>
      <c r="BJ3462" s="141"/>
      <c r="BK3462" s="201"/>
      <c r="BL3462" s="4"/>
      <c r="BM3462" s="4"/>
    </row>
    <row r="3463" spans="1:65" s="38" customFormat="1" ht="18" customHeight="1">
      <c r="A3463" s="114">
        <v>2</v>
      </c>
      <c r="B3463" s="24" t="s">
        <v>2241</v>
      </c>
      <c r="C3463" s="25" t="s">
        <v>2242</v>
      </c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229">
        <f t="shared" si="1455"/>
        <v>0</v>
      </c>
      <c r="AC3463" s="228">
        <f t="shared" si="1456"/>
        <v>0</v>
      </c>
      <c r="AD3463" s="19">
        <v>2</v>
      </c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29">
        <f t="shared" si="1457"/>
        <v>0</v>
      </c>
      <c r="BD3463" s="48">
        <f t="shared" si="1458"/>
        <v>0</v>
      </c>
      <c r="BE3463" s="19">
        <v>5</v>
      </c>
      <c r="BF3463" s="229">
        <f t="shared" si="1459"/>
        <v>0</v>
      </c>
      <c r="BG3463" s="210">
        <f t="shared" si="1460"/>
        <v>0</v>
      </c>
      <c r="BH3463" s="210">
        <f t="shared" si="1452"/>
        <v>7</v>
      </c>
      <c r="BI3463" s="213">
        <f t="shared" si="1461"/>
        <v>0</v>
      </c>
      <c r="BJ3463" s="141"/>
      <c r="BK3463" s="201"/>
      <c r="BL3463" s="4"/>
      <c r="BM3463" s="4"/>
    </row>
    <row r="3464" spans="1:65" s="38" customFormat="1" ht="18" customHeight="1">
      <c r="A3464" s="114">
        <v>3</v>
      </c>
      <c r="B3464" s="24" t="s">
        <v>2243</v>
      </c>
      <c r="C3464" s="25" t="s">
        <v>2244</v>
      </c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229">
        <f t="shared" si="1455"/>
        <v>0</v>
      </c>
      <c r="AC3464" s="228">
        <f t="shared" si="1456"/>
        <v>0</v>
      </c>
      <c r="AD3464" s="19">
        <v>0</v>
      </c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29">
        <f t="shared" si="1457"/>
        <v>0</v>
      </c>
      <c r="BD3464" s="48">
        <f t="shared" si="1458"/>
        <v>0</v>
      </c>
      <c r="BE3464" s="19">
        <v>13</v>
      </c>
      <c r="BF3464" s="229">
        <f t="shared" si="1459"/>
        <v>0</v>
      </c>
      <c r="BG3464" s="210">
        <f t="shared" si="1460"/>
        <v>0</v>
      </c>
      <c r="BH3464" s="210">
        <f t="shared" si="1452"/>
        <v>13</v>
      </c>
      <c r="BI3464" s="213">
        <f t="shared" si="1461"/>
        <v>0</v>
      </c>
      <c r="BJ3464" s="141"/>
      <c r="BK3464" s="201"/>
      <c r="BL3464" s="4"/>
      <c r="BM3464" s="4"/>
    </row>
    <row r="3465" spans="1:65" s="38" customFormat="1" ht="18" customHeight="1">
      <c r="A3465" s="114">
        <v>4</v>
      </c>
      <c r="B3465" s="24" t="s">
        <v>565</v>
      </c>
      <c r="C3465" s="25" t="s">
        <v>566</v>
      </c>
      <c r="D3465" s="121"/>
      <c r="E3465" s="121"/>
      <c r="F3465" s="121"/>
      <c r="G3465" s="121"/>
      <c r="H3465" s="121"/>
      <c r="I3465" s="121">
        <v>1</v>
      </c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229">
        <f t="shared" si="1455"/>
        <v>0</v>
      </c>
      <c r="AC3465" s="228">
        <f t="shared" si="1456"/>
        <v>1</v>
      </c>
      <c r="AD3465" s="19">
        <v>25</v>
      </c>
      <c r="AE3465" s="28"/>
      <c r="AF3465" s="28"/>
      <c r="AG3465" s="28"/>
      <c r="AH3465" s="28"/>
      <c r="AI3465" s="28"/>
      <c r="AJ3465" s="28">
        <f>2+952+1+1</f>
        <v>956</v>
      </c>
      <c r="AK3465" s="28"/>
      <c r="AL3465" s="28"/>
      <c r="AM3465" s="28"/>
      <c r="AN3465" s="28"/>
      <c r="AO3465" s="28"/>
      <c r="AP3465" s="28">
        <v>963</v>
      </c>
      <c r="AQ3465" s="28"/>
      <c r="AR3465" s="28"/>
      <c r="AS3465" s="28"/>
      <c r="AT3465" s="28"/>
      <c r="AU3465" s="28"/>
      <c r="AV3465" s="28">
        <f>2+1+1017</f>
        <v>1020</v>
      </c>
      <c r="AW3465" s="28"/>
      <c r="AX3465" s="28"/>
      <c r="AY3465" s="28"/>
      <c r="AZ3465" s="28"/>
      <c r="BA3465" s="28"/>
      <c r="BB3465" s="28">
        <f>2+945</f>
        <v>947</v>
      </c>
      <c r="BC3465" s="229">
        <f t="shared" si="1457"/>
        <v>0</v>
      </c>
      <c r="BD3465" s="48">
        <f t="shared" si="1458"/>
        <v>3886</v>
      </c>
      <c r="BE3465" s="19">
        <v>3590</v>
      </c>
      <c r="BF3465" s="229">
        <f t="shared" si="1459"/>
        <v>0</v>
      </c>
      <c r="BG3465" s="210">
        <f t="shared" si="1460"/>
        <v>3887</v>
      </c>
      <c r="BH3465" s="210">
        <f t="shared" si="1452"/>
        <v>3615</v>
      </c>
      <c r="BI3465" s="213">
        <f t="shared" si="1461"/>
        <v>107.52420470262794</v>
      </c>
      <c r="BJ3465" s="141"/>
      <c r="BK3465" s="201"/>
      <c r="BL3465" s="4"/>
      <c r="BM3465" s="4"/>
    </row>
    <row r="3466" spans="1:65" s="38" customFormat="1" ht="18" customHeight="1">
      <c r="A3466" s="114">
        <v>5</v>
      </c>
      <c r="B3466" s="24" t="s">
        <v>707</v>
      </c>
      <c r="C3466" s="25" t="s">
        <v>708</v>
      </c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229">
        <f t="shared" si="1455"/>
        <v>0</v>
      </c>
      <c r="AC3466" s="228">
        <f t="shared" si="1456"/>
        <v>0</v>
      </c>
      <c r="AD3466" s="19">
        <v>3</v>
      </c>
      <c r="AE3466" s="28"/>
      <c r="AF3466" s="28"/>
      <c r="AG3466" s="28"/>
      <c r="AH3466" s="28"/>
      <c r="AI3466" s="28"/>
      <c r="AJ3466" s="28">
        <v>79</v>
      </c>
      <c r="AK3466" s="28"/>
      <c r="AL3466" s="28"/>
      <c r="AM3466" s="28"/>
      <c r="AN3466" s="28"/>
      <c r="AO3466" s="28"/>
      <c r="AP3466" s="28">
        <v>75</v>
      </c>
      <c r="AQ3466" s="28"/>
      <c r="AR3466" s="28"/>
      <c r="AS3466" s="28"/>
      <c r="AT3466" s="28"/>
      <c r="AU3466" s="28"/>
      <c r="AV3466" s="28">
        <f>1+66</f>
        <v>67</v>
      </c>
      <c r="AW3466" s="28"/>
      <c r="AX3466" s="28"/>
      <c r="AY3466" s="28"/>
      <c r="AZ3466" s="28"/>
      <c r="BA3466" s="28"/>
      <c r="BB3466" s="28">
        <v>43</v>
      </c>
      <c r="BC3466" s="229">
        <f t="shared" si="1457"/>
        <v>0</v>
      </c>
      <c r="BD3466" s="48">
        <f t="shared" si="1458"/>
        <v>264</v>
      </c>
      <c r="BE3466" s="19">
        <v>333</v>
      </c>
      <c r="BF3466" s="229">
        <f t="shared" si="1459"/>
        <v>0</v>
      </c>
      <c r="BG3466" s="210">
        <f t="shared" si="1460"/>
        <v>264</v>
      </c>
      <c r="BH3466" s="210">
        <f t="shared" si="1452"/>
        <v>336</v>
      </c>
      <c r="BI3466" s="213">
        <f t="shared" si="1461"/>
        <v>78.571428571428569</v>
      </c>
      <c r="BJ3466" s="141"/>
      <c r="BK3466" s="201"/>
      <c r="BL3466" s="4"/>
      <c r="BM3466" s="4"/>
    </row>
    <row r="3467" spans="1:65" s="38" customFormat="1" ht="18" customHeight="1">
      <c r="A3467" s="114">
        <v>6</v>
      </c>
      <c r="B3467" s="24" t="s">
        <v>709</v>
      </c>
      <c r="C3467" s="25" t="s">
        <v>710</v>
      </c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229">
        <f t="shared" si="1455"/>
        <v>0</v>
      </c>
      <c r="AC3467" s="228">
        <f t="shared" si="1456"/>
        <v>0</v>
      </c>
      <c r="AD3467" s="19">
        <v>0</v>
      </c>
      <c r="AE3467" s="28"/>
      <c r="AF3467" s="28"/>
      <c r="AG3467" s="28"/>
      <c r="AH3467" s="28"/>
      <c r="AI3467" s="28"/>
      <c r="AJ3467" s="28">
        <v>3</v>
      </c>
      <c r="AK3467" s="28"/>
      <c r="AL3467" s="28"/>
      <c r="AM3467" s="28"/>
      <c r="AN3467" s="28"/>
      <c r="AO3467" s="28"/>
      <c r="AP3467" s="28">
        <v>8</v>
      </c>
      <c r="AQ3467" s="28"/>
      <c r="AR3467" s="28"/>
      <c r="AS3467" s="28"/>
      <c r="AT3467" s="28"/>
      <c r="AU3467" s="28"/>
      <c r="AV3467" s="28">
        <v>9</v>
      </c>
      <c r="AW3467" s="28"/>
      <c r="AX3467" s="28"/>
      <c r="AY3467" s="28"/>
      <c r="AZ3467" s="28"/>
      <c r="BA3467" s="28"/>
      <c r="BB3467" s="28">
        <v>2</v>
      </c>
      <c r="BC3467" s="229">
        <f t="shared" si="1457"/>
        <v>0</v>
      </c>
      <c r="BD3467" s="48">
        <f t="shared" si="1458"/>
        <v>22</v>
      </c>
      <c r="BE3467" s="19">
        <v>31</v>
      </c>
      <c r="BF3467" s="229">
        <f t="shared" si="1459"/>
        <v>0</v>
      </c>
      <c r="BG3467" s="210">
        <f t="shared" si="1460"/>
        <v>22</v>
      </c>
      <c r="BH3467" s="210">
        <f t="shared" si="1452"/>
        <v>31</v>
      </c>
      <c r="BI3467" s="213">
        <f t="shared" si="1461"/>
        <v>70.967741935483872</v>
      </c>
      <c r="BJ3467" s="141"/>
      <c r="BK3467" s="201"/>
      <c r="BL3467" s="4"/>
      <c r="BM3467" s="4"/>
    </row>
    <row r="3468" spans="1:65" s="38" customFormat="1" ht="18" customHeight="1">
      <c r="A3468" s="114">
        <v>7</v>
      </c>
      <c r="B3468" s="24" t="s">
        <v>678</v>
      </c>
      <c r="C3468" s="25" t="s">
        <v>679</v>
      </c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229">
        <f t="shared" si="1455"/>
        <v>0</v>
      </c>
      <c r="AC3468" s="228">
        <f t="shared" si="1456"/>
        <v>0</v>
      </c>
      <c r="AD3468" s="19">
        <v>0</v>
      </c>
      <c r="AE3468" s="28"/>
      <c r="AF3468" s="28"/>
      <c r="AG3468" s="28"/>
      <c r="AH3468" s="28"/>
      <c r="AI3468" s="28"/>
      <c r="AJ3468" s="28">
        <v>1</v>
      </c>
      <c r="AK3468" s="28"/>
      <c r="AL3468" s="28"/>
      <c r="AM3468" s="28"/>
      <c r="AN3468" s="28"/>
      <c r="AO3468" s="28"/>
      <c r="AP3468" s="28">
        <v>2</v>
      </c>
      <c r="AQ3468" s="28"/>
      <c r="AR3468" s="28"/>
      <c r="AS3468" s="28"/>
      <c r="AT3468" s="28"/>
      <c r="AU3468" s="28"/>
      <c r="AV3468" s="28">
        <v>1</v>
      </c>
      <c r="AW3468" s="28"/>
      <c r="AX3468" s="28"/>
      <c r="AY3468" s="28"/>
      <c r="AZ3468" s="28"/>
      <c r="BA3468" s="28"/>
      <c r="BB3468" s="28"/>
      <c r="BC3468" s="229">
        <f t="shared" si="1457"/>
        <v>0</v>
      </c>
      <c r="BD3468" s="48">
        <f t="shared" si="1458"/>
        <v>4</v>
      </c>
      <c r="BE3468" s="19">
        <v>6</v>
      </c>
      <c r="BF3468" s="229">
        <f t="shared" si="1459"/>
        <v>0</v>
      </c>
      <c r="BG3468" s="210">
        <f t="shared" si="1460"/>
        <v>4</v>
      </c>
      <c r="BH3468" s="210">
        <f t="shared" si="1452"/>
        <v>6</v>
      </c>
      <c r="BI3468" s="213">
        <f t="shared" si="1461"/>
        <v>66.666666666666657</v>
      </c>
      <c r="BJ3468" s="141"/>
      <c r="BK3468" s="201"/>
      <c r="BL3468" s="4"/>
      <c r="BM3468" s="4"/>
    </row>
    <row r="3469" spans="1:65" s="38" customFormat="1" ht="18" customHeight="1">
      <c r="A3469" s="114">
        <v>8</v>
      </c>
      <c r="B3469" s="24" t="s">
        <v>1010</v>
      </c>
      <c r="C3469" s="25" t="s">
        <v>1375</v>
      </c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229">
        <f t="shared" si="1455"/>
        <v>0</v>
      </c>
      <c r="AC3469" s="228">
        <f t="shared" si="1456"/>
        <v>0</v>
      </c>
      <c r="AD3469" s="19">
        <v>0</v>
      </c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29">
        <f t="shared" si="1457"/>
        <v>0</v>
      </c>
      <c r="BD3469" s="48">
        <f t="shared" si="1458"/>
        <v>0</v>
      </c>
      <c r="BE3469" s="19">
        <v>1</v>
      </c>
      <c r="BF3469" s="229">
        <f t="shared" si="1459"/>
        <v>0</v>
      </c>
      <c r="BG3469" s="210">
        <f t="shared" si="1460"/>
        <v>0</v>
      </c>
      <c r="BH3469" s="210">
        <f t="shared" si="1452"/>
        <v>1</v>
      </c>
      <c r="BI3469" s="213">
        <f t="shared" si="1461"/>
        <v>0</v>
      </c>
      <c r="BJ3469" s="141"/>
      <c r="BK3469" s="201"/>
      <c r="BL3469" s="4"/>
      <c r="BM3469" s="4"/>
    </row>
    <row r="3470" spans="1:65" s="38" customFormat="1" ht="18" customHeight="1">
      <c r="A3470" s="114">
        <v>9</v>
      </c>
      <c r="B3470" s="24" t="s">
        <v>773</v>
      </c>
      <c r="C3470" s="25" t="s">
        <v>1159</v>
      </c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229">
        <f t="shared" si="1455"/>
        <v>0</v>
      </c>
      <c r="AC3470" s="228">
        <f t="shared" si="1456"/>
        <v>0</v>
      </c>
      <c r="AD3470" s="19">
        <v>0</v>
      </c>
      <c r="AE3470" s="28"/>
      <c r="AF3470" s="28"/>
      <c r="AG3470" s="28"/>
      <c r="AH3470" s="28"/>
      <c r="AI3470" s="28"/>
      <c r="AJ3470" s="28">
        <v>15</v>
      </c>
      <c r="AK3470" s="28"/>
      <c r="AL3470" s="28"/>
      <c r="AM3470" s="28"/>
      <c r="AN3470" s="28"/>
      <c r="AO3470" s="28"/>
      <c r="AP3470" s="28">
        <v>17</v>
      </c>
      <c r="AQ3470" s="28"/>
      <c r="AR3470" s="28"/>
      <c r="AS3470" s="28"/>
      <c r="AT3470" s="28"/>
      <c r="AU3470" s="28"/>
      <c r="AV3470" s="28">
        <v>23</v>
      </c>
      <c r="AW3470" s="28"/>
      <c r="AX3470" s="28"/>
      <c r="AY3470" s="28"/>
      <c r="AZ3470" s="28"/>
      <c r="BA3470" s="28"/>
      <c r="BB3470" s="28">
        <v>26</v>
      </c>
      <c r="BC3470" s="229">
        <f t="shared" si="1457"/>
        <v>0</v>
      </c>
      <c r="BD3470" s="48">
        <f t="shared" si="1458"/>
        <v>81</v>
      </c>
      <c r="BE3470" s="19">
        <v>103</v>
      </c>
      <c r="BF3470" s="229">
        <f t="shared" si="1459"/>
        <v>0</v>
      </c>
      <c r="BG3470" s="210">
        <f t="shared" si="1460"/>
        <v>81</v>
      </c>
      <c r="BH3470" s="210">
        <f t="shared" si="1452"/>
        <v>103</v>
      </c>
      <c r="BI3470" s="213">
        <f t="shared" si="1461"/>
        <v>78.640776699029118</v>
      </c>
      <c r="BJ3470" s="141"/>
      <c r="BK3470" s="201"/>
      <c r="BL3470" s="4"/>
      <c r="BM3470" s="4"/>
    </row>
    <row r="3471" spans="1:65" s="38" customFormat="1" ht="18" customHeight="1">
      <c r="A3471" s="114">
        <v>10</v>
      </c>
      <c r="B3471" s="24" t="s">
        <v>644</v>
      </c>
      <c r="C3471" s="25" t="s">
        <v>645</v>
      </c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229">
        <f t="shared" si="1455"/>
        <v>0</v>
      </c>
      <c r="AC3471" s="228">
        <f t="shared" si="1456"/>
        <v>0</v>
      </c>
      <c r="AD3471" s="19">
        <v>15</v>
      </c>
      <c r="AE3471" s="28"/>
      <c r="AF3471" s="28"/>
      <c r="AG3471" s="28"/>
      <c r="AH3471" s="28"/>
      <c r="AI3471" s="28"/>
      <c r="AJ3471" s="28">
        <v>383</v>
      </c>
      <c r="AK3471" s="28"/>
      <c r="AL3471" s="28"/>
      <c r="AM3471" s="28"/>
      <c r="AN3471" s="28"/>
      <c r="AO3471" s="28"/>
      <c r="AP3471" s="28">
        <f>331+1</f>
        <v>332</v>
      </c>
      <c r="AQ3471" s="28"/>
      <c r="AR3471" s="28"/>
      <c r="AS3471" s="28"/>
      <c r="AT3471" s="28"/>
      <c r="AU3471" s="28"/>
      <c r="AV3471" s="28">
        <f>1+412</f>
        <v>413</v>
      </c>
      <c r="AW3471" s="28"/>
      <c r="AX3471" s="28"/>
      <c r="AY3471" s="28"/>
      <c r="AZ3471" s="28"/>
      <c r="BA3471" s="28"/>
      <c r="BB3471" s="28">
        <v>339</v>
      </c>
      <c r="BC3471" s="229">
        <f t="shared" si="1457"/>
        <v>0</v>
      </c>
      <c r="BD3471" s="48">
        <f t="shared" si="1458"/>
        <v>1467</v>
      </c>
      <c r="BE3471" s="19">
        <v>1747</v>
      </c>
      <c r="BF3471" s="229">
        <f t="shared" si="1459"/>
        <v>0</v>
      </c>
      <c r="BG3471" s="210">
        <f t="shared" si="1460"/>
        <v>1467</v>
      </c>
      <c r="BH3471" s="210">
        <f t="shared" si="1452"/>
        <v>1762</v>
      </c>
      <c r="BI3471" s="213">
        <f t="shared" si="1461"/>
        <v>83.257661748013618</v>
      </c>
      <c r="BJ3471" s="141"/>
      <c r="BK3471" s="201"/>
      <c r="BL3471" s="4"/>
      <c r="BM3471" s="4"/>
    </row>
    <row r="3472" spans="1:65" s="38" customFormat="1" ht="18" customHeight="1">
      <c r="A3472" s="114">
        <v>11</v>
      </c>
      <c r="B3472" s="24" t="s">
        <v>653</v>
      </c>
      <c r="C3472" s="134" t="s">
        <v>2686</v>
      </c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229">
        <f t="shared" si="1455"/>
        <v>0</v>
      </c>
      <c r="AC3472" s="228">
        <f t="shared" si="1456"/>
        <v>0</v>
      </c>
      <c r="AD3472" s="19">
        <v>0</v>
      </c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>
        <v>306</v>
      </c>
      <c r="AW3472" s="28"/>
      <c r="AX3472" s="28"/>
      <c r="AY3472" s="28"/>
      <c r="AZ3472" s="28"/>
      <c r="BA3472" s="28"/>
      <c r="BB3472" s="28"/>
      <c r="BC3472" s="229">
        <f t="shared" si="1457"/>
        <v>0</v>
      </c>
      <c r="BD3472" s="48">
        <f t="shared" si="1458"/>
        <v>306</v>
      </c>
      <c r="BE3472" s="19">
        <v>9</v>
      </c>
      <c r="BF3472" s="229">
        <f t="shared" si="1459"/>
        <v>0</v>
      </c>
      <c r="BG3472" s="210">
        <f t="shared" si="1460"/>
        <v>306</v>
      </c>
      <c r="BH3472" s="210">
        <f t="shared" si="1452"/>
        <v>9</v>
      </c>
      <c r="BI3472" s="213">
        <f t="shared" si="1461"/>
        <v>3400</v>
      </c>
      <c r="BJ3472" s="141"/>
      <c r="BK3472" s="201"/>
      <c r="BL3472" s="4"/>
      <c r="BM3472" s="4"/>
    </row>
    <row r="3473" spans="1:65" s="38" customFormat="1" ht="18" customHeight="1">
      <c r="A3473" s="114">
        <v>12</v>
      </c>
      <c r="B3473" s="24" t="s">
        <v>2245</v>
      </c>
      <c r="C3473" s="134" t="s">
        <v>2246</v>
      </c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229">
        <f t="shared" si="1455"/>
        <v>0</v>
      </c>
      <c r="AC3473" s="228">
        <f t="shared" si="1456"/>
        <v>0</v>
      </c>
      <c r="AD3473" s="19">
        <v>0</v>
      </c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29">
        <f t="shared" si="1457"/>
        <v>0</v>
      </c>
      <c r="BD3473" s="48">
        <f t="shared" si="1458"/>
        <v>0</v>
      </c>
      <c r="BE3473" s="19">
        <v>3</v>
      </c>
      <c r="BF3473" s="229">
        <f t="shared" si="1459"/>
        <v>0</v>
      </c>
      <c r="BG3473" s="210">
        <f t="shared" si="1460"/>
        <v>0</v>
      </c>
      <c r="BH3473" s="210">
        <f t="shared" si="1452"/>
        <v>3</v>
      </c>
      <c r="BI3473" s="213">
        <f t="shared" si="1461"/>
        <v>0</v>
      </c>
      <c r="BJ3473" s="141"/>
      <c r="BK3473" s="201"/>
      <c r="BL3473" s="4"/>
      <c r="BM3473" s="4"/>
    </row>
    <row r="3474" spans="1:65" s="38" customFormat="1" ht="21.95" customHeight="1">
      <c r="A3474" s="372" t="s">
        <v>2783</v>
      </c>
      <c r="B3474" s="372"/>
      <c r="C3474" s="372"/>
      <c r="D3474" s="220">
        <f t="shared" ref="D3474:BE3474" si="1462">SUM(D3475:D3476)</f>
        <v>0</v>
      </c>
      <c r="E3474" s="220">
        <f t="shared" si="1462"/>
        <v>0</v>
      </c>
      <c r="F3474" s="220">
        <f t="shared" si="1462"/>
        <v>0</v>
      </c>
      <c r="G3474" s="220">
        <f t="shared" si="1462"/>
        <v>0</v>
      </c>
      <c r="H3474" s="220">
        <f t="shared" si="1462"/>
        <v>0</v>
      </c>
      <c r="I3474" s="220">
        <f t="shared" si="1462"/>
        <v>0</v>
      </c>
      <c r="J3474" s="220">
        <f t="shared" si="1462"/>
        <v>0</v>
      </c>
      <c r="K3474" s="220">
        <f t="shared" si="1462"/>
        <v>0</v>
      </c>
      <c r="L3474" s="220">
        <f t="shared" si="1462"/>
        <v>0</v>
      </c>
      <c r="M3474" s="220">
        <f t="shared" si="1462"/>
        <v>0</v>
      </c>
      <c r="N3474" s="220">
        <f t="shared" si="1462"/>
        <v>0</v>
      </c>
      <c r="O3474" s="220">
        <f t="shared" si="1462"/>
        <v>0</v>
      </c>
      <c r="P3474" s="220">
        <f t="shared" si="1462"/>
        <v>0</v>
      </c>
      <c r="Q3474" s="220">
        <f t="shared" si="1462"/>
        <v>0</v>
      </c>
      <c r="R3474" s="220">
        <f t="shared" si="1462"/>
        <v>0</v>
      </c>
      <c r="S3474" s="220">
        <f t="shared" si="1462"/>
        <v>0</v>
      </c>
      <c r="T3474" s="220">
        <f t="shared" si="1462"/>
        <v>0</v>
      </c>
      <c r="U3474" s="220">
        <f t="shared" si="1462"/>
        <v>0</v>
      </c>
      <c r="V3474" s="220">
        <f t="shared" si="1462"/>
        <v>0</v>
      </c>
      <c r="W3474" s="220">
        <f t="shared" si="1462"/>
        <v>0</v>
      </c>
      <c r="X3474" s="220">
        <f t="shared" si="1462"/>
        <v>0</v>
      </c>
      <c r="Y3474" s="220">
        <f t="shared" si="1462"/>
        <v>0</v>
      </c>
      <c r="Z3474" s="220">
        <f t="shared" si="1462"/>
        <v>0</v>
      </c>
      <c r="AA3474" s="220">
        <f t="shared" si="1462"/>
        <v>0</v>
      </c>
      <c r="AB3474" s="220">
        <f t="shared" ref="AB3474:AB3525" si="1463">D3474+F3474+H3474+J3474+L3474+N3474+P3474+R3474+T3474+V3474+X3474+Z3474</f>
        <v>0</v>
      </c>
      <c r="AC3474" s="220">
        <f t="shared" ref="AC3474:AC3525" si="1464">E3474+G3474+I3474+K3474+M3474+O3474+Q3474+S3474+U3474+W3474+Y3474+AA3474</f>
        <v>0</v>
      </c>
      <c r="AD3474" s="220">
        <f t="shared" si="1462"/>
        <v>1500</v>
      </c>
      <c r="AE3474" s="220">
        <f t="shared" si="1462"/>
        <v>0</v>
      </c>
      <c r="AF3474" s="220">
        <f t="shared" si="1462"/>
        <v>0</v>
      </c>
      <c r="AG3474" s="220">
        <f t="shared" si="1462"/>
        <v>0</v>
      </c>
      <c r="AH3474" s="220">
        <f t="shared" si="1462"/>
        <v>0</v>
      </c>
      <c r="AI3474" s="220">
        <f t="shared" si="1462"/>
        <v>0</v>
      </c>
      <c r="AJ3474" s="220">
        <f t="shared" si="1462"/>
        <v>0</v>
      </c>
      <c r="AK3474" s="220">
        <f t="shared" si="1462"/>
        <v>0</v>
      </c>
      <c r="AL3474" s="220">
        <f t="shared" si="1462"/>
        <v>0</v>
      </c>
      <c r="AM3474" s="220">
        <f t="shared" si="1462"/>
        <v>0</v>
      </c>
      <c r="AN3474" s="220">
        <f t="shared" si="1462"/>
        <v>0</v>
      </c>
      <c r="AO3474" s="220">
        <f t="shared" si="1462"/>
        <v>0</v>
      </c>
      <c r="AP3474" s="220">
        <f t="shared" si="1462"/>
        <v>0</v>
      </c>
      <c r="AQ3474" s="220">
        <f t="shared" si="1462"/>
        <v>0</v>
      </c>
      <c r="AR3474" s="220">
        <f t="shared" si="1462"/>
        <v>0</v>
      </c>
      <c r="AS3474" s="220">
        <f t="shared" si="1462"/>
        <v>0</v>
      </c>
      <c r="AT3474" s="220">
        <f t="shared" si="1462"/>
        <v>0</v>
      </c>
      <c r="AU3474" s="220">
        <f t="shared" si="1462"/>
        <v>0</v>
      </c>
      <c r="AV3474" s="220">
        <f t="shared" si="1462"/>
        <v>0</v>
      </c>
      <c r="AW3474" s="220">
        <f t="shared" si="1462"/>
        <v>0</v>
      </c>
      <c r="AX3474" s="220">
        <f t="shared" si="1462"/>
        <v>0</v>
      </c>
      <c r="AY3474" s="220">
        <f t="shared" si="1462"/>
        <v>0</v>
      </c>
      <c r="AZ3474" s="220">
        <f t="shared" si="1462"/>
        <v>0</v>
      </c>
      <c r="BA3474" s="220">
        <f t="shared" si="1462"/>
        <v>0</v>
      </c>
      <c r="BB3474" s="220">
        <f t="shared" si="1462"/>
        <v>0</v>
      </c>
      <c r="BC3474" s="220">
        <f t="shared" ref="BC3474:BC3525" si="1465">AE3474+AG3474+AI3474+AK3474+AM3474+AO3474+AQ3474+AS3474+AU3474+AW3474+AY3474+BA3474</f>
        <v>0</v>
      </c>
      <c r="BD3474" s="210">
        <f t="shared" ref="BD3474:BD3525" si="1466">AF3474+AH3474+AJ3474+AL3474+AN3474+AP3474+AR3474+AT3474+AV3474+AX3474+AZ3474+BB3474</f>
        <v>0</v>
      </c>
      <c r="BE3474" s="220">
        <f t="shared" si="1462"/>
        <v>0</v>
      </c>
      <c r="BF3474" s="220">
        <f t="shared" ref="BF3474:BF3525" si="1467">AB3474+BC3474</f>
        <v>0</v>
      </c>
      <c r="BG3474" s="210">
        <f t="shared" ref="BG3474:BG3525" si="1468">AC3474+BD3474</f>
        <v>0</v>
      </c>
      <c r="BH3474" s="210">
        <f t="shared" si="1452"/>
        <v>1500</v>
      </c>
      <c r="BI3474" s="213">
        <f t="shared" ref="BI3474:BI3525" si="1469">BG3474/BH3474*100</f>
        <v>0</v>
      </c>
      <c r="BJ3474" s="142">
        <v>1500</v>
      </c>
      <c r="BK3474" s="203">
        <f>BH3474-BJ3474</f>
        <v>0</v>
      </c>
      <c r="BL3474" s="4"/>
      <c r="BM3474" s="4"/>
    </row>
    <row r="3475" spans="1:65" s="38" customFormat="1" ht="18" customHeight="1">
      <c r="A3475" s="114">
        <v>1</v>
      </c>
      <c r="B3475" s="24" t="s">
        <v>937</v>
      </c>
      <c r="C3475" s="25" t="s">
        <v>938</v>
      </c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229">
        <f t="shared" si="1463"/>
        <v>0</v>
      </c>
      <c r="AC3475" s="228">
        <f t="shared" si="1464"/>
        <v>0</v>
      </c>
      <c r="AD3475" s="19">
        <v>1000</v>
      </c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29">
        <f t="shared" si="1465"/>
        <v>0</v>
      </c>
      <c r="BD3475" s="48">
        <f t="shared" si="1466"/>
        <v>0</v>
      </c>
      <c r="BE3475" s="19">
        <v>0</v>
      </c>
      <c r="BF3475" s="229">
        <f t="shared" si="1467"/>
        <v>0</v>
      </c>
      <c r="BG3475" s="210">
        <f t="shared" si="1468"/>
        <v>0</v>
      </c>
      <c r="BH3475" s="210">
        <f t="shared" si="1452"/>
        <v>1000</v>
      </c>
      <c r="BI3475" s="213">
        <f t="shared" si="1469"/>
        <v>0</v>
      </c>
      <c r="BJ3475" s="270" t="s">
        <v>2857</v>
      </c>
      <c r="BK3475" s="201"/>
      <c r="BL3475" s="4"/>
      <c r="BM3475" s="4"/>
    </row>
    <row r="3476" spans="1:65" s="38" customFormat="1" ht="18" customHeight="1">
      <c r="A3476" s="114">
        <v>2</v>
      </c>
      <c r="B3476" s="24" t="s">
        <v>571</v>
      </c>
      <c r="C3476" s="25" t="s">
        <v>572</v>
      </c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229">
        <f t="shared" si="1463"/>
        <v>0</v>
      </c>
      <c r="AC3476" s="228">
        <f t="shared" si="1464"/>
        <v>0</v>
      </c>
      <c r="AD3476" s="19">
        <v>500</v>
      </c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/>
      <c r="BB3476" s="28"/>
      <c r="BC3476" s="229">
        <f t="shared" si="1465"/>
        <v>0</v>
      </c>
      <c r="BD3476" s="48">
        <f t="shared" si="1466"/>
        <v>0</v>
      </c>
      <c r="BE3476" s="19">
        <v>0</v>
      </c>
      <c r="BF3476" s="229">
        <f t="shared" si="1467"/>
        <v>0</v>
      </c>
      <c r="BG3476" s="210">
        <f t="shared" si="1468"/>
        <v>0</v>
      </c>
      <c r="BH3476" s="210">
        <f t="shared" si="1452"/>
        <v>500</v>
      </c>
      <c r="BI3476" s="213">
        <f t="shared" si="1469"/>
        <v>0</v>
      </c>
      <c r="BJ3476" s="165"/>
      <c r="BK3476" s="201"/>
      <c r="BL3476" s="4"/>
      <c r="BM3476" s="4"/>
    </row>
    <row r="3477" spans="1:65" s="38" customFormat="1" ht="21.95" customHeight="1">
      <c r="A3477" s="359" t="s">
        <v>1223</v>
      </c>
      <c r="B3477" s="359"/>
      <c r="C3477" s="359"/>
      <c r="D3477" s="39">
        <f t="shared" ref="D3477:AA3477" si="1470">D3478+D3496+D3512+D3525+D3539+D3551+D3569+D3588+D3603+D3606+D3618+D3626+D3628+D3654+D3667+D3685+D3712+D3724+D3726+D3733+D3745+D3796+D3798+D3800</f>
        <v>0</v>
      </c>
      <c r="E3477" s="39">
        <f t="shared" si="1470"/>
        <v>0</v>
      </c>
      <c r="F3477" s="39">
        <f t="shared" si="1470"/>
        <v>0</v>
      </c>
      <c r="G3477" s="39">
        <f t="shared" si="1470"/>
        <v>0</v>
      </c>
      <c r="H3477" s="39">
        <f t="shared" si="1470"/>
        <v>0</v>
      </c>
      <c r="I3477" s="39">
        <f t="shared" si="1470"/>
        <v>30285</v>
      </c>
      <c r="J3477" s="39">
        <f t="shared" si="1470"/>
        <v>0</v>
      </c>
      <c r="K3477" s="39">
        <f t="shared" si="1470"/>
        <v>0</v>
      </c>
      <c r="L3477" s="39">
        <f t="shared" si="1470"/>
        <v>0</v>
      </c>
      <c r="M3477" s="39">
        <f t="shared" si="1470"/>
        <v>0</v>
      </c>
      <c r="N3477" s="39">
        <f t="shared" si="1470"/>
        <v>0</v>
      </c>
      <c r="O3477" s="39">
        <f t="shared" si="1470"/>
        <v>31451</v>
      </c>
      <c r="P3477" s="39">
        <f t="shared" si="1470"/>
        <v>0</v>
      </c>
      <c r="Q3477" s="39">
        <f t="shared" si="1470"/>
        <v>0</v>
      </c>
      <c r="R3477" s="39">
        <f t="shared" si="1470"/>
        <v>0</v>
      </c>
      <c r="S3477" s="39">
        <f t="shared" si="1470"/>
        <v>0</v>
      </c>
      <c r="T3477" s="39">
        <f t="shared" si="1470"/>
        <v>0</v>
      </c>
      <c r="U3477" s="39">
        <f t="shared" si="1470"/>
        <v>29740</v>
      </c>
      <c r="V3477" s="39">
        <f t="shared" si="1470"/>
        <v>0</v>
      </c>
      <c r="W3477" s="39">
        <f t="shared" si="1470"/>
        <v>0</v>
      </c>
      <c r="X3477" s="39">
        <f t="shared" si="1470"/>
        <v>0</v>
      </c>
      <c r="Y3477" s="39">
        <f t="shared" si="1470"/>
        <v>0</v>
      </c>
      <c r="Z3477" s="39">
        <f t="shared" si="1470"/>
        <v>0</v>
      </c>
      <c r="AA3477" s="39">
        <f t="shared" si="1470"/>
        <v>31778</v>
      </c>
      <c r="AB3477" s="39">
        <f t="shared" si="1463"/>
        <v>0</v>
      </c>
      <c r="AC3477" s="39">
        <f t="shared" si="1464"/>
        <v>123254</v>
      </c>
      <c r="AD3477" s="39">
        <f t="shared" ref="AD3477:BB3477" si="1471">AD3478+AD3496+AD3512+AD3525+AD3539+AD3551+AD3569+AD3588+AD3603+AD3606+AD3618+AD3626+AD3628+AD3654+AD3667+AD3685+AD3712+AD3724+AD3726+AD3733+AD3745+AD3796+AD3798+AD3800</f>
        <v>111734</v>
      </c>
      <c r="AE3477" s="39">
        <f t="shared" si="1471"/>
        <v>0</v>
      </c>
      <c r="AF3477" s="39">
        <f t="shared" si="1471"/>
        <v>0</v>
      </c>
      <c r="AG3477" s="39">
        <f t="shared" si="1471"/>
        <v>0</v>
      </c>
      <c r="AH3477" s="39">
        <f t="shared" si="1471"/>
        <v>0</v>
      </c>
      <c r="AI3477" s="39">
        <f t="shared" si="1471"/>
        <v>0</v>
      </c>
      <c r="AJ3477" s="39">
        <f t="shared" si="1471"/>
        <v>11725</v>
      </c>
      <c r="AK3477" s="39">
        <f t="shared" si="1471"/>
        <v>0</v>
      </c>
      <c r="AL3477" s="39">
        <f t="shared" si="1471"/>
        <v>0</v>
      </c>
      <c r="AM3477" s="39">
        <f t="shared" si="1471"/>
        <v>0</v>
      </c>
      <c r="AN3477" s="39">
        <f t="shared" si="1471"/>
        <v>0</v>
      </c>
      <c r="AO3477" s="39">
        <f t="shared" si="1471"/>
        <v>0</v>
      </c>
      <c r="AP3477" s="39">
        <f t="shared" si="1471"/>
        <v>13128</v>
      </c>
      <c r="AQ3477" s="39">
        <f t="shared" si="1471"/>
        <v>0</v>
      </c>
      <c r="AR3477" s="39">
        <f t="shared" si="1471"/>
        <v>0</v>
      </c>
      <c r="AS3477" s="39">
        <f t="shared" si="1471"/>
        <v>0</v>
      </c>
      <c r="AT3477" s="39">
        <f t="shared" si="1471"/>
        <v>0</v>
      </c>
      <c r="AU3477" s="39">
        <f t="shared" si="1471"/>
        <v>0</v>
      </c>
      <c r="AV3477" s="39">
        <f t="shared" si="1471"/>
        <v>11273</v>
      </c>
      <c r="AW3477" s="39">
        <f t="shared" si="1471"/>
        <v>0</v>
      </c>
      <c r="AX3477" s="39">
        <f t="shared" si="1471"/>
        <v>0</v>
      </c>
      <c r="AY3477" s="39">
        <f t="shared" si="1471"/>
        <v>0</v>
      </c>
      <c r="AZ3477" s="39">
        <f t="shared" si="1471"/>
        <v>0</v>
      </c>
      <c r="BA3477" s="39">
        <f t="shared" si="1471"/>
        <v>0</v>
      </c>
      <c r="BB3477" s="39">
        <f t="shared" si="1471"/>
        <v>14575</v>
      </c>
      <c r="BC3477" s="39">
        <f t="shared" si="1465"/>
        <v>0</v>
      </c>
      <c r="BD3477" s="101">
        <f t="shared" si="1466"/>
        <v>50701</v>
      </c>
      <c r="BE3477" s="39">
        <f>BE3478+BE3496+BE3512+BE3525+BE3539+BE3551+BE3569+BE3588+BE3603+BE3606+BE3618+BE3626+BE3628+BE3654+BE3667+BE3685+BE3712+BE3724+BE3726+BE3733+BE3745+BE3796+BE3798+BE3800</f>
        <v>47199</v>
      </c>
      <c r="BF3477" s="39">
        <f t="shared" si="1467"/>
        <v>0</v>
      </c>
      <c r="BG3477" s="101">
        <f t="shared" si="1468"/>
        <v>173955</v>
      </c>
      <c r="BH3477" s="101">
        <f t="shared" si="1452"/>
        <v>158933</v>
      </c>
      <c r="BI3477" s="280">
        <f t="shared" si="1469"/>
        <v>109.45178156833381</v>
      </c>
      <c r="BJ3477" s="142">
        <v>158933</v>
      </c>
      <c r="BK3477" s="203">
        <f>BH3477-BJ3477</f>
        <v>0</v>
      </c>
      <c r="BL3477" s="4"/>
      <c r="BM3477" s="4"/>
    </row>
    <row r="3478" spans="1:65" s="38" customFormat="1" ht="21.95" customHeight="1">
      <c r="A3478" s="359" t="s">
        <v>2784</v>
      </c>
      <c r="B3478" s="359"/>
      <c r="C3478" s="359"/>
      <c r="D3478" s="39">
        <f t="shared" ref="D3478:AJ3478" si="1472">SUM(D3479:D3495)</f>
        <v>0</v>
      </c>
      <c r="E3478" s="39">
        <f t="shared" si="1472"/>
        <v>0</v>
      </c>
      <c r="F3478" s="39">
        <f t="shared" si="1472"/>
        <v>0</v>
      </c>
      <c r="G3478" s="39">
        <f t="shared" si="1472"/>
        <v>0</v>
      </c>
      <c r="H3478" s="39">
        <f t="shared" si="1472"/>
        <v>0</v>
      </c>
      <c r="I3478" s="39">
        <f t="shared" si="1472"/>
        <v>894</v>
      </c>
      <c r="J3478" s="39">
        <f t="shared" si="1472"/>
        <v>0</v>
      </c>
      <c r="K3478" s="39">
        <f t="shared" si="1472"/>
        <v>0</v>
      </c>
      <c r="L3478" s="39">
        <f t="shared" si="1472"/>
        <v>0</v>
      </c>
      <c r="M3478" s="39">
        <f t="shared" si="1472"/>
        <v>0</v>
      </c>
      <c r="N3478" s="39">
        <f t="shared" si="1472"/>
        <v>0</v>
      </c>
      <c r="O3478" s="39">
        <f t="shared" si="1472"/>
        <v>4</v>
      </c>
      <c r="P3478" s="39">
        <f t="shared" si="1472"/>
        <v>0</v>
      </c>
      <c r="Q3478" s="39">
        <f t="shared" si="1472"/>
        <v>0</v>
      </c>
      <c r="R3478" s="39">
        <f t="shared" si="1472"/>
        <v>0</v>
      </c>
      <c r="S3478" s="39">
        <f t="shared" si="1472"/>
        <v>0</v>
      </c>
      <c r="T3478" s="39">
        <f t="shared" si="1472"/>
        <v>0</v>
      </c>
      <c r="U3478" s="39">
        <f t="shared" si="1472"/>
        <v>0</v>
      </c>
      <c r="V3478" s="39">
        <f t="shared" si="1472"/>
        <v>0</v>
      </c>
      <c r="W3478" s="39">
        <f t="shared" si="1472"/>
        <v>0</v>
      </c>
      <c r="X3478" s="39">
        <f t="shared" si="1472"/>
        <v>0</v>
      </c>
      <c r="Y3478" s="39">
        <f t="shared" si="1472"/>
        <v>0</v>
      </c>
      <c r="Z3478" s="39">
        <f t="shared" si="1472"/>
        <v>0</v>
      </c>
      <c r="AA3478" s="39">
        <f t="shared" si="1472"/>
        <v>1007</v>
      </c>
      <c r="AB3478" s="39">
        <f t="shared" si="1463"/>
        <v>0</v>
      </c>
      <c r="AC3478" s="39">
        <f t="shared" si="1464"/>
        <v>1905</v>
      </c>
      <c r="AD3478" s="39">
        <f t="shared" si="1472"/>
        <v>4033</v>
      </c>
      <c r="AE3478" s="39">
        <f t="shared" si="1472"/>
        <v>0</v>
      </c>
      <c r="AF3478" s="39">
        <f t="shared" si="1472"/>
        <v>0</v>
      </c>
      <c r="AG3478" s="39">
        <f t="shared" si="1472"/>
        <v>0</v>
      </c>
      <c r="AH3478" s="39">
        <f t="shared" si="1472"/>
        <v>0</v>
      </c>
      <c r="AI3478" s="39">
        <f t="shared" si="1472"/>
        <v>0</v>
      </c>
      <c r="AJ3478" s="39">
        <f t="shared" si="1472"/>
        <v>0</v>
      </c>
      <c r="AK3478" s="39">
        <f t="shared" ref="AK3478:BE3478" si="1473">SUM(AK3479:AK3495)</f>
        <v>0</v>
      </c>
      <c r="AL3478" s="39">
        <f t="shared" si="1473"/>
        <v>0</v>
      </c>
      <c r="AM3478" s="39">
        <f t="shared" si="1473"/>
        <v>0</v>
      </c>
      <c r="AN3478" s="39">
        <f t="shared" si="1473"/>
        <v>0</v>
      </c>
      <c r="AO3478" s="39">
        <f t="shared" si="1473"/>
        <v>0</v>
      </c>
      <c r="AP3478" s="39">
        <f t="shared" si="1473"/>
        <v>0</v>
      </c>
      <c r="AQ3478" s="39">
        <f t="shared" si="1473"/>
        <v>0</v>
      </c>
      <c r="AR3478" s="39">
        <f t="shared" si="1473"/>
        <v>0</v>
      </c>
      <c r="AS3478" s="39">
        <f t="shared" si="1473"/>
        <v>0</v>
      </c>
      <c r="AT3478" s="39">
        <f t="shared" si="1473"/>
        <v>0</v>
      </c>
      <c r="AU3478" s="39">
        <f t="shared" si="1473"/>
        <v>0</v>
      </c>
      <c r="AV3478" s="39">
        <f t="shared" si="1473"/>
        <v>0</v>
      </c>
      <c r="AW3478" s="39">
        <f t="shared" si="1473"/>
        <v>0</v>
      </c>
      <c r="AX3478" s="39">
        <f t="shared" si="1473"/>
        <v>0</v>
      </c>
      <c r="AY3478" s="39">
        <f t="shared" si="1473"/>
        <v>0</v>
      </c>
      <c r="AZ3478" s="39">
        <f t="shared" si="1473"/>
        <v>0</v>
      </c>
      <c r="BA3478" s="39">
        <f t="shared" si="1473"/>
        <v>0</v>
      </c>
      <c r="BB3478" s="39">
        <f t="shared" si="1473"/>
        <v>0</v>
      </c>
      <c r="BC3478" s="39">
        <f t="shared" si="1465"/>
        <v>0</v>
      </c>
      <c r="BD3478" s="101">
        <f t="shared" si="1466"/>
        <v>0</v>
      </c>
      <c r="BE3478" s="39">
        <f t="shared" si="1473"/>
        <v>60</v>
      </c>
      <c r="BF3478" s="39">
        <f t="shared" si="1467"/>
        <v>0</v>
      </c>
      <c r="BG3478" s="101">
        <f t="shared" si="1468"/>
        <v>1905</v>
      </c>
      <c r="BH3478" s="101">
        <f t="shared" si="1452"/>
        <v>4093</v>
      </c>
      <c r="BI3478" s="280">
        <f t="shared" si="1469"/>
        <v>46.542878084534571</v>
      </c>
      <c r="BJ3478" s="142">
        <v>4093</v>
      </c>
      <c r="BK3478" s="203">
        <f>BH3478-BJ3478</f>
        <v>0</v>
      </c>
      <c r="BL3478" s="4"/>
      <c r="BM3478" s="4"/>
    </row>
    <row r="3479" spans="1:65" s="38" customFormat="1" ht="15.95" customHeight="1">
      <c r="A3479" s="148">
        <v>1</v>
      </c>
      <c r="B3479" s="118" t="s">
        <v>1224</v>
      </c>
      <c r="C3479" s="120" t="s">
        <v>1225</v>
      </c>
      <c r="D3479" s="42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O3479" s="42"/>
      <c r="P3479" s="42"/>
      <c r="Q3479" s="42"/>
      <c r="R3479" s="42"/>
      <c r="S3479" s="42"/>
      <c r="T3479" s="42"/>
      <c r="U3479" s="42"/>
      <c r="V3479" s="42"/>
      <c r="W3479" s="42"/>
      <c r="X3479" s="42"/>
      <c r="Y3479" s="42"/>
      <c r="Z3479" s="42"/>
      <c r="AA3479" s="42"/>
      <c r="AB3479" s="229">
        <f t="shared" ref="AB3479:AB3495" si="1474">D3479+F3479+H3479+J3479+L3479+N3479+P3479+R3479+T3479+V3479+X3479+Z3479</f>
        <v>0</v>
      </c>
      <c r="AC3479" s="228">
        <f t="shared" si="1464"/>
        <v>0</v>
      </c>
      <c r="AD3479" s="19">
        <v>50</v>
      </c>
      <c r="AE3479" s="43"/>
      <c r="AF3479" s="43"/>
      <c r="AG3479" s="43"/>
      <c r="AH3479" s="43"/>
      <c r="AI3479" s="43"/>
      <c r="AJ3479" s="43"/>
      <c r="AK3479" s="43"/>
      <c r="AL3479" s="43"/>
      <c r="AM3479" s="43"/>
      <c r="AN3479" s="43"/>
      <c r="AO3479" s="43"/>
      <c r="AP3479" s="43"/>
      <c r="AQ3479" s="43"/>
      <c r="AR3479" s="43"/>
      <c r="AS3479" s="43"/>
      <c r="AT3479" s="43"/>
      <c r="AU3479" s="43"/>
      <c r="AV3479" s="43"/>
      <c r="AW3479" s="43"/>
      <c r="AX3479" s="43"/>
      <c r="AY3479" s="43"/>
      <c r="AZ3479" s="43"/>
      <c r="BA3479" s="43"/>
      <c r="BB3479" s="43"/>
      <c r="BC3479" s="229">
        <f t="shared" ref="BC3479:BC3495" si="1475">AE3479+AG3479+AI3479+AK3479+AM3479+AO3479+AQ3479+AS3479+AU3479+AW3479+AY3479+BA3479</f>
        <v>0</v>
      </c>
      <c r="BD3479" s="48">
        <f t="shared" si="1466"/>
        <v>0</v>
      </c>
      <c r="BE3479" s="19">
        <v>0</v>
      </c>
      <c r="BF3479" s="229">
        <f t="shared" ref="BF3479:BF3495" si="1476">AB3479+BC3479</f>
        <v>0</v>
      </c>
      <c r="BG3479" s="210">
        <f t="shared" si="1468"/>
        <v>0</v>
      </c>
      <c r="BH3479" s="210">
        <f t="shared" si="1452"/>
        <v>50</v>
      </c>
      <c r="BI3479" s="213">
        <f t="shared" ref="BI3479:BI3495" si="1477">BG3479/BH3479*100</f>
        <v>0</v>
      </c>
      <c r="BJ3479" s="270" t="s">
        <v>2857</v>
      </c>
      <c r="BK3479" s="201"/>
      <c r="BL3479" s="4"/>
      <c r="BM3479" s="4"/>
    </row>
    <row r="3480" spans="1:65" s="38" customFormat="1" ht="15.95" customHeight="1">
      <c r="A3480" s="148">
        <v>2</v>
      </c>
      <c r="B3480" s="118" t="s">
        <v>1273</v>
      </c>
      <c r="C3480" s="120" t="s">
        <v>1274</v>
      </c>
      <c r="D3480" s="42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O3480" s="42"/>
      <c r="P3480" s="42"/>
      <c r="Q3480" s="42"/>
      <c r="R3480" s="42"/>
      <c r="S3480" s="42"/>
      <c r="T3480" s="42"/>
      <c r="U3480" s="42"/>
      <c r="V3480" s="42"/>
      <c r="W3480" s="42"/>
      <c r="X3480" s="42"/>
      <c r="Y3480" s="42"/>
      <c r="Z3480" s="42"/>
      <c r="AA3480" s="42"/>
      <c r="AB3480" s="229">
        <f t="shared" si="1474"/>
        <v>0</v>
      </c>
      <c r="AC3480" s="228">
        <f t="shared" si="1464"/>
        <v>0</v>
      </c>
      <c r="AD3480" s="19">
        <v>12</v>
      </c>
      <c r="AE3480" s="43"/>
      <c r="AF3480" s="43"/>
      <c r="AG3480" s="43"/>
      <c r="AH3480" s="43"/>
      <c r="AI3480" s="43"/>
      <c r="AJ3480" s="43"/>
      <c r="AK3480" s="43"/>
      <c r="AL3480" s="43"/>
      <c r="AM3480" s="110"/>
      <c r="AN3480" s="43"/>
      <c r="AO3480" s="43"/>
      <c r="AP3480" s="43"/>
      <c r="AQ3480" s="110"/>
      <c r="AR3480" s="43"/>
      <c r="AS3480" s="43"/>
      <c r="AT3480" s="43"/>
      <c r="AU3480" s="43"/>
      <c r="AV3480" s="43"/>
      <c r="AW3480" s="43"/>
      <c r="AX3480" s="43"/>
      <c r="AY3480" s="43"/>
      <c r="AZ3480" s="43"/>
      <c r="BA3480" s="43"/>
      <c r="BB3480" s="43"/>
      <c r="BC3480" s="229">
        <f t="shared" si="1475"/>
        <v>0</v>
      </c>
      <c r="BD3480" s="48">
        <f t="shared" si="1466"/>
        <v>0</v>
      </c>
      <c r="BE3480" s="19">
        <v>0</v>
      </c>
      <c r="BF3480" s="229">
        <f t="shared" si="1476"/>
        <v>0</v>
      </c>
      <c r="BG3480" s="210">
        <f t="shared" si="1468"/>
        <v>0</v>
      </c>
      <c r="BH3480" s="210">
        <f t="shared" si="1452"/>
        <v>12</v>
      </c>
      <c r="BI3480" s="213">
        <f t="shared" si="1477"/>
        <v>0</v>
      </c>
      <c r="BJ3480" s="270" t="s">
        <v>2857</v>
      </c>
      <c r="BK3480" s="201"/>
      <c r="BL3480" s="4"/>
      <c r="BM3480" s="4"/>
    </row>
    <row r="3481" spans="1:65" s="38" customFormat="1" ht="15.95" customHeight="1">
      <c r="A3481" s="148">
        <v>3</v>
      </c>
      <c r="B3481" s="118" t="s">
        <v>1228</v>
      </c>
      <c r="C3481" s="120" t="s">
        <v>1229</v>
      </c>
      <c r="D3481" s="42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O3481" s="42"/>
      <c r="P3481" s="42"/>
      <c r="Q3481" s="42"/>
      <c r="R3481" s="42"/>
      <c r="S3481" s="42"/>
      <c r="T3481" s="42"/>
      <c r="U3481" s="42"/>
      <c r="V3481" s="42"/>
      <c r="W3481" s="42"/>
      <c r="X3481" s="42"/>
      <c r="Y3481" s="42"/>
      <c r="Z3481" s="42"/>
      <c r="AA3481" s="42"/>
      <c r="AB3481" s="229">
        <f t="shared" si="1474"/>
        <v>0</v>
      </c>
      <c r="AC3481" s="228">
        <f t="shared" si="1464"/>
        <v>0</v>
      </c>
      <c r="AD3481" s="19">
        <v>23</v>
      </c>
      <c r="AE3481" s="43"/>
      <c r="AF3481" s="43"/>
      <c r="AG3481" s="43"/>
      <c r="AH3481" s="43"/>
      <c r="AI3481" s="43"/>
      <c r="AJ3481" s="43"/>
      <c r="AK3481" s="43"/>
      <c r="AL3481" s="43"/>
      <c r="AM3481" s="110"/>
      <c r="AN3481" s="43"/>
      <c r="AO3481" s="43"/>
      <c r="AP3481" s="43"/>
      <c r="AQ3481" s="110"/>
      <c r="AR3481" s="43"/>
      <c r="AS3481" s="43"/>
      <c r="AT3481" s="43"/>
      <c r="AU3481" s="43"/>
      <c r="AV3481" s="43"/>
      <c r="AW3481" s="43"/>
      <c r="AX3481" s="43"/>
      <c r="AY3481" s="43"/>
      <c r="AZ3481" s="43"/>
      <c r="BA3481" s="43"/>
      <c r="BB3481" s="43"/>
      <c r="BC3481" s="229">
        <f t="shared" si="1475"/>
        <v>0</v>
      </c>
      <c r="BD3481" s="48">
        <f t="shared" si="1466"/>
        <v>0</v>
      </c>
      <c r="BE3481" s="19">
        <v>0</v>
      </c>
      <c r="BF3481" s="229">
        <f t="shared" si="1476"/>
        <v>0</v>
      </c>
      <c r="BG3481" s="210">
        <f t="shared" si="1468"/>
        <v>0</v>
      </c>
      <c r="BH3481" s="210">
        <f t="shared" si="1452"/>
        <v>23</v>
      </c>
      <c r="BI3481" s="213">
        <f t="shared" si="1477"/>
        <v>0</v>
      </c>
      <c r="BJ3481" s="270" t="s">
        <v>2857</v>
      </c>
      <c r="BK3481" s="201"/>
      <c r="BL3481" s="4"/>
      <c r="BM3481" s="4"/>
    </row>
    <row r="3482" spans="1:65" s="38" customFormat="1" ht="15.95" customHeight="1">
      <c r="A3482" s="148">
        <v>4</v>
      </c>
      <c r="B3482" s="118" t="s">
        <v>1230</v>
      </c>
      <c r="C3482" s="120" t="s">
        <v>1231</v>
      </c>
      <c r="D3482" s="42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O3482" s="42"/>
      <c r="P3482" s="42"/>
      <c r="Q3482" s="42"/>
      <c r="R3482" s="42"/>
      <c r="S3482" s="42"/>
      <c r="T3482" s="42"/>
      <c r="U3482" s="42"/>
      <c r="V3482" s="42"/>
      <c r="W3482" s="42"/>
      <c r="X3482" s="42"/>
      <c r="Y3482" s="42"/>
      <c r="Z3482" s="42"/>
      <c r="AA3482" s="42"/>
      <c r="AB3482" s="229">
        <f t="shared" si="1474"/>
        <v>0</v>
      </c>
      <c r="AC3482" s="228">
        <f t="shared" si="1464"/>
        <v>0</v>
      </c>
      <c r="AD3482" s="19">
        <v>50</v>
      </c>
      <c r="AE3482" s="43"/>
      <c r="AF3482" s="43"/>
      <c r="AG3482" s="43"/>
      <c r="AH3482" s="43"/>
      <c r="AI3482" s="43"/>
      <c r="AJ3482" s="43"/>
      <c r="AK3482" s="43"/>
      <c r="AL3482" s="43"/>
      <c r="AM3482" s="110"/>
      <c r="AN3482" s="43"/>
      <c r="AO3482" s="43"/>
      <c r="AP3482" s="43"/>
      <c r="AQ3482" s="110"/>
      <c r="AR3482" s="43"/>
      <c r="AS3482" s="43"/>
      <c r="AT3482" s="43"/>
      <c r="AU3482" s="43"/>
      <c r="AV3482" s="43"/>
      <c r="AW3482" s="43"/>
      <c r="AX3482" s="43"/>
      <c r="AY3482" s="43"/>
      <c r="AZ3482" s="43"/>
      <c r="BA3482" s="43"/>
      <c r="BB3482" s="43"/>
      <c r="BC3482" s="229">
        <f t="shared" si="1475"/>
        <v>0</v>
      </c>
      <c r="BD3482" s="48">
        <f t="shared" si="1466"/>
        <v>0</v>
      </c>
      <c r="BE3482" s="19">
        <v>0</v>
      </c>
      <c r="BF3482" s="229">
        <f t="shared" si="1476"/>
        <v>0</v>
      </c>
      <c r="BG3482" s="210">
        <f t="shared" si="1468"/>
        <v>0</v>
      </c>
      <c r="BH3482" s="210">
        <f t="shared" si="1452"/>
        <v>50</v>
      </c>
      <c r="BI3482" s="213">
        <f t="shared" si="1477"/>
        <v>0</v>
      </c>
      <c r="BJ3482" s="270" t="s">
        <v>2857</v>
      </c>
      <c r="BK3482" s="201"/>
      <c r="BL3482" s="4"/>
      <c r="BM3482" s="4"/>
    </row>
    <row r="3483" spans="1:65" s="38" customFormat="1" ht="15.95" customHeight="1">
      <c r="A3483" s="148">
        <v>5</v>
      </c>
      <c r="B3483" s="118" t="s">
        <v>1264</v>
      </c>
      <c r="C3483" s="120" t="s">
        <v>1265</v>
      </c>
      <c r="D3483" s="42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O3483" s="42"/>
      <c r="P3483" s="42"/>
      <c r="Q3483" s="42"/>
      <c r="R3483" s="42"/>
      <c r="S3483" s="42"/>
      <c r="T3483" s="42"/>
      <c r="U3483" s="42"/>
      <c r="V3483" s="42"/>
      <c r="W3483" s="42"/>
      <c r="X3483" s="42"/>
      <c r="Y3483" s="42"/>
      <c r="Z3483" s="42"/>
      <c r="AA3483" s="42"/>
      <c r="AB3483" s="229">
        <f t="shared" si="1474"/>
        <v>0</v>
      </c>
      <c r="AC3483" s="228">
        <f t="shared" si="1464"/>
        <v>0</v>
      </c>
      <c r="AD3483" s="19">
        <v>10</v>
      </c>
      <c r="AE3483" s="43"/>
      <c r="AF3483" s="43"/>
      <c r="AG3483" s="43"/>
      <c r="AH3483" s="43"/>
      <c r="AI3483" s="43"/>
      <c r="AJ3483" s="43"/>
      <c r="AK3483" s="43"/>
      <c r="AL3483" s="43"/>
      <c r="AM3483" s="110"/>
      <c r="AN3483" s="43"/>
      <c r="AO3483" s="43"/>
      <c r="AP3483" s="43"/>
      <c r="AQ3483" s="110"/>
      <c r="AR3483" s="43"/>
      <c r="AS3483" s="43"/>
      <c r="AT3483" s="43"/>
      <c r="AU3483" s="43"/>
      <c r="AV3483" s="43"/>
      <c r="AW3483" s="43"/>
      <c r="AX3483" s="43"/>
      <c r="AY3483" s="43"/>
      <c r="AZ3483" s="43"/>
      <c r="BA3483" s="43"/>
      <c r="BB3483" s="43"/>
      <c r="BC3483" s="229">
        <f t="shared" si="1475"/>
        <v>0</v>
      </c>
      <c r="BD3483" s="48">
        <f t="shared" si="1466"/>
        <v>0</v>
      </c>
      <c r="BE3483" s="19">
        <v>0</v>
      </c>
      <c r="BF3483" s="229">
        <f t="shared" si="1476"/>
        <v>0</v>
      </c>
      <c r="BG3483" s="210">
        <f t="shared" si="1468"/>
        <v>0</v>
      </c>
      <c r="BH3483" s="210">
        <f t="shared" si="1452"/>
        <v>10</v>
      </c>
      <c r="BI3483" s="213">
        <f t="shared" si="1477"/>
        <v>0</v>
      </c>
      <c r="BJ3483" s="270" t="s">
        <v>2857</v>
      </c>
      <c r="BK3483" s="201"/>
      <c r="BL3483" s="4"/>
      <c r="BM3483" s="4"/>
    </row>
    <row r="3484" spans="1:65" s="38" customFormat="1" ht="15.95" customHeight="1">
      <c r="A3484" s="148">
        <v>6</v>
      </c>
      <c r="B3484" s="118" t="s">
        <v>1232</v>
      </c>
      <c r="C3484" s="120" t="s">
        <v>1233</v>
      </c>
      <c r="D3484" s="42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O3484" s="42"/>
      <c r="P3484" s="42"/>
      <c r="Q3484" s="42"/>
      <c r="R3484" s="42"/>
      <c r="S3484" s="42"/>
      <c r="T3484" s="42"/>
      <c r="U3484" s="42"/>
      <c r="V3484" s="42"/>
      <c r="W3484" s="42"/>
      <c r="X3484" s="42"/>
      <c r="Y3484" s="42"/>
      <c r="Z3484" s="42"/>
      <c r="AA3484" s="42"/>
      <c r="AB3484" s="229">
        <f t="shared" si="1474"/>
        <v>0</v>
      </c>
      <c r="AC3484" s="228">
        <f t="shared" si="1464"/>
        <v>0</v>
      </c>
      <c r="AD3484" s="19">
        <v>50</v>
      </c>
      <c r="AE3484" s="43"/>
      <c r="AF3484" s="43"/>
      <c r="AG3484" s="43"/>
      <c r="AH3484" s="43"/>
      <c r="AI3484" s="43"/>
      <c r="AJ3484" s="43"/>
      <c r="AK3484" s="43"/>
      <c r="AL3484" s="43"/>
      <c r="AM3484" s="110"/>
      <c r="AN3484" s="43"/>
      <c r="AO3484" s="43"/>
      <c r="AP3484" s="43"/>
      <c r="AQ3484" s="110"/>
      <c r="AR3484" s="43"/>
      <c r="AS3484" s="43"/>
      <c r="AT3484" s="43"/>
      <c r="AU3484" s="43"/>
      <c r="AV3484" s="43"/>
      <c r="AW3484" s="43"/>
      <c r="AX3484" s="43"/>
      <c r="AY3484" s="43"/>
      <c r="AZ3484" s="43"/>
      <c r="BA3484" s="43"/>
      <c r="BB3484" s="43"/>
      <c r="BC3484" s="229">
        <f t="shared" si="1475"/>
        <v>0</v>
      </c>
      <c r="BD3484" s="48">
        <f t="shared" si="1466"/>
        <v>0</v>
      </c>
      <c r="BE3484" s="19">
        <v>0</v>
      </c>
      <c r="BF3484" s="229">
        <f t="shared" si="1476"/>
        <v>0</v>
      </c>
      <c r="BG3484" s="210">
        <f t="shared" si="1468"/>
        <v>0</v>
      </c>
      <c r="BH3484" s="210">
        <f t="shared" si="1452"/>
        <v>50</v>
      </c>
      <c r="BI3484" s="213">
        <f t="shared" si="1477"/>
        <v>0</v>
      </c>
      <c r="BJ3484" s="270" t="s">
        <v>2857</v>
      </c>
      <c r="BK3484" s="201"/>
      <c r="BL3484" s="4"/>
      <c r="BM3484" s="4"/>
    </row>
    <row r="3485" spans="1:65" s="38" customFormat="1" ht="15.95" customHeight="1">
      <c r="A3485" s="148">
        <v>7</v>
      </c>
      <c r="B3485" s="118" t="s">
        <v>1234</v>
      </c>
      <c r="C3485" s="120" t="s">
        <v>1235</v>
      </c>
      <c r="D3485" s="42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O3485" s="42"/>
      <c r="P3485" s="42"/>
      <c r="Q3485" s="42"/>
      <c r="R3485" s="42"/>
      <c r="S3485" s="42"/>
      <c r="T3485" s="42"/>
      <c r="U3485" s="42"/>
      <c r="V3485" s="42"/>
      <c r="W3485" s="42"/>
      <c r="X3485" s="42"/>
      <c r="Y3485" s="42"/>
      <c r="Z3485" s="42"/>
      <c r="AA3485" s="42"/>
      <c r="AB3485" s="229">
        <f t="shared" si="1474"/>
        <v>0</v>
      </c>
      <c r="AC3485" s="228">
        <f t="shared" si="1464"/>
        <v>0</v>
      </c>
      <c r="AD3485" s="19">
        <v>38</v>
      </c>
      <c r="AE3485" s="43"/>
      <c r="AF3485" s="43"/>
      <c r="AG3485" s="43"/>
      <c r="AH3485" s="43"/>
      <c r="AI3485" s="43"/>
      <c r="AJ3485" s="43"/>
      <c r="AK3485" s="43"/>
      <c r="AL3485" s="43"/>
      <c r="AM3485" s="110"/>
      <c r="AN3485" s="43"/>
      <c r="AO3485" s="43"/>
      <c r="AP3485" s="43"/>
      <c r="AQ3485" s="110"/>
      <c r="AR3485" s="43"/>
      <c r="AS3485" s="43"/>
      <c r="AT3485" s="43"/>
      <c r="AU3485" s="43"/>
      <c r="AV3485" s="43"/>
      <c r="AW3485" s="43"/>
      <c r="AX3485" s="43"/>
      <c r="AY3485" s="43"/>
      <c r="AZ3485" s="43"/>
      <c r="BA3485" s="43"/>
      <c r="BB3485" s="43"/>
      <c r="BC3485" s="229">
        <f t="shared" si="1475"/>
        <v>0</v>
      </c>
      <c r="BD3485" s="48">
        <f t="shared" si="1466"/>
        <v>0</v>
      </c>
      <c r="BE3485" s="19">
        <v>0</v>
      </c>
      <c r="BF3485" s="229">
        <f t="shared" si="1476"/>
        <v>0</v>
      </c>
      <c r="BG3485" s="210">
        <f t="shared" si="1468"/>
        <v>0</v>
      </c>
      <c r="BH3485" s="210">
        <f t="shared" si="1452"/>
        <v>38</v>
      </c>
      <c r="BI3485" s="213">
        <f t="shared" si="1477"/>
        <v>0</v>
      </c>
      <c r="BJ3485" s="270" t="s">
        <v>2857</v>
      </c>
      <c r="BK3485" s="201"/>
      <c r="BL3485" s="4"/>
      <c r="BM3485" s="4"/>
    </row>
    <row r="3486" spans="1:65" s="38" customFormat="1" ht="21.95" customHeight="1">
      <c r="A3486" s="148">
        <v>8</v>
      </c>
      <c r="B3486" s="118" t="s">
        <v>1251</v>
      </c>
      <c r="C3486" s="150" t="s">
        <v>1364</v>
      </c>
      <c r="D3486" s="42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O3486" s="42"/>
      <c r="P3486" s="42"/>
      <c r="Q3486" s="42"/>
      <c r="R3486" s="42"/>
      <c r="S3486" s="42"/>
      <c r="T3486" s="42"/>
      <c r="U3486" s="42"/>
      <c r="V3486" s="42"/>
      <c r="W3486" s="42"/>
      <c r="X3486" s="42"/>
      <c r="Y3486" s="42"/>
      <c r="Z3486" s="42"/>
      <c r="AA3486" s="42"/>
      <c r="AB3486" s="229">
        <f t="shared" si="1474"/>
        <v>0</v>
      </c>
      <c r="AC3486" s="228">
        <f t="shared" si="1464"/>
        <v>0</v>
      </c>
      <c r="AD3486" s="19">
        <v>10</v>
      </c>
      <c r="AE3486" s="43"/>
      <c r="AF3486" s="43"/>
      <c r="AG3486" s="43"/>
      <c r="AH3486" s="43"/>
      <c r="AI3486" s="43"/>
      <c r="AJ3486" s="43"/>
      <c r="AK3486" s="43"/>
      <c r="AL3486" s="43"/>
      <c r="AM3486" s="110"/>
      <c r="AN3486" s="43"/>
      <c r="AO3486" s="43"/>
      <c r="AP3486" s="43"/>
      <c r="AQ3486" s="110"/>
      <c r="AR3486" s="43"/>
      <c r="AS3486" s="43"/>
      <c r="AT3486" s="43"/>
      <c r="AU3486" s="43"/>
      <c r="AV3486" s="43"/>
      <c r="AW3486" s="43"/>
      <c r="AX3486" s="43"/>
      <c r="AY3486" s="43"/>
      <c r="AZ3486" s="43"/>
      <c r="BA3486" s="43"/>
      <c r="BB3486" s="43"/>
      <c r="BC3486" s="229">
        <f t="shared" si="1475"/>
        <v>0</v>
      </c>
      <c r="BD3486" s="48">
        <f t="shared" si="1466"/>
        <v>0</v>
      </c>
      <c r="BE3486" s="19">
        <v>0</v>
      </c>
      <c r="BF3486" s="229">
        <f t="shared" si="1476"/>
        <v>0</v>
      </c>
      <c r="BG3486" s="210">
        <f t="shared" si="1468"/>
        <v>0</v>
      </c>
      <c r="BH3486" s="210">
        <f t="shared" si="1452"/>
        <v>10</v>
      </c>
      <c r="BI3486" s="213">
        <f t="shared" si="1477"/>
        <v>0</v>
      </c>
      <c r="BJ3486" s="270" t="s">
        <v>2857</v>
      </c>
      <c r="BK3486" s="201"/>
      <c r="BL3486" s="4"/>
      <c r="BM3486" s="4"/>
    </row>
    <row r="3487" spans="1:65" s="38" customFormat="1" ht="15.95" customHeight="1">
      <c r="A3487" s="148">
        <v>9</v>
      </c>
      <c r="B3487" s="118" t="s">
        <v>1236</v>
      </c>
      <c r="C3487" s="120" t="s">
        <v>1237</v>
      </c>
      <c r="D3487" s="42"/>
      <c r="E3487" s="42"/>
      <c r="F3487" s="42"/>
      <c r="G3487" s="42"/>
      <c r="H3487" s="42"/>
      <c r="I3487" s="42">
        <v>894</v>
      </c>
      <c r="J3487" s="42"/>
      <c r="K3487" s="42"/>
      <c r="L3487" s="42"/>
      <c r="M3487" s="42"/>
      <c r="N3487" s="42"/>
      <c r="O3487" s="42">
        <v>4</v>
      </c>
      <c r="P3487" s="42"/>
      <c r="Q3487" s="42"/>
      <c r="R3487" s="42"/>
      <c r="S3487" s="42"/>
      <c r="T3487" s="42"/>
      <c r="U3487" s="42"/>
      <c r="V3487" s="42"/>
      <c r="W3487" s="42"/>
      <c r="X3487" s="42"/>
      <c r="Y3487" s="42"/>
      <c r="Z3487" s="42"/>
      <c r="AA3487" s="42">
        <v>1007</v>
      </c>
      <c r="AB3487" s="229">
        <f t="shared" si="1474"/>
        <v>0</v>
      </c>
      <c r="AC3487" s="228">
        <f t="shared" si="1464"/>
        <v>1905</v>
      </c>
      <c r="AD3487" s="19">
        <v>3790</v>
      </c>
      <c r="AE3487" s="43"/>
      <c r="AF3487" s="43"/>
      <c r="AG3487" s="43"/>
      <c r="AH3487" s="43"/>
      <c r="AI3487" s="43"/>
      <c r="AJ3487" s="43"/>
      <c r="AK3487" s="43"/>
      <c r="AL3487" s="43"/>
      <c r="AM3487" s="110"/>
      <c r="AN3487" s="43"/>
      <c r="AO3487" s="43"/>
      <c r="AP3487" s="43"/>
      <c r="AQ3487" s="110"/>
      <c r="AR3487" s="43"/>
      <c r="AS3487" s="43"/>
      <c r="AT3487" s="43"/>
      <c r="AU3487" s="43"/>
      <c r="AV3487" s="43"/>
      <c r="AW3487" s="43"/>
      <c r="AX3487" s="43"/>
      <c r="AY3487" s="43"/>
      <c r="AZ3487" s="43"/>
      <c r="BA3487" s="43"/>
      <c r="BB3487" s="43"/>
      <c r="BC3487" s="229">
        <f t="shared" si="1475"/>
        <v>0</v>
      </c>
      <c r="BD3487" s="48">
        <f t="shared" si="1466"/>
        <v>0</v>
      </c>
      <c r="BE3487" s="19">
        <v>0</v>
      </c>
      <c r="BF3487" s="229">
        <f t="shared" si="1476"/>
        <v>0</v>
      </c>
      <c r="BG3487" s="210">
        <f t="shared" si="1468"/>
        <v>1905</v>
      </c>
      <c r="BH3487" s="210">
        <f t="shared" si="1452"/>
        <v>3790</v>
      </c>
      <c r="BI3487" s="213">
        <f t="shared" si="1477"/>
        <v>50.263852242744065</v>
      </c>
      <c r="BJ3487" s="270" t="s">
        <v>2857</v>
      </c>
      <c r="BK3487" s="201"/>
      <c r="BL3487" s="4"/>
      <c r="BM3487" s="4"/>
    </row>
    <row r="3488" spans="1:65" s="38" customFormat="1" ht="15.95" customHeight="1">
      <c r="A3488" s="148">
        <v>10</v>
      </c>
      <c r="B3488" s="118" t="s">
        <v>1241</v>
      </c>
      <c r="C3488" s="120" t="s">
        <v>1242</v>
      </c>
      <c r="D3488" s="42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O3488" s="42"/>
      <c r="P3488" s="42"/>
      <c r="Q3488" s="42"/>
      <c r="R3488" s="42"/>
      <c r="S3488" s="42"/>
      <c r="T3488" s="42"/>
      <c r="U3488" s="42"/>
      <c r="V3488" s="42"/>
      <c r="W3488" s="42"/>
      <c r="X3488" s="42"/>
      <c r="Y3488" s="42"/>
      <c r="Z3488" s="42"/>
      <c r="AA3488" s="42"/>
      <c r="AB3488" s="229">
        <f t="shared" si="1474"/>
        <v>0</v>
      </c>
      <c r="AC3488" s="228">
        <f t="shared" si="1464"/>
        <v>0</v>
      </c>
      <c r="AD3488" s="19">
        <v>0</v>
      </c>
      <c r="AE3488" s="43"/>
      <c r="AF3488" s="43"/>
      <c r="AG3488" s="43"/>
      <c r="AH3488" s="43"/>
      <c r="AI3488" s="43"/>
      <c r="AJ3488" s="43"/>
      <c r="AK3488" s="43"/>
      <c r="AL3488" s="43"/>
      <c r="AM3488" s="110"/>
      <c r="AN3488" s="43"/>
      <c r="AO3488" s="43"/>
      <c r="AP3488" s="43"/>
      <c r="AQ3488" s="110"/>
      <c r="AR3488" s="43"/>
      <c r="AS3488" s="43"/>
      <c r="AT3488" s="43"/>
      <c r="AU3488" s="43"/>
      <c r="AV3488" s="43"/>
      <c r="AW3488" s="43"/>
      <c r="AX3488" s="43"/>
      <c r="AY3488" s="43"/>
      <c r="AZ3488" s="43"/>
      <c r="BA3488" s="43"/>
      <c r="BB3488" s="43"/>
      <c r="BC3488" s="229">
        <f t="shared" si="1475"/>
        <v>0</v>
      </c>
      <c r="BD3488" s="48">
        <f t="shared" si="1466"/>
        <v>0</v>
      </c>
      <c r="BE3488" s="19">
        <v>22</v>
      </c>
      <c r="BF3488" s="229">
        <f t="shared" si="1476"/>
        <v>0</v>
      </c>
      <c r="BG3488" s="210">
        <f t="shared" si="1468"/>
        <v>0</v>
      </c>
      <c r="BH3488" s="210">
        <f t="shared" si="1452"/>
        <v>22</v>
      </c>
      <c r="BI3488" s="213">
        <f t="shared" si="1477"/>
        <v>0</v>
      </c>
      <c r="BJ3488" s="141"/>
      <c r="BK3488" s="201"/>
      <c r="BL3488" s="4"/>
      <c r="BM3488" s="4"/>
    </row>
    <row r="3489" spans="1:65" s="38" customFormat="1" ht="15.95" customHeight="1">
      <c r="A3489" s="148">
        <v>11</v>
      </c>
      <c r="B3489" s="118" t="s">
        <v>1243</v>
      </c>
      <c r="C3489" s="120" t="s">
        <v>1244</v>
      </c>
      <c r="D3489" s="42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O3489" s="42"/>
      <c r="P3489" s="42"/>
      <c r="Q3489" s="42"/>
      <c r="R3489" s="42"/>
      <c r="S3489" s="42"/>
      <c r="T3489" s="42"/>
      <c r="U3489" s="42"/>
      <c r="V3489" s="42"/>
      <c r="W3489" s="42"/>
      <c r="X3489" s="42"/>
      <c r="Y3489" s="42"/>
      <c r="Z3489" s="42"/>
      <c r="AA3489" s="42"/>
      <c r="AB3489" s="229">
        <f t="shared" si="1474"/>
        <v>0</v>
      </c>
      <c r="AC3489" s="228">
        <f t="shared" si="1464"/>
        <v>0</v>
      </c>
      <c r="AD3489" s="19">
        <v>0</v>
      </c>
      <c r="AE3489" s="43"/>
      <c r="AF3489" s="43"/>
      <c r="AG3489" s="43"/>
      <c r="AH3489" s="43"/>
      <c r="AI3489" s="43"/>
      <c r="AJ3489" s="43"/>
      <c r="AK3489" s="43"/>
      <c r="AL3489" s="43"/>
      <c r="AM3489" s="110"/>
      <c r="AN3489" s="43"/>
      <c r="AO3489" s="43"/>
      <c r="AP3489" s="43"/>
      <c r="AQ3489" s="110"/>
      <c r="AR3489" s="43"/>
      <c r="AS3489" s="43"/>
      <c r="AT3489" s="43"/>
      <c r="AU3489" s="43"/>
      <c r="AV3489" s="43"/>
      <c r="AW3489" s="43"/>
      <c r="AX3489" s="43"/>
      <c r="AY3489" s="43"/>
      <c r="AZ3489" s="43"/>
      <c r="BA3489" s="43"/>
      <c r="BB3489" s="43"/>
      <c r="BC3489" s="229">
        <f t="shared" si="1475"/>
        <v>0</v>
      </c>
      <c r="BD3489" s="48">
        <f t="shared" si="1466"/>
        <v>0</v>
      </c>
      <c r="BE3489" s="19">
        <v>1</v>
      </c>
      <c r="BF3489" s="229">
        <f t="shared" si="1476"/>
        <v>0</v>
      </c>
      <c r="BG3489" s="210">
        <f t="shared" si="1468"/>
        <v>0</v>
      </c>
      <c r="BH3489" s="210">
        <f t="shared" si="1452"/>
        <v>1</v>
      </c>
      <c r="BI3489" s="213">
        <f t="shared" si="1477"/>
        <v>0</v>
      </c>
      <c r="BJ3489" s="141"/>
      <c r="BK3489" s="201"/>
      <c r="BL3489" s="4"/>
      <c r="BM3489" s="4"/>
    </row>
    <row r="3490" spans="1:65" s="38" customFormat="1" ht="15.95" customHeight="1">
      <c r="A3490" s="148">
        <v>12</v>
      </c>
      <c r="B3490" s="152" t="s">
        <v>840</v>
      </c>
      <c r="C3490" s="120" t="s">
        <v>841</v>
      </c>
      <c r="D3490" s="42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O3490" s="42"/>
      <c r="P3490" s="42"/>
      <c r="Q3490" s="42"/>
      <c r="R3490" s="42"/>
      <c r="S3490" s="42"/>
      <c r="T3490" s="42"/>
      <c r="U3490" s="42"/>
      <c r="V3490" s="42"/>
      <c r="W3490" s="42"/>
      <c r="X3490" s="42"/>
      <c r="Y3490" s="42"/>
      <c r="Z3490" s="42"/>
      <c r="AA3490" s="42"/>
      <c r="AB3490" s="229">
        <f t="shared" si="1474"/>
        <v>0</v>
      </c>
      <c r="AC3490" s="228">
        <f t="shared" si="1464"/>
        <v>0</v>
      </c>
      <c r="AD3490" s="19">
        <v>0</v>
      </c>
      <c r="AE3490" s="43"/>
      <c r="AF3490" s="43"/>
      <c r="AG3490" s="43"/>
      <c r="AH3490" s="43"/>
      <c r="AI3490" s="43"/>
      <c r="AJ3490" s="43"/>
      <c r="AK3490" s="43"/>
      <c r="AL3490" s="43"/>
      <c r="AM3490" s="110"/>
      <c r="AN3490" s="43"/>
      <c r="AO3490" s="43"/>
      <c r="AP3490" s="43"/>
      <c r="AQ3490" s="110"/>
      <c r="AR3490" s="43"/>
      <c r="AS3490" s="43"/>
      <c r="AT3490" s="43"/>
      <c r="AU3490" s="43"/>
      <c r="AV3490" s="43"/>
      <c r="AW3490" s="43"/>
      <c r="AX3490" s="43"/>
      <c r="AY3490" s="43"/>
      <c r="AZ3490" s="43"/>
      <c r="BA3490" s="43"/>
      <c r="BB3490" s="43"/>
      <c r="BC3490" s="229">
        <f t="shared" si="1475"/>
        <v>0</v>
      </c>
      <c r="BD3490" s="48">
        <f t="shared" si="1466"/>
        <v>0</v>
      </c>
      <c r="BE3490" s="19">
        <v>2</v>
      </c>
      <c r="BF3490" s="229">
        <f t="shared" si="1476"/>
        <v>0</v>
      </c>
      <c r="BG3490" s="210">
        <f t="shared" si="1468"/>
        <v>0</v>
      </c>
      <c r="BH3490" s="210">
        <f t="shared" si="1452"/>
        <v>2</v>
      </c>
      <c r="BI3490" s="213">
        <f t="shared" si="1477"/>
        <v>0</v>
      </c>
      <c r="BJ3490" s="141"/>
      <c r="BK3490" s="201"/>
      <c r="BL3490" s="4"/>
      <c r="BM3490" s="4"/>
    </row>
    <row r="3491" spans="1:65" s="38" customFormat="1" ht="15.95" customHeight="1">
      <c r="A3491" s="148">
        <v>13</v>
      </c>
      <c r="B3491" s="118" t="s">
        <v>1178</v>
      </c>
      <c r="C3491" s="120" t="s">
        <v>1179</v>
      </c>
      <c r="D3491" s="42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O3491" s="42"/>
      <c r="P3491" s="42"/>
      <c r="Q3491" s="42"/>
      <c r="R3491" s="42"/>
      <c r="S3491" s="42"/>
      <c r="T3491" s="42"/>
      <c r="U3491" s="42"/>
      <c r="V3491" s="42"/>
      <c r="W3491" s="42"/>
      <c r="X3491" s="42"/>
      <c r="Y3491" s="42"/>
      <c r="Z3491" s="42"/>
      <c r="AA3491" s="42"/>
      <c r="AB3491" s="229">
        <f t="shared" si="1474"/>
        <v>0</v>
      </c>
      <c r="AC3491" s="228">
        <f t="shared" si="1464"/>
        <v>0</v>
      </c>
      <c r="AD3491" s="19">
        <v>0</v>
      </c>
      <c r="AE3491" s="43"/>
      <c r="AF3491" s="43"/>
      <c r="AG3491" s="43"/>
      <c r="AH3491" s="43"/>
      <c r="AI3491" s="43"/>
      <c r="AJ3491" s="43"/>
      <c r="AK3491" s="43"/>
      <c r="AL3491" s="43"/>
      <c r="AM3491" s="110"/>
      <c r="AN3491" s="43"/>
      <c r="AO3491" s="43"/>
      <c r="AP3491" s="43"/>
      <c r="AQ3491" s="110"/>
      <c r="AR3491" s="43"/>
      <c r="AS3491" s="43"/>
      <c r="AT3491" s="43"/>
      <c r="AU3491" s="43"/>
      <c r="AV3491" s="43"/>
      <c r="AW3491" s="43"/>
      <c r="AX3491" s="43"/>
      <c r="AY3491" s="43"/>
      <c r="AZ3491" s="43"/>
      <c r="BA3491" s="43"/>
      <c r="BB3491" s="43"/>
      <c r="BC3491" s="229">
        <f t="shared" si="1475"/>
        <v>0</v>
      </c>
      <c r="BD3491" s="48">
        <f t="shared" si="1466"/>
        <v>0</v>
      </c>
      <c r="BE3491" s="19">
        <v>10</v>
      </c>
      <c r="BF3491" s="229">
        <f t="shared" si="1476"/>
        <v>0</v>
      </c>
      <c r="BG3491" s="210">
        <f t="shared" si="1468"/>
        <v>0</v>
      </c>
      <c r="BH3491" s="210">
        <f t="shared" si="1452"/>
        <v>10</v>
      </c>
      <c r="BI3491" s="213">
        <f t="shared" si="1477"/>
        <v>0</v>
      </c>
      <c r="BJ3491" s="141"/>
      <c r="BK3491" s="201"/>
      <c r="BL3491" s="4"/>
      <c r="BM3491" s="4"/>
    </row>
    <row r="3492" spans="1:65" s="38" customFormat="1" ht="21.95" customHeight="1">
      <c r="A3492" s="148">
        <v>14</v>
      </c>
      <c r="B3492" s="118" t="s">
        <v>1245</v>
      </c>
      <c r="C3492" s="119" t="s">
        <v>1246</v>
      </c>
      <c r="D3492" s="42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O3492" s="42"/>
      <c r="P3492" s="42"/>
      <c r="Q3492" s="42"/>
      <c r="R3492" s="42"/>
      <c r="S3492" s="42"/>
      <c r="T3492" s="42"/>
      <c r="U3492" s="42"/>
      <c r="V3492" s="42"/>
      <c r="W3492" s="42"/>
      <c r="X3492" s="42"/>
      <c r="Y3492" s="42"/>
      <c r="Z3492" s="42"/>
      <c r="AA3492" s="42"/>
      <c r="AB3492" s="229">
        <f t="shared" si="1474"/>
        <v>0</v>
      </c>
      <c r="AC3492" s="228">
        <f t="shared" si="1464"/>
        <v>0</v>
      </c>
      <c r="AD3492" s="19">
        <v>0</v>
      </c>
      <c r="AE3492" s="43"/>
      <c r="AF3492" s="43"/>
      <c r="AG3492" s="43"/>
      <c r="AH3492" s="43"/>
      <c r="AI3492" s="43"/>
      <c r="AJ3492" s="43"/>
      <c r="AK3492" s="43"/>
      <c r="AL3492" s="43"/>
      <c r="AM3492" s="43"/>
      <c r="AN3492" s="43"/>
      <c r="AO3492" s="43"/>
      <c r="AP3492" s="43"/>
      <c r="AQ3492" s="43"/>
      <c r="AR3492" s="43"/>
      <c r="AS3492" s="43"/>
      <c r="AT3492" s="43"/>
      <c r="AU3492" s="43"/>
      <c r="AV3492" s="43"/>
      <c r="AW3492" s="43"/>
      <c r="AX3492" s="43"/>
      <c r="AY3492" s="43"/>
      <c r="AZ3492" s="43"/>
      <c r="BA3492" s="43"/>
      <c r="BB3492" s="43"/>
      <c r="BC3492" s="229">
        <f t="shared" si="1475"/>
        <v>0</v>
      </c>
      <c r="BD3492" s="48">
        <f t="shared" si="1466"/>
        <v>0</v>
      </c>
      <c r="BE3492" s="19">
        <v>10</v>
      </c>
      <c r="BF3492" s="229">
        <f t="shared" si="1476"/>
        <v>0</v>
      </c>
      <c r="BG3492" s="210">
        <f t="shared" si="1468"/>
        <v>0</v>
      </c>
      <c r="BH3492" s="210">
        <f t="shared" si="1452"/>
        <v>10</v>
      </c>
      <c r="BI3492" s="213">
        <f t="shared" si="1477"/>
        <v>0</v>
      </c>
      <c r="BJ3492" s="141"/>
      <c r="BK3492" s="201"/>
      <c r="BL3492" s="4"/>
      <c r="BM3492" s="4"/>
    </row>
    <row r="3493" spans="1:65" s="38" customFormat="1" ht="15.95" customHeight="1">
      <c r="A3493" s="148">
        <v>15</v>
      </c>
      <c r="B3493" s="118" t="s">
        <v>1247</v>
      </c>
      <c r="C3493" s="195" t="s">
        <v>1248</v>
      </c>
      <c r="D3493" s="42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O3493" s="42"/>
      <c r="P3493" s="42"/>
      <c r="Q3493" s="42"/>
      <c r="R3493" s="42"/>
      <c r="S3493" s="42"/>
      <c r="T3493" s="42"/>
      <c r="U3493" s="42"/>
      <c r="V3493" s="42"/>
      <c r="W3493" s="42"/>
      <c r="X3493" s="42"/>
      <c r="Y3493" s="42"/>
      <c r="Z3493" s="42"/>
      <c r="AA3493" s="42"/>
      <c r="AB3493" s="229">
        <f t="shared" si="1474"/>
        <v>0</v>
      </c>
      <c r="AC3493" s="228">
        <f t="shared" si="1464"/>
        <v>0</v>
      </c>
      <c r="AD3493" s="19">
        <v>0</v>
      </c>
      <c r="AE3493" s="43"/>
      <c r="AF3493" s="43"/>
      <c r="AG3493" s="43"/>
      <c r="AH3493" s="43"/>
      <c r="AI3493" s="43"/>
      <c r="AJ3493" s="43"/>
      <c r="AK3493" s="43"/>
      <c r="AL3493" s="43"/>
      <c r="AM3493" s="43"/>
      <c r="AN3493" s="43"/>
      <c r="AO3493" s="43"/>
      <c r="AP3493" s="43"/>
      <c r="AQ3493" s="43"/>
      <c r="AR3493" s="43"/>
      <c r="AS3493" s="43"/>
      <c r="AT3493" s="43"/>
      <c r="AU3493" s="43"/>
      <c r="AV3493" s="43"/>
      <c r="AW3493" s="43"/>
      <c r="AX3493" s="43"/>
      <c r="AY3493" s="43"/>
      <c r="AZ3493" s="43"/>
      <c r="BA3493" s="43"/>
      <c r="BB3493" s="43"/>
      <c r="BC3493" s="229">
        <f t="shared" si="1475"/>
        <v>0</v>
      </c>
      <c r="BD3493" s="48">
        <f t="shared" si="1466"/>
        <v>0</v>
      </c>
      <c r="BE3493" s="19">
        <v>6</v>
      </c>
      <c r="BF3493" s="229">
        <f t="shared" si="1476"/>
        <v>0</v>
      </c>
      <c r="BG3493" s="210">
        <f t="shared" si="1468"/>
        <v>0</v>
      </c>
      <c r="BH3493" s="210">
        <f t="shared" si="1452"/>
        <v>6</v>
      </c>
      <c r="BI3493" s="213">
        <f t="shared" si="1477"/>
        <v>0</v>
      </c>
      <c r="BJ3493" s="141"/>
      <c r="BK3493" s="201"/>
      <c r="BL3493" s="4"/>
      <c r="BM3493" s="4"/>
    </row>
    <row r="3494" spans="1:65" s="38" customFormat="1" ht="15.95" customHeight="1">
      <c r="A3494" s="148">
        <v>16</v>
      </c>
      <c r="B3494" s="118" t="s">
        <v>1249</v>
      </c>
      <c r="C3494" s="120" t="s">
        <v>1668</v>
      </c>
      <c r="D3494" s="42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O3494" s="42"/>
      <c r="P3494" s="42"/>
      <c r="Q3494" s="42"/>
      <c r="R3494" s="42"/>
      <c r="S3494" s="42"/>
      <c r="T3494" s="42"/>
      <c r="U3494" s="42"/>
      <c r="V3494" s="42"/>
      <c r="W3494" s="42"/>
      <c r="X3494" s="42"/>
      <c r="Y3494" s="42"/>
      <c r="Z3494" s="42"/>
      <c r="AA3494" s="42"/>
      <c r="AB3494" s="229">
        <f t="shared" si="1474"/>
        <v>0</v>
      </c>
      <c r="AC3494" s="228">
        <f t="shared" si="1464"/>
        <v>0</v>
      </c>
      <c r="AD3494" s="19">
        <v>0</v>
      </c>
      <c r="AE3494" s="43"/>
      <c r="AF3494" s="43"/>
      <c r="AG3494" s="43"/>
      <c r="AH3494" s="43"/>
      <c r="AI3494" s="43"/>
      <c r="AJ3494" s="43"/>
      <c r="AK3494" s="43"/>
      <c r="AL3494" s="43"/>
      <c r="AM3494" s="43"/>
      <c r="AN3494" s="43"/>
      <c r="AO3494" s="43"/>
      <c r="AP3494" s="43"/>
      <c r="AQ3494" s="43"/>
      <c r="AR3494" s="43"/>
      <c r="AS3494" s="43"/>
      <c r="AT3494" s="43"/>
      <c r="AU3494" s="43"/>
      <c r="AV3494" s="43"/>
      <c r="AW3494" s="43"/>
      <c r="AX3494" s="43"/>
      <c r="AY3494" s="43"/>
      <c r="AZ3494" s="43"/>
      <c r="BA3494" s="43"/>
      <c r="BB3494" s="43"/>
      <c r="BC3494" s="229">
        <f t="shared" si="1475"/>
        <v>0</v>
      </c>
      <c r="BD3494" s="48">
        <f t="shared" si="1466"/>
        <v>0</v>
      </c>
      <c r="BE3494" s="19">
        <v>6</v>
      </c>
      <c r="BF3494" s="229">
        <f t="shared" si="1476"/>
        <v>0</v>
      </c>
      <c r="BG3494" s="210">
        <f t="shared" si="1468"/>
        <v>0</v>
      </c>
      <c r="BH3494" s="210">
        <f t="shared" si="1452"/>
        <v>6</v>
      </c>
      <c r="BI3494" s="213">
        <f t="shared" si="1477"/>
        <v>0</v>
      </c>
      <c r="BJ3494" s="141"/>
      <c r="BK3494" s="201"/>
      <c r="BL3494" s="4"/>
      <c r="BM3494" s="4"/>
    </row>
    <row r="3495" spans="1:65" s="38" customFormat="1" ht="15.95" customHeight="1">
      <c r="A3495" s="148">
        <v>17</v>
      </c>
      <c r="B3495" s="118" t="s">
        <v>1262</v>
      </c>
      <c r="C3495" s="120" t="s">
        <v>1263</v>
      </c>
      <c r="D3495" s="42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O3495" s="42"/>
      <c r="P3495" s="42"/>
      <c r="Q3495" s="42"/>
      <c r="R3495" s="42"/>
      <c r="S3495" s="42"/>
      <c r="T3495" s="42"/>
      <c r="U3495" s="42"/>
      <c r="V3495" s="42"/>
      <c r="W3495" s="42"/>
      <c r="X3495" s="42"/>
      <c r="Y3495" s="42"/>
      <c r="Z3495" s="42"/>
      <c r="AA3495" s="42"/>
      <c r="AB3495" s="229">
        <f t="shared" si="1474"/>
        <v>0</v>
      </c>
      <c r="AC3495" s="228">
        <f t="shared" si="1464"/>
        <v>0</v>
      </c>
      <c r="AD3495" s="19">
        <v>0</v>
      </c>
      <c r="AE3495" s="43"/>
      <c r="AF3495" s="43"/>
      <c r="AG3495" s="43"/>
      <c r="AH3495" s="43"/>
      <c r="AI3495" s="43"/>
      <c r="AJ3495" s="43"/>
      <c r="AK3495" s="43"/>
      <c r="AL3495" s="43"/>
      <c r="AM3495" s="43"/>
      <c r="AN3495" s="43"/>
      <c r="AO3495" s="43"/>
      <c r="AP3495" s="43"/>
      <c r="AQ3495" s="43"/>
      <c r="AR3495" s="43"/>
      <c r="AS3495" s="43"/>
      <c r="AT3495" s="43"/>
      <c r="AU3495" s="43"/>
      <c r="AV3495" s="43"/>
      <c r="AW3495" s="43"/>
      <c r="AX3495" s="43"/>
      <c r="AY3495" s="43"/>
      <c r="AZ3495" s="43"/>
      <c r="BA3495" s="43"/>
      <c r="BB3495" s="43"/>
      <c r="BC3495" s="229">
        <f t="shared" si="1475"/>
        <v>0</v>
      </c>
      <c r="BD3495" s="48">
        <f t="shared" si="1466"/>
        <v>0</v>
      </c>
      <c r="BE3495" s="19">
        <v>3</v>
      </c>
      <c r="BF3495" s="229">
        <f t="shared" si="1476"/>
        <v>0</v>
      </c>
      <c r="BG3495" s="210">
        <f t="shared" si="1468"/>
        <v>0</v>
      </c>
      <c r="BH3495" s="210">
        <f t="shared" si="1452"/>
        <v>3</v>
      </c>
      <c r="BI3495" s="213">
        <f t="shared" si="1477"/>
        <v>0</v>
      </c>
      <c r="BJ3495" s="141"/>
      <c r="BK3495" s="201"/>
      <c r="BL3495" s="4"/>
      <c r="BM3495" s="4"/>
    </row>
    <row r="3496" spans="1:65" s="38" customFormat="1" ht="21.95" customHeight="1">
      <c r="A3496" s="364" t="s">
        <v>2785</v>
      </c>
      <c r="B3496" s="364"/>
      <c r="C3496" s="364"/>
      <c r="D3496" s="39">
        <f t="shared" ref="D3496:AA3496" si="1478">SUM(D3497:D3511)</f>
        <v>0</v>
      </c>
      <c r="E3496" s="39">
        <f t="shared" si="1478"/>
        <v>0</v>
      </c>
      <c r="F3496" s="39">
        <f t="shared" si="1478"/>
        <v>0</v>
      </c>
      <c r="G3496" s="39">
        <f t="shared" si="1478"/>
        <v>0</v>
      </c>
      <c r="H3496" s="39">
        <f t="shared" si="1478"/>
        <v>0</v>
      </c>
      <c r="I3496" s="39">
        <f t="shared" si="1478"/>
        <v>0</v>
      </c>
      <c r="J3496" s="39">
        <f t="shared" si="1478"/>
        <v>0</v>
      </c>
      <c r="K3496" s="39">
        <f t="shared" si="1478"/>
        <v>0</v>
      </c>
      <c r="L3496" s="39">
        <f t="shared" si="1478"/>
        <v>0</v>
      </c>
      <c r="M3496" s="39">
        <f t="shared" si="1478"/>
        <v>0</v>
      </c>
      <c r="N3496" s="39">
        <f t="shared" si="1478"/>
        <v>0</v>
      </c>
      <c r="O3496" s="39">
        <f t="shared" si="1478"/>
        <v>0</v>
      </c>
      <c r="P3496" s="39">
        <f t="shared" si="1478"/>
        <v>0</v>
      </c>
      <c r="Q3496" s="39">
        <f t="shared" si="1478"/>
        <v>0</v>
      </c>
      <c r="R3496" s="39">
        <f t="shared" si="1478"/>
        <v>0</v>
      </c>
      <c r="S3496" s="39">
        <f t="shared" si="1478"/>
        <v>0</v>
      </c>
      <c r="T3496" s="39">
        <f t="shared" si="1478"/>
        <v>0</v>
      </c>
      <c r="U3496" s="39">
        <f t="shared" si="1478"/>
        <v>0</v>
      </c>
      <c r="V3496" s="39">
        <f t="shared" si="1478"/>
        <v>0</v>
      </c>
      <c r="W3496" s="39">
        <f t="shared" si="1478"/>
        <v>0</v>
      </c>
      <c r="X3496" s="39">
        <f t="shared" si="1478"/>
        <v>0</v>
      </c>
      <c r="Y3496" s="39">
        <f t="shared" si="1478"/>
        <v>0</v>
      </c>
      <c r="Z3496" s="39">
        <f t="shared" si="1478"/>
        <v>0</v>
      </c>
      <c r="AA3496" s="39">
        <f t="shared" si="1478"/>
        <v>0</v>
      </c>
      <c r="AB3496" s="39">
        <f t="shared" si="1463"/>
        <v>0</v>
      </c>
      <c r="AC3496" s="39">
        <f t="shared" si="1464"/>
        <v>0</v>
      </c>
      <c r="AD3496" s="39">
        <f t="shared" ref="AD3496:BB3496" si="1479">SUM(AD3497:AD3511)</f>
        <v>353</v>
      </c>
      <c r="AE3496" s="39">
        <f t="shared" si="1479"/>
        <v>0</v>
      </c>
      <c r="AF3496" s="39">
        <f t="shared" si="1479"/>
        <v>0</v>
      </c>
      <c r="AG3496" s="39">
        <f t="shared" si="1479"/>
        <v>0</v>
      </c>
      <c r="AH3496" s="39">
        <f t="shared" si="1479"/>
        <v>0</v>
      </c>
      <c r="AI3496" s="39">
        <f t="shared" si="1479"/>
        <v>0</v>
      </c>
      <c r="AJ3496" s="39">
        <f t="shared" si="1479"/>
        <v>0</v>
      </c>
      <c r="AK3496" s="39">
        <f t="shared" si="1479"/>
        <v>0</v>
      </c>
      <c r="AL3496" s="39">
        <f t="shared" si="1479"/>
        <v>0</v>
      </c>
      <c r="AM3496" s="39">
        <f t="shared" si="1479"/>
        <v>0</v>
      </c>
      <c r="AN3496" s="39">
        <f t="shared" si="1479"/>
        <v>0</v>
      </c>
      <c r="AO3496" s="39">
        <f t="shared" si="1479"/>
        <v>0</v>
      </c>
      <c r="AP3496" s="39">
        <f t="shared" si="1479"/>
        <v>0</v>
      </c>
      <c r="AQ3496" s="39">
        <f t="shared" si="1479"/>
        <v>0</v>
      </c>
      <c r="AR3496" s="39">
        <f t="shared" si="1479"/>
        <v>0</v>
      </c>
      <c r="AS3496" s="39">
        <f t="shared" si="1479"/>
        <v>0</v>
      </c>
      <c r="AT3496" s="39">
        <f t="shared" si="1479"/>
        <v>0</v>
      </c>
      <c r="AU3496" s="39">
        <f t="shared" si="1479"/>
        <v>0</v>
      </c>
      <c r="AV3496" s="39">
        <f t="shared" si="1479"/>
        <v>0</v>
      </c>
      <c r="AW3496" s="39">
        <f t="shared" si="1479"/>
        <v>0</v>
      </c>
      <c r="AX3496" s="39">
        <f t="shared" si="1479"/>
        <v>0</v>
      </c>
      <c r="AY3496" s="39">
        <f t="shared" si="1479"/>
        <v>0</v>
      </c>
      <c r="AZ3496" s="39">
        <f t="shared" si="1479"/>
        <v>0</v>
      </c>
      <c r="BA3496" s="39">
        <f t="shared" si="1479"/>
        <v>0</v>
      </c>
      <c r="BB3496" s="39">
        <f t="shared" si="1479"/>
        <v>0</v>
      </c>
      <c r="BC3496" s="39">
        <f t="shared" si="1465"/>
        <v>0</v>
      </c>
      <c r="BD3496" s="101">
        <f t="shared" si="1466"/>
        <v>0</v>
      </c>
      <c r="BE3496" s="39">
        <f>SUM(BE3497:BE3511)</f>
        <v>41</v>
      </c>
      <c r="BF3496" s="39">
        <f t="shared" si="1467"/>
        <v>0</v>
      </c>
      <c r="BG3496" s="101">
        <f t="shared" si="1468"/>
        <v>0</v>
      </c>
      <c r="BH3496" s="101">
        <f t="shared" si="1452"/>
        <v>394</v>
      </c>
      <c r="BI3496" s="280">
        <f t="shared" si="1469"/>
        <v>0</v>
      </c>
      <c r="BJ3496" s="142">
        <v>394</v>
      </c>
      <c r="BK3496" s="203">
        <f>BH3496-BJ3496</f>
        <v>0</v>
      </c>
      <c r="BL3496" s="4"/>
      <c r="BM3496" s="4"/>
    </row>
    <row r="3497" spans="1:65" s="38" customFormat="1" ht="15.95" customHeight="1">
      <c r="A3497" s="148">
        <v>1</v>
      </c>
      <c r="B3497" s="118" t="s">
        <v>1490</v>
      </c>
      <c r="C3497" s="120" t="s">
        <v>1491</v>
      </c>
      <c r="D3497" s="42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O3497" s="42"/>
      <c r="P3497" s="42"/>
      <c r="Q3497" s="42"/>
      <c r="R3497" s="42"/>
      <c r="S3497" s="42"/>
      <c r="T3497" s="42"/>
      <c r="U3497" s="42"/>
      <c r="V3497" s="42"/>
      <c r="W3497" s="42"/>
      <c r="X3497" s="42"/>
      <c r="Y3497" s="42"/>
      <c r="Z3497" s="42"/>
      <c r="AA3497" s="42"/>
      <c r="AB3497" s="229">
        <f t="shared" ref="AB3497:AB3511" si="1480">D3497+F3497+H3497+J3497+L3497+N3497+P3497+R3497+T3497+V3497+X3497+Z3497</f>
        <v>0</v>
      </c>
      <c r="AC3497" s="228">
        <f t="shared" si="1464"/>
        <v>0</v>
      </c>
      <c r="AD3497" s="19">
        <v>5</v>
      </c>
      <c r="AE3497" s="43"/>
      <c r="AF3497" s="43"/>
      <c r="AG3497" s="43"/>
      <c r="AH3497" s="43"/>
      <c r="AI3497" s="43"/>
      <c r="AJ3497" s="43"/>
      <c r="AK3497" s="43"/>
      <c r="AL3497" s="43"/>
      <c r="AM3497" s="43"/>
      <c r="AN3497" s="43"/>
      <c r="AO3497" s="43"/>
      <c r="AP3497" s="43"/>
      <c r="AQ3497" s="43"/>
      <c r="AR3497" s="43"/>
      <c r="AS3497" s="43"/>
      <c r="AT3497" s="43"/>
      <c r="AU3497" s="43"/>
      <c r="AV3497" s="43"/>
      <c r="AW3497" s="43"/>
      <c r="AX3497" s="43"/>
      <c r="AY3497" s="43"/>
      <c r="AZ3497" s="43"/>
      <c r="BA3497" s="43"/>
      <c r="BB3497" s="43"/>
      <c r="BC3497" s="229">
        <f t="shared" ref="BC3497:BC3511" si="1481">AE3497+AG3497+AI3497+AK3497+AM3497+AO3497+AQ3497+AS3497+AU3497+AW3497+AY3497+BA3497</f>
        <v>0</v>
      </c>
      <c r="BD3497" s="48">
        <f t="shared" si="1466"/>
        <v>0</v>
      </c>
      <c r="BE3497" s="19">
        <v>0</v>
      </c>
      <c r="BF3497" s="229">
        <f t="shared" ref="BF3497:BF3511" si="1482">AB3497+BC3497</f>
        <v>0</v>
      </c>
      <c r="BG3497" s="210">
        <f t="shared" si="1468"/>
        <v>0</v>
      </c>
      <c r="BH3497" s="210">
        <f t="shared" ref="BH3497:BH3511" si="1483">AD3497+BE3497</f>
        <v>5</v>
      </c>
      <c r="BI3497" s="213">
        <f t="shared" ref="BI3497:BI3511" si="1484">BG3497/BH3497*100</f>
        <v>0</v>
      </c>
      <c r="BJ3497" s="270" t="s">
        <v>2857</v>
      </c>
      <c r="BK3497" s="201"/>
      <c r="BL3497" s="4"/>
      <c r="BM3497" s="4"/>
    </row>
    <row r="3498" spans="1:65" s="38" customFormat="1" ht="15.95" customHeight="1">
      <c r="A3498" s="148">
        <v>2</v>
      </c>
      <c r="B3498" s="118" t="s">
        <v>1224</v>
      </c>
      <c r="C3498" s="120" t="s">
        <v>1225</v>
      </c>
      <c r="D3498" s="42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O3498" s="42"/>
      <c r="P3498" s="42"/>
      <c r="Q3498" s="42"/>
      <c r="R3498" s="42"/>
      <c r="S3498" s="42"/>
      <c r="T3498" s="42"/>
      <c r="U3498" s="42"/>
      <c r="V3498" s="42"/>
      <c r="W3498" s="42"/>
      <c r="X3498" s="42"/>
      <c r="Y3498" s="42"/>
      <c r="Z3498" s="42"/>
      <c r="AA3498" s="42"/>
      <c r="AB3498" s="229">
        <f t="shared" si="1480"/>
        <v>0</v>
      </c>
      <c r="AC3498" s="228">
        <f t="shared" si="1464"/>
        <v>0</v>
      </c>
      <c r="AD3498" s="19">
        <v>10</v>
      </c>
      <c r="AE3498" s="43"/>
      <c r="AF3498" s="43"/>
      <c r="AG3498" s="43"/>
      <c r="AH3498" s="43"/>
      <c r="AI3498" s="43"/>
      <c r="AJ3498" s="43"/>
      <c r="AK3498" s="43"/>
      <c r="AL3498" s="43"/>
      <c r="AM3498" s="43"/>
      <c r="AN3498" s="43"/>
      <c r="AO3498" s="43"/>
      <c r="AP3498" s="43"/>
      <c r="AQ3498" s="43"/>
      <c r="AR3498" s="43"/>
      <c r="AS3498" s="43"/>
      <c r="AT3498" s="43"/>
      <c r="AU3498" s="43"/>
      <c r="AV3498" s="43"/>
      <c r="AW3498" s="43"/>
      <c r="AX3498" s="43"/>
      <c r="AY3498" s="43"/>
      <c r="AZ3498" s="43"/>
      <c r="BA3498" s="43"/>
      <c r="BB3498" s="43"/>
      <c r="BC3498" s="229">
        <f t="shared" si="1481"/>
        <v>0</v>
      </c>
      <c r="BD3498" s="48">
        <f t="shared" si="1466"/>
        <v>0</v>
      </c>
      <c r="BE3498" s="19">
        <v>0</v>
      </c>
      <c r="BF3498" s="229">
        <f t="shared" si="1482"/>
        <v>0</v>
      </c>
      <c r="BG3498" s="210">
        <f t="shared" si="1468"/>
        <v>0</v>
      </c>
      <c r="BH3498" s="210">
        <f t="shared" si="1483"/>
        <v>10</v>
      </c>
      <c r="BI3498" s="213">
        <f t="shared" si="1484"/>
        <v>0</v>
      </c>
      <c r="BJ3498" s="270" t="s">
        <v>2857</v>
      </c>
      <c r="BK3498" s="201"/>
      <c r="BL3498" s="4"/>
      <c r="BM3498" s="4"/>
    </row>
    <row r="3499" spans="1:65" s="38" customFormat="1" ht="15.95" customHeight="1">
      <c r="A3499" s="148">
        <v>3</v>
      </c>
      <c r="B3499" s="118" t="s">
        <v>1228</v>
      </c>
      <c r="C3499" s="120" t="s">
        <v>1229</v>
      </c>
      <c r="D3499" s="42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O3499" s="42"/>
      <c r="P3499" s="42"/>
      <c r="Q3499" s="42"/>
      <c r="R3499" s="42"/>
      <c r="S3499" s="42"/>
      <c r="T3499" s="42"/>
      <c r="U3499" s="42"/>
      <c r="V3499" s="42"/>
      <c r="W3499" s="42"/>
      <c r="X3499" s="42"/>
      <c r="Y3499" s="42"/>
      <c r="Z3499" s="42"/>
      <c r="AA3499" s="42"/>
      <c r="AB3499" s="229">
        <f t="shared" si="1480"/>
        <v>0</v>
      </c>
      <c r="AC3499" s="228">
        <f t="shared" si="1464"/>
        <v>0</v>
      </c>
      <c r="AD3499" s="19">
        <v>15</v>
      </c>
      <c r="AE3499" s="43"/>
      <c r="AF3499" s="43"/>
      <c r="AG3499" s="43"/>
      <c r="AH3499" s="43"/>
      <c r="AI3499" s="43"/>
      <c r="AJ3499" s="43"/>
      <c r="AK3499" s="43"/>
      <c r="AL3499" s="43"/>
      <c r="AM3499" s="110"/>
      <c r="AN3499" s="43"/>
      <c r="AO3499" s="43"/>
      <c r="AP3499" s="43"/>
      <c r="AQ3499" s="110"/>
      <c r="AR3499" s="43"/>
      <c r="AS3499" s="43"/>
      <c r="AT3499" s="43"/>
      <c r="AU3499" s="43"/>
      <c r="AV3499" s="43"/>
      <c r="AW3499" s="43"/>
      <c r="AX3499" s="43"/>
      <c r="AY3499" s="43"/>
      <c r="AZ3499" s="43"/>
      <c r="BA3499" s="43"/>
      <c r="BB3499" s="43"/>
      <c r="BC3499" s="229">
        <f t="shared" si="1481"/>
        <v>0</v>
      </c>
      <c r="BD3499" s="48">
        <f t="shared" si="1466"/>
        <v>0</v>
      </c>
      <c r="BE3499" s="19">
        <v>0</v>
      </c>
      <c r="BF3499" s="229">
        <f t="shared" si="1482"/>
        <v>0</v>
      </c>
      <c r="BG3499" s="210">
        <f t="shared" si="1468"/>
        <v>0</v>
      </c>
      <c r="BH3499" s="210">
        <f t="shared" si="1483"/>
        <v>15</v>
      </c>
      <c r="BI3499" s="213">
        <f t="shared" si="1484"/>
        <v>0</v>
      </c>
      <c r="BJ3499" s="270" t="s">
        <v>2857</v>
      </c>
      <c r="BK3499" s="201"/>
      <c r="BL3499" s="4"/>
      <c r="BM3499" s="4"/>
    </row>
    <row r="3500" spans="1:65" s="38" customFormat="1" ht="15.95" customHeight="1">
      <c r="A3500" s="148">
        <v>4</v>
      </c>
      <c r="B3500" s="118" t="s">
        <v>1230</v>
      </c>
      <c r="C3500" s="120" t="s">
        <v>1231</v>
      </c>
      <c r="D3500" s="42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O3500" s="42"/>
      <c r="P3500" s="42"/>
      <c r="Q3500" s="42"/>
      <c r="R3500" s="42"/>
      <c r="S3500" s="42"/>
      <c r="T3500" s="42"/>
      <c r="U3500" s="42"/>
      <c r="V3500" s="42"/>
      <c r="W3500" s="42"/>
      <c r="X3500" s="42"/>
      <c r="Y3500" s="42"/>
      <c r="Z3500" s="42"/>
      <c r="AA3500" s="42"/>
      <c r="AB3500" s="229">
        <f t="shared" si="1480"/>
        <v>0</v>
      </c>
      <c r="AC3500" s="228">
        <f t="shared" si="1464"/>
        <v>0</v>
      </c>
      <c r="AD3500" s="19">
        <v>2</v>
      </c>
      <c r="AE3500" s="43"/>
      <c r="AF3500" s="43"/>
      <c r="AG3500" s="43"/>
      <c r="AH3500" s="43"/>
      <c r="AI3500" s="43"/>
      <c r="AJ3500" s="43"/>
      <c r="AK3500" s="43"/>
      <c r="AL3500" s="43"/>
      <c r="AM3500" s="43"/>
      <c r="AN3500" s="43"/>
      <c r="AO3500" s="43"/>
      <c r="AP3500" s="43"/>
      <c r="AQ3500" s="43"/>
      <c r="AR3500" s="43"/>
      <c r="AS3500" s="43"/>
      <c r="AT3500" s="43"/>
      <c r="AU3500" s="43"/>
      <c r="AV3500" s="43"/>
      <c r="AW3500" s="43"/>
      <c r="AX3500" s="43"/>
      <c r="AY3500" s="43"/>
      <c r="AZ3500" s="43"/>
      <c r="BA3500" s="43"/>
      <c r="BB3500" s="43"/>
      <c r="BC3500" s="229">
        <f t="shared" si="1481"/>
        <v>0</v>
      </c>
      <c r="BD3500" s="48">
        <f t="shared" si="1466"/>
        <v>0</v>
      </c>
      <c r="BE3500" s="19">
        <v>0</v>
      </c>
      <c r="BF3500" s="229">
        <f t="shared" si="1482"/>
        <v>0</v>
      </c>
      <c r="BG3500" s="210">
        <f t="shared" si="1468"/>
        <v>0</v>
      </c>
      <c r="BH3500" s="210">
        <f t="shared" si="1483"/>
        <v>2</v>
      </c>
      <c r="BI3500" s="213">
        <f t="shared" si="1484"/>
        <v>0</v>
      </c>
      <c r="BJ3500" s="270" t="s">
        <v>2857</v>
      </c>
      <c r="BK3500" s="201"/>
      <c r="BL3500" s="4"/>
      <c r="BM3500" s="4"/>
    </row>
    <row r="3501" spans="1:65" s="38" customFormat="1" ht="15.95" customHeight="1">
      <c r="A3501" s="148">
        <v>5</v>
      </c>
      <c r="B3501" s="118" t="s">
        <v>1264</v>
      </c>
      <c r="C3501" s="120" t="s">
        <v>1265</v>
      </c>
      <c r="D3501" s="42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O3501" s="42"/>
      <c r="P3501" s="42"/>
      <c r="Q3501" s="42"/>
      <c r="R3501" s="42"/>
      <c r="S3501" s="42"/>
      <c r="T3501" s="42"/>
      <c r="U3501" s="42"/>
      <c r="V3501" s="42"/>
      <c r="W3501" s="42"/>
      <c r="X3501" s="42"/>
      <c r="Y3501" s="42"/>
      <c r="Z3501" s="42"/>
      <c r="AA3501" s="42"/>
      <c r="AB3501" s="229">
        <f t="shared" si="1480"/>
        <v>0</v>
      </c>
      <c r="AC3501" s="228">
        <f t="shared" si="1464"/>
        <v>0</v>
      </c>
      <c r="AD3501" s="19">
        <f>5+10</f>
        <v>15</v>
      </c>
      <c r="AE3501" s="43"/>
      <c r="AF3501" s="43"/>
      <c r="AG3501" s="43"/>
      <c r="AH3501" s="43"/>
      <c r="AI3501" s="43"/>
      <c r="AJ3501" s="43"/>
      <c r="AK3501" s="43"/>
      <c r="AL3501" s="43"/>
      <c r="AM3501" s="43"/>
      <c r="AN3501" s="43"/>
      <c r="AO3501" s="43"/>
      <c r="AP3501" s="43"/>
      <c r="AQ3501" s="43"/>
      <c r="AR3501" s="43"/>
      <c r="AS3501" s="43"/>
      <c r="AT3501" s="43"/>
      <c r="AU3501" s="43"/>
      <c r="AV3501" s="43"/>
      <c r="AW3501" s="43"/>
      <c r="AX3501" s="43"/>
      <c r="AY3501" s="43"/>
      <c r="AZ3501" s="43"/>
      <c r="BA3501" s="43"/>
      <c r="BB3501" s="43"/>
      <c r="BC3501" s="229">
        <f t="shared" si="1481"/>
        <v>0</v>
      </c>
      <c r="BD3501" s="48">
        <f t="shared" si="1466"/>
        <v>0</v>
      </c>
      <c r="BE3501" s="19">
        <v>0</v>
      </c>
      <c r="BF3501" s="229">
        <f t="shared" si="1482"/>
        <v>0</v>
      </c>
      <c r="BG3501" s="210">
        <f t="shared" si="1468"/>
        <v>0</v>
      </c>
      <c r="BH3501" s="210">
        <f t="shared" si="1483"/>
        <v>15</v>
      </c>
      <c r="BI3501" s="213">
        <f t="shared" si="1484"/>
        <v>0</v>
      </c>
      <c r="BJ3501" s="270" t="s">
        <v>2857</v>
      </c>
      <c r="BK3501" s="201"/>
      <c r="BL3501" s="4"/>
      <c r="BM3501" s="4"/>
    </row>
    <row r="3502" spans="1:65" s="38" customFormat="1" ht="15.95" customHeight="1">
      <c r="A3502" s="148">
        <v>6</v>
      </c>
      <c r="B3502" s="118" t="s">
        <v>1232</v>
      </c>
      <c r="C3502" s="120" t="s">
        <v>1233</v>
      </c>
      <c r="D3502" s="42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O3502" s="42"/>
      <c r="P3502" s="42"/>
      <c r="Q3502" s="42"/>
      <c r="R3502" s="42"/>
      <c r="S3502" s="42"/>
      <c r="T3502" s="42"/>
      <c r="U3502" s="42"/>
      <c r="V3502" s="42"/>
      <c r="W3502" s="42"/>
      <c r="X3502" s="42"/>
      <c r="Y3502" s="42"/>
      <c r="Z3502" s="42"/>
      <c r="AA3502" s="42"/>
      <c r="AB3502" s="229">
        <f t="shared" si="1480"/>
        <v>0</v>
      </c>
      <c r="AC3502" s="228">
        <f t="shared" si="1464"/>
        <v>0</v>
      </c>
      <c r="AD3502" s="19">
        <v>5</v>
      </c>
      <c r="AE3502" s="43"/>
      <c r="AF3502" s="43"/>
      <c r="AG3502" s="43"/>
      <c r="AH3502" s="43"/>
      <c r="AI3502" s="43"/>
      <c r="AJ3502" s="43"/>
      <c r="AK3502" s="43"/>
      <c r="AL3502" s="43"/>
      <c r="AM3502" s="43"/>
      <c r="AN3502" s="43"/>
      <c r="AO3502" s="43"/>
      <c r="AP3502" s="43"/>
      <c r="AQ3502" s="43"/>
      <c r="AR3502" s="43"/>
      <c r="AS3502" s="43"/>
      <c r="AT3502" s="43"/>
      <c r="AU3502" s="43"/>
      <c r="AV3502" s="43"/>
      <c r="AW3502" s="43"/>
      <c r="AX3502" s="43"/>
      <c r="AY3502" s="43"/>
      <c r="AZ3502" s="43"/>
      <c r="BA3502" s="43"/>
      <c r="BB3502" s="43"/>
      <c r="BC3502" s="229">
        <f t="shared" si="1481"/>
        <v>0</v>
      </c>
      <c r="BD3502" s="48">
        <f t="shared" si="1466"/>
        <v>0</v>
      </c>
      <c r="BE3502" s="19">
        <v>0</v>
      </c>
      <c r="BF3502" s="229">
        <f t="shared" si="1482"/>
        <v>0</v>
      </c>
      <c r="BG3502" s="210">
        <f t="shared" si="1468"/>
        <v>0</v>
      </c>
      <c r="BH3502" s="210">
        <f t="shared" si="1483"/>
        <v>5</v>
      </c>
      <c r="BI3502" s="213">
        <f t="shared" si="1484"/>
        <v>0</v>
      </c>
      <c r="BJ3502" s="270" t="s">
        <v>2857</v>
      </c>
      <c r="BK3502" s="201"/>
      <c r="BL3502" s="4"/>
      <c r="BM3502" s="4"/>
    </row>
    <row r="3503" spans="1:65" s="38" customFormat="1" ht="15.95" customHeight="1">
      <c r="A3503" s="148">
        <v>7</v>
      </c>
      <c r="B3503" s="118" t="s">
        <v>1234</v>
      </c>
      <c r="C3503" s="120" t="s">
        <v>1235</v>
      </c>
      <c r="D3503" s="42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O3503" s="42"/>
      <c r="P3503" s="42"/>
      <c r="Q3503" s="42"/>
      <c r="R3503" s="42"/>
      <c r="S3503" s="42"/>
      <c r="T3503" s="42"/>
      <c r="U3503" s="42"/>
      <c r="V3503" s="42"/>
      <c r="W3503" s="42"/>
      <c r="X3503" s="42"/>
      <c r="Y3503" s="42"/>
      <c r="Z3503" s="42"/>
      <c r="AA3503" s="42"/>
      <c r="AB3503" s="229">
        <f t="shared" si="1480"/>
        <v>0</v>
      </c>
      <c r="AC3503" s="228">
        <f t="shared" si="1464"/>
        <v>0</v>
      </c>
      <c r="AD3503" s="19">
        <v>15</v>
      </c>
      <c r="AE3503" s="43"/>
      <c r="AF3503" s="43"/>
      <c r="AG3503" s="43"/>
      <c r="AH3503" s="43"/>
      <c r="AI3503" s="43"/>
      <c r="AJ3503" s="43"/>
      <c r="AK3503" s="43"/>
      <c r="AL3503" s="43"/>
      <c r="AM3503" s="43"/>
      <c r="AN3503" s="43"/>
      <c r="AO3503" s="43"/>
      <c r="AP3503" s="43"/>
      <c r="AQ3503" s="43"/>
      <c r="AR3503" s="43"/>
      <c r="AS3503" s="43"/>
      <c r="AT3503" s="43"/>
      <c r="AU3503" s="43"/>
      <c r="AV3503" s="43"/>
      <c r="AW3503" s="43"/>
      <c r="AX3503" s="43"/>
      <c r="AY3503" s="43"/>
      <c r="AZ3503" s="43"/>
      <c r="BA3503" s="43"/>
      <c r="BB3503" s="43"/>
      <c r="BC3503" s="229">
        <f t="shared" si="1481"/>
        <v>0</v>
      </c>
      <c r="BD3503" s="48">
        <f t="shared" si="1466"/>
        <v>0</v>
      </c>
      <c r="BE3503" s="19">
        <v>0</v>
      </c>
      <c r="BF3503" s="229">
        <f t="shared" si="1482"/>
        <v>0</v>
      </c>
      <c r="BG3503" s="210">
        <f t="shared" si="1468"/>
        <v>0</v>
      </c>
      <c r="BH3503" s="210">
        <f t="shared" si="1483"/>
        <v>15</v>
      </c>
      <c r="BI3503" s="213">
        <f t="shared" si="1484"/>
        <v>0</v>
      </c>
      <c r="BJ3503" s="270" t="s">
        <v>2857</v>
      </c>
      <c r="BK3503" s="201"/>
      <c r="BL3503" s="4"/>
      <c r="BM3503" s="4"/>
    </row>
    <row r="3504" spans="1:65" s="38" customFormat="1" ht="21.95" customHeight="1">
      <c r="A3504" s="148">
        <v>8</v>
      </c>
      <c r="B3504" s="118" t="s">
        <v>1251</v>
      </c>
      <c r="C3504" s="150" t="s">
        <v>1364</v>
      </c>
      <c r="D3504" s="42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O3504" s="42"/>
      <c r="P3504" s="42"/>
      <c r="Q3504" s="42"/>
      <c r="R3504" s="42"/>
      <c r="S3504" s="42"/>
      <c r="T3504" s="42"/>
      <c r="U3504" s="42"/>
      <c r="V3504" s="42"/>
      <c r="W3504" s="42"/>
      <c r="X3504" s="42"/>
      <c r="Y3504" s="42"/>
      <c r="Z3504" s="42"/>
      <c r="AA3504" s="42"/>
      <c r="AB3504" s="229">
        <f t="shared" si="1480"/>
        <v>0</v>
      </c>
      <c r="AC3504" s="228">
        <f t="shared" si="1464"/>
        <v>0</v>
      </c>
      <c r="AD3504" s="19">
        <v>3</v>
      </c>
      <c r="AE3504" s="43"/>
      <c r="AF3504" s="43"/>
      <c r="AG3504" s="43"/>
      <c r="AH3504" s="43"/>
      <c r="AI3504" s="43"/>
      <c r="AJ3504" s="43"/>
      <c r="AK3504" s="43"/>
      <c r="AL3504" s="43"/>
      <c r="AM3504" s="43"/>
      <c r="AN3504" s="43"/>
      <c r="AO3504" s="43"/>
      <c r="AP3504" s="43"/>
      <c r="AQ3504" s="43"/>
      <c r="AR3504" s="43"/>
      <c r="AS3504" s="43"/>
      <c r="AT3504" s="43"/>
      <c r="AU3504" s="43"/>
      <c r="AV3504" s="43"/>
      <c r="AW3504" s="43"/>
      <c r="AX3504" s="43"/>
      <c r="AY3504" s="43"/>
      <c r="AZ3504" s="43"/>
      <c r="BA3504" s="43"/>
      <c r="BB3504" s="43"/>
      <c r="BC3504" s="229">
        <f t="shared" si="1481"/>
        <v>0</v>
      </c>
      <c r="BD3504" s="48">
        <f t="shared" si="1466"/>
        <v>0</v>
      </c>
      <c r="BE3504" s="19">
        <v>0</v>
      </c>
      <c r="BF3504" s="229">
        <f t="shared" si="1482"/>
        <v>0</v>
      </c>
      <c r="BG3504" s="210">
        <f t="shared" si="1468"/>
        <v>0</v>
      </c>
      <c r="BH3504" s="210">
        <f t="shared" si="1483"/>
        <v>3</v>
      </c>
      <c r="BI3504" s="213">
        <f t="shared" si="1484"/>
        <v>0</v>
      </c>
      <c r="BJ3504" s="270" t="s">
        <v>2857</v>
      </c>
      <c r="BK3504" s="201"/>
      <c r="BL3504" s="4"/>
      <c r="BM3504" s="4"/>
    </row>
    <row r="3505" spans="1:65" s="38" customFormat="1" ht="15.95" customHeight="1">
      <c r="A3505" s="148">
        <v>9</v>
      </c>
      <c r="B3505" s="118" t="s">
        <v>1442</v>
      </c>
      <c r="C3505" s="120" t="s">
        <v>1443</v>
      </c>
      <c r="D3505" s="42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O3505" s="42"/>
      <c r="P3505" s="42"/>
      <c r="Q3505" s="42"/>
      <c r="R3505" s="42"/>
      <c r="S3505" s="42"/>
      <c r="T3505" s="42"/>
      <c r="U3505" s="42"/>
      <c r="V3505" s="42"/>
      <c r="W3505" s="42"/>
      <c r="X3505" s="42"/>
      <c r="Y3505" s="42"/>
      <c r="Z3505" s="42"/>
      <c r="AA3505" s="42"/>
      <c r="AB3505" s="229">
        <f t="shared" si="1480"/>
        <v>0</v>
      </c>
      <c r="AC3505" s="228">
        <f t="shared" si="1464"/>
        <v>0</v>
      </c>
      <c r="AD3505" s="19">
        <v>1</v>
      </c>
      <c r="AE3505" s="43"/>
      <c r="AF3505" s="43"/>
      <c r="AG3505" s="43"/>
      <c r="AH3505" s="43"/>
      <c r="AI3505" s="43"/>
      <c r="AJ3505" s="43"/>
      <c r="AK3505" s="43"/>
      <c r="AL3505" s="43"/>
      <c r="AM3505" s="43"/>
      <c r="AN3505" s="43"/>
      <c r="AO3505" s="43"/>
      <c r="AP3505" s="43"/>
      <c r="AQ3505" s="43"/>
      <c r="AR3505" s="43"/>
      <c r="AS3505" s="43"/>
      <c r="AT3505" s="43"/>
      <c r="AU3505" s="43"/>
      <c r="AV3505" s="43"/>
      <c r="AW3505" s="43"/>
      <c r="AX3505" s="43"/>
      <c r="AY3505" s="43"/>
      <c r="AZ3505" s="43"/>
      <c r="BA3505" s="43"/>
      <c r="BB3505" s="43"/>
      <c r="BC3505" s="229">
        <f t="shared" si="1481"/>
        <v>0</v>
      </c>
      <c r="BD3505" s="48">
        <f t="shared" si="1466"/>
        <v>0</v>
      </c>
      <c r="BE3505" s="19">
        <v>0</v>
      </c>
      <c r="BF3505" s="229">
        <f t="shared" si="1482"/>
        <v>0</v>
      </c>
      <c r="BG3505" s="210">
        <f t="shared" si="1468"/>
        <v>0</v>
      </c>
      <c r="BH3505" s="210">
        <f t="shared" si="1483"/>
        <v>1</v>
      </c>
      <c r="BI3505" s="213">
        <f t="shared" si="1484"/>
        <v>0</v>
      </c>
      <c r="BJ3505" s="270" t="s">
        <v>2857</v>
      </c>
      <c r="BK3505" s="201"/>
      <c r="BL3505" s="4"/>
      <c r="BM3505" s="4"/>
    </row>
    <row r="3506" spans="1:65" s="38" customFormat="1" ht="15.95" customHeight="1">
      <c r="A3506" s="148">
        <v>10</v>
      </c>
      <c r="B3506" s="118" t="s">
        <v>1236</v>
      </c>
      <c r="C3506" s="120" t="s">
        <v>1237</v>
      </c>
      <c r="D3506" s="42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O3506" s="42"/>
      <c r="P3506" s="42"/>
      <c r="Q3506" s="42"/>
      <c r="R3506" s="42"/>
      <c r="S3506" s="42"/>
      <c r="T3506" s="42"/>
      <c r="U3506" s="42"/>
      <c r="V3506" s="42"/>
      <c r="W3506" s="42"/>
      <c r="X3506" s="42"/>
      <c r="Y3506" s="42"/>
      <c r="Z3506" s="42"/>
      <c r="AA3506" s="42"/>
      <c r="AB3506" s="229">
        <f t="shared" si="1480"/>
        <v>0</v>
      </c>
      <c r="AC3506" s="228">
        <f t="shared" si="1464"/>
        <v>0</v>
      </c>
      <c r="AD3506" s="19">
        <v>282</v>
      </c>
      <c r="AE3506" s="43"/>
      <c r="AF3506" s="43"/>
      <c r="AG3506" s="43"/>
      <c r="AH3506" s="43"/>
      <c r="AI3506" s="43"/>
      <c r="AJ3506" s="43"/>
      <c r="AK3506" s="43"/>
      <c r="AL3506" s="43"/>
      <c r="AM3506" s="43"/>
      <c r="AN3506" s="43"/>
      <c r="AO3506" s="43"/>
      <c r="AP3506" s="43"/>
      <c r="AQ3506" s="43"/>
      <c r="AR3506" s="43"/>
      <c r="AS3506" s="43"/>
      <c r="AT3506" s="43"/>
      <c r="AU3506" s="43"/>
      <c r="AV3506" s="43"/>
      <c r="AW3506" s="43"/>
      <c r="AX3506" s="43"/>
      <c r="AY3506" s="43"/>
      <c r="AZ3506" s="43"/>
      <c r="BA3506" s="43"/>
      <c r="BB3506" s="43"/>
      <c r="BC3506" s="229">
        <f t="shared" si="1481"/>
        <v>0</v>
      </c>
      <c r="BD3506" s="48">
        <f t="shared" si="1466"/>
        <v>0</v>
      </c>
      <c r="BE3506" s="19">
        <v>0</v>
      </c>
      <c r="BF3506" s="229">
        <f t="shared" si="1482"/>
        <v>0</v>
      </c>
      <c r="BG3506" s="210">
        <f t="shared" si="1468"/>
        <v>0</v>
      </c>
      <c r="BH3506" s="210">
        <f t="shared" si="1483"/>
        <v>282</v>
      </c>
      <c r="BI3506" s="213">
        <f t="shared" si="1484"/>
        <v>0</v>
      </c>
      <c r="BJ3506" s="270" t="s">
        <v>2857</v>
      </c>
      <c r="BK3506" s="201"/>
      <c r="BL3506" s="4"/>
      <c r="BM3506" s="4"/>
    </row>
    <row r="3507" spans="1:65" s="38" customFormat="1" ht="15.95" customHeight="1">
      <c r="A3507" s="148">
        <v>11</v>
      </c>
      <c r="B3507" s="118" t="s">
        <v>1241</v>
      </c>
      <c r="C3507" s="120" t="s">
        <v>1242</v>
      </c>
      <c r="D3507" s="42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O3507" s="42"/>
      <c r="P3507" s="42"/>
      <c r="Q3507" s="42"/>
      <c r="R3507" s="42"/>
      <c r="S3507" s="42"/>
      <c r="T3507" s="42"/>
      <c r="U3507" s="42"/>
      <c r="V3507" s="42"/>
      <c r="W3507" s="42"/>
      <c r="X3507" s="42"/>
      <c r="Y3507" s="42"/>
      <c r="Z3507" s="42"/>
      <c r="AA3507" s="42"/>
      <c r="AB3507" s="229">
        <f t="shared" si="1480"/>
        <v>0</v>
      </c>
      <c r="AC3507" s="228">
        <f t="shared" si="1464"/>
        <v>0</v>
      </c>
      <c r="AD3507" s="19">
        <v>0</v>
      </c>
      <c r="AE3507" s="43"/>
      <c r="AF3507" s="43"/>
      <c r="AG3507" s="43"/>
      <c r="AH3507" s="43"/>
      <c r="AI3507" s="43"/>
      <c r="AJ3507" s="43"/>
      <c r="AK3507" s="43"/>
      <c r="AL3507" s="43"/>
      <c r="AM3507" s="110"/>
      <c r="AN3507" s="43"/>
      <c r="AO3507" s="43"/>
      <c r="AP3507" s="43"/>
      <c r="AQ3507" s="110"/>
      <c r="AR3507" s="43"/>
      <c r="AS3507" s="43"/>
      <c r="AT3507" s="43"/>
      <c r="AU3507" s="43"/>
      <c r="AV3507" s="43"/>
      <c r="AW3507" s="43"/>
      <c r="AX3507" s="43"/>
      <c r="AY3507" s="43"/>
      <c r="AZ3507" s="43"/>
      <c r="BA3507" s="43"/>
      <c r="BB3507" s="43"/>
      <c r="BC3507" s="229">
        <f t="shared" si="1481"/>
        <v>0</v>
      </c>
      <c r="BD3507" s="48">
        <f t="shared" si="1466"/>
        <v>0</v>
      </c>
      <c r="BE3507" s="19">
        <v>5</v>
      </c>
      <c r="BF3507" s="229">
        <f t="shared" si="1482"/>
        <v>0</v>
      </c>
      <c r="BG3507" s="210">
        <f t="shared" si="1468"/>
        <v>0</v>
      </c>
      <c r="BH3507" s="210">
        <f t="shared" si="1483"/>
        <v>5</v>
      </c>
      <c r="BI3507" s="213">
        <f t="shared" si="1484"/>
        <v>0</v>
      </c>
      <c r="BJ3507" s="141"/>
      <c r="BK3507" s="201"/>
      <c r="BL3507" s="4"/>
      <c r="BM3507" s="4"/>
    </row>
    <row r="3508" spans="1:65" s="38" customFormat="1" ht="15.95" customHeight="1">
      <c r="A3508" s="148">
        <v>12</v>
      </c>
      <c r="B3508" s="118" t="s">
        <v>1178</v>
      </c>
      <c r="C3508" s="120" t="s">
        <v>1179</v>
      </c>
      <c r="D3508" s="42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O3508" s="42"/>
      <c r="P3508" s="42"/>
      <c r="Q3508" s="42"/>
      <c r="R3508" s="42"/>
      <c r="S3508" s="42"/>
      <c r="T3508" s="42"/>
      <c r="U3508" s="42"/>
      <c r="V3508" s="42"/>
      <c r="W3508" s="42"/>
      <c r="X3508" s="42"/>
      <c r="Y3508" s="42"/>
      <c r="Z3508" s="42"/>
      <c r="AA3508" s="42"/>
      <c r="AB3508" s="229">
        <f t="shared" si="1480"/>
        <v>0</v>
      </c>
      <c r="AC3508" s="228">
        <f t="shared" si="1464"/>
        <v>0</v>
      </c>
      <c r="AD3508" s="19">
        <v>0</v>
      </c>
      <c r="AE3508" s="43"/>
      <c r="AF3508" s="43"/>
      <c r="AG3508" s="43"/>
      <c r="AH3508" s="43"/>
      <c r="AI3508" s="43"/>
      <c r="AJ3508" s="43"/>
      <c r="AK3508" s="43"/>
      <c r="AL3508" s="43"/>
      <c r="AM3508" s="110"/>
      <c r="AN3508" s="43"/>
      <c r="AO3508" s="43"/>
      <c r="AP3508" s="43"/>
      <c r="AQ3508" s="110"/>
      <c r="AR3508" s="43"/>
      <c r="AS3508" s="43"/>
      <c r="AT3508" s="43"/>
      <c r="AU3508" s="43"/>
      <c r="AV3508" s="43"/>
      <c r="AW3508" s="43"/>
      <c r="AX3508" s="43"/>
      <c r="AY3508" s="43"/>
      <c r="AZ3508" s="43"/>
      <c r="BA3508" s="43"/>
      <c r="BB3508" s="43"/>
      <c r="BC3508" s="229">
        <f t="shared" si="1481"/>
        <v>0</v>
      </c>
      <c r="BD3508" s="48">
        <f t="shared" si="1466"/>
        <v>0</v>
      </c>
      <c r="BE3508" s="19">
        <v>5</v>
      </c>
      <c r="BF3508" s="229">
        <f t="shared" si="1482"/>
        <v>0</v>
      </c>
      <c r="BG3508" s="210">
        <f t="shared" si="1468"/>
        <v>0</v>
      </c>
      <c r="BH3508" s="210">
        <f t="shared" si="1483"/>
        <v>5</v>
      </c>
      <c r="BI3508" s="213">
        <f t="shared" si="1484"/>
        <v>0</v>
      </c>
      <c r="BJ3508" s="141"/>
      <c r="BK3508" s="201"/>
      <c r="BL3508" s="4"/>
      <c r="BM3508" s="4"/>
    </row>
    <row r="3509" spans="1:65" s="38" customFormat="1" ht="21.95" customHeight="1">
      <c r="A3509" s="148">
        <v>13</v>
      </c>
      <c r="B3509" s="118" t="s">
        <v>1245</v>
      </c>
      <c r="C3509" s="119" t="s">
        <v>1246</v>
      </c>
      <c r="D3509" s="42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O3509" s="42"/>
      <c r="P3509" s="42"/>
      <c r="Q3509" s="42"/>
      <c r="R3509" s="42"/>
      <c r="S3509" s="42"/>
      <c r="T3509" s="42"/>
      <c r="U3509" s="42"/>
      <c r="V3509" s="42"/>
      <c r="W3509" s="42"/>
      <c r="X3509" s="42"/>
      <c r="Y3509" s="42"/>
      <c r="Z3509" s="42"/>
      <c r="AA3509" s="42"/>
      <c r="AB3509" s="229">
        <f t="shared" si="1480"/>
        <v>0</v>
      </c>
      <c r="AC3509" s="228">
        <f t="shared" si="1464"/>
        <v>0</v>
      </c>
      <c r="AD3509" s="19">
        <v>0</v>
      </c>
      <c r="AE3509" s="43"/>
      <c r="AF3509" s="43"/>
      <c r="AG3509" s="43"/>
      <c r="AH3509" s="43"/>
      <c r="AI3509" s="43"/>
      <c r="AJ3509" s="43"/>
      <c r="AK3509" s="43"/>
      <c r="AL3509" s="43"/>
      <c r="AM3509" s="110"/>
      <c r="AN3509" s="43"/>
      <c r="AO3509" s="43"/>
      <c r="AP3509" s="43"/>
      <c r="AQ3509" s="110"/>
      <c r="AR3509" s="43"/>
      <c r="AS3509" s="43"/>
      <c r="AT3509" s="43"/>
      <c r="AU3509" s="43"/>
      <c r="AV3509" s="43"/>
      <c r="AW3509" s="43"/>
      <c r="AX3509" s="43"/>
      <c r="AY3509" s="43"/>
      <c r="AZ3509" s="43"/>
      <c r="BA3509" s="43"/>
      <c r="BB3509" s="43"/>
      <c r="BC3509" s="229">
        <f t="shared" si="1481"/>
        <v>0</v>
      </c>
      <c r="BD3509" s="48">
        <f t="shared" si="1466"/>
        <v>0</v>
      </c>
      <c r="BE3509" s="19">
        <v>10</v>
      </c>
      <c r="BF3509" s="229">
        <f t="shared" si="1482"/>
        <v>0</v>
      </c>
      <c r="BG3509" s="210">
        <f t="shared" si="1468"/>
        <v>0</v>
      </c>
      <c r="BH3509" s="210">
        <f t="shared" si="1483"/>
        <v>10</v>
      </c>
      <c r="BI3509" s="213">
        <f t="shared" si="1484"/>
        <v>0</v>
      </c>
      <c r="BJ3509" s="141"/>
      <c r="BK3509" s="201"/>
      <c r="BL3509" s="4"/>
      <c r="BM3509" s="4"/>
    </row>
    <row r="3510" spans="1:65" s="38" customFormat="1" ht="15.95" customHeight="1">
      <c r="A3510" s="148">
        <v>14</v>
      </c>
      <c r="B3510" s="118" t="s">
        <v>1249</v>
      </c>
      <c r="C3510" s="120" t="s">
        <v>1668</v>
      </c>
      <c r="D3510" s="42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O3510" s="42"/>
      <c r="P3510" s="42"/>
      <c r="Q3510" s="42"/>
      <c r="R3510" s="42"/>
      <c r="S3510" s="42"/>
      <c r="T3510" s="42"/>
      <c r="U3510" s="42"/>
      <c r="V3510" s="42"/>
      <c r="W3510" s="42"/>
      <c r="X3510" s="42"/>
      <c r="Y3510" s="42"/>
      <c r="Z3510" s="42"/>
      <c r="AA3510" s="42"/>
      <c r="AB3510" s="229">
        <f t="shared" si="1480"/>
        <v>0</v>
      </c>
      <c r="AC3510" s="228">
        <f t="shared" si="1464"/>
        <v>0</v>
      </c>
      <c r="AD3510" s="19">
        <v>0</v>
      </c>
      <c r="AE3510" s="43"/>
      <c r="AF3510" s="43"/>
      <c r="AG3510" s="43"/>
      <c r="AH3510" s="43"/>
      <c r="AI3510" s="43"/>
      <c r="AJ3510" s="43"/>
      <c r="AK3510" s="43"/>
      <c r="AL3510" s="43"/>
      <c r="AM3510" s="110"/>
      <c r="AN3510" s="43"/>
      <c r="AO3510" s="43"/>
      <c r="AP3510" s="43"/>
      <c r="AQ3510" s="110"/>
      <c r="AR3510" s="43"/>
      <c r="AS3510" s="43"/>
      <c r="AT3510" s="43"/>
      <c r="AU3510" s="43"/>
      <c r="AV3510" s="43"/>
      <c r="AW3510" s="43"/>
      <c r="AX3510" s="43"/>
      <c r="AY3510" s="43"/>
      <c r="AZ3510" s="43"/>
      <c r="BA3510" s="43"/>
      <c r="BB3510" s="43"/>
      <c r="BC3510" s="229">
        <f t="shared" si="1481"/>
        <v>0</v>
      </c>
      <c r="BD3510" s="48">
        <f t="shared" si="1466"/>
        <v>0</v>
      </c>
      <c r="BE3510" s="19">
        <v>15</v>
      </c>
      <c r="BF3510" s="229">
        <f t="shared" si="1482"/>
        <v>0</v>
      </c>
      <c r="BG3510" s="210">
        <f t="shared" si="1468"/>
        <v>0</v>
      </c>
      <c r="BH3510" s="210">
        <f t="shared" si="1483"/>
        <v>15</v>
      </c>
      <c r="BI3510" s="213">
        <f t="shared" si="1484"/>
        <v>0</v>
      </c>
      <c r="BJ3510" s="141"/>
      <c r="BK3510" s="201"/>
      <c r="BL3510" s="4"/>
      <c r="BM3510" s="4"/>
    </row>
    <row r="3511" spans="1:65" s="38" customFormat="1" ht="15.95" customHeight="1">
      <c r="A3511" s="148">
        <v>15</v>
      </c>
      <c r="B3511" s="118" t="s">
        <v>1262</v>
      </c>
      <c r="C3511" s="120" t="s">
        <v>1263</v>
      </c>
      <c r="D3511" s="42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O3511" s="42"/>
      <c r="P3511" s="42"/>
      <c r="Q3511" s="42"/>
      <c r="R3511" s="42"/>
      <c r="S3511" s="42"/>
      <c r="T3511" s="42"/>
      <c r="U3511" s="42"/>
      <c r="V3511" s="42"/>
      <c r="W3511" s="42"/>
      <c r="X3511" s="42"/>
      <c r="Y3511" s="42"/>
      <c r="Z3511" s="42"/>
      <c r="AA3511" s="42"/>
      <c r="AB3511" s="229">
        <f t="shared" si="1480"/>
        <v>0</v>
      </c>
      <c r="AC3511" s="228">
        <f t="shared" si="1464"/>
        <v>0</v>
      </c>
      <c r="AD3511" s="19">
        <v>0</v>
      </c>
      <c r="AE3511" s="43"/>
      <c r="AF3511" s="43"/>
      <c r="AG3511" s="43"/>
      <c r="AH3511" s="43"/>
      <c r="AI3511" s="43"/>
      <c r="AJ3511" s="43"/>
      <c r="AK3511" s="43"/>
      <c r="AL3511" s="43"/>
      <c r="AM3511" s="43"/>
      <c r="AN3511" s="43"/>
      <c r="AO3511" s="43"/>
      <c r="AP3511" s="43"/>
      <c r="AQ3511" s="43"/>
      <c r="AR3511" s="43"/>
      <c r="AS3511" s="43"/>
      <c r="AT3511" s="43"/>
      <c r="AU3511" s="43"/>
      <c r="AV3511" s="43"/>
      <c r="AW3511" s="43"/>
      <c r="AX3511" s="43"/>
      <c r="AY3511" s="43"/>
      <c r="AZ3511" s="43"/>
      <c r="BA3511" s="43"/>
      <c r="BB3511" s="43"/>
      <c r="BC3511" s="229">
        <f t="shared" si="1481"/>
        <v>0</v>
      </c>
      <c r="BD3511" s="48">
        <f t="shared" si="1466"/>
        <v>0</v>
      </c>
      <c r="BE3511" s="19">
        <v>6</v>
      </c>
      <c r="BF3511" s="229">
        <f t="shared" si="1482"/>
        <v>0</v>
      </c>
      <c r="BG3511" s="210">
        <f t="shared" si="1468"/>
        <v>0</v>
      </c>
      <c r="BH3511" s="210">
        <f t="shared" si="1483"/>
        <v>6</v>
      </c>
      <c r="BI3511" s="213">
        <f t="shared" si="1484"/>
        <v>0</v>
      </c>
      <c r="BJ3511" s="141"/>
      <c r="BK3511" s="201"/>
      <c r="BL3511" s="4"/>
      <c r="BM3511" s="4"/>
    </row>
    <row r="3512" spans="1:65" s="38" customFormat="1" ht="21.95" customHeight="1">
      <c r="A3512" s="364" t="s">
        <v>2786</v>
      </c>
      <c r="B3512" s="364"/>
      <c r="C3512" s="364"/>
      <c r="D3512" s="39">
        <f t="shared" ref="D3512:BE3512" si="1485">SUM(D3513:D3524)</f>
        <v>0</v>
      </c>
      <c r="E3512" s="39">
        <f t="shared" si="1485"/>
        <v>0</v>
      </c>
      <c r="F3512" s="39">
        <f t="shared" si="1485"/>
        <v>0</v>
      </c>
      <c r="G3512" s="39">
        <f t="shared" si="1485"/>
        <v>0</v>
      </c>
      <c r="H3512" s="39">
        <f t="shared" si="1485"/>
        <v>0</v>
      </c>
      <c r="I3512" s="39">
        <f t="shared" si="1485"/>
        <v>535</v>
      </c>
      <c r="J3512" s="39">
        <f t="shared" si="1485"/>
        <v>0</v>
      </c>
      <c r="K3512" s="39">
        <f t="shared" si="1485"/>
        <v>0</v>
      </c>
      <c r="L3512" s="39">
        <f t="shared" si="1485"/>
        <v>0</v>
      </c>
      <c r="M3512" s="39">
        <f t="shared" si="1485"/>
        <v>0</v>
      </c>
      <c r="N3512" s="39">
        <f t="shared" si="1485"/>
        <v>0</v>
      </c>
      <c r="O3512" s="39">
        <f t="shared" si="1485"/>
        <v>813</v>
      </c>
      <c r="P3512" s="39">
        <f t="shared" si="1485"/>
        <v>0</v>
      </c>
      <c r="Q3512" s="39">
        <f t="shared" si="1485"/>
        <v>0</v>
      </c>
      <c r="R3512" s="39">
        <f t="shared" si="1485"/>
        <v>0</v>
      </c>
      <c r="S3512" s="39">
        <f t="shared" si="1485"/>
        <v>0</v>
      </c>
      <c r="T3512" s="39">
        <f t="shared" si="1485"/>
        <v>0</v>
      </c>
      <c r="U3512" s="39">
        <f t="shared" si="1485"/>
        <v>663</v>
      </c>
      <c r="V3512" s="39">
        <f t="shared" si="1485"/>
        <v>0</v>
      </c>
      <c r="W3512" s="39">
        <f t="shared" si="1485"/>
        <v>0</v>
      </c>
      <c r="X3512" s="39">
        <f t="shared" si="1485"/>
        <v>0</v>
      </c>
      <c r="Y3512" s="39">
        <f t="shared" si="1485"/>
        <v>0</v>
      </c>
      <c r="Z3512" s="39">
        <f t="shared" si="1485"/>
        <v>0</v>
      </c>
      <c r="AA3512" s="39">
        <f t="shared" si="1485"/>
        <v>0</v>
      </c>
      <c r="AB3512" s="39">
        <f t="shared" si="1463"/>
        <v>0</v>
      </c>
      <c r="AC3512" s="39">
        <f t="shared" si="1464"/>
        <v>2011</v>
      </c>
      <c r="AD3512" s="39">
        <f t="shared" si="1485"/>
        <v>2367</v>
      </c>
      <c r="AE3512" s="39">
        <f t="shared" si="1485"/>
        <v>0</v>
      </c>
      <c r="AF3512" s="39">
        <f t="shared" si="1485"/>
        <v>0</v>
      </c>
      <c r="AG3512" s="39">
        <f t="shared" si="1485"/>
        <v>0</v>
      </c>
      <c r="AH3512" s="39">
        <f t="shared" si="1485"/>
        <v>0</v>
      </c>
      <c r="AI3512" s="39">
        <f t="shared" si="1485"/>
        <v>0</v>
      </c>
      <c r="AJ3512" s="39">
        <f t="shared" si="1485"/>
        <v>0</v>
      </c>
      <c r="AK3512" s="39">
        <f t="shared" si="1485"/>
        <v>0</v>
      </c>
      <c r="AL3512" s="39">
        <f t="shared" si="1485"/>
        <v>0</v>
      </c>
      <c r="AM3512" s="39">
        <f t="shared" si="1485"/>
        <v>0</v>
      </c>
      <c r="AN3512" s="39">
        <f t="shared" si="1485"/>
        <v>0</v>
      </c>
      <c r="AO3512" s="39">
        <f t="shared" si="1485"/>
        <v>0</v>
      </c>
      <c r="AP3512" s="39">
        <f t="shared" si="1485"/>
        <v>0</v>
      </c>
      <c r="AQ3512" s="39">
        <f t="shared" si="1485"/>
        <v>0</v>
      </c>
      <c r="AR3512" s="39">
        <f t="shared" si="1485"/>
        <v>0</v>
      </c>
      <c r="AS3512" s="39">
        <f t="shared" si="1485"/>
        <v>0</v>
      </c>
      <c r="AT3512" s="39">
        <f t="shared" si="1485"/>
        <v>0</v>
      </c>
      <c r="AU3512" s="39">
        <f t="shared" si="1485"/>
        <v>0</v>
      </c>
      <c r="AV3512" s="39">
        <f t="shared" si="1485"/>
        <v>0</v>
      </c>
      <c r="AW3512" s="39">
        <f t="shared" si="1485"/>
        <v>0</v>
      </c>
      <c r="AX3512" s="39">
        <f t="shared" si="1485"/>
        <v>0</v>
      </c>
      <c r="AY3512" s="39">
        <f t="shared" si="1485"/>
        <v>0</v>
      </c>
      <c r="AZ3512" s="39">
        <f t="shared" si="1485"/>
        <v>0</v>
      </c>
      <c r="BA3512" s="39">
        <f t="shared" si="1485"/>
        <v>0</v>
      </c>
      <c r="BB3512" s="39">
        <f t="shared" si="1485"/>
        <v>0</v>
      </c>
      <c r="BC3512" s="39">
        <f t="shared" si="1465"/>
        <v>0</v>
      </c>
      <c r="BD3512" s="101">
        <f t="shared" si="1466"/>
        <v>0</v>
      </c>
      <c r="BE3512" s="39">
        <f t="shared" si="1485"/>
        <v>60</v>
      </c>
      <c r="BF3512" s="39">
        <f t="shared" si="1467"/>
        <v>0</v>
      </c>
      <c r="BG3512" s="101">
        <f t="shared" si="1468"/>
        <v>2011</v>
      </c>
      <c r="BH3512" s="101">
        <f t="shared" ref="BH3512:BH3551" si="1486">AD3512+BE3512</f>
        <v>2427</v>
      </c>
      <c r="BI3512" s="280">
        <f t="shared" si="1469"/>
        <v>82.859497321796454</v>
      </c>
      <c r="BJ3512" s="142">
        <v>2427</v>
      </c>
      <c r="BK3512" s="203">
        <f>BH3512-BJ3512</f>
        <v>0</v>
      </c>
      <c r="BL3512" s="4"/>
      <c r="BM3512" s="4"/>
    </row>
    <row r="3513" spans="1:65" s="38" customFormat="1" ht="15.95" customHeight="1">
      <c r="A3513" s="148">
        <v>1</v>
      </c>
      <c r="B3513" s="118" t="s">
        <v>1224</v>
      </c>
      <c r="C3513" s="120" t="s">
        <v>1225</v>
      </c>
      <c r="D3513" s="42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O3513" s="42"/>
      <c r="P3513" s="42"/>
      <c r="Q3513" s="42"/>
      <c r="R3513" s="42"/>
      <c r="S3513" s="42"/>
      <c r="T3513" s="42"/>
      <c r="U3513" s="42"/>
      <c r="V3513" s="42"/>
      <c r="W3513" s="42"/>
      <c r="X3513" s="42"/>
      <c r="Y3513" s="42"/>
      <c r="Z3513" s="42"/>
      <c r="AA3513" s="42"/>
      <c r="AB3513" s="229">
        <f t="shared" ref="AB3513:AB3524" si="1487">D3513+F3513+H3513+J3513+L3513+N3513+P3513+R3513+T3513+V3513+X3513+Z3513</f>
        <v>0</v>
      </c>
      <c r="AC3513" s="228">
        <f t="shared" si="1464"/>
        <v>0</v>
      </c>
      <c r="AD3513" s="19">
        <v>10</v>
      </c>
      <c r="AE3513" s="43"/>
      <c r="AF3513" s="43"/>
      <c r="AG3513" s="43"/>
      <c r="AH3513" s="43"/>
      <c r="AI3513" s="43"/>
      <c r="AJ3513" s="43"/>
      <c r="AK3513" s="43"/>
      <c r="AL3513" s="43"/>
      <c r="AM3513" s="43"/>
      <c r="AN3513" s="43"/>
      <c r="AO3513" s="43"/>
      <c r="AP3513" s="43"/>
      <c r="AQ3513" s="43"/>
      <c r="AR3513" s="43"/>
      <c r="AS3513" s="43"/>
      <c r="AT3513" s="43"/>
      <c r="AU3513" s="43"/>
      <c r="AV3513" s="43"/>
      <c r="AW3513" s="43"/>
      <c r="AX3513" s="43"/>
      <c r="AY3513" s="43"/>
      <c r="AZ3513" s="43"/>
      <c r="BA3513" s="43"/>
      <c r="BB3513" s="43"/>
      <c r="BC3513" s="229">
        <f t="shared" ref="BC3513:BC3524" si="1488">AE3513+AG3513+AI3513+AK3513+AM3513+AO3513+AQ3513+AS3513+AU3513+AW3513+AY3513+BA3513</f>
        <v>0</v>
      </c>
      <c r="BD3513" s="48">
        <f t="shared" si="1466"/>
        <v>0</v>
      </c>
      <c r="BE3513" s="19">
        <v>0</v>
      </c>
      <c r="BF3513" s="229">
        <f t="shared" ref="BF3513:BF3524" si="1489">AB3513+BC3513</f>
        <v>0</v>
      </c>
      <c r="BG3513" s="210">
        <f t="shared" si="1468"/>
        <v>0</v>
      </c>
      <c r="BH3513" s="210">
        <f t="shared" si="1486"/>
        <v>10</v>
      </c>
      <c r="BI3513" s="213">
        <f t="shared" ref="BI3513:BI3524" si="1490">BG3513/BH3513*100</f>
        <v>0</v>
      </c>
      <c r="BJ3513" s="270" t="s">
        <v>2857</v>
      </c>
      <c r="BK3513" s="201"/>
      <c r="BL3513" s="4"/>
      <c r="BM3513" s="4"/>
    </row>
    <row r="3514" spans="1:65" s="38" customFormat="1" ht="15.95" customHeight="1">
      <c r="A3514" s="148">
        <v>2</v>
      </c>
      <c r="B3514" s="118" t="s">
        <v>1258</v>
      </c>
      <c r="C3514" s="120" t="s">
        <v>2459</v>
      </c>
      <c r="D3514" s="42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O3514" s="42"/>
      <c r="P3514" s="42"/>
      <c r="Q3514" s="42"/>
      <c r="R3514" s="42"/>
      <c r="S3514" s="42"/>
      <c r="T3514" s="42"/>
      <c r="U3514" s="42"/>
      <c r="V3514" s="42"/>
      <c r="W3514" s="42"/>
      <c r="X3514" s="42"/>
      <c r="Y3514" s="42"/>
      <c r="Z3514" s="42"/>
      <c r="AA3514" s="42"/>
      <c r="AB3514" s="229">
        <f t="shared" si="1487"/>
        <v>0</v>
      </c>
      <c r="AC3514" s="228">
        <f t="shared" si="1464"/>
        <v>0</v>
      </c>
      <c r="AD3514" s="19">
        <v>2</v>
      </c>
      <c r="AE3514" s="43"/>
      <c r="AF3514" s="43"/>
      <c r="AG3514" s="43"/>
      <c r="AH3514" s="43"/>
      <c r="AI3514" s="43"/>
      <c r="AJ3514" s="43"/>
      <c r="AK3514" s="43"/>
      <c r="AL3514" s="43"/>
      <c r="AM3514" s="43"/>
      <c r="AN3514" s="43"/>
      <c r="AO3514" s="43"/>
      <c r="AP3514" s="43"/>
      <c r="AQ3514" s="43"/>
      <c r="AR3514" s="43"/>
      <c r="AS3514" s="43"/>
      <c r="AT3514" s="43"/>
      <c r="AU3514" s="43"/>
      <c r="AV3514" s="43"/>
      <c r="AW3514" s="43"/>
      <c r="AX3514" s="43"/>
      <c r="AY3514" s="43"/>
      <c r="AZ3514" s="43"/>
      <c r="BA3514" s="43"/>
      <c r="BB3514" s="43"/>
      <c r="BC3514" s="229">
        <f t="shared" si="1488"/>
        <v>0</v>
      </c>
      <c r="BD3514" s="48">
        <f t="shared" si="1466"/>
        <v>0</v>
      </c>
      <c r="BE3514" s="19">
        <v>0</v>
      </c>
      <c r="BF3514" s="229">
        <f t="shared" si="1489"/>
        <v>0</v>
      </c>
      <c r="BG3514" s="210">
        <f t="shared" si="1468"/>
        <v>0</v>
      </c>
      <c r="BH3514" s="210">
        <f t="shared" si="1486"/>
        <v>2</v>
      </c>
      <c r="BI3514" s="213">
        <f t="shared" si="1490"/>
        <v>0</v>
      </c>
      <c r="BJ3514" s="270" t="s">
        <v>2857</v>
      </c>
      <c r="BK3514" s="201"/>
      <c r="BL3514" s="4"/>
      <c r="BM3514" s="4"/>
    </row>
    <row r="3515" spans="1:65" s="38" customFormat="1" ht="15.95" customHeight="1">
      <c r="A3515" s="148">
        <v>3</v>
      </c>
      <c r="B3515" s="149">
        <v>600120</v>
      </c>
      <c r="C3515" s="120" t="s">
        <v>1229</v>
      </c>
      <c r="D3515" s="44"/>
      <c r="E3515" s="44"/>
      <c r="F3515" s="44"/>
      <c r="G3515" s="44"/>
      <c r="H3515" s="44"/>
      <c r="I3515" s="44"/>
      <c r="J3515" s="44"/>
      <c r="K3515" s="44"/>
      <c r="L3515" s="44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  <c r="X3515" s="44"/>
      <c r="Y3515" s="44"/>
      <c r="Z3515" s="44"/>
      <c r="AA3515" s="44"/>
      <c r="AB3515" s="229">
        <f t="shared" si="1487"/>
        <v>0</v>
      </c>
      <c r="AC3515" s="228">
        <f t="shared" si="1464"/>
        <v>0</v>
      </c>
      <c r="AD3515" s="19">
        <v>20</v>
      </c>
      <c r="AE3515" s="43"/>
      <c r="AF3515" s="43"/>
      <c r="AG3515" s="43"/>
      <c r="AH3515" s="43"/>
      <c r="AI3515" s="43"/>
      <c r="AJ3515" s="43"/>
      <c r="AK3515" s="43"/>
      <c r="AL3515" s="43"/>
      <c r="AM3515" s="43"/>
      <c r="AN3515" s="43"/>
      <c r="AO3515" s="43"/>
      <c r="AP3515" s="43"/>
      <c r="AQ3515" s="43"/>
      <c r="AR3515" s="43"/>
      <c r="AS3515" s="43"/>
      <c r="AT3515" s="43"/>
      <c r="AU3515" s="43"/>
      <c r="AV3515" s="43"/>
      <c r="AW3515" s="43"/>
      <c r="AX3515" s="43"/>
      <c r="AY3515" s="43"/>
      <c r="AZ3515" s="43"/>
      <c r="BA3515" s="43"/>
      <c r="BB3515" s="43"/>
      <c r="BC3515" s="229">
        <f t="shared" si="1488"/>
        <v>0</v>
      </c>
      <c r="BD3515" s="48">
        <f t="shared" si="1466"/>
        <v>0</v>
      </c>
      <c r="BE3515" s="19">
        <v>0</v>
      </c>
      <c r="BF3515" s="229">
        <f t="shared" si="1489"/>
        <v>0</v>
      </c>
      <c r="BG3515" s="210">
        <f t="shared" si="1468"/>
        <v>0</v>
      </c>
      <c r="BH3515" s="210">
        <f t="shared" si="1486"/>
        <v>20</v>
      </c>
      <c r="BI3515" s="213">
        <f t="shared" si="1490"/>
        <v>0</v>
      </c>
      <c r="BJ3515" s="270" t="s">
        <v>2857</v>
      </c>
      <c r="BK3515" s="201"/>
      <c r="BL3515" s="4"/>
      <c r="BM3515" s="4"/>
    </row>
    <row r="3516" spans="1:65" s="38" customFormat="1" ht="15.95" customHeight="1">
      <c r="A3516" s="148">
        <v>4</v>
      </c>
      <c r="B3516" s="149">
        <v>600122</v>
      </c>
      <c r="C3516" s="150" t="s">
        <v>1231</v>
      </c>
      <c r="D3516" s="44"/>
      <c r="E3516" s="44"/>
      <c r="F3516" s="44"/>
      <c r="G3516" s="44"/>
      <c r="H3516" s="44"/>
      <c r="I3516" s="44"/>
      <c r="J3516" s="44"/>
      <c r="K3516" s="44"/>
      <c r="L3516" s="44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  <c r="X3516" s="44"/>
      <c r="Y3516" s="44"/>
      <c r="Z3516" s="44"/>
      <c r="AA3516" s="44"/>
      <c r="AB3516" s="229">
        <f t="shared" si="1487"/>
        <v>0</v>
      </c>
      <c r="AC3516" s="228">
        <f t="shared" si="1464"/>
        <v>0</v>
      </c>
      <c r="AD3516" s="19">
        <v>10</v>
      </c>
      <c r="AE3516" s="43"/>
      <c r="AF3516" s="43"/>
      <c r="AG3516" s="43"/>
      <c r="AH3516" s="43"/>
      <c r="AI3516" s="43"/>
      <c r="AJ3516" s="43"/>
      <c r="AK3516" s="43"/>
      <c r="AL3516" s="43"/>
      <c r="AM3516" s="43"/>
      <c r="AN3516" s="43"/>
      <c r="AO3516" s="43"/>
      <c r="AP3516" s="43"/>
      <c r="AQ3516" s="43"/>
      <c r="AR3516" s="43"/>
      <c r="AS3516" s="43"/>
      <c r="AT3516" s="43"/>
      <c r="AU3516" s="43"/>
      <c r="AV3516" s="43"/>
      <c r="AW3516" s="43"/>
      <c r="AX3516" s="43"/>
      <c r="AY3516" s="43"/>
      <c r="AZ3516" s="43"/>
      <c r="BA3516" s="43"/>
      <c r="BB3516" s="43"/>
      <c r="BC3516" s="229">
        <f t="shared" si="1488"/>
        <v>0</v>
      </c>
      <c r="BD3516" s="48">
        <f t="shared" si="1466"/>
        <v>0</v>
      </c>
      <c r="BE3516" s="19">
        <v>0</v>
      </c>
      <c r="BF3516" s="229">
        <f t="shared" si="1489"/>
        <v>0</v>
      </c>
      <c r="BG3516" s="210">
        <f t="shared" si="1468"/>
        <v>0</v>
      </c>
      <c r="BH3516" s="210">
        <f t="shared" si="1486"/>
        <v>10</v>
      </c>
      <c r="BI3516" s="213">
        <f t="shared" si="1490"/>
        <v>0</v>
      </c>
      <c r="BJ3516" s="270" t="s">
        <v>2857</v>
      </c>
      <c r="BK3516" s="201"/>
      <c r="BL3516" s="4"/>
      <c r="BM3516" s="4"/>
    </row>
    <row r="3517" spans="1:65" s="38" customFormat="1" ht="15.95" customHeight="1">
      <c r="A3517" s="148">
        <v>5</v>
      </c>
      <c r="B3517" s="149">
        <v>600173</v>
      </c>
      <c r="C3517" s="120" t="s">
        <v>1265</v>
      </c>
      <c r="D3517" s="44"/>
      <c r="E3517" s="44"/>
      <c r="F3517" s="44"/>
      <c r="G3517" s="44"/>
      <c r="H3517" s="44"/>
      <c r="I3517" s="44"/>
      <c r="J3517" s="44"/>
      <c r="K3517" s="44"/>
      <c r="L3517" s="44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  <c r="X3517" s="44"/>
      <c r="Y3517" s="44"/>
      <c r="Z3517" s="44"/>
      <c r="AA3517" s="44"/>
      <c r="AB3517" s="229">
        <f t="shared" si="1487"/>
        <v>0</v>
      </c>
      <c r="AC3517" s="228">
        <f t="shared" si="1464"/>
        <v>0</v>
      </c>
      <c r="AD3517" s="19">
        <v>10</v>
      </c>
      <c r="AE3517" s="43"/>
      <c r="AF3517" s="43"/>
      <c r="AG3517" s="43"/>
      <c r="AH3517" s="43"/>
      <c r="AI3517" s="43"/>
      <c r="AJ3517" s="43"/>
      <c r="AK3517" s="43"/>
      <c r="AL3517" s="43"/>
      <c r="AM3517" s="43"/>
      <c r="AN3517" s="43"/>
      <c r="AO3517" s="43"/>
      <c r="AP3517" s="43"/>
      <c r="AQ3517" s="43"/>
      <c r="AR3517" s="43"/>
      <c r="AS3517" s="43"/>
      <c r="AT3517" s="43"/>
      <c r="AU3517" s="43"/>
      <c r="AV3517" s="43"/>
      <c r="AW3517" s="43"/>
      <c r="AX3517" s="43"/>
      <c r="AY3517" s="43"/>
      <c r="AZ3517" s="43"/>
      <c r="BA3517" s="43"/>
      <c r="BB3517" s="43"/>
      <c r="BC3517" s="229">
        <f t="shared" si="1488"/>
        <v>0</v>
      </c>
      <c r="BD3517" s="48">
        <f t="shared" si="1466"/>
        <v>0</v>
      </c>
      <c r="BE3517" s="19">
        <v>0</v>
      </c>
      <c r="BF3517" s="229">
        <f t="shared" si="1489"/>
        <v>0</v>
      </c>
      <c r="BG3517" s="210">
        <f t="shared" si="1468"/>
        <v>0</v>
      </c>
      <c r="BH3517" s="210">
        <f t="shared" si="1486"/>
        <v>10</v>
      </c>
      <c r="BI3517" s="213">
        <f t="shared" si="1490"/>
        <v>0</v>
      </c>
      <c r="BJ3517" s="270" t="s">
        <v>2857</v>
      </c>
      <c r="BK3517" s="201"/>
      <c r="BL3517" s="4"/>
      <c r="BM3517" s="4"/>
    </row>
    <row r="3518" spans="1:65" s="38" customFormat="1" ht="15.95" customHeight="1">
      <c r="A3518" s="148">
        <v>6</v>
      </c>
      <c r="B3518" s="118" t="s">
        <v>1232</v>
      </c>
      <c r="C3518" s="150" t="s">
        <v>1233</v>
      </c>
      <c r="D3518" s="44"/>
      <c r="E3518" s="44"/>
      <c r="F3518" s="44"/>
      <c r="G3518" s="44"/>
      <c r="H3518" s="44"/>
      <c r="I3518" s="44"/>
      <c r="J3518" s="44"/>
      <c r="K3518" s="44"/>
      <c r="L3518" s="44"/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  <c r="X3518" s="44"/>
      <c r="Y3518" s="44"/>
      <c r="Z3518" s="44"/>
      <c r="AA3518" s="44"/>
      <c r="AB3518" s="229">
        <f t="shared" si="1487"/>
        <v>0</v>
      </c>
      <c r="AC3518" s="228">
        <f t="shared" si="1464"/>
        <v>0</v>
      </c>
      <c r="AD3518" s="19">
        <v>5</v>
      </c>
      <c r="AE3518" s="43"/>
      <c r="AF3518" s="43"/>
      <c r="AG3518" s="43"/>
      <c r="AH3518" s="43"/>
      <c r="AI3518" s="43"/>
      <c r="AJ3518" s="43"/>
      <c r="AK3518" s="43"/>
      <c r="AL3518" s="43"/>
      <c r="AM3518" s="43"/>
      <c r="AN3518" s="43"/>
      <c r="AO3518" s="43"/>
      <c r="AP3518" s="43"/>
      <c r="AQ3518" s="43"/>
      <c r="AR3518" s="43"/>
      <c r="AS3518" s="43"/>
      <c r="AT3518" s="43"/>
      <c r="AU3518" s="43"/>
      <c r="AV3518" s="43"/>
      <c r="AW3518" s="43"/>
      <c r="AX3518" s="43"/>
      <c r="AY3518" s="43"/>
      <c r="AZ3518" s="43"/>
      <c r="BA3518" s="43"/>
      <c r="BB3518" s="43"/>
      <c r="BC3518" s="229">
        <f t="shared" si="1488"/>
        <v>0</v>
      </c>
      <c r="BD3518" s="48">
        <f t="shared" si="1466"/>
        <v>0</v>
      </c>
      <c r="BE3518" s="19">
        <v>0</v>
      </c>
      <c r="BF3518" s="229">
        <f t="shared" si="1489"/>
        <v>0</v>
      </c>
      <c r="BG3518" s="210">
        <f t="shared" si="1468"/>
        <v>0</v>
      </c>
      <c r="BH3518" s="210">
        <f t="shared" si="1486"/>
        <v>5</v>
      </c>
      <c r="BI3518" s="213">
        <f t="shared" si="1490"/>
        <v>0</v>
      </c>
      <c r="BJ3518" s="270" t="s">
        <v>2857</v>
      </c>
      <c r="BK3518" s="201"/>
      <c r="BL3518" s="4"/>
      <c r="BM3518" s="4"/>
    </row>
    <row r="3519" spans="1:65" s="38" customFormat="1" ht="15.95" customHeight="1">
      <c r="A3519" s="148">
        <v>7</v>
      </c>
      <c r="B3519" s="118" t="s">
        <v>1234</v>
      </c>
      <c r="C3519" s="150" t="s">
        <v>1235</v>
      </c>
      <c r="D3519" s="44"/>
      <c r="E3519" s="44"/>
      <c r="F3519" s="44"/>
      <c r="G3519" s="44"/>
      <c r="H3519" s="44"/>
      <c r="I3519" s="44"/>
      <c r="J3519" s="44"/>
      <c r="K3519" s="44"/>
      <c r="L3519" s="44"/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  <c r="X3519" s="44"/>
      <c r="Y3519" s="44"/>
      <c r="Z3519" s="44"/>
      <c r="AA3519" s="44"/>
      <c r="AB3519" s="229">
        <f t="shared" si="1487"/>
        <v>0</v>
      </c>
      <c r="AC3519" s="228">
        <f t="shared" si="1464"/>
        <v>0</v>
      </c>
      <c r="AD3519" s="19">
        <v>10</v>
      </c>
      <c r="AE3519" s="43"/>
      <c r="AF3519" s="43"/>
      <c r="AG3519" s="43"/>
      <c r="AH3519" s="43"/>
      <c r="AI3519" s="43"/>
      <c r="AJ3519" s="43"/>
      <c r="AK3519" s="43"/>
      <c r="AL3519" s="43"/>
      <c r="AM3519" s="43"/>
      <c r="AN3519" s="43"/>
      <c r="AO3519" s="43"/>
      <c r="AP3519" s="43"/>
      <c r="AQ3519" s="43"/>
      <c r="AR3519" s="43"/>
      <c r="AS3519" s="43"/>
      <c r="AT3519" s="43"/>
      <c r="AU3519" s="43"/>
      <c r="AV3519" s="43"/>
      <c r="AW3519" s="43"/>
      <c r="AX3519" s="43"/>
      <c r="AY3519" s="43"/>
      <c r="AZ3519" s="43"/>
      <c r="BA3519" s="43"/>
      <c r="BB3519" s="43"/>
      <c r="BC3519" s="229">
        <f t="shared" si="1488"/>
        <v>0</v>
      </c>
      <c r="BD3519" s="48">
        <f t="shared" si="1466"/>
        <v>0</v>
      </c>
      <c r="BE3519" s="19">
        <v>0</v>
      </c>
      <c r="BF3519" s="229">
        <f t="shared" si="1489"/>
        <v>0</v>
      </c>
      <c r="BG3519" s="210">
        <f t="shared" si="1468"/>
        <v>0</v>
      </c>
      <c r="BH3519" s="210">
        <f t="shared" si="1486"/>
        <v>10</v>
      </c>
      <c r="BI3519" s="213">
        <f t="shared" si="1490"/>
        <v>0</v>
      </c>
      <c r="BJ3519" s="270" t="s">
        <v>2857</v>
      </c>
      <c r="BK3519" s="201"/>
      <c r="BL3519" s="4"/>
      <c r="BM3519" s="4"/>
    </row>
    <row r="3520" spans="1:65" s="38" customFormat="1" ht="21.95" customHeight="1">
      <c r="A3520" s="148">
        <v>8</v>
      </c>
      <c r="B3520" s="118" t="s">
        <v>1251</v>
      </c>
      <c r="C3520" s="150" t="s">
        <v>1364</v>
      </c>
      <c r="D3520" s="44"/>
      <c r="E3520" s="44"/>
      <c r="F3520" s="44"/>
      <c r="G3520" s="44"/>
      <c r="H3520" s="44"/>
      <c r="I3520" s="44"/>
      <c r="J3520" s="44"/>
      <c r="K3520" s="44"/>
      <c r="L3520" s="44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  <c r="X3520" s="44"/>
      <c r="Y3520" s="44"/>
      <c r="Z3520" s="44"/>
      <c r="AA3520" s="44"/>
      <c r="AB3520" s="229">
        <f t="shared" si="1487"/>
        <v>0</v>
      </c>
      <c r="AC3520" s="228">
        <f t="shared" si="1464"/>
        <v>0</v>
      </c>
      <c r="AD3520" s="19">
        <v>5</v>
      </c>
      <c r="AE3520" s="43"/>
      <c r="AF3520" s="43"/>
      <c r="AG3520" s="43"/>
      <c r="AH3520" s="43"/>
      <c r="AI3520" s="43"/>
      <c r="AJ3520" s="43"/>
      <c r="AK3520" s="43"/>
      <c r="AL3520" s="43"/>
      <c r="AM3520" s="43"/>
      <c r="AN3520" s="43"/>
      <c r="AO3520" s="43"/>
      <c r="AP3520" s="43"/>
      <c r="AQ3520" s="43"/>
      <c r="AR3520" s="43"/>
      <c r="AS3520" s="43"/>
      <c r="AT3520" s="43"/>
      <c r="AU3520" s="43"/>
      <c r="AV3520" s="43"/>
      <c r="AW3520" s="43"/>
      <c r="AX3520" s="43"/>
      <c r="AY3520" s="43"/>
      <c r="AZ3520" s="43"/>
      <c r="BA3520" s="43"/>
      <c r="BB3520" s="43"/>
      <c r="BC3520" s="229">
        <f t="shared" si="1488"/>
        <v>0</v>
      </c>
      <c r="BD3520" s="48">
        <f t="shared" si="1466"/>
        <v>0</v>
      </c>
      <c r="BE3520" s="19">
        <v>0</v>
      </c>
      <c r="BF3520" s="229">
        <f t="shared" si="1489"/>
        <v>0</v>
      </c>
      <c r="BG3520" s="210">
        <f t="shared" si="1468"/>
        <v>0</v>
      </c>
      <c r="BH3520" s="210">
        <f t="shared" si="1486"/>
        <v>5</v>
      </c>
      <c r="BI3520" s="213">
        <f t="shared" si="1490"/>
        <v>0</v>
      </c>
      <c r="BJ3520" s="270" t="s">
        <v>2857</v>
      </c>
      <c r="BK3520" s="201"/>
      <c r="BL3520" s="4"/>
      <c r="BM3520" s="4"/>
    </row>
    <row r="3521" spans="1:65" s="38" customFormat="1" ht="15.95" customHeight="1">
      <c r="A3521" s="148">
        <v>9</v>
      </c>
      <c r="B3521" s="118" t="s">
        <v>1236</v>
      </c>
      <c r="C3521" s="150" t="s">
        <v>1237</v>
      </c>
      <c r="D3521" s="44"/>
      <c r="E3521" s="44"/>
      <c r="F3521" s="44"/>
      <c r="G3521" s="44"/>
      <c r="H3521" s="44"/>
      <c r="I3521" s="44">
        <v>535</v>
      </c>
      <c r="J3521" s="44"/>
      <c r="K3521" s="44"/>
      <c r="L3521" s="44"/>
      <c r="M3521" s="44"/>
      <c r="N3521" s="44"/>
      <c r="O3521" s="44">
        <v>813</v>
      </c>
      <c r="P3521" s="44"/>
      <c r="Q3521" s="44"/>
      <c r="R3521" s="44"/>
      <c r="S3521" s="44"/>
      <c r="T3521" s="44"/>
      <c r="U3521" s="44">
        <v>663</v>
      </c>
      <c r="V3521" s="44"/>
      <c r="W3521" s="44"/>
      <c r="X3521" s="44"/>
      <c r="Y3521" s="44"/>
      <c r="Z3521" s="44"/>
      <c r="AA3521" s="44"/>
      <c r="AB3521" s="229">
        <f t="shared" si="1487"/>
        <v>0</v>
      </c>
      <c r="AC3521" s="228">
        <f t="shared" si="1464"/>
        <v>2011</v>
      </c>
      <c r="AD3521" s="19">
        <v>2295</v>
      </c>
      <c r="AE3521" s="43"/>
      <c r="AF3521" s="43"/>
      <c r="AG3521" s="43"/>
      <c r="AH3521" s="43"/>
      <c r="AI3521" s="43"/>
      <c r="AJ3521" s="43"/>
      <c r="AK3521" s="43"/>
      <c r="AL3521" s="43"/>
      <c r="AM3521" s="43"/>
      <c r="AN3521" s="43"/>
      <c r="AO3521" s="43"/>
      <c r="AP3521" s="43"/>
      <c r="AQ3521" s="43"/>
      <c r="AR3521" s="43"/>
      <c r="AS3521" s="43"/>
      <c r="AT3521" s="43"/>
      <c r="AU3521" s="43"/>
      <c r="AV3521" s="43"/>
      <c r="AW3521" s="43"/>
      <c r="AX3521" s="43"/>
      <c r="AY3521" s="43"/>
      <c r="AZ3521" s="43"/>
      <c r="BA3521" s="43"/>
      <c r="BB3521" s="43"/>
      <c r="BC3521" s="229">
        <f t="shared" si="1488"/>
        <v>0</v>
      </c>
      <c r="BD3521" s="48">
        <f t="shared" si="1466"/>
        <v>0</v>
      </c>
      <c r="BE3521" s="19">
        <v>0</v>
      </c>
      <c r="BF3521" s="229">
        <f t="shared" si="1489"/>
        <v>0</v>
      </c>
      <c r="BG3521" s="210">
        <f t="shared" si="1468"/>
        <v>2011</v>
      </c>
      <c r="BH3521" s="210">
        <f t="shared" si="1486"/>
        <v>2295</v>
      </c>
      <c r="BI3521" s="213">
        <f t="shared" si="1490"/>
        <v>87.625272331154676</v>
      </c>
      <c r="BJ3521" s="270" t="s">
        <v>2857</v>
      </c>
      <c r="BK3521" s="201"/>
      <c r="BL3521" s="4"/>
      <c r="BM3521" s="4"/>
    </row>
    <row r="3522" spans="1:65" s="38" customFormat="1" ht="15.95" customHeight="1">
      <c r="A3522" s="148">
        <v>10</v>
      </c>
      <c r="B3522" s="118" t="s">
        <v>1241</v>
      </c>
      <c r="C3522" s="120" t="s">
        <v>1242</v>
      </c>
      <c r="D3522" s="42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O3522" s="42"/>
      <c r="P3522" s="42"/>
      <c r="Q3522" s="42"/>
      <c r="R3522" s="42"/>
      <c r="S3522" s="42"/>
      <c r="T3522" s="42"/>
      <c r="U3522" s="42"/>
      <c r="V3522" s="42"/>
      <c r="W3522" s="42"/>
      <c r="X3522" s="42"/>
      <c r="Y3522" s="42"/>
      <c r="Z3522" s="42"/>
      <c r="AA3522" s="42"/>
      <c r="AB3522" s="229">
        <f t="shared" si="1487"/>
        <v>0</v>
      </c>
      <c r="AC3522" s="228">
        <f t="shared" si="1464"/>
        <v>0</v>
      </c>
      <c r="AD3522" s="19">
        <v>0</v>
      </c>
      <c r="AE3522" s="43"/>
      <c r="AF3522" s="43"/>
      <c r="AG3522" s="43"/>
      <c r="AH3522" s="43"/>
      <c r="AI3522" s="43"/>
      <c r="AJ3522" s="43"/>
      <c r="AK3522" s="43"/>
      <c r="AL3522" s="43"/>
      <c r="AM3522" s="110"/>
      <c r="AN3522" s="43"/>
      <c r="AO3522" s="43"/>
      <c r="AP3522" s="43"/>
      <c r="AQ3522" s="110"/>
      <c r="AR3522" s="43"/>
      <c r="AS3522" s="43"/>
      <c r="AT3522" s="43"/>
      <c r="AU3522" s="43"/>
      <c r="AV3522" s="43"/>
      <c r="AW3522" s="43"/>
      <c r="AX3522" s="43"/>
      <c r="AY3522" s="43"/>
      <c r="AZ3522" s="43"/>
      <c r="BA3522" s="43"/>
      <c r="BB3522" s="43"/>
      <c r="BC3522" s="229">
        <f t="shared" si="1488"/>
        <v>0</v>
      </c>
      <c r="BD3522" s="48">
        <f t="shared" si="1466"/>
        <v>0</v>
      </c>
      <c r="BE3522" s="19">
        <v>20</v>
      </c>
      <c r="BF3522" s="229">
        <f t="shared" si="1489"/>
        <v>0</v>
      </c>
      <c r="BG3522" s="210">
        <f t="shared" si="1468"/>
        <v>0</v>
      </c>
      <c r="BH3522" s="210">
        <f t="shared" si="1486"/>
        <v>20</v>
      </c>
      <c r="BI3522" s="213">
        <f t="shared" si="1490"/>
        <v>0</v>
      </c>
      <c r="BJ3522" s="141"/>
      <c r="BK3522" s="201"/>
      <c r="BL3522" s="4"/>
      <c r="BM3522" s="4"/>
    </row>
    <row r="3523" spans="1:65" s="38" customFormat="1" ht="15.95" customHeight="1">
      <c r="A3523" s="148">
        <v>11</v>
      </c>
      <c r="B3523" s="149" t="s">
        <v>1178</v>
      </c>
      <c r="C3523" s="150" t="s">
        <v>1179</v>
      </c>
      <c r="D3523" s="44"/>
      <c r="E3523" s="44"/>
      <c r="F3523" s="44"/>
      <c r="G3523" s="44"/>
      <c r="H3523" s="44"/>
      <c r="I3523" s="44"/>
      <c r="J3523" s="44"/>
      <c r="K3523" s="44"/>
      <c r="L3523" s="44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  <c r="X3523" s="44"/>
      <c r="Y3523" s="44"/>
      <c r="Z3523" s="44"/>
      <c r="AA3523" s="44"/>
      <c r="AB3523" s="229">
        <f t="shared" si="1487"/>
        <v>0</v>
      </c>
      <c r="AC3523" s="228">
        <f t="shared" si="1464"/>
        <v>0</v>
      </c>
      <c r="AD3523" s="19">
        <v>0</v>
      </c>
      <c r="AE3523" s="43"/>
      <c r="AF3523" s="43"/>
      <c r="AG3523" s="43"/>
      <c r="AH3523" s="43"/>
      <c r="AI3523" s="43"/>
      <c r="AJ3523" s="43"/>
      <c r="AK3523" s="43"/>
      <c r="AL3523" s="43"/>
      <c r="AM3523" s="43"/>
      <c r="AN3523" s="43"/>
      <c r="AO3523" s="43"/>
      <c r="AP3523" s="43"/>
      <c r="AQ3523" s="43"/>
      <c r="AR3523" s="43"/>
      <c r="AS3523" s="43"/>
      <c r="AT3523" s="43"/>
      <c r="AU3523" s="43"/>
      <c r="AV3523" s="43"/>
      <c r="AW3523" s="43"/>
      <c r="AX3523" s="43"/>
      <c r="AY3523" s="43"/>
      <c r="AZ3523" s="43"/>
      <c r="BA3523" s="43"/>
      <c r="BB3523" s="43"/>
      <c r="BC3523" s="229">
        <f t="shared" si="1488"/>
        <v>0</v>
      </c>
      <c r="BD3523" s="48">
        <f t="shared" si="1466"/>
        <v>0</v>
      </c>
      <c r="BE3523" s="19">
        <v>20</v>
      </c>
      <c r="BF3523" s="229">
        <f t="shared" si="1489"/>
        <v>0</v>
      </c>
      <c r="BG3523" s="210">
        <f t="shared" si="1468"/>
        <v>0</v>
      </c>
      <c r="BH3523" s="210">
        <f t="shared" si="1486"/>
        <v>20</v>
      </c>
      <c r="BI3523" s="213">
        <f t="shared" si="1490"/>
        <v>0</v>
      </c>
      <c r="BJ3523" s="141"/>
      <c r="BK3523" s="201"/>
      <c r="BL3523" s="4"/>
      <c r="BM3523" s="4"/>
    </row>
    <row r="3524" spans="1:65" s="38" customFormat="1" ht="21.95" customHeight="1">
      <c r="A3524" s="148">
        <v>12</v>
      </c>
      <c r="B3524" s="149" t="s">
        <v>1245</v>
      </c>
      <c r="C3524" s="119" t="s">
        <v>1246</v>
      </c>
      <c r="D3524" s="44"/>
      <c r="E3524" s="44"/>
      <c r="F3524" s="44"/>
      <c r="G3524" s="44"/>
      <c r="H3524" s="44"/>
      <c r="I3524" s="44"/>
      <c r="J3524" s="44"/>
      <c r="K3524" s="44"/>
      <c r="L3524" s="44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  <c r="X3524" s="44"/>
      <c r="Y3524" s="44"/>
      <c r="Z3524" s="44"/>
      <c r="AA3524" s="44"/>
      <c r="AB3524" s="229">
        <f t="shared" si="1487"/>
        <v>0</v>
      </c>
      <c r="AC3524" s="228">
        <f t="shared" si="1464"/>
        <v>0</v>
      </c>
      <c r="AD3524" s="19">
        <v>0</v>
      </c>
      <c r="AE3524" s="43"/>
      <c r="AF3524" s="43"/>
      <c r="AG3524" s="43"/>
      <c r="AH3524" s="43"/>
      <c r="AI3524" s="43"/>
      <c r="AJ3524" s="43"/>
      <c r="AK3524" s="43"/>
      <c r="AL3524" s="43"/>
      <c r="AM3524" s="43"/>
      <c r="AN3524" s="43"/>
      <c r="AO3524" s="43"/>
      <c r="AP3524" s="43"/>
      <c r="AQ3524" s="43"/>
      <c r="AR3524" s="43"/>
      <c r="AS3524" s="43"/>
      <c r="AT3524" s="43"/>
      <c r="AU3524" s="43"/>
      <c r="AV3524" s="43"/>
      <c r="AW3524" s="43"/>
      <c r="AX3524" s="43"/>
      <c r="AY3524" s="43"/>
      <c r="AZ3524" s="43"/>
      <c r="BA3524" s="43"/>
      <c r="BB3524" s="43"/>
      <c r="BC3524" s="229">
        <f t="shared" si="1488"/>
        <v>0</v>
      </c>
      <c r="BD3524" s="48">
        <f t="shared" si="1466"/>
        <v>0</v>
      </c>
      <c r="BE3524" s="19">
        <v>20</v>
      </c>
      <c r="BF3524" s="229">
        <f t="shared" si="1489"/>
        <v>0</v>
      </c>
      <c r="BG3524" s="210">
        <f t="shared" si="1468"/>
        <v>0</v>
      </c>
      <c r="BH3524" s="210">
        <f t="shared" si="1486"/>
        <v>20</v>
      </c>
      <c r="BI3524" s="213">
        <f t="shared" si="1490"/>
        <v>0</v>
      </c>
      <c r="BJ3524" s="141"/>
      <c r="BK3524" s="201"/>
      <c r="BL3524" s="4"/>
      <c r="BM3524" s="4"/>
    </row>
    <row r="3525" spans="1:65" s="38" customFormat="1" ht="21.95" customHeight="1">
      <c r="A3525" s="368" t="s">
        <v>2787</v>
      </c>
      <c r="B3525" s="368"/>
      <c r="C3525" s="368"/>
      <c r="D3525" s="39">
        <f t="shared" ref="D3525:BE3525" si="1491">SUM(D3526:D3538)</f>
        <v>0</v>
      </c>
      <c r="E3525" s="39">
        <f t="shared" si="1491"/>
        <v>0</v>
      </c>
      <c r="F3525" s="39">
        <f t="shared" si="1491"/>
        <v>0</v>
      </c>
      <c r="G3525" s="39">
        <f t="shared" si="1491"/>
        <v>0</v>
      </c>
      <c r="H3525" s="39">
        <f t="shared" si="1491"/>
        <v>0</v>
      </c>
      <c r="I3525" s="39">
        <f t="shared" si="1491"/>
        <v>237</v>
      </c>
      <c r="J3525" s="39">
        <f t="shared" si="1491"/>
        <v>0</v>
      </c>
      <c r="K3525" s="39">
        <f t="shared" si="1491"/>
        <v>0</v>
      </c>
      <c r="L3525" s="39">
        <f t="shared" si="1491"/>
        <v>0</v>
      </c>
      <c r="M3525" s="39">
        <f t="shared" si="1491"/>
        <v>0</v>
      </c>
      <c r="N3525" s="39">
        <f t="shared" si="1491"/>
        <v>0</v>
      </c>
      <c r="O3525" s="39">
        <f t="shared" si="1491"/>
        <v>213</v>
      </c>
      <c r="P3525" s="39">
        <f t="shared" si="1491"/>
        <v>0</v>
      </c>
      <c r="Q3525" s="39">
        <f t="shared" si="1491"/>
        <v>0</v>
      </c>
      <c r="R3525" s="39">
        <f t="shared" si="1491"/>
        <v>0</v>
      </c>
      <c r="S3525" s="39">
        <f t="shared" si="1491"/>
        <v>0</v>
      </c>
      <c r="T3525" s="39">
        <f t="shared" si="1491"/>
        <v>0</v>
      </c>
      <c r="U3525" s="39">
        <f t="shared" si="1491"/>
        <v>0</v>
      </c>
      <c r="V3525" s="39">
        <f t="shared" si="1491"/>
        <v>0</v>
      </c>
      <c r="W3525" s="39">
        <f t="shared" si="1491"/>
        <v>0</v>
      </c>
      <c r="X3525" s="39">
        <f t="shared" si="1491"/>
        <v>0</v>
      </c>
      <c r="Y3525" s="39">
        <f t="shared" si="1491"/>
        <v>0</v>
      </c>
      <c r="Z3525" s="39">
        <f t="shared" si="1491"/>
        <v>0</v>
      </c>
      <c r="AA3525" s="39">
        <f t="shared" si="1491"/>
        <v>233</v>
      </c>
      <c r="AB3525" s="39">
        <f t="shared" si="1463"/>
        <v>0</v>
      </c>
      <c r="AC3525" s="39">
        <f t="shared" si="1464"/>
        <v>683</v>
      </c>
      <c r="AD3525" s="39">
        <f t="shared" si="1491"/>
        <v>1335</v>
      </c>
      <c r="AE3525" s="39">
        <f t="shared" si="1491"/>
        <v>0</v>
      </c>
      <c r="AF3525" s="39">
        <f t="shared" si="1491"/>
        <v>0</v>
      </c>
      <c r="AG3525" s="39">
        <f t="shared" si="1491"/>
        <v>0</v>
      </c>
      <c r="AH3525" s="39">
        <f t="shared" si="1491"/>
        <v>0</v>
      </c>
      <c r="AI3525" s="39">
        <f t="shared" si="1491"/>
        <v>0</v>
      </c>
      <c r="AJ3525" s="39">
        <f t="shared" si="1491"/>
        <v>0</v>
      </c>
      <c r="AK3525" s="39">
        <f t="shared" si="1491"/>
        <v>0</v>
      </c>
      <c r="AL3525" s="39">
        <f t="shared" si="1491"/>
        <v>0</v>
      </c>
      <c r="AM3525" s="39">
        <f t="shared" si="1491"/>
        <v>0</v>
      </c>
      <c r="AN3525" s="39">
        <f t="shared" si="1491"/>
        <v>0</v>
      </c>
      <c r="AO3525" s="39">
        <f t="shared" si="1491"/>
        <v>0</v>
      </c>
      <c r="AP3525" s="39">
        <f t="shared" si="1491"/>
        <v>0</v>
      </c>
      <c r="AQ3525" s="39">
        <f t="shared" si="1491"/>
        <v>0</v>
      </c>
      <c r="AR3525" s="39">
        <f t="shared" si="1491"/>
        <v>0</v>
      </c>
      <c r="AS3525" s="39">
        <f t="shared" si="1491"/>
        <v>0</v>
      </c>
      <c r="AT3525" s="39">
        <f t="shared" si="1491"/>
        <v>0</v>
      </c>
      <c r="AU3525" s="39">
        <f t="shared" si="1491"/>
        <v>0</v>
      </c>
      <c r="AV3525" s="39">
        <f t="shared" si="1491"/>
        <v>0</v>
      </c>
      <c r="AW3525" s="39">
        <f t="shared" si="1491"/>
        <v>0</v>
      </c>
      <c r="AX3525" s="39">
        <f t="shared" si="1491"/>
        <v>0</v>
      </c>
      <c r="AY3525" s="39">
        <f t="shared" si="1491"/>
        <v>0</v>
      </c>
      <c r="AZ3525" s="39">
        <f t="shared" si="1491"/>
        <v>0</v>
      </c>
      <c r="BA3525" s="39">
        <f t="shared" si="1491"/>
        <v>0</v>
      </c>
      <c r="BB3525" s="39">
        <f t="shared" si="1491"/>
        <v>0</v>
      </c>
      <c r="BC3525" s="39">
        <f t="shared" si="1465"/>
        <v>0</v>
      </c>
      <c r="BD3525" s="101">
        <f t="shared" si="1466"/>
        <v>0</v>
      </c>
      <c r="BE3525" s="39">
        <f t="shared" si="1491"/>
        <v>83</v>
      </c>
      <c r="BF3525" s="39">
        <f t="shared" si="1467"/>
        <v>0</v>
      </c>
      <c r="BG3525" s="101">
        <f t="shared" si="1468"/>
        <v>683</v>
      </c>
      <c r="BH3525" s="101">
        <f t="shared" si="1486"/>
        <v>1418</v>
      </c>
      <c r="BI3525" s="280">
        <f t="shared" si="1469"/>
        <v>48.166431593794073</v>
      </c>
      <c r="BJ3525" s="142">
        <v>1418</v>
      </c>
      <c r="BK3525" s="203">
        <f>BH3525-BJ3525</f>
        <v>0</v>
      </c>
      <c r="BL3525" s="4"/>
      <c r="BM3525" s="4"/>
    </row>
    <row r="3526" spans="1:65" s="38" customFormat="1" ht="15.95" customHeight="1">
      <c r="A3526" s="148">
        <v>1</v>
      </c>
      <c r="B3526" s="118" t="s">
        <v>1224</v>
      </c>
      <c r="C3526" s="120" t="s">
        <v>1225</v>
      </c>
      <c r="D3526" s="42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O3526" s="42"/>
      <c r="P3526" s="42"/>
      <c r="Q3526" s="42"/>
      <c r="R3526" s="42"/>
      <c r="S3526" s="42"/>
      <c r="T3526" s="42"/>
      <c r="U3526" s="42"/>
      <c r="V3526" s="42"/>
      <c r="W3526" s="42"/>
      <c r="X3526" s="42"/>
      <c r="Y3526" s="42"/>
      <c r="Z3526" s="42"/>
      <c r="AA3526" s="42"/>
      <c r="AB3526" s="229">
        <f t="shared" ref="AB3526:AB3538" si="1492">D3526+F3526+H3526+J3526+L3526+N3526+P3526+R3526+T3526+V3526+X3526+Z3526</f>
        <v>0</v>
      </c>
      <c r="AC3526" s="228">
        <f t="shared" ref="AC3526:AC3538" si="1493">E3526+G3526+I3526+K3526+M3526+O3526+Q3526+S3526+U3526+W3526+Y3526+AA3526</f>
        <v>0</v>
      </c>
      <c r="AD3526" s="19">
        <v>20</v>
      </c>
      <c r="AE3526" s="43"/>
      <c r="AF3526" s="43"/>
      <c r="AG3526" s="43"/>
      <c r="AH3526" s="43"/>
      <c r="AI3526" s="43"/>
      <c r="AJ3526" s="43"/>
      <c r="AK3526" s="43"/>
      <c r="AL3526" s="43"/>
      <c r="AM3526" s="43"/>
      <c r="AN3526" s="43"/>
      <c r="AO3526" s="43"/>
      <c r="AP3526" s="43"/>
      <c r="AQ3526" s="43"/>
      <c r="AR3526" s="43"/>
      <c r="AS3526" s="43"/>
      <c r="AT3526" s="43"/>
      <c r="AU3526" s="43"/>
      <c r="AV3526" s="43"/>
      <c r="AW3526" s="43"/>
      <c r="AX3526" s="43"/>
      <c r="AY3526" s="43"/>
      <c r="AZ3526" s="43"/>
      <c r="BA3526" s="43"/>
      <c r="BB3526" s="43"/>
      <c r="BC3526" s="229">
        <f t="shared" ref="BC3526:BC3538" si="1494">AE3526+AG3526+AI3526+AK3526+AM3526+AO3526+AQ3526+AS3526+AU3526+AW3526+AY3526+BA3526</f>
        <v>0</v>
      </c>
      <c r="BD3526" s="48">
        <f t="shared" ref="BD3526:BD3538" si="1495">AF3526+AH3526+AJ3526+AL3526+AN3526+AP3526+AR3526+AT3526+AV3526+AX3526+AZ3526+BB3526</f>
        <v>0</v>
      </c>
      <c r="BE3526" s="19">
        <v>0</v>
      </c>
      <c r="BF3526" s="229">
        <f t="shared" ref="BF3526:BF3538" si="1496">AB3526+BC3526</f>
        <v>0</v>
      </c>
      <c r="BG3526" s="210">
        <f t="shared" ref="BG3526:BG3538" si="1497">AC3526+BD3526</f>
        <v>0</v>
      </c>
      <c r="BH3526" s="210">
        <f t="shared" si="1486"/>
        <v>20</v>
      </c>
      <c r="BI3526" s="213">
        <f t="shared" ref="BI3526:BI3538" si="1498">BG3526/BH3526*100</f>
        <v>0</v>
      </c>
      <c r="BJ3526" s="270" t="s">
        <v>2857</v>
      </c>
      <c r="BK3526" s="201"/>
      <c r="BL3526" s="4"/>
      <c r="BM3526" s="4"/>
    </row>
    <row r="3527" spans="1:65" s="38" customFormat="1" ht="15.95" customHeight="1">
      <c r="A3527" s="148">
        <v>2</v>
      </c>
      <c r="B3527" s="118" t="s">
        <v>1228</v>
      </c>
      <c r="C3527" s="120" t="s">
        <v>1229</v>
      </c>
      <c r="D3527" s="42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O3527" s="42"/>
      <c r="P3527" s="42"/>
      <c r="Q3527" s="42"/>
      <c r="R3527" s="42"/>
      <c r="S3527" s="42"/>
      <c r="T3527" s="42"/>
      <c r="U3527" s="42"/>
      <c r="V3527" s="42"/>
      <c r="W3527" s="42"/>
      <c r="X3527" s="42"/>
      <c r="Y3527" s="42"/>
      <c r="Z3527" s="42"/>
      <c r="AA3527" s="42"/>
      <c r="AB3527" s="229">
        <f t="shared" si="1492"/>
        <v>0</v>
      </c>
      <c r="AC3527" s="228">
        <f t="shared" si="1493"/>
        <v>0</v>
      </c>
      <c r="AD3527" s="19">
        <v>25</v>
      </c>
      <c r="AE3527" s="43"/>
      <c r="AF3527" s="43"/>
      <c r="AG3527" s="43"/>
      <c r="AH3527" s="43"/>
      <c r="AI3527" s="43"/>
      <c r="AJ3527" s="43"/>
      <c r="AK3527" s="43"/>
      <c r="AL3527" s="43"/>
      <c r="AM3527" s="43"/>
      <c r="AN3527" s="43"/>
      <c r="AO3527" s="43"/>
      <c r="AP3527" s="43"/>
      <c r="AQ3527" s="43"/>
      <c r="AR3527" s="43"/>
      <c r="AS3527" s="43"/>
      <c r="AT3527" s="43"/>
      <c r="AU3527" s="43"/>
      <c r="AV3527" s="43"/>
      <c r="AW3527" s="43"/>
      <c r="AX3527" s="43"/>
      <c r="AY3527" s="43"/>
      <c r="AZ3527" s="43"/>
      <c r="BA3527" s="43"/>
      <c r="BB3527" s="43"/>
      <c r="BC3527" s="229">
        <f t="shared" si="1494"/>
        <v>0</v>
      </c>
      <c r="BD3527" s="48">
        <f t="shared" si="1495"/>
        <v>0</v>
      </c>
      <c r="BE3527" s="19">
        <v>0</v>
      </c>
      <c r="BF3527" s="229">
        <f t="shared" si="1496"/>
        <v>0</v>
      </c>
      <c r="BG3527" s="210">
        <f t="shared" si="1497"/>
        <v>0</v>
      </c>
      <c r="BH3527" s="210">
        <f t="shared" si="1486"/>
        <v>25</v>
      </c>
      <c r="BI3527" s="213">
        <f t="shared" si="1498"/>
        <v>0</v>
      </c>
      <c r="BJ3527" s="270" t="s">
        <v>2857</v>
      </c>
      <c r="BK3527" s="201"/>
      <c r="BL3527" s="4"/>
      <c r="BM3527" s="4"/>
    </row>
    <row r="3528" spans="1:65" s="38" customFormat="1" ht="15.95" customHeight="1">
      <c r="A3528" s="148">
        <v>3</v>
      </c>
      <c r="B3528" s="118" t="s">
        <v>1230</v>
      </c>
      <c r="C3528" s="120" t="s">
        <v>1231</v>
      </c>
      <c r="D3528" s="42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O3528" s="42"/>
      <c r="P3528" s="42"/>
      <c r="Q3528" s="42"/>
      <c r="R3528" s="42"/>
      <c r="S3528" s="42"/>
      <c r="T3528" s="42"/>
      <c r="U3528" s="42"/>
      <c r="V3528" s="42"/>
      <c r="W3528" s="42"/>
      <c r="X3528" s="42"/>
      <c r="Y3528" s="42"/>
      <c r="Z3528" s="42"/>
      <c r="AA3528" s="42"/>
      <c r="AB3528" s="229">
        <f t="shared" si="1492"/>
        <v>0</v>
      </c>
      <c r="AC3528" s="228">
        <f t="shared" si="1493"/>
        <v>0</v>
      </c>
      <c r="AD3528" s="19">
        <v>10</v>
      </c>
      <c r="AE3528" s="43"/>
      <c r="AF3528" s="43"/>
      <c r="AG3528" s="43"/>
      <c r="AH3528" s="43"/>
      <c r="AI3528" s="43"/>
      <c r="AJ3528" s="43"/>
      <c r="AK3528" s="43"/>
      <c r="AL3528" s="43"/>
      <c r="AM3528" s="43"/>
      <c r="AN3528" s="43"/>
      <c r="AO3528" s="43"/>
      <c r="AP3528" s="43"/>
      <c r="AQ3528" s="43"/>
      <c r="AR3528" s="43"/>
      <c r="AS3528" s="43"/>
      <c r="AT3528" s="43"/>
      <c r="AU3528" s="43"/>
      <c r="AV3528" s="43"/>
      <c r="AW3528" s="43"/>
      <c r="AX3528" s="43"/>
      <c r="AY3528" s="43"/>
      <c r="AZ3528" s="43"/>
      <c r="BA3528" s="43"/>
      <c r="BB3528" s="43"/>
      <c r="BC3528" s="229">
        <f t="shared" si="1494"/>
        <v>0</v>
      </c>
      <c r="BD3528" s="48">
        <f t="shared" si="1495"/>
        <v>0</v>
      </c>
      <c r="BE3528" s="19">
        <v>0</v>
      </c>
      <c r="BF3528" s="229">
        <f t="shared" si="1496"/>
        <v>0</v>
      </c>
      <c r="BG3528" s="210">
        <f t="shared" si="1497"/>
        <v>0</v>
      </c>
      <c r="BH3528" s="210">
        <f t="shared" si="1486"/>
        <v>10</v>
      </c>
      <c r="BI3528" s="213">
        <f t="shared" si="1498"/>
        <v>0</v>
      </c>
      <c r="BJ3528" s="270" t="s">
        <v>2857</v>
      </c>
      <c r="BK3528" s="201"/>
      <c r="BL3528" s="4"/>
      <c r="BM3528" s="4"/>
    </row>
    <row r="3529" spans="1:65" s="38" customFormat="1" ht="15.95" customHeight="1">
      <c r="A3529" s="148">
        <v>4</v>
      </c>
      <c r="B3529" s="153" t="s">
        <v>1264</v>
      </c>
      <c r="C3529" s="120" t="s">
        <v>1265</v>
      </c>
      <c r="D3529" s="42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O3529" s="42"/>
      <c r="P3529" s="42"/>
      <c r="Q3529" s="42"/>
      <c r="R3529" s="42"/>
      <c r="S3529" s="42"/>
      <c r="T3529" s="42"/>
      <c r="U3529" s="42"/>
      <c r="V3529" s="42"/>
      <c r="W3529" s="42"/>
      <c r="X3529" s="42"/>
      <c r="Y3529" s="42"/>
      <c r="Z3529" s="42"/>
      <c r="AA3529" s="42"/>
      <c r="AB3529" s="229">
        <f t="shared" si="1492"/>
        <v>0</v>
      </c>
      <c r="AC3529" s="228">
        <f t="shared" si="1493"/>
        <v>0</v>
      </c>
      <c r="AD3529" s="19">
        <v>2</v>
      </c>
      <c r="AE3529" s="43"/>
      <c r="AF3529" s="43"/>
      <c r="AG3529" s="43"/>
      <c r="AH3529" s="43"/>
      <c r="AI3529" s="43"/>
      <c r="AJ3529" s="43"/>
      <c r="AK3529" s="43"/>
      <c r="AL3529" s="43"/>
      <c r="AM3529" s="43"/>
      <c r="AN3529" s="43"/>
      <c r="AO3529" s="43"/>
      <c r="AP3529" s="43"/>
      <c r="AQ3529" s="43"/>
      <c r="AR3529" s="43"/>
      <c r="AS3529" s="43"/>
      <c r="AT3529" s="43"/>
      <c r="AU3529" s="43"/>
      <c r="AV3529" s="43"/>
      <c r="AW3529" s="43"/>
      <c r="AX3529" s="43"/>
      <c r="AY3529" s="43"/>
      <c r="AZ3529" s="43"/>
      <c r="BA3529" s="43"/>
      <c r="BB3529" s="43"/>
      <c r="BC3529" s="229">
        <f t="shared" si="1494"/>
        <v>0</v>
      </c>
      <c r="BD3529" s="48">
        <f t="shared" si="1495"/>
        <v>0</v>
      </c>
      <c r="BE3529" s="19">
        <v>0</v>
      </c>
      <c r="BF3529" s="229">
        <f t="shared" si="1496"/>
        <v>0</v>
      </c>
      <c r="BG3529" s="210">
        <f t="shared" si="1497"/>
        <v>0</v>
      </c>
      <c r="BH3529" s="210">
        <f t="shared" si="1486"/>
        <v>2</v>
      </c>
      <c r="BI3529" s="213">
        <f t="shared" si="1498"/>
        <v>0</v>
      </c>
      <c r="BJ3529" s="270" t="s">
        <v>2857</v>
      </c>
      <c r="BK3529" s="201"/>
      <c r="BL3529" s="4"/>
      <c r="BM3529" s="4"/>
    </row>
    <row r="3530" spans="1:65" s="38" customFormat="1" ht="15.95" customHeight="1">
      <c r="A3530" s="148">
        <v>5</v>
      </c>
      <c r="B3530" s="118" t="s">
        <v>1232</v>
      </c>
      <c r="C3530" s="120" t="s">
        <v>1254</v>
      </c>
      <c r="D3530" s="42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O3530" s="42"/>
      <c r="P3530" s="42"/>
      <c r="Q3530" s="42"/>
      <c r="R3530" s="42"/>
      <c r="S3530" s="42"/>
      <c r="T3530" s="42"/>
      <c r="U3530" s="42"/>
      <c r="V3530" s="42"/>
      <c r="W3530" s="42"/>
      <c r="X3530" s="42"/>
      <c r="Y3530" s="42"/>
      <c r="Z3530" s="42"/>
      <c r="AA3530" s="42"/>
      <c r="AB3530" s="229">
        <f t="shared" si="1492"/>
        <v>0</v>
      </c>
      <c r="AC3530" s="228">
        <f t="shared" si="1493"/>
        <v>0</v>
      </c>
      <c r="AD3530" s="19">
        <v>2</v>
      </c>
      <c r="AE3530" s="43"/>
      <c r="AF3530" s="43"/>
      <c r="AG3530" s="43"/>
      <c r="AH3530" s="43"/>
      <c r="AI3530" s="43"/>
      <c r="AJ3530" s="43"/>
      <c r="AK3530" s="43"/>
      <c r="AL3530" s="43"/>
      <c r="AM3530" s="43"/>
      <c r="AN3530" s="43"/>
      <c r="AO3530" s="43"/>
      <c r="AP3530" s="43"/>
      <c r="AQ3530" s="43"/>
      <c r="AR3530" s="43"/>
      <c r="AS3530" s="43"/>
      <c r="AT3530" s="43"/>
      <c r="AU3530" s="43"/>
      <c r="AV3530" s="43"/>
      <c r="AW3530" s="43"/>
      <c r="AX3530" s="43"/>
      <c r="AY3530" s="43"/>
      <c r="AZ3530" s="43"/>
      <c r="BA3530" s="43"/>
      <c r="BB3530" s="43"/>
      <c r="BC3530" s="229">
        <f t="shared" si="1494"/>
        <v>0</v>
      </c>
      <c r="BD3530" s="48">
        <f t="shared" si="1495"/>
        <v>0</v>
      </c>
      <c r="BE3530" s="19">
        <v>0</v>
      </c>
      <c r="BF3530" s="229">
        <f t="shared" si="1496"/>
        <v>0</v>
      </c>
      <c r="BG3530" s="210">
        <f t="shared" si="1497"/>
        <v>0</v>
      </c>
      <c r="BH3530" s="210">
        <f t="shared" si="1486"/>
        <v>2</v>
      </c>
      <c r="BI3530" s="213">
        <f t="shared" si="1498"/>
        <v>0</v>
      </c>
      <c r="BJ3530" s="270" t="s">
        <v>2857</v>
      </c>
      <c r="BK3530" s="201"/>
      <c r="BL3530" s="4"/>
      <c r="BM3530" s="4"/>
    </row>
    <row r="3531" spans="1:65" s="38" customFormat="1" ht="15.95" customHeight="1">
      <c r="A3531" s="148">
        <v>6</v>
      </c>
      <c r="B3531" s="118" t="s">
        <v>1234</v>
      </c>
      <c r="C3531" s="120" t="s">
        <v>1235</v>
      </c>
      <c r="D3531" s="42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O3531" s="42"/>
      <c r="P3531" s="42"/>
      <c r="Q3531" s="42"/>
      <c r="R3531" s="42"/>
      <c r="S3531" s="42"/>
      <c r="T3531" s="42"/>
      <c r="U3531" s="42"/>
      <c r="V3531" s="42"/>
      <c r="W3531" s="42"/>
      <c r="X3531" s="42"/>
      <c r="Y3531" s="42"/>
      <c r="Z3531" s="42"/>
      <c r="AA3531" s="42"/>
      <c r="AB3531" s="229">
        <f t="shared" si="1492"/>
        <v>0</v>
      </c>
      <c r="AC3531" s="228">
        <f t="shared" si="1493"/>
        <v>0</v>
      </c>
      <c r="AD3531" s="19">
        <v>10</v>
      </c>
      <c r="AE3531" s="43"/>
      <c r="AF3531" s="43"/>
      <c r="AG3531" s="43"/>
      <c r="AH3531" s="43"/>
      <c r="AI3531" s="43"/>
      <c r="AJ3531" s="43"/>
      <c r="AK3531" s="43"/>
      <c r="AL3531" s="43"/>
      <c r="AM3531" s="43"/>
      <c r="AN3531" s="43"/>
      <c r="AO3531" s="43"/>
      <c r="AP3531" s="43"/>
      <c r="AQ3531" s="43"/>
      <c r="AR3531" s="43"/>
      <c r="AS3531" s="43"/>
      <c r="AT3531" s="43"/>
      <c r="AU3531" s="43"/>
      <c r="AV3531" s="43"/>
      <c r="AW3531" s="43"/>
      <c r="AX3531" s="43"/>
      <c r="AY3531" s="43"/>
      <c r="AZ3531" s="43"/>
      <c r="BA3531" s="43"/>
      <c r="BB3531" s="43"/>
      <c r="BC3531" s="229">
        <f t="shared" si="1494"/>
        <v>0</v>
      </c>
      <c r="BD3531" s="48">
        <f t="shared" si="1495"/>
        <v>0</v>
      </c>
      <c r="BE3531" s="19">
        <v>0</v>
      </c>
      <c r="BF3531" s="229">
        <f t="shared" si="1496"/>
        <v>0</v>
      </c>
      <c r="BG3531" s="210">
        <f t="shared" si="1497"/>
        <v>0</v>
      </c>
      <c r="BH3531" s="210">
        <f t="shared" si="1486"/>
        <v>10</v>
      </c>
      <c r="BI3531" s="213">
        <f t="shared" si="1498"/>
        <v>0</v>
      </c>
      <c r="BJ3531" s="270" t="s">
        <v>2857</v>
      </c>
      <c r="BK3531" s="201"/>
      <c r="BL3531" s="4"/>
      <c r="BM3531" s="4"/>
    </row>
    <row r="3532" spans="1:65" s="38" customFormat="1" ht="15.95" customHeight="1">
      <c r="A3532" s="148">
        <v>7</v>
      </c>
      <c r="B3532" s="118" t="s">
        <v>1236</v>
      </c>
      <c r="C3532" s="120" t="s">
        <v>1237</v>
      </c>
      <c r="D3532" s="42"/>
      <c r="E3532" s="42"/>
      <c r="F3532" s="42"/>
      <c r="G3532" s="42"/>
      <c r="H3532" s="42"/>
      <c r="I3532" s="42">
        <v>237</v>
      </c>
      <c r="J3532" s="42"/>
      <c r="K3532" s="42"/>
      <c r="L3532" s="42"/>
      <c r="M3532" s="42"/>
      <c r="N3532" s="42"/>
      <c r="O3532" s="42">
        <v>213</v>
      </c>
      <c r="P3532" s="42"/>
      <c r="Q3532" s="42"/>
      <c r="R3532" s="42"/>
      <c r="S3532" s="42"/>
      <c r="T3532" s="42"/>
      <c r="U3532" s="42"/>
      <c r="V3532" s="42"/>
      <c r="W3532" s="42"/>
      <c r="X3532" s="42"/>
      <c r="Y3532" s="42"/>
      <c r="Z3532" s="42"/>
      <c r="AA3532" s="42">
        <v>233</v>
      </c>
      <c r="AB3532" s="229">
        <f t="shared" si="1492"/>
        <v>0</v>
      </c>
      <c r="AC3532" s="228">
        <f t="shared" si="1493"/>
        <v>683</v>
      </c>
      <c r="AD3532" s="19">
        <v>1266</v>
      </c>
      <c r="AE3532" s="43"/>
      <c r="AF3532" s="43"/>
      <c r="AG3532" s="43"/>
      <c r="AH3532" s="43"/>
      <c r="AI3532" s="43"/>
      <c r="AJ3532" s="43"/>
      <c r="AK3532" s="43"/>
      <c r="AL3532" s="43"/>
      <c r="AM3532" s="43"/>
      <c r="AN3532" s="43"/>
      <c r="AO3532" s="43"/>
      <c r="AP3532" s="43"/>
      <c r="AQ3532" s="43"/>
      <c r="AR3532" s="43"/>
      <c r="AS3532" s="43"/>
      <c r="AT3532" s="43"/>
      <c r="AU3532" s="43"/>
      <c r="AV3532" s="43"/>
      <c r="AW3532" s="43"/>
      <c r="AX3532" s="43"/>
      <c r="AY3532" s="43"/>
      <c r="AZ3532" s="43"/>
      <c r="BA3532" s="43"/>
      <c r="BB3532" s="43"/>
      <c r="BC3532" s="229">
        <f t="shared" si="1494"/>
        <v>0</v>
      </c>
      <c r="BD3532" s="48">
        <f t="shared" si="1495"/>
        <v>0</v>
      </c>
      <c r="BE3532" s="19">
        <v>0</v>
      </c>
      <c r="BF3532" s="229">
        <f t="shared" si="1496"/>
        <v>0</v>
      </c>
      <c r="BG3532" s="210">
        <f t="shared" si="1497"/>
        <v>683</v>
      </c>
      <c r="BH3532" s="210">
        <f t="shared" si="1486"/>
        <v>1266</v>
      </c>
      <c r="BI3532" s="213">
        <f t="shared" si="1498"/>
        <v>53.949447077409161</v>
      </c>
      <c r="BJ3532" s="270" t="s">
        <v>2857</v>
      </c>
      <c r="BK3532" s="201"/>
      <c r="BL3532" s="4"/>
      <c r="BM3532" s="4"/>
    </row>
    <row r="3533" spans="1:65" s="38" customFormat="1" ht="15.95" customHeight="1">
      <c r="A3533" s="148">
        <v>8</v>
      </c>
      <c r="B3533" s="118" t="s">
        <v>1241</v>
      </c>
      <c r="C3533" s="120" t="s">
        <v>1242</v>
      </c>
      <c r="D3533" s="42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O3533" s="42"/>
      <c r="P3533" s="42"/>
      <c r="Q3533" s="42"/>
      <c r="R3533" s="42"/>
      <c r="S3533" s="42"/>
      <c r="T3533" s="42"/>
      <c r="U3533" s="42"/>
      <c r="V3533" s="42"/>
      <c r="W3533" s="42"/>
      <c r="X3533" s="42"/>
      <c r="Y3533" s="42"/>
      <c r="Z3533" s="42"/>
      <c r="AA3533" s="42"/>
      <c r="AB3533" s="229">
        <f t="shared" si="1492"/>
        <v>0</v>
      </c>
      <c r="AC3533" s="228">
        <f t="shared" si="1493"/>
        <v>0</v>
      </c>
      <c r="AD3533" s="19">
        <v>0</v>
      </c>
      <c r="AE3533" s="43"/>
      <c r="AF3533" s="43"/>
      <c r="AG3533" s="43"/>
      <c r="AH3533" s="43"/>
      <c r="AI3533" s="43"/>
      <c r="AJ3533" s="43"/>
      <c r="AK3533" s="43"/>
      <c r="AL3533" s="43"/>
      <c r="AM3533" s="43"/>
      <c r="AN3533" s="43"/>
      <c r="AO3533" s="43"/>
      <c r="AP3533" s="43"/>
      <c r="AQ3533" s="43"/>
      <c r="AR3533" s="43"/>
      <c r="AS3533" s="43"/>
      <c r="AT3533" s="43"/>
      <c r="AU3533" s="43"/>
      <c r="AV3533" s="43"/>
      <c r="AW3533" s="43"/>
      <c r="AX3533" s="43"/>
      <c r="AY3533" s="43"/>
      <c r="AZ3533" s="43"/>
      <c r="BA3533" s="43"/>
      <c r="BB3533" s="43"/>
      <c r="BC3533" s="229">
        <f t="shared" si="1494"/>
        <v>0</v>
      </c>
      <c r="BD3533" s="48">
        <f t="shared" si="1495"/>
        <v>0</v>
      </c>
      <c r="BE3533" s="19">
        <v>20</v>
      </c>
      <c r="BF3533" s="229">
        <f t="shared" si="1496"/>
        <v>0</v>
      </c>
      <c r="BG3533" s="210">
        <f t="shared" si="1497"/>
        <v>0</v>
      </c>
      <c r="BH3533" s="210">
        <f t="shared" si="1486"/>
        <v>20</v>
      </c>
      <c r="BI3533" s="213">
        <f t="shared" si="1498"/>
        <v>0</v>
      </c>
      <c r="BJ3533" s="141"/>
      <c r="BK3533" s="201"/>
      <c r="BL3533" s="4"/>
      <c r="BM3533" s="4"/>
    </row>
    <row r="3534" spans="1:65" s="38" customFormat="1" ht="15.95" customHeight="1">
      <c r="A3534" s="148">
        <v>9</v>
      </c>
      <c r="B3534" s="118" t="s">
        <v>1178</v>
      </c>
      <c r="C3534" s="120" t="s">
        <v>1179</v>
      </c>
      <c r="D3534" s="42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O3534" s="42"/>
      <c r="P3534" s="42"/>
      <c r="Q3534" s="42"/>
      <c r="R3534" s="42"/>
      <c r="S3534" s="42"/>
      <c r="T3534" s="42"/>
      <c r="U3534" s="42"/>
      <c r="V3534" s="42"/>
      <c r="W3534" s="42"/>
      <c r="X3534" s="42"/>
      <c r="Y3534" s="42"/>
      <c r="Z3534" s="42"/>
      <c r="AA3534" s="42"/>
      <c r="AB3534" s="229">
        <f t="shared" si="1492"/>
        <v>0</v>
      </c>
      <c r="AC3534" s="228">
        <f t="shared" si="1493"/>
        <v>0</v>
      </c>
      <c r="AD3534" s="19">
        <v>0</v>
      </c>
      <c r="AE3534" s="43"/>
      <c r="AF3534" s="43"/>
      <c r="AG3534" s="43"/>
      <c r="AH3534" s="43"/>
      <c r="AI3534" s="43"/>
      <c r="AJ3534" s="43"/>
      <c r="AK3534" s="43"/>
      <c r="AL3534" s="43"/>
      <c r="AM3534" s="43"/>
      <c r="AN3534" s="43"/>
      <c r="AO3534" s="43"/>
      <c r="AP3534" s="43"/>
      <c r="AQ3534" s="43"/>
      <c r="AR3534" s="43"/>
      <c r="AS3534" s="43"/>
      <c r="AT3534" s="43"/>
      <c r="AU3534" s="43"/>
      <c r="AV3534" s="43"/>
      <c r="AW3534" s="43"/>
      <c r="AX3534" s="43"/>
      <c r="AY3534" s="43"/>
      <c r="AZ3534" s="43"/>
      <c r="BA3534" s="43"/>
      <c r="BB3534" s="43"/>
      <c r="BC3534" s="229">
        <f t="shared" si="1494"/>
        <v>0</v>
      </c>
      <c r="BD3534" s="48">
        <f t="shared" si="1495"/>
        <v>0</v>
      </c>
      <c r="BE3534" s="19">
        <v>24</v>
      </c>
      <c r="BF3534" s="229">
        <f t="shared" si="1496"/>
        <v>0</v>
      </c>
      <c r="BG3534" s="210">
        <f t="shared" si="1497"/>
        <v>0</v>
      </c>
      <c r="BH3534" s="210">
        <f t="shared" si="1486"/>
        <v>24</v>
      </c>
      <c r="BI3534" s="213">
        <f t="shared" si="1498"/>
        <v>0</v>
      </c>
      <c r="BJ3534" s="141"/>
      <c r="BK3534" s="201"/>
      <c r="BL3534" s="4"/>
      <c r="BM3534" s="4"/>
    </row>
    <row r="3535" spans="1:65" s="38" customFormat="1" ht="21.95" customHeight="1">
      <c r="A3535" s="148">
        <v>10</v>
      </c>
      <c r="B3535" s="118" t="s">
        <v>1245</v>
      </c>
      <c r="C3535" s="119" t="s">
        <v>1246</v>
      </c>
      <c r="D3535" s="42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O3535" s="42"/>
      <c r="P3535" s="42"/>
      <c r="Q3535" s="42"/>
      <c r="R3535" s="42"/>
      <c r="S3535" s="42"/>
      <c r="T3535" s="42"/>
      <c r="U3535" s="42"/>
      <c r="V3535" s="42"/>
      <c r="W3535" s="42"/>
      <c r="X3535" s="42"/>
      <c r="Y3535" s="42"/>
      <c r="Z3535" s="42"/>
      <c r="AA3535" s="42"/>
      <c r="AB3535" s="229">
        <f t="shared" si="1492"/>
        <v>0</v>
      </c>
      <c r="AC3535" s="228">
        <f t="shared" si="1493"/>
        <v>0</v>
      </c>
      <c r="AD3535" s="19">
        <v>0</v>
      </c>
      <c r="AE3535" s="43"/>
      <c r="AF3535" s="43"/>
      <c r="AG3535" s="43"/>
      <c r="AH3535" s="43"/>
      <c r="AI3535" s="43"/>
      <c r="AJ3535" s="43"/>
      <c r="AK3535" s="43"/>
      <c r="AL3535" s="43"/>
      <c r="AM3535" s="43"/>
      <c r="AN3535" s="43"/>
      <c r="AO3535" s="43"/>
      <c r="AP3535" s="43"/>
      <c r="AQ3535" s="43"/>
      <c r="AR3535" s="43"/>
      <c r="AS3535" s="43"/>
      <c r="AT3535" s="43"/>
      <c r="AU3535" s="43"/>
      <c r="AV3535" s="43"/>
      <c r="AW3535" s="43"/>
      <c r="AX3535" s="43"/>
      <c r="AY3535" s="43"/>
      <c r="AZ3535" s="43"/>
      <c r="BA3535" s="43"/>
      <c r="BB3535" s="43"/>
      <c r="BC3535" s="229">
        <f t="shared" si="1494"/>
        <v>0</v>
      </c>
      <c r="BD3535" s="48">
        <f t="shared" si="1495"/>
        <v>0</v>
      </c>
      <c r="BE3535" s="19">
        <v>25</v>
      </c>
      <c r="BF3535" s="229">
        <f t="shared" si="1496"/>
        <v>0</v>
      </c>
      <c r="BG3535" s="210">
        <f t="shared" si="1497"/>
        <v>0</v>
      </c>
      <c r="BH3535" s="210">
        <f t="shared" si="1486"/>
        <v>25</v>
      </c>
      <c r="BI3535" s="213">
        <f t="shared" si="1498"/>
        <v>0</v>
      </c>
      <c r="BJ3535" s="141"/>
      <c r="BK3535" s="201"/>
      <c r="BL3535" s="4"/>
      <c r="BM3535" s="4"/>
    </row>
    <row r="3536" spans="1:65" s="38" customFormat="1" ht="15.95" customHeight="1">
      <c r="A3536" s="148">
        <v>11</v>
      </c>
      <c r="B3536" s="118" t="s">
        <v>1247</v>
      </c>
      <c r="C3536" s="195" t="s">
        <v>1248</v>
      </c>
      <c r="D3536" s="42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O3536" s="42"/>
      <c r="P3536" s="42"/>
      <c r="Q3536" s="42"/>
      <c r="R3536" s="42"/>
      <c r="S3536" s="42"/>
      <c r="T3536" s="42"/>
      <c r="U3536" s="42"/>
      <c r="V3536" s="42"/>
      <c r="W3536" s="42"/>
      <c r="X3536" s="42"/>
      <c r="Y3536" s="42"/>
      <c r="Z3536" s="42"/>
      <c r="AA3536" s="42"/>
      <c r="AB3536" s="229">
        <f t="shared" si="1492"/>
        <v>0</v>
      </c>
      <c r="AC3536" s="228">
        <f t="shared" si="1493"/>
        <v>0</v>
      </c>
      <c r="AD3536" s="19">
        <v>0</v>
      </c>
      <c r="AE3536" s="43"/>
      <c r="AF3536" s="43"/>
      <c r="AG3536" s="43"/>
      <c r="AH3536" s="43"/>
      <c r="AI3536" s="43"/>
      <c r="AJ3536" s="43"/>
      <c r="AK3536" s="43"/>
      <c r="AL3536" s="43"/>
      <c r="AM3536" s="43"/>
      <c r="AN3536" s="43"/>
      <c r="AO3536" s="43"/>
      <c r="AP3536" s="43"/>
      <c r="AQ3536" s="43"/>
      <c r="AR3536" s="43"/>
      <c r="AS3536" s="43"/>
      <c r="AT3536" s="43"/>
      <c r="AU3536" s="43"/>
      <c r="AV3536" s="43"/>
      <c r="AW3536" s="43"/>
      <c r="AX3536" s="43"/>
      <c r="AY3536" s="43"/>
      <c r="AZ3536" s="43"/>
      <c r="BA3536" s="43"/>
      <c r="BB3536" s="43"/>
      <c r="BC3536" s="229">
        <f t="shared" si="1494"/>
        <v>0</v>
      </c>
      <c r="BD3536" s="48">
        <f t="shared" si="1495"/>
        <v>0</v>
      </c>
      <c r="BE3536" s="19">
        <v>8</v>
      </c>
      <c r="BF3536" s="229">
        <f t="shared" si="1496"/>
        <v>0</v>
      </c>
      <c r="BG3536" s="210">
        <f t="shared" si="1497"/>
        <v>0</v>
      </c>
      <c r="BH3536" s="210">
        <f t="shared" si="1486"/>
        <v>8</v>
      </c>
      <c r="BI3536" s="213">
        <f t="shared" si="1498"/>
        <v>0</v>
      </c>
      <c r="BJ3536" s="141"/>
      <c r="BK3536" s="201"/>
      <c r="BL3536" s="4"/>
      <c r="BM3536" s="4"/>
    </row>
    <row r="3537" spans="1:65" s="38" customFormat="1" ht="15.95" customHeight="1">
      <c r="A3537" s="148">
        <v>12</v>
      </c>
      <c r="B3537" s="118" t="s">
        <v>1249</v>
      </c>
      <c r="C3537" s="120" t="s">
        <v>1668</v>
      </c>
      <c r="D3537" s="42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O3537" s="42"/>
      <c r="P3537" s="42"/>
      <c r="Q3537" s="42"/>
      <c r="R3537" s="42"/>
      <c r="S3537" s="42"/>
      <c r="T3537" s="42"/>
      <c r="U3537" s="42"/>
      <c r="V3537" s="42"/>
      <c r="W3537" s="42"/>
      <c r="X3537" s="42"/>
      <c r="Y3537" s="42"/>
      <c r="Z3537" s="42"/>
      <c r="AA3537" s="42"/>
      <c r="AB3537" s="229">
        <f t="shared" si="1492"/>
        <v>0</v>
      </c>
      <c r="AC3537" s="228">
        <f t="shared" si="1493"/>
        <v>0</v>
      </c>
      <c r="AD3537" s="19">
        <v>0</v>
      </c>
      <c r="AE3537" s="43"/>
      <c r="AF3537" s="43"/>
      <c r="AG3537" s="43"/>
      <c r="AH3537" s="43"/>
      <c r="AI3537" s="43"/>
      <c r="AJ3537" s="43"/>
      <c r="AK3537" s="43"/>
      <c r="AL3537" s="43"/>
      <c r="AM3537" s="43"/>
      <c r="AN3537" s="43"/>
      <c r="AO3537" s="43"/>
      <c r="AP3537" s="43"/>
      <c r="AQ3537" s="43"/>
      <c r="AR3537" s="43"/>
      <c r="AS3537" s="43"/>
      <c r="AT3537" s="43"/>
      <c r="AU3537" s="43"/>
      <c r="AV3537" s="43"/>
      <c r="AW3537" s="43"/>
      <c r="AX3537" s="43"/>
      <c r="AY3537" s="43"/>
      <c r="AZ3537" s="43"/>
      <c r="BA3537" s="43"/>
      <c r="BB3537" s="43"/>
      <c r="BC3537" s="229">
        <f t="shared" si="1494"/>
        <v>0</v>
      </c>
      <c r="BD3537" s="48">
        <f t="shared" si="1495"/>
        <v>0</v>
      </c>
      <c r="BE3537" s="19">
        <v>4</v>
      </c>
      <c r="BF3537" s="229">
        <f t="shared" si="1496"/>
        <v>0</v>
      </c>
      <c r="BG3537" s="210">
        <f t="shared" si="1497"/>
        <v>0</v>
      </c>
      <c r="BH3537" s="210">
        <f t="shared" si="1486"/>
        <v>4</v>
      </c>
      <c r="BI3537" s="213">
        <f t="shared" si="1498"/>
        <v>0</v>
      </c>
      <c r="BJ3537" s="141"/>
      <c r="BK3537" s="201"/>
      <c r="BL3537" s="4"/>
      <c r="BM3537" s="4"/>
    </row>
    <row r="3538" spans="1:65" s="38" customFormat="1" ht="15.95" customHeight="1">
      <c r="A3538" s="148">
        <v>13</v>
      </c>
      <c r="B3538" s="118" t="s">
        <v>1262</v>
      </c>
      <c r="C3538" s="120" t="s">
        <v>1263</v>
      </c>
      <c r="D3538" s="42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O3538" s="42"/>
      <c r="P3538" s="42"/>
      <c r="Q3538" s="42"/>
      <c r="R3538" s="42"/>
      <c r="S3538" s="42"/>
      <c r="T3538" s="42"/>
      <c r="U3538" s="42"/>
      <c r="V3538" s="42"/>
      <c r="W3538" s="42"/>
      <c r="X3538" s="42"/>
      <c r="Y3538" s="42"/>
      <c r="Z3538" s="42"/>
      <c r="AA3538" s="42"/>
      <c r="AB3538" s="229">
        <f t="shared" si="1492"/>
        <v>0</v>
      </c>
      <c r="AC3538" s="228">
        <f t="shared" si="1493"/>
        <v>0</v>
      </c>
      <c r="AD3538" s="19">
        <v>0</v>
      </c>
      <c r="AE3538" s="43"/>
      <c r="AF3538" s="43"/>
      <c r="AG3538" s="43"/>
      <c r="AH3538" s="43"/>
      <c r="AI3538" s="43"/>
      <c r="AJ3538" s="43"/>
      <c r="AK3538" s="43"/>
      <c r="AL3538" s="43"/>
      <c r="AM3538" s="43"/>
      <c r="AN3538" s="43"/>
      <c r="AO3538" s="43"/>
      <c r="AP3538" s="43"/>
      <c r="AQ3538" s="43"/>
      <c r="AR3538" s="43"/>
      <c r="AS3538" s="43"/>
      <c r="AT3538" s="43"/>
      <c r="AU3538" s="43"/>
      <c r="AV3538" s="43"/>
      <c r="AW3538" s="43"/>
      <c r="AX3538" s="43"/>
      <c r="AY3538" s="43"/>
      <c r="AZ3538" s="43"/>
      <c r="BA3538" s="43"/>
      <c r="BB3538" s="43"/>
      <c r="BC3538" s="229">
        <f t="shared" si="1494"/>
        <v>0</v>
      </c>
      <c r="BD3538" s="48">
        <f t="shared" si="1495"/>
        <v>0</v>
      </c>
      <c r="BE3538" s="19">
        <v>2</v>
      </c>
      <c r="BF3538" s="229">
        <f t="shared" si="1496"/>
        <v>0</v>
      </c>
      <c r="BG3538" s="210">
        <f t="shared" si="1497"/>
        <v>0</v>
      </c>
      <c r="BH3538" s="210">
        <f t="shared" si="1486"/>
        <v>2</v>
      </c>
      <c r="BI3538" s="213">
        <f t="shared" si="1498"/>
        <v>0</v>
      </c>
      <c r="BJ3538" s="141"/>
      <c r="BK3538" s="201"/>
      <c r="BL3538" s="4"/>
      <c r="BM3538" s="4"/>
    </row>
    <row r="3539" spans="1:65" s="38" customFormat="1" ht="21.95" customHeight="1">
      <c r="A3539" s="359" t="s">
        <v>2788</v>
      </c>
      <c r="B3539" s="359"/>
      <c r="C3539" s="359"/>
      <c r="D3539" s="39">
        <f t="shared" ref="D3539:BE3539" si="1499">SUM(D3540:D3550)</f>
        <v>0</v>
      </c>
      <c r="E3539" s="39">
        <f t="shared" si="1499"/>
        <v>0</v>
      </c>
      <c r="F3539" s="39">
        <f t="shared" si="1499"/>
        <v>0</v>
      </c>
      <c r="G3539" s="39">
        <f t="shared" si="1499"/>
        <v>0</v>
      </c>
      <c r="H3539" s="39">
        <f t="shared" si="1499"/>
        <v>0</v>
      </c>
      <c r="I3539" s="39">
        <f t="shared" si="1499"/>
        <v>0</v>
      </c>
      <c r="J3539" s="39">
        <f t="shared" si="1499"/>
        <v>0</v>
      </c>
      <c r="K3539" s="39">
        <f t="shared" si="1499"/>
        <v>0</v>
      </c>
      <c r="L3539" s="39">
        <f t="shared" si="1499"/>
        <v>0</v>
      </c>
      <c r="M3539" s="39">
        <f t="shared" si="1499"/>
        <v>0</v>
      </c>
      <c r="N3539" s="39">
        <f t="shared" si="1499"/>
        <v>0</v>
      </c>
      <c r="O3539" s="39">
        <f t="shared" si="1499"/>
        <v>502</v>
      </c>
      <c r="P3539" s="39">
        <f t="shared" si="1499"/>
        <v>0</v>
      </c>
      <c r="Q3539" s="39">
        <f t="shared" si="1499"/>
        <v>0</v>
      </c>
      <c r="R3539" s="39">
        <f t="shared" si="1499"/>
        <v>0</v>
      </c>
      <c r="S3539" s="39">
        <f t="shared" si="1499"/>
        <v>0</v>
      </c>
      <c r="T3539" s="39">
        <f t="shared" si="1499"/>
        <v>0</v>
      </c>
      <c r="U3539" s="39">
        <f t="shared" si="1499"/>
        <v>445</v>
      </c>
      <c r="V3539" s="39">
        <f t="shared" si="1499"/>
        <v>0</v>
      </c>
      <c r="W3539" s="39">
        <f t="shared" si="1499"/>
        <v>0</v>
      </c>
      <c r="X3539" s="39">
        <f t="shared" si="1499"/>
        <v>0</v>
      </c>
      <c r="Y3539" s="39">
        <f t="shared" si="1499"/>
        <v>0</v>
      </c>
      <c r="Z3539" s="39">
        <f t="shared" si="1499"/>
        <v>0</v>
      </c>
      <c r="AA3539" s="39">
        <f t="shared" si="1499"/>
        <v>0</v>
      </c>
      <c r="AB3539" s="39">
        <f t="shared" ref="AB3539:AB3588" si="1500">D3539+F3539+H3539+J3539+L3539+N3539+P3539+R3539+T3539+V3539+X3539+Z3539</f>
        <v>0</v>
      </c>
      <c r="AC3539" s="39">
        <f t="shared" ref="AC3539:AC3588" si="1501">E3539+G3539+I3539+K3539+M3539+O3539+Q3539+S3539+U3539+W3539+Y3539+AA3539</f>
        <v>947</v>
      </c>
      <c r="AD3539" s="39">
        <f t="shared" si="1499"/>
        <v>468</v>
      </c>
      <c r="AE3539" s="39">
        <f t="shared" si="1499"/>
        <v>0</v>
      </c>
      <c r="AF3539" s="39">
        <f t="shared" si="1499"/>
        <v>0</v>
      </c>
      <c r="AG3539" s="39">
        <f t="shared" si="1499"/>
        <v>0</v>
      </c>
      <c r="AH3539" s="39">
        <f t="shared" si="1499"/>
        <v>0</v>
      </c>
      <c r="AI3539" s="39">
        <f t="shared" si="1499"/>
        <v>0</v>
      </c>
      <c r="AJ3539" s="39">
        <f t="shared" si="1499"/>
        <v>0</v>
      </c>
      <c r="AK3539" s="39">
        <f t="shared" si="1499"/>
        <v>0</v>
      </c>
      <c r="AL3539" s="39">
        <f t="shared" si="1499"/>
        <v>0</v>
      </c>
      <c r="AM3539" s="39">
        <f t="shared" si="1499"/>
        <v>0</v>
      </c>
      <c r="AN3539" s="39">
        <f t="shared" si="1499"/>
        <v>0</v>
      </c>
      <c r="AO3539" s="39">
        <f t="shared" si="1499"/>
        <v>0</v>
      </c>
      <c r="AP3539" s="39">
        <f t="shared" si="1499"/>
        <v>0</v>
      </c>
      <c r="AQ3539" s="39">
        <f t="shared" si="1499"/>
        <v>0</v>
      </c>
      <c r="AR3539" s="39">
        <f t="shared" si="1499"/>
        <v>0</v>
      </c>
      <c r="AS3539" s="39">
        <f t="shared" si="1499"/>
        <v>0</v>
      </c>
      <c r="AT3539" s="39">
        <f t="shared" si="1499"/>
        <v>0</v>
      </c>
      <c r="AU3539" s="39">
        <f t="shared" si="1499"/>
        <v>0</v>
      </c>
      <c r="AV3539" s="39">
        <f t="shared" si="1499"/>
        <v>0</v>
      </c>
      <c r="AW3539" s="39">
        <f t="shared" si="1499"/>
        <v>0</v>
      </c>
      <c r="AX3539" s="39">
        <f t="shared" si="1499"/>
        <v>0</v>
      </c>
      <c r="AY3539" s="39">
        <f t="shared" si="1499"/>
        <v>0</v>
      </c>
      <c r="AZ3539" s="39">
        <f t="shared" si="1499"/>
        <v>0</v>
      </c>
      <c r="BA3539" s="39">
        <f t="shared" si="1499"/>
        <v>0</v>
      </c>
      <c r="BB3539" s="39">
        <f t="shared" si="1499"/>
        <v>0</v>
      </c>
      <c r="BC3539" s="39">
        <f t="shared" ref="BC3539:BC3588" si="1502">AE3539+AG3539+AI3539+AK3539+AM3539+AO3539+AQ3539+AS3539+AU3539+AW3539+AY3539+BA3539</f>
        <v>0</v>
      </c>
      <c r="BD3539" s="101">
        <f t="shared" ref="BD3539:BD3588" si="1503">AF3539+AH3539+AJ3539+AL3539+AN3539+AP3539+AR3539+AT3539+AV3539+AX3539+AZ3539+BB3539</f>
        <v>0</v>
      </c>
      <c r="BE3539" s="39">
        <f t="shared" si="1499"/>
        <v>43</v>
      </c>
      <c r="BF3539" s="39">
        <f t="shared" ref="BF3539:BF3588" si="1504">AB3539+BC3539</f>
        <v>0</v>
      </c>
      <c r="BG3539" s="101">
        <f t="shared" ref="BG3539:BG3588" si="1505">AC3539+BD3539</f>
        <v>947</v>
      </c>
      <c r="BH3539" s="101">
        <f t="shared" si="1486"/>
        <v>511</v>
      </c>
      <c r="BI3539" s="280">
        <f t="shared" ref="BI3539:BI3588" si="1506">BG3539/BH3539*100</f>
        <v>185.32289628180038</v>
      </c>
      <c r="BJ3539" s="142">
        <v>511</v>
      </c>
      <c r="BK3539" s="203">
        <f>BH3539-BJ3539</f>
        <v>0</v>
      </c>
      <c r="BL3539" s="4"/>
      <c r="BM3539" s="4"/>
    </row>
    <row r="3540" spans="1:65" s="38" customFormat="1" ht="15.95" customHeight="1">
      <c r="A3540" s="148">
        <v>1</v>
      </c>
      <c r="B3540" s="118" t="s">
        <v>1224</v>
      </c>
      <c r="C3540" s="120" t="s">
        <v>1225</v>
      </c>
      <c r="D3540" s="42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O3540" s="42"/>
      <c r="P3540" s="42"/>
      <c r="Q3540" s="42"/>
      <c r="R3540" s="42"/>
      <c r="S3540" s="42"/>
      <c r="T3540" s="42"/>
      <c r="U3540" s="42"/>
      <c r="V3540" s="42"/>
      <c r="W3540" s="42"/>
      <c r="X3540" s="42"/>
      <c r="Y3540" s="42"/>
      <c r="Z3540" s="42"/>
      <c r="AA3540" s="42"/>
      <c r="AB3540" s="229">
        <f t="shared" ref="AB3540:AB3550" si="1507">D3540+F3540+H3540+J3540+L3540+N3540+P3540+R3540+T3540+V3540+X3540+Z3540</f>
        <v>0</v>
      </c>
      <c r="AC3540" s="228">
        <f t="shared" si="1501"/>
        <v>0</v>
      </c>
      <c r="AD3540" s="19">
        <v>4</v>
      </c>
      <c r="AE3540" s="43"/>
      <c r="AF3540" s="43"/>
      <c r="AG3540" s="43"/>
      <c r="AH3540" s="43"/>
      <c r="AI3540" s="43"/>
      <c r="AJ3540" s="43"/>
      <c r="AK3540" s="43"/>
      <c r="AL3540" s="43"/>
      <c r="AM3540" s="43"/>
      <c r="AN3540" s="43"/>
      <c r="AO3540" s="43"/>
      <c r="AP3540" s="43"/>
      <c r="AQ3540" s="43"/>
      <c r="AR3540" s="43"/>
      <c r="AS3540" s="43"/>
      <c r="AT3540" s="43"/>
      <c r="AU3540" s="43"/>
      <c r="AV3540" s="43"/>
      <c r="AW3540" s="43"/>
      <c r="AX3540" s="43"/>
      <c r="AY3540" s="43"/>
      <c r="AZ3540" s="43"/>
      <c r="BA3540" s="43"/>
      <c r="BB3540" s="43"/>
      <c r="BC3540" s="229">
        <f t="shared" ref="BC3540:BC3550" si="1508">AE3540+AG3540+AI3540+AK3540+AM3540+AO3540+AQ3540+AS3540+AU3540+AW3540+AY3540+BA3540</f>
        <v>0</v>
      </c>
      <c r="BD3540" s="48">
        <f t="shared" si="1503"/>
        <v>0</v>
      </c>
      <c r="BE3540" s="19">
        <v>0</v>
      </c>
      <c r="BF3540" s="229">
        <f t="shared" ref="BF3540:BF3550" si="1509">AB3540+BC3540</f>
        <v>0</v>
      </c>
      <c r="BG3540" s="210">
        <f t="shared" si="1505"/>
        <v>0</v>
      </c>
      <c r="BH3540" s="210">
        <f t="shared" si="1486"/>
        <v>4</v>
      </c>
      <c r="BI3540" s="213">
        <f t="shared" ref="BI3540:BI3550" si="1510">BG3540/BH3540*100</f>
        <v>0</v>
      </c>
      <c r="BJ3540" s="270" t="s">
        <v>2857</v>
      </c>
      <c r="BK3540" s="201"/>
      <c r="BL3540" s="4"/>
      <c r="BM3540" s="4"/>
    </row>
    <row r="3541" spans="1:65" s="38" customFormat="1" ht="15.95" customHeight="1">
      <c r="A3541" s="148">
        <v>2</v>
      </c>
      <c r="B3541" s="118" t="s">
        <v>1258</v>
      </c>
      <c r="C3541" s="120" t="s">
        <v>2459</v>
      </c>
      <c r="D3541" s="42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O3541" s="42"/>
      <c r="P3541" s="42"/>
      <c r="Q3541" s="42"/>
      <c r="R3541" s="42"/>
      <c r="S3541" s="42"/>
      <c r="T3541" s="42"/>
      <c r="U3541" s="42"/>
      <c r="V3541" s="42"/>
      <c r="W3541" s="42"/>
      <c r="X3541" s="42"/>
      <c r="Y3541" s="42"/>
      <c r="Z3541" s="42"/>
      <c r="AA3541" s="42"/>
      <c r="AB3541" s="229">
        <f t="shared" si="1507"/>
        <v>0</v>
      </c>
      <c r="AC3541" s="228">
        <f t="shared" si="1501"/>
        <v>0</v>
      </c>
      <c r="AD3541" s="19">
        <v>2</v>
      </c>
      <c r="AE3541" s="43"/>
      <c r="AF3541" s="43"/>
      <c r="AG3541" s="43"/>
      <c r="AH3541" s="43"/>
      <c r="AI3541" s="43"/>
      <c r="AJ3541" s="43"/>
      <c r="AK3541" s="43"/>
      <c r="AL3541" s="43"/>
      <c r="AM3541" s="43"/>
      <c r="AN3541" s="43"/>
      <c r="AO3541" s="43"/>
      <c r="AP3541" s="43"/>
      <c r="AQ3541" s="43"/>
      <c r="AR3541" s="43"/>
      <c r="AS3541" s="43"/>
      <c r="AT3541" s="43"/>
      <c r="AU3541" s="43"/>
      <c r="AV3541" s="43"/>
      <c r="AW3541" s="43"/>
      <c r="AX3541" s="43"/>
      <c r="AY3541" s="43"/>
      <c r="AZ3541" s="43"/>
      <c r="BA3541" s="43"/>
      <c r="BB3541" s="43"/>
      <c r="BC3541" s="229">
        <f t="shared" si="1508"/>
        <v>0</v>
      </c>
      <c r="BD3541" s="48">
        <f t="shared" si="1503"/>
        <v>0</v>
      </c>
      <c r="BE3541" s="19">
        <v>0</v>
      </c>
      <c r="BF3541" s="229">
        <f t="shared" si="1509"/>
        <v>0</v>
      </c>
      <c r="BG3541" s="210">
        <f t="shared" si="1505"/>
        <v>0</v>
      </c>
      <c r="BH3541" s="210">
        <f t="shared" si="1486"/>
        <v>2</v>
      </c>
      <c r="BI3541" s="213">
        <f t="shared" si="1510"/>
        <v>0</v>
      </c>
      <c r="BJ3541" s="270" t="s">
        <v>2857</v>
      </c>
      <c r="BK3541" s="201"/>
      <c r="BL3541" s="4"/>
      <c r="BM3541" s="4"/>
    </row>
    <row r="3542" spans="1:65" s="38" customFormat="1" ht="15.95" customHeight="1">
      <c r="A3542" s="148">
        <v>3</v>
      </c>
      <c r="B3542" s="118" t="s">
        <v>1228</v>
      </c>
      <c r="C3542" s="120" t="s">
        <v>1229</v>
      </c>
      <c r="D3542" s="42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O3542" s="42"/>
      <c r="P3542" s="42"/>
      <c r="Q3542" s="42"/>
      <c r="R3542" s="42"/>
      <c r="S3542" s="42"/>
      <c r="T3542" s="42"/>
      <c r="U3542" s="42"/>
      <c r="V3542" s="42"/>
      <c r="W3542" s="42"/>
      <c r="X3542" s="42"/>
      <c r="Y3542" s="42"/>
      <c r="Z3542" s="42"/>
      <c r="AA3542" s="42"/>
      <c r="AB3542" s="229">
        <f t="shared" si="1507"/>
        <v>0</v>
      </c>
      <c r="AC3542" s="228">
        <f t="shared" si="1501"/>
        <v>0</v>
      </c>
      <c r="AD3542" s="19">
        <v>10</v>
      </c>
      <c r="AE3542" s="43"/>
      <c r="AF3542" s="43"/>
      <c r="AG3542" s="43"/>
      <c r="AH3542" s="43"/>
      <c r="AI3542" s="43"/>
      <c r="AJ3542" s="43"/>
      <c r="AK3542" s="43"/>
      <c r="AL3542" s="43"/>
      <c r="AM3542" s="43"/>
      <c r="AN3542" s="43"/>
      <c r="AO3542" s="43"/>
      <c r="AP3542" s="43"/>
      <c r="AQ3542" s="43"/>
      <c r="AR3542" s="43"/>
      <c r="AS3542" s="43"/>
      <c r="AT3542" s="43"/>
      <c r="AU3542" s="43"/>
      <c r="AV3542" s="43"/>
      <c r="AW3542" s="43"/>
      <c r="AX3542" s="43"/>
      <c r="AY3542" s="43"/>
      <c r="AZ3542" s="43"/>
      <c r="BA3542" s="43"/>
      <c r="BB3542" s="43"/>
      <c r="BC3542" s="229">
        <f t="shared" si="1508"/>
        <v>0</v>
      </c>
      <c r="BD3542" s="48">
        <f t="shared" si="1503"/>
        <v>0</v>
      </c>
      <c r="BE3542" s="19">
        <v>0</v>
      </c>
      <c r="BF3542" s="229">
        <f t="shared" si="1509"/>
        <v>0</v>
      </c>
      <c r="BG3542" s="210">
        <f t="shared" si="1505"/>
        <v>0</v>
      </c>
      <c r="BH3542" s="210">
        <f t="shared" si="1486"/>
        <v>10</v>
      </c>
      <c r="BI3542" s="213">
        <f t="shared" si="1510"/>
        <v>0</v>
      </c>
      <c r="BJ3542" s="270" t="s">
        <v>2857</v>
      </c>
      <c r="BK3542" s="201"/>
      <c r="BL3542" s="4"/>
      <c r="BM3542" s="4"/>
    </row>
    <row r="3543" spans="1:65" s="38" customFormat="1" ht="15.95" customHeight="1">
      <c r="A3543" s="148">
        <v>4</v>
      </c>
      <c r="B3543" s="118" t="s">
        <v>1230</v>
      </c>
      <c r="C3543" s="120" t="s">
        <v>1231</v>
      </c>
      <c r="D3543" s="42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O3543" s="42"/>
      <c r="P3543" s="42"/>
      <c r="Q3543" s="42"/>
      <c r="R3543" s="42"/>
      <c r="S3543" s="42"/>
      <c r="T3543" s="42"/>
      <c r="U3543" s="42"/>
      <c r="V3543" s="42"/>
      <c r="W3543" s="42"/>
      <c r="X3543" s="42"/>
      <c r="Y3543" s="42"/>
      <c r="Z3543" s="42"/>
      <c r="AA3543" s="42"/>
      <c r="AB3543" s="229">
        <f t="shared" si="1507"/>
        <v>0</v>
      </c>
      <c r="AC3543" s="228">
        <f t="shared" si="1501"/>
        <v>0</v>
      </c>
      <c r="AD3543" s="19">
        <v>10</v>
      </c>
      <c r="AE3543" s="43"/>
      <c r="AF3543" s="43"/>
      <c r="AG3543" s="43"/>
      <c r="AH3543" s="43"/>
      <c r="AI3543" s="43"/>
      <c r="AJ3543" s="43"/>
      <c r="AK3543" s="43"/>
      <c r="AL3543" s="43"/>
      <c r="AM3543" s="43"/>
      <c r="AN3543" s="43"/>
      <c r="AO3543" s="43"/>
      <c r="AP3543" s="43"/>
      <c r="AQ3543" s="43"/>
      <c r="AR3543" s="43"/>
      <c r="AS3543" s="43"/>
      <c r="AT3543" s="43"/>
      <c r="AU3543" s="43"/>
      <c r="AV3543" s="43"/>
      <c r="AW3543" s="43"/>
      <c r="AX3543" s="43"/>
      <c r="AY3543" s="43"/>
      <c r="AZ3543" s="43"/>
      <c r="BA3543" s="43"/>
      <c r="BB3543" s="43"/>
      <c r="BC3543" s="229">
        <f t="shared" si="1508"/>
        <v>0</v>
      </c>
      <c r="BD3543" s="48">
        <f t="shared" si="1503"/>
        <v>0</v>
      </c>
      <c r="BE3543" s="19">
        <v>0</v>
      </c>
      <c r="BF3543" s="229">
        <f t="shared" si="1509"/>
        <v>0</v>
      </c>
      <c r="BG3543" s="210">
        <f t="shared" si="1505"/>
        <v>0</v>
      </c>
      <c r="BH3543" s="210">
        <f t="shared" si="1486"/>
        <v>10</v>
      </c>
      <c r="BI3543" s="213">
        <f t="shared" si="1510"/>
        <v>0</v>
      </c>
      <c r="BJ3543" s="270" t="s">
        <v>2857</v>
      </c>
      <c r="BK3543" s="201"/>
      <c r="BL3543" s="4"/>
      <c r="BM3543" s="4"/>
    </row>
    <row r="3544" spans="1:65" s="38" customFormat="1" ht="15.95" customHeight="1">
      <c r="A3544" s="148">
        <v>5</v>
      </c>
      <c r="B3544" s="118" t="s">
        <v>1234</v>
      </c>
      <c r="C3544" s="120" t="s">
        <v>1235</v>
      </c>
      <c r="D3544" s="42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O3544" s="42"/>
      <c r="P3544" s="42"/>
      <c r="Q3544" s="42"/>
      <c r="R3544" s="42"/>
      <c r="S3544" s="42"/>
      <c r="T3544" s="42"/>
      <c r="U3544" s="42"/>
      <c r="V3544" s="42"/>
      <c r="W3544" s="42"/>
      <c r="X3544" s="42"/>
      <c r="Y3544" s="42"/>
      <c r="Z3544" s="42"/>
      <c r="AA3544" s="42"/>
      <c r="AB3544" s="229">
        <f t="shared" si="1507"/>
        <v>0</v>
      </c>
      <c r="AC3544" s="228">
        <f t="shared" si="1501"/>
        <v>0</v>
      </c>
      <c r="AD3544" s="19">
        <v>10</v>
      </c>
      <c r="AE3544" s="43"/>
      <c r="AF3544" s="43"/>
      <c r="AG3544" s="43"/>
      <c r="AH3544" s="43"/>
      <c r="AI3544" s="43"/>
      <c r="AJ3544" s="43"/>
      <c r="AK3544" s="43"/>
      <c r="AL3544" s="43"/>
      <c r="AM3544" s="43"/>
      <c r="AN3544" s="43"/>
      <c r="AO3544" s="43"/>
      <c r="AP3544" s="43"/>
      <c r="AQ3544" s="43"/>
      <c r="AR3544" s="43"/>
      <c r="AS3544" s="43"/>
      <c r="AT3544" s="43"/>
      <c r="AU3544" s="43"/>
      <c r="AV3544" s="43"/>
      <c r="AW3544" s="43"/>
      <c r="AX3544" s="43"/>
      <c r="AY3544" s="43"/>
      <c r="AZ3544" s="43"/>
      <c r="BA3544" s="43"/>
      <c r="BB3544" s="43"/>
      <c r="BC3544" s="229">
        <f t="shared" si="1508"/>
        <v>0</v>
      </c>
      <c r="BD3544" s="48">
        <f t="shared" si="1503"/>
        <v>0</v>
      </c>
      <c r="BE3544" s="19">
        <v>0</v>
      </c>
      <c r="BF3544" s="229">
        <f t="shared" si="1509"/>
        <v>0</v>
      </c>
      <c r="BG3544" s="210">
        <f t="shared" si="1505"/>
        <v>0</v>
      </c>
      <c r="BH3544" s="210">
        <f t="shared" si="1486"/>
        <v>10</v>
      </c>
      <c r="BI3544" s="213">
        <f t="shared" si="1510"/>
        <v>0</v>
      </c>
      <c r="BJ3544" s="270" t="s">
        <v>2857</v>
      </c>
      <c r="BK3544" s="201"/>
      <c r="BL3544" s="4"/>
      <c r="BM3544" s="4"/>
    </row>
    <row r="3545" spans="1:65" s="38" customFormat="1" ht="15.95" customHeight="1">
      <c r="A3545" s="148">
        <v>6</v>
      </c>
      <c r="B3545" s="118" t="s">
        <v>1236</v>
      </c>
      <c r="C3545" s="120" t="s">
        <v>1237</v>
      </c>
      <c r="D3545" s="42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O3545" s="42">
        <v>502</v>
      </c>
      <c r="P3545" s="42"/>
      <c r="Q3545" s="42"/>
      <c r="R3545" s="42"/>
      <c r="S3545" s="42"/>
      <c r="T3545" s="42"/>
      <c r="U3545" s="42">
        <v>445</v>
      </c>
      <c r="V3545" s="42"/>
      <c r="W3545" s="42"/>
      <c r="X3545" s="42"/>
      <c r="Y3545" s="42"/>
      <c r="Z3545" s="42"/>
      <c r="AA3545" s="42"/>
      <c r="AB3545" s="229">
        <f t="shared" si="1507"/>
        <v>0</v>
      </c>
      <c r="AC3545" s="228">
        <f t="shared" si="1501"/>
        <v>947</v>
      </c>
      <c r="AD3545" s="19">
        <v>432</v>
      </c>
      <c r="AE3545" s="43"/>
      <c r="AF3545" s="43"/>
      <c r="AG3545" s="43"/>
      <c r="AH3545" s="43"/>
      <c r="AI3545" s="43"/>
      <c r="AJ3545" s="43"/>
      <c r="AK3545" s="43"/>
      <c r="AL3545" s="43"/>
      <c r="AM3545" s="43"/>
      <c r="AN3545" s="43"/>
      <c r="AO3545" s="43"/>
      <c r="AP3545" s="43"/>
      <c r="AQ3545" s="43"/>
      <c r="AR3545" s="43"/>
      <c r="AS3545" s="43"/>
      <c r="AT3545" s="43"/>
      <c r="AU3545" s="43"/>
      <c r="AV3545" s="43"/>
      <c r="AW3545" s="43"/>
      <c r="AX3545" s="43"/>
      <c r="AY3545" s="43"/>
      <c r="AZ3545" s="43"/>
      <c r="BA3545" s="43"/>
      <c r="BB3545" s="43"/>
      <c r="BC3545" s="229">
        <f t="shared" si="1508"/>
        <v>0</v>
      </c>
      <c r="BD3545" s="48">
        <f t="shared" si="1503"/>
        <v>0</v>
      </c>
      <c r="BE3545" s="19">
        <v>0</v>
      </c>
      <c r="BF3545" s="229">
        <f t="shared" si="1509"/>
        <v>0</v>
      </c>
      <c r="BG3545" s="210">
        <f t="shared" si="1505"/>
        <v>947</v>
      </c>
      <c r="BH3545" s="210">
        <f t="shared" si="1486"/>
        <v>432</v>
      </c>
      <c r="BI3545" s="213">
        <f t="shared" si="1510"/>
        <v>219.21296296296299</v>
      </c>
      <c r="BJ3545" s="270" t="s">
        <v>2857</v>
      </c>
      <c r="BK3545" s="201"/>
      <c r="BL3545" s="4"/>
      <c r="BM3545" s="4"/>
    </row>
    <row r="3546" spans="1:65" s="38" customFormat="1" ht="15.95" customHeight="1">
      <c r="A3546" s="148">
        <v>7</v>
      </c>
      <c r="B3546" s="118" t="s">
        <v>1241</v>
      </c>
      <c r="C3546" s="120" t="s">
        <v>1242</v>
      </c>
      <c r="D3546" s="42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O3546" s="42"/>
      <c r="P3546" s="42"/>
      <c r="Q3546" s="42"/>
      <c r="R3546" s="42"/>
      <c r="S3546" s="42"/>
      <c r="T3546" s="42"/>
      <c r="U3546" s="42"/>
      <c r="V3546" s="42"/>
      <c r="W3546" s="42"/>
      <c r="X3546" s="42"/>
      <c r="Y3546" s="42"/>
      <c r="Z3546" s="42"/>
      <c r="AA3546" s="42"/>
      <c r="AB3546" s="229">
        <f t="shared" si="1507"/>
        <v>0</v>
      </c>
      <c r="AC3546" s="228">
        <f t="shared" si="1501"/>
        <v>0</v>
      </c>
      <c r="AD3546" s="19">
        <v>0</v>
      </c>
      <c r="AE3546" s="43"/>
      <c r="AF3546" s="43"/>
      <c r="AG3546" s="43"/>
      <c r="AH3546" s="43"/>
      <c r="AI3546" s="43"/>
      <c r="AJ3546" s="43"/>
      <c r="AK3546" s="43"/>
      <c r="AL3546" s="43"/>
      <c r="AM3546" s="43"/>
      <c r="AN3546" s="43"/>
      <c r="AO3546" s="43"/>
      <c r="AP3546" s="43"/>
      <c r="AQ3546" s="43"/>
      <c r="AR3546" s="43"/>
      <c r="AS3546" s="43"/>
      <c r="AT3546" s="43"/>
      <c r="AU3546" s="43"/>
      <c r="AV3546" s="43"/>
      <c r="AW3546" s="43"/>
      <c r="AX3546" s="43"/>
      <c r="AY3546" s="43"/>
      <c r="AZ3546" s="43"/>
      <c r="BA3546" s="43"/>
      <c r="BB3546" s="43"/>
      <c r="BC3546" s="229">
        <f t="shared" si="1508"/>
        <v>0</v>
      </c>
      <c r="BD3546" s="48">
        <f t="shared" si="1503"/>
        <v>0</v>
      </c>
      <c r="BE3546" s="19">
        <v>10</v>
      </c>
      <c r="BF3546" s="229">
        <f t="shared" si="1509"/>
        <v>0</v>
      </c>
      <c r="BG3546" s="210">
        <f t="shared" si="1505"/>
        <v>0</v>
      </c>
      <c r="BH3546" s="210">
        <f t="shared" si="1486"/>
        <v>10</v>
      </c>
      <c r="BI3546" s="213">
        <f t="shared" si="1510"/>
        <v>0</v>
      </c>
      <c r="BJ3546" s="141"/>
      <c r="BK3546" s="201"/>
      <c r="BL3546" s="4"/>
      <c r="BM3546" s="4"/>
    </row>
    <row r="3547" spans="1:65" s="38" customFormat="1" ht="15.95" customHeight="1">
      <c r="A3547" s="148">
        <v>8</v>
      </c>
      <c r="B3547" s="118" t="s">
        <v>1178</v>
      </c>
      <c r="C3547" s="120" t="s">
        <v>1179</v>
      </c>
      <c r="D3547" s="42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O3547" s="42"/>
      <c r="P3547" s="42"/>
      <c r="Q3547" s="42"/>
      <c r="R3547" s="42"/>
      <c r="S3547" s="42"/>
      <c r="T3547" s="42"/>
      <c r="U3547" s="42"/>
      <c r="V3547" s="42"/>
      <c r="W3547" s="42"/>
      <c r="X3547" s="42"/>
      <c r="Y3547" s="42"/>
      <c r="Z3547" s="42"/>
      <c r="AA3547" s="42"/>
      <c r="AB3547" s="229">
        <f t="shared" si="1507"/>
        <v>0</v>
      </c>
      <c r="AC3547" s="228">
        <f t="shared" si="1501"/>
        <v>0</v>
      </c>
      <c r="AD3547" s="19">
        <v>0</v>
      </c>
      <c r="AE3547" s="43"/>
      <c r="AF3547" s="43"/>
      <c r="AG3547" s="43"/>
      <c r="AH3547" s="43"/>
      <c r="AI3547" s="43"/>
      <c r="AJ3547" s="43"/>
      <c r="AK3547" s="43"/>
      <c r="AL3547" s="43"/>
      <c r="AM3547" s="43"/>
      <c r="AN3547" s="43"/>
      <c r="AO3547" s="43"/>
      <c r="AP3547" s="43"/>
      <c r="AQ3547" s="43"/>
      <c r="AR3547" s="43"/>
      <c r="AS3547" s="43"/>
      <c r="AT3547" s="43"/>
      <c r="AU3547" s="43"/>
      <c r="AV3547" s="43"/>
      <c r="AW3547" s="43"/>
      <c r="AX3547" s="43"/>
      <c r="AY3547" s="43"/>
      <c r="AZ3547" s="43"/>
      <c r="BA3547" s="43"/>
      <c r="BB3547" s="43"/>
      <c r="BC3547" s="229">
        <f t="shared" si="1508"/>
        <v>0</v>
      </c>
      <c r="BD3547" s="48">
        <f t="shared" si="1503"/>
        <v>0</v>
      </c>
      <c r="BE3547" s="19">
        <v>13</v>
      </c>
      <c r="BF3547" s="229">
        <f t="shared" si="1509"/>
        <v>0</v>
      </c>
      <c r="BG3547" s="210">
        <f t="shared" si="1505"/>
        <v>0</v>
      </c>
      <c r="BH3547" s="210">
        <f t="shared" si="1486"/>
        <v>13</v>
      </c>
      <c r="BI3547" s="213">
        <f t="shared" si="1510"/>
        <v>0</v>
      </c>
      <c r="BJ3547" s="141"/>
      <c r="BK3547" s="201"/>
      <c r="BL3547" s="4"/>
      <c r="BM3547" s="4"/>
    </row>
    <row r="3548" spans="1:65" s="38" customFormat="1" ht="21.95" customHeight="1">
      <c r="A3548" s="148">
        <v>9</v>
      </c>
      <c r="B3548" s="118" t="s">
        <v>1245</v>
      </c>
      <c r="C3548" s="119" t="s">
        <v>1246</v>
      </c>
      <c r="D3548" s="42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O3548" s="42"/>
      <c r="P3548" s="42"/>
      <c r="Q3548" s="42"/>
      <c r="R3548" s="42"/>
      <c r="S3548" s="42"/>
      <c r="T3548" s="42"/>
      <c r="U3548" s="42"/>
      <c r="V3548" s="42"/>
      <c r="W3548" s="42"/>
      <c r="X3548" s="42"/>
      <c r="Y3548" s="42"/>
      <c r="Z3548" s="42"/>
      <c r="AA3548" s="42"/>
      <c r="AB3548" s="229">
        <f t="shared" si="1507"/>
        <v>0</v>
      </c>
      <c r="AC3548" s="228">
        <f t="shared" si="1501"/>
        <v>0</v>
      </c>
      <c r="AD3548" s="19">
        <v>0</v>
      </c>
      <c r="AE3548" s="43"/>
      <c r="AF3548" s="43"/>
      <c r="AG3548" s="43"/>
      <c r="AH3548" s="43"/>
      <c r="AI3548" s="43"/>
      <c r="AJ3548" s="43"/>
      <c r="AK3548" s="43"/>
      <c r="AL3548" s="43"/>
      <c r="AM3548" s="43"/>
      <c r="AN3548" s="43"/>
      <c r="AO3548" s="43"/>
      <c r="AP3548" s="43"/>
      <c r="AQ3548" s="43"/>
      <c r="AR3548" s="43"/>
      <c r="AS3548" s="43"/>
      <c r="AT3548" s="43"/>
      <c r="AU3548" s="43"/>
      <c r="AV3548" s="43"/>
      <c r="AW3548" s="43"/>
      <c r="AX3548" s="43"/>
      <c r="AY3548" s="43"/>
      <c r="AZ3548" s="43"/>
      <c r="BA3548" s="43"/>
      <c r="BB3548" s="43"/>
      <c r="BC3548" s="229">
        <f t="shared" si="1508"/>
        <v>0</v>
      </c>
      <c r="BD3548" s="48">
        <f t="shared" si="1503"/>
        <v>0</v>
      </c>
      <c r="BE3548" s="19">
        <v>13</v>
      </c>
      <c r="BF3548" s="229">
        <f t="shared" si="1509"/>
        <v>0</v>
      </c>
      <c r="BG3548" s="210">
        <f t="shared" si="1505"/>
        <v>0</v>
      </c>
      <c r="BH3548" s="210">
        <f t="shared" si="1486"/>
        <v>13</v>
      </c>
      <c r="BI3548" s="213">
        <f t="shared" si="1510"/>
        <v>0</v>
      </c>
      <c r="BJ3548" s="141"/>
      <c r="BK3548" s="201"/>
      <c r="BL3548" s="4"/>
      <c r="BM3548" s="4"/>
    </row>
    <row r="3549" spans="1:65" s="38" customFormat="1" ht="15.95" customHeight="1">
      <c r="A3549" s="148">
        <v>10</v>
      </c>
      <c r="B3549" s="118" t="s">
        <v>1249</v>
      </c>
      <c r="C3549" s="120" t="s">
        <v>1668</v>
      </c>
      <c r="D3549" s="42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O3549" s="42"/>
      <c r="P3549" s="42"/>
      <c r="Q3549" s="42"/>
      <c r="R3549" s="42"/>
      <c r="S3549" s="42"/>
      <c r="T3549" s="42"/>
      <c r="U3549" s="42"/>
      <c r="V3549" s="42"/>
      <c r="W3549" s="42"/>
      <c r="X3549" s="42"/>
      <c r="Y3549" s="42"/>
      <c r="Z3549" s="42"/>
      <c r="AA3549" s="42"/>
      <c r="AB3549" s="229">
        <f t="shared" si="1507"/>
        <v>0</v>
      </c>
      <c r="AC3549" s="228">
        <f t="shared" si="1501"/>
        <v>0</v>
      </c>
      <c r="AD3549" s="19">
        <v>0</v>
      </c>
      <c r="AE3549" s="43"/>
      <c r="AF3549" s="43"/>
      <c r="AG3549" s="43"/>
      <c r="AH3549" s="43"/>
      <c r="AI3549" s="43"/>
      <c r="AJ3549" s="43"/>
      <c r="AK3549" s="43"/>
      <c r="AL3549" s="43"/>
      <c r="AM3549" s="43"/>
      <c r="AN3549" s="43"/>
      <c r="AO3549" s="43"/>
      <c r="AP3549" s="43"/>
      <c r="AQ3549" s="43"/>
      <c r="AR3549" s="43"/>
      <c r="AS3549" s="43"/>
      <c r="AT3549" s="43"/>
      <c r="AU3549" s="43"/>
      <c r="AV3549" s="43"/>
      <c r="AW3549" s="43"/>
      <c r="AX3549" s="43"/>
      <c r="AY3549" s="43"/>
      <c r="AZ3549" s="43"/>
      <c r="BA3549" s="43"/>
      <c r="BB3549" s="43"/>
      <c r="BC3549" s="229">
        <f t="shared" si="1508"/>
        <v>0</v>
      </c>
      <c r="BD3549" s="48">
        <f t="shared" si="1503"/>
        <v>0</v>
      </c>
      <c r="BE3549" s="19">
        <v>2</v>
      </c>
      <c r="BF3549" s="229">
        <f t="shared" si="1509"/>
        <v>0</v>
      </c>
      <c r="BG3549" s="210">
        <f t="shared" si="1505"/>
        <v>0</v>
      </c>
      <c r="BH3549" s="210">
        <f t="shared" si="1486"/>
        <v>2</v>
      </c>
      <c r="BI3549" s="213">
        <f t="shared" si="1510"/>
        <v>0</v>
      </c>
      <c r="BJ3549" s="141"/>
      <c r="BK3549" s="201"/>
      <c r="BL3549" s="4"/>
      <c r="BM3549" s="4"/>
    </row>
    <row r="3550" spans="1:65" s="38" customFormat="1" ht="15.95" customHeight="1">
      <c r="A3550" s="148">
        <v>11</v>
      </c>
      <c r="B3550" s="118" t="s">
        <v>1262</v>
      </c>
      <c r="C3550" s="120" t="s">
        <v>1263</v>
      </c>
      <c r="D3550" s="42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O3550" s="42"/>
      <c r="P3550" s="42"/>
      <c r="Q3550" s="42"/>
      <c r="R3550" s="42"/>
      <c r="S3550" s="42"/>
      <c r="T3550" s="42"/>
      <c r="U3550" s="42"/>
      <c r="V3550" s="42"/>
      <c r="W3550" s="42"/>
      <c r="X3550" s="42"/>
      <c r="Y3550" s="42"/>
      <c r="Z3550" s="42"/>
      <c r="AA3550" s="42"/>
      <c r="AB3550" s="229">
        <f t="shared" si="1507"/>
        <v>0</v>
      </c>
      <c r="AC3550" s="228">
        <f t="shared" si="1501"/>
        <v>0</v>
      </c>
      <c r="AD3550" s="19">
        <v>0</v>
      </c>
      <c r="AE3550" s="43"/>
      <c r="AF3550" s="43"/>
      <c r="AG3550" s="43"/>
      <c r="AH3550" s="43"/>
      <c r="AI3550" s="43"/>
      <c r="AJ3550" s="43"/>
      <c r="AK3550" s="43"/>
      <c r="AL3550" s="43"/>
      <c r="AM3550" s="43"/>
      <c r="AN3550" s="43"/>
      <c r="AO3550" s="43"/>
      <c r="AP3550" s="43"/>
      <c r="AQ3550" s="43"/>
      <c r="AR3550" s="43"/>
      <c r="AS3550" s="43"/>
      <c r="AT3550" s="43"/>
      <c r="AU3550" s="43"/>
      <c r="AV3550" s="43"/>
      <c r="AW3550" s="43"/>
      <c r="AX3550" s="43"/>
      <c r="AY3550" s="43"/>
      <c r="AZ3550" s="43"/>
      <c r="BA3550" s="43"/>
      <c r="BB3550" s="43"/>
      <c r="BC3550" s="229">
        <f t="shared" si="1508"/>
        <v>0</v>
      </c>
      <c r="BD3550" s="48">
        <f t="shared" si="1503"/>
        <v>0</v>
      </c>
      <c r="BE3550" s="19">
        <v>5</v>
      </c>
      <c r="BF3550" s="229">
        <f t="shared" si="1509"/>
        <v>0</v>
      </c>
      <c r="BG3550" s="210">
        <f t="shared" si="1505"/>
        <v>0</v>
      </c>
      <c r="BH3550" s="210">
        <f t="shared" si="1486"/>
        <v>5</v>
      </c>
      <c r="BI3550" s="213">
        <f t="shared" si="1510"/>
        <v>0</v>
      </c>
      <c r="BJ3550" s="155"/>
      <c r="BK3550" s="136"/>
      <c r="BL3550" s="4"/>
      <c r="BM3550" s="4"/>
    </row>
    <row r="3551" spans="1:65" s="38" customFormat="1" ht="21.95" customHeight="1">
      <c r="A3551" s="125"/>
      <c r="B3551" s="359" t="s">
        <v>2789</v>
      </c>
      <c r="C3551" s="359"/>
      <c r="D3551" s="39">
        <f t="shared" ref="D3551:AA3551" si="1511">SUM(D3552:D3568)</f>
        <v>0</v>
      </c>
      <c r="E3551" s="39">
        <f t="shared" si="1511"/>
        <v>0</v>
      </c>
      <c r="F3551" s="39">
        <f t="shared" si="1511"/>
        <v>0</v>
      </c>
      <c r="G3551" s="39">
        <f t="shared" si="1511"/>
        <v>0</v>
      </c>
      <c r="H3551" s="39">
        <f t="shared" si="1511"/>
        <v>0</v>
      </c>
      <c r="I3551" s="39">
        <f t="shared" si="1511"/>
        <v>0</v>
      </c>
      <c r="J3551" s="39">
        <f t="shared" si="1511"/>
        <v>0</v>
      </c>
      <c r="K3551" s="39">
        <f t="shared" si="1511"/>
        <v>0</v>
      </c>
      <c r="L3551" s="39">
        <f t="shared" si="1511"/>
        <v>0</v>
      </c>
      <c r="M3551" s="39">
        <f t="shared" si="1511"/>
        <v>0</v>
      </c>
      <c r="N3551" s="39">
        <f t="shared" si="1511"/>
        <v>0</v>
      </c>
      <c r="O3551" s="39">
        <f t="shared" si="1511"/>
        <v>0</v>
      </c>
      <c r="P3551" s="39">
        <f t="shared" si="1511"/>
        <v>0</v>
      </c>
      <c r="Q3551" s="39">
        <f t="shared" si="1511"/>
        <v>0</v>
      </c>
      <c r="R3551" s="39">
        <f t="shared" si="1511"/>
        <v>0</v>
      </c>
      <c r="S3551" s="39">
        <f t="shared" si="1511"/>
        <v>0</v>
      </c>
      <c r="T3551" s="39">
        <f t="shared" si="1511"/>
        <v>0</v>
      </c>
      <c r="U3551" s="39">
        <f t="shared" si="1511"/>
        <v>0</v>
      </c>
      <c r="V3551" s="39">
        <f t="shared" si="1511"/>
        <v>0</v>
      </c>
      <c r="W3551" s="39">
        <f t="shared" si="1511"/>
        <v>0</v>
      </c>
      <c r="X3551" s="39">
        <f t="shared" si="1511"/>
        <v>0</v>
      </c>
      <c r="Y3551" s="39">
        <f t="shared" si="1511"/>
        <v>0</v>
      </c>
      <c r="Z3551" s="39">
        <f t="shared" si="1511"/>
        <v>0</v>
      </c>
      <c r="AA3551" s="39">
        <f t="shared" si="1511"/>
        <v>0</v>
      </c>
      <c r="AB3551" s="39">
        <f t="shared" si="1500"/>
        <v>0</v>
      </c>
      <c r="AC3551" s="39">
        <f t="shared" si="1501"/>
        <v>0</v>
      </c>
      <c r="AD3551" s="39">
        <f t="shared" ref="AD3551:BB3551" si="1512">SUM(AD3552:AD3568)</f>
        <v>172</v>
      </c>
      <c r="AE3551" s="39">
        <f t="shared" si="1512"/>
        <v>0</v>
      </c>
      <c r="AF3551" s="39">
        <f t="shared" si="1512"/>
        <v>0</v>
      </c>
      <c r="AG3551" s="39">
        <f t="shared" si="1512"/>
        <v>0</v>
      </c>
      <c r="AH3551" s="39">
        <f t="shared" si="1512"/>
        <v>0</v>
      </c>
      <c r="AI3551" s="39">
        <f t="shared" si="1512"/>
        <v>0</v>
      </c>
      <c r="AJ3551" s="39">
        <f t="shared" si="1512"/>
        <v>0</v>
      </c>
      <c r="AK3551" s="39">
        <f t="shared" si="1512"/>
        <v>0</v>
      </c>
      <c r="AL3551" s="39">
        <f t="shared" si="1512"/>
        <v>0</v>
      </c>
      <c r="AM3551" s="39">
        <f t="shared" si="1512"/>
        <v>0</v>
      </c>
      <c r="AN3551" s="39">
        <f t="shared" si="1512"/>
        <v>0</v>
      </c>
      <c r="AO3551" s="39">
        <f t="shared" si="1512"/>
        <v>0</v>
      </c>
      <c r="AP3551" s="39">
        <f t="shared" si="1512"/>
        <v>0</v>
      </c>
      <c r="AQ3551" s="39">
        <f t="shared" si="1512"/>
        <v>0</v>
      </c>
      <c r="AR3551" s="39">
        <f t="shared" si="1512"/>
        <v>0</v>
      </c>
      <c r="AS3551" s="39">
        <f t="shared" si="1512"/>
        <v>0</v>
      </c>
      <c r="AT3551" s="39">
        <f t="shared" si="1512"/>
        <v>0</v>
      </c>
      <c r="AU3551" s="39">
        <f t="shared" si="1512"/>
        <v>0</v>
      </c>
      <c r="AV3551" s="39">
        <f t="shared" si="1512"/>
        <v>0</v>
      </c>
      <c r="AW3551" s="39">
        <f t="shared" si="1512"/>
        <v>0</v>
      </c>
      <c r="AX3551" s="39">
        <f t="shared" si="1512"/>
        <v>0</v>
      </c>
      <c r="AY3551" s="39">
        <f t="shared" si="1512"/>
        <v>0</v>
      </c>
      <c r="AZ3551" s="39">
        <f t="shared" si="1512"/>
        <v>0</v>
      </c>
      <c r="BA3551" s="39">
        <f t="shared" si="1512"/>
        <v>0</v>
      </c>
      <c r="BB3551" s="39">
        <f t="shared" si="1512"/>
        <v>0</v>
      </c>
      <c r="BC3551" s="39">
        <f t="shared" si="1502"/>
        <v>0</v>
      </c>
      <c r="BD3551" s="101">
        <f t="shared" si="1503"/>
        <v>0</v>
      </c>
      <c r="BE3551" s="39">
        <f>SUM(BE3552:BE3568)</f>
        <v>674</v>
      </c>
      <c r="BF3551" s="39">
        <f t="shared" si="1504"/>
        <v>0</v>
      </c>
      <c r="BG3551" s="101">
        <f t="shared" si="1505"/>
        <v>0</v>
      </c>
      <c r="BH3551" s="101">
        <f t="shared" si="1486"/>
        <v>846</v>
      </c>
      <c r="BI3551" s="280">
        <f t="shared" si="1506"/>
        <v>0</v>
      </c>
      <c r="BJ3551" s="142">
        <v>846</v>
      </c>
      <c r="BK3551" s="203">
        <f>BH3551-BJ3551</f>
        <v>0</v>
      </c>
      <c r="BL3551" s="4"/>
      <c r="BM3551" s="4"/>
    </row>
    <row r="3552" spans="1:65" s="38" customFormat="1" ht="15.95" customHeight="1">
      <c r="A3552" s="148">
        <v>1</v>
      </c>
      <c r="B3552" s="118" t="s">
        <v>1256</v>
      </c>
      <c r="C3552" s="120" t="s">
        <v>1257</v>
      </c>
      <c r="D3552" s="42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O3552" s="42"/>
      <c r="P3552" s="42"/>
      <c r="Q3552" s="42"/>
      <c r="R3552" s="42"/>
      <c r="S3552" s="42"/>
      <c r="T3552" s="42"/>
      <c r="U3552" s="42"/>
      <c r="V3552" s="42"/>
      <c r="W3552" s="42"/>
      <c r="X3552" s="42"/>
      <c r="Y3552" s="42"/>
      <c r="Z3552" s="42"/>
      <c r="AA3552" s="42"/>
      <c r="AB3552" s="229">
        <f t="shared" ref="AB3552:AB3568" si="1513">D3552+F3552+H3552+J3552+L3552+N3552+P3552+R3552+T3552+V3552+X3552+Z3552</f>
        <v>0</v>
      </c>
      <c r="AC3552" s="228">
        <f t="shared" si="1501"/>
        <v>0</v>
      </c>
      <c r="AD3552" s="19">
        <v>3</v>
      </c>
      <c r="AE3552" s="43"/>
      <c r="AF3552" s="43"/>
      <c r="AG3552" s="43"/>
      <c r="AH3552" s="43"/>
      <c r="AI3552" s="43"/>
      <c r="AJ3552" s="43"/>
      <c r="AK3552" s="43"/>
      <c r="AL3552" s="43"/>
      <c r="AM3552" s="43"/>
      <c r="AN3552" s="43"/>
      <c r="AO3552" s="43"/>
      <c r="AP3552" s="43"/>
      <c r="AQ3552" s="43"/>
      <c r="AR3552" s="43"/>
      <c r="AS3552" s="43"/>
      <c r="AT3552" s="43"/>
      <c r="AU3552" s="43"/>
      <c r="AV3552" s="43"/>
      <c r="AW3552" s="43"/>
      <c r="AX3552" s="43"/>
      <c r="AY3552" s="43"/>
      <c r="AZ3552" s="43"/>
      <c r="BA3552" s="43"/>
      <c r="BB3552" s="43"/>
      <c r="BC3552" s="229">
        <f t="shared" ref="BC3552:BC3568" si="1514">AE3552+AG3552+AI3552+AK3552+AM3552+AO3552+AQ3552+AS3552+AU3552+AW3552+AY3552+BA3552</f>
        <v>0</v>
      </c>
      <c r="BD3552" s="48">
        <f t="shared" si="1503"/>
        <v>0</v>
      </c>
      <c r="BE3552" s="19">
        <v>0</v>
      </c>
      <c r="BF3552" s="229">
        <f t="shared" ref="BF3552:BF3568" si="1515">AB3552+BC3552</f>
        <v>0</v>
      </c>
      <c r="BG3552" s="210">
        <f t="shared" si="1505"/>
        <v>0</v>
      </c>
      <c r="BH3552" s="210">
        <f t="shared" ref="BH3552:BH3568" si="1516">AD3552+BE3552</f>
        <v>3</v>
      </c>
      <c r="BI3552" s="213">
        <f t="shared" ref="BI3552:BI3568" si="1517">BG3552/BH3552*100</f>
        <v>0</v>
      </c>
      <c r="BJ3552" s="270" t="s">
        <v>2857</v>
      </c>
      <c r="BK3552" s="201"/>
      <c r="BL3552" s="4"/>
      <c r="BM3552" s="4"/>
    </row>
    <row r="3553" spans="1:65" s="38" customFormat="1" ht="15.95" customHeight="1">
      <c r="A3553" s="148">
        <v>2</v>
      </c>
      <c r="B3553" s="118" t="s">
        <v>1224</v>
      </c>
      <c r="C3553" s="120" t="s">
        <v>1225</v>
      </c>
      <c r="D3553" s="42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O3553" s="42"/>
      <c r="P3553" s="42"/>
      <c r="Q3553" s="42"/>
      <c r="R3553" s="42"/>
      <c r="S3553" s="42"/>
      <c r="T3553" s="42"/>
      <c r="U3553" s="42"/>
      <c r="V3553" s="42"/>
      <c r="W3553" s="42"/>
      <c r="X3553" s="42"/>
      <c r="Y3553" s="42"/>
      <c r="Z3553" s="42"/>
      <c r="AA3553" s="42"/>
      <c r="AB3553" s="229">
        <f t="shared" si="1513"/>
        <v>0</v>
      </c>
      <c r="AC3553" s="228">
        <f t="shared" si="1501"/>
        <v>0</v>
      </c>
      <c r="AD3553" s="19">
        <v>20</v>
      </c>
      <c r="AE3553" s="43"/>
      <c r="AF3553" s="43"/>
      <c r="AG3553" s="43"/>
      <c r="AH3553" s="43"/>
      <c r="AI3553" s="43"/>
      <c r="AJ3553" s="43"/>
      <c r="AK3553" s="43"/>
      <c r="AL3553" s="43"/>
      <c r="AM3553" s="43"/>
      <c r="AN3553" s="43"/>
      <c r="AO3553" s="43"/>
      <c r="AP3553" s="43"/>
      <c r="AQ3553" s="43"/>
      <c r="AR3553" s="43"/>
      <c r="AS3553" s="43"/>
      <c r="AT3553" s="43"/>
      <c r="AU3553" s="43"/>
      <c r="AV3553" s="43"/>
      <c r="AW3553" s="43"/>
      <c r="AX3553" s="43"/>
      <c r="AY3553" s="43"/>
      <c r="AZ3553" s="43"/>
      <c r="BA3553" s="43"/>
      <c r="BB3553" s="43"/>
      <c r="BC3553" s="229">
        <f t="shared" si="1514"/>
        <v>0</v>
      </c>
      <c r="BD3553" s="48">
        <f t="shared" si="1503"/>
        <v>0</v>
      </c>
      <c r="BE3553" s="19">
        <v>0</v>
      </c>
      <c r="BF3553" s="229">
        <f t="shared" si="1515"/>
        <v>0</v>
      </c>
      <c r="BG3553" s="210">
        <f t="shared" si="1505"/>
        <v>0</v>
      </c>
      <c r="BH3553" s="210">
        <f t="shared" si="1516"/>
        <v>20</v>
      </c>
      <c r="BI3553" s="213">
        <f t="shared" si="1517"/>
        <v>0</v>
      </c>
      <c r="BJ3553" s="270" t="s">
        <v>2857</v>
      </c>
      <c r="BK3553" s="201"/>
      <c r="BL3553" s="4"/>
      <c r="BM3553" s="4"/>
    </row>
    <row r="3554" spans="1:65" s="38" customFormat="1" ht="15.95" customHeight="1">
      <c r="A3554" s="148">
        <v>3</v>
      </c>
      <c r="B3554" s="118" t="s">
        <v>1272</v>
      </c>
      <c r="C3554" s="120" t="s">
        <v>1502</v>
      </c>
      <c r="D3554" s="42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O3554" s="42"/>
      <c r="P3554" s="42"/>
      <c r="Q3554" s="42"/>
      <c r="R3554" s="42"/>
      <c r="S3554" s="42"/>
      <c r="T3554" s="42"/>
      <c r="U3554" s="42"/>
      <c r="V3554" s="42"/>
      <c r="W3554" s="42"/>
      <c r="X3554" s="42"/>
      <c r="Y3554" s="42"/>
      <c r="Z3554" s="42"/>
      <c r="AA3554" s="42"/>
      <c r="AB3554" s="229">
        <f t="shared" si="1513"/>
        <v>0</v>
      </c>
      <c r="AC3554" s="228">
        <f t="shared" si="1501"/>
        <v>0</v>
      </c>
      <c r="AD3554" s="19">
        <v>3</v>
      </c>
      <c r="AE3554" s="43"/>
      <c r="AF3554" s="43"/>
      <c r="AG3554" s="43"/>
      <c r="AH3554" s="43"/>
      <c r="AI3554" s="43"/>
      <c r="AJ3554" s="43"/>
      <c r="AK3554" s="43"/>
      <c r="AL3554" s="43"/>
      <c r="AM3554" s="43"/>
      <c r="AN3554" s="43"/>
      <c r="AO3554" s="43"/>
      <c r="AP3554" s="43"/>
      <c r="AQ3554" s="43"/>
      <c r="AR3554" s="43"/>
      <c r="AS3554" s="43"/>
      <c r="AT3554" s="43"/>
      <c r="AU3554" s="43"/>
      <c r="AV3554" s="43"/>
      <c r="AW3554" s="43"/>
      <c r="AX3554" s="43"/>
      <c r="AY3554" s="43"/>
      <c r="AZ3554" s="43"/>
      <c r="BA3554" s="43"/>
      <c r="BB3554" s="43"/>
      <c r="BC3554" s="229">
        <f t="shared" si="1514"/>
        <v>0</v>
      </c>
      <c r="BD3554" s="48">
        <f t="shared" si="1503"/>
        <v>0</v>
      </c>
      <c r="BE3554" s="19">
        <v>0</v>
      </c>
      <c r="BF3554" s="229">
        <f t="shared" si="1515"/>
        <v>0</v>
      </c>
      <c r="BG3554" s="210">
        <f t="shared" si="1505"/>
        <v>0</v>
      </c>
      <c r="BH3554" s="210">
        <f t="shared" si="1516"/>
        <v>3</v>
      </c>
      <c r="BI3554" s="213">
        <f t="shared" si="1517"/>
        <v>0</v>
      </c>
      <c r="BJ3554" s="270" t="s">
        <v>2857</v>
      </c>
      <c r="BK3554" s="201"/>
      <c r="BL3554" s="4"/>
      <c r="BM3554" s="4"/>
    </row>
    <row r="3555" spans="1:65" s="38" customFormat="1" ht="15.95" customHeight="1">
      <c r="A3555" s="148">
        <v>4</v>
      </c>
      <c r="B3555" s="118" t="s">
        <v>1228</v>
      </c>
      <c r="C3555" s="120" t="s">
        <v>1229</v>
      </c>
      <c r="D3555" s="42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O3555" s="42"/>
      <c r="P3555" s="42"/>
      <c r="Q3555" s="42"/>
      <c r="R3555" s="42"/>
      <c r="S3555" s="42"/>
      <c r="T3555" s="42"/>
      <c r="U3555" s="42"/>
      <c r="V3555" s="42"/>
      <c r="W3555" s="42"/>
      <c r="X3555" s="42"/>
      <c r="Y3555" s="42"/>
      <c r="Z3555" s="42"/>
      <c r="AA3555" s="42"/>
      <c r="AB3555" s="229">
        <f t="shared" si="1513"/>
        <v>0</v>
      </c>
      <c r="AC3555" s="228">
        <f t="shared" si="1501"/>
        <v>0</v>
      </c>
      <c r="AD3555" s="19">
        <v>48</v>
      </c>
      <c r="AE3555" s="43"/>
      <c r="AF3555" s="43"/>
      <c r="AG3555" s="43"/>
      <c r="AH3555" s="43"/>
      <c r="AI3555" s="43"/>
      <c r="AJ3555" s="43"/>
      <c r="AK3555" s="43"/>
      <c r="AL3555" s="43"/>
      <c r="AM3555" s="43"/>
      <c r="AN3555" s="43"/>
      <c r="AO3555" s="43"/>
      <c r="AP3555" s="43"/>
      <c r="AQ3555" s="43"/>
      <c r="AR3555" s="43"/>
      <c r="AS3555" s="43"/>
      <c r="AT3555" s="43"/>
      <c r="AU3555" s="43"/>
      <c r="AV3555" s="43"/>
      <c r="AW3555" s="43"/>
      <c r="AX3555" s="43"/>
      <c r="AY3555" s="43"/>
      <c r="AZ3555" s="43"/>
      <c r="BA3555" s="43"/>
      <c r="BB3555" s="43"/>
      <c r="BC3555" s="229">
        <f t="shared" si="1514"/>
        <v>0</v>
      </c>
      <c r="BD3555" s="48">
        <f t="shared" si="1503"/>
        <v>0</v>
      </c>
      <c r="BE3555" s="19">
        <v>0</v>
      </c>
      <c r="BF3555" s="229">
        <f t="shared" si="1515"/>
        <v>0</v>
      </c>
      <c r="BG3555" s="210">
        <f t="shared" si="1505"/>
        <v>0</v>
      </c>
      <c r="BH3555" s="210">
        <f t="shared" si="1516"/>
        <v>48</v>
      </c>
      <c r="BI3555" s="213">
        <f t="shared" si="1517"/>
        <v>0</v>
      </c>
      <c r="BJ3555" s="270" t="s">
        <v>2857</v>
      </c>
      <c r="BK3555" s="201"/>
      <c r="BL3555" s="4"/>
      <c r="BM3555" s="4"/>
    </row>
    <row r="3556" spans="1:65" s="38" customFormat="1" ht="15.95" customHeight="1">
      <c r="A3556" s="148">
        <v>5</v>
      </c>
      <c r="B3556" s="118" t="s">
        <v>1230</v>
      </c>
      <c r="C3556" s="120" t="s">
        <v>1231</v>
      </c>
      <c r="D3556" s="42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O3556" s="42"/>
      <c r="P3556" s="42"/>
      <c r="Q3556" s="42"/>
      <c r="R3556" s="42"/>
      <c r="S3556" s="42"/>
      <c r="T3556" s="42"/>
      <c r="U3556" s="42"/>
      <c r="V3556" s="42"/>
      <c r="W3556" s="42"/>
      <c r="X3556" s="42"/>
      <c r="Y3556" s="42"/>
      <c r="Z3556" s="42"/>
      <c r="AA3556" s="42"/>
      <c r="AB3556" s="229">
        <f t="shared" si="1513"/>
        <v>0</v>
      </c>
      <c r="AC3556" s="228">
        <f t="shared" si="1501"/>
        <v>0</v>
      </c>
      <c r="AD3556" s="19">
        <v>20</v>
      </c>
      <c r="AE3556" s="43"/>
      <c r="AF3556" s="43"/>
      <c r="AG3556" s="43"/>
      <c r="AH3556" s="43"/>
      <c r="AI3556" s="43"/>
      <c r="AJ3556" s="43"/>
      <c r="AK3556" s="43"/>
      <c r="AL3556" s="43"/>
      <c r="AM3556" s="43"/>
      <c r="AN3556" s="43"/>
      <c r="AO3556" s="43"/>
      <c r="AP3556" s="43"/>
      <c r="AQ3556" s="43"/>
      <c r="AR3556" s="43"/>
      <c r="AS3556" s="43"/>
      <c r="AT3556" s="43"/>
      <c r="AU3556" s="43"/>
      <c r="AV3556" s="43"/>
      <c r="AW3556" s="43"/>
      <c r="AX3556" s="43"/>
      <c r="AY3556" s="43"/>
      <c r="AZ3556" s="43"/>
      <c r="BA3556" s="43"/>
      <c r="BB3556" s="43"/>
      <c r="BC3556" s="229">
        <f t="shared" si="1514"/>
        <v>0</v>
      </c>
      <c r="BD3556" s="48">
        <f t="shared" si="1503"/>
        <v>0</v>
      </c>
      <c r="BE3556" s="19">
        <v>0</v>
      </c>
      <c r="BF3556" s="229">
        <f t="shared" si="1515"/>
        <v>0</v>
      </c>
      <c r="BG3556" s="210">
        <f t="shared" si="1505"/>
        <v>0</v>
      </c>
      <c r="BH3556" s="210">
        <f t="shared" si="1516"/>
        <v>20</v>
      </c>
      <c r="BI3556" s="213">
        <f t="shared" si="1517"/>
        <v>0</v>
      </c>
      <c r="BJ3556" s="270" t="s">
        <v>2857</v>
      </c>
      <c r="BK3556" s="201"/>
      <c r="BL3556" s="4"/>
      <c r="BM3556" s="4"/>
    </row>
    <row r="3557" spans="1:65" s="38" customFormat="1" ht="15.95" customHeight="1">
      <c r="A3557" s="148">
        <v>6</v>
      </c>
      <c r="B3557" s="118" t="s">
        <v>1264</v>
      </c>
      <c r="C3557" s="120" t="s">
        <v>1265</v>
      </c>
      <c r="D3557" s="42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O3557" s="42"/>
      <c r="P3557" s="42"/>
      <c r="Q3557" s="42"/>
      <c r="R3557" s="42"/>
      <c r="S3557" s="42"/>
      <c r="T3557" s="42"/>
      <c r="U3557" s="42"/>
      <c r="V3557" s="42"/>
      <c r="W3557" s="42"/>
      <c r="X3557" s="42"/>
      <c r="Y3557" s="42"/>
      <c r="Z3557" s="42"/>
      <c r="AA3557" s="42"/>
      <c r="AB3557" s="229">
        <f t="shared" si="1513"/>
        <v>0</v>
      </c>
      <c r="AC3557" s="228">
        <f t="shared" si="1501"/>
        <v>0</v>
      </c>
      <c r="AD3557" s="19">
        <v>10</v>
      </c>
      <c r="AE3557" s="43"/>
      <c r="AF3557" s="43"/>
      <c r="AG3557" s="43"/>
      <c r="AH3557" s="43"/>
      <c r="AI3557" s="43"/>
      <c r="AJ3557" s="43"/>
      <c r="AK3557" s="43"/>
      <c r="AL3557" s="43"/>
      <c r="AM3557" s="43"/>
      <c r="AN3557" s="43"/>
      <c r="AO3557" s="43"/>
      <c r="AP3557" s="43"/>
      <c r="AQ3557" s="43"/>
      <c r="AR3557" s="43"/>
      <c r="AS3557" s="43"/>
      <c r="AT3557" s="43"/>
      <c r="AU3557" s="43"/>
      <c r="AV3557" s="43"/>
      <c r="AW3557" s="43"/>
      <c r="AX3557" s="43"/>
      <c r="AY3557" s="43"/>
      <c r="AZ3557" s="43"/>
      <c r="BA3557" s="43"/>
      <c r="BB3557" s="43"/>
      <c r="BC3557" s="229">
        <f t="shared" si="1514"/>
        <v>0</v>
      </c>
      <c r="BD3557" s="48">
        <f t="shared" si="1503"/>
        <v>0</v>
      </c>
      <c r="BE3557" s="19">
        <v>0</v>
      </c>
      <c r="BF3557" s="229">
        <f t="shared" si="1515"/>
        <v>0</v>
      </c>
      <c r="BG3557" s="210">
        <f t="shared" si="1505"/>
        <v>0</v>
      </c>
      <c r="BH3557" s="210">
        <f t="shared" si="1516"/>
        <v>10</v>
      </c>
      <c r="BI3557" s="213">
        <f t="shared" si="1517"/>
        <v>0</v>
      </c>
      <c r="BJ3557" s="270" t="s">
        <v>2857</v>
      </c>
      <c r="BK3557" s="201"/>
      <c r="BL3557" s="4"/>
      <c r="BM3557" s="4"/>
    </row>
    <row r="3558" spans="1:65" s="38" customFormat="1" ht="15.95" customHeight="1">
      <c r="A3558" s="148">
        <v>7</v>
      </c>
      <c r="B3558" s="118" t="s">
        <v>1232</v>
      </c>
      <c r="C3558" s="120" t="s">
        <v>1233</v>
      </c>
      <c r="D3558" s="42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O3558" s="42"/>
      <c r="P3558" s="42"/>
      <c r="Q3558" s="42"/>
      <c r="R3558" s="42"/>
      <c r="S3558" s="42"/>
      <c r="T3558" s="42"/>
      <c r="U3558" s="42"/>
      <c r="V3558" s="42"/>
      <c r="W3558" s="42"/>
      <c r="X3558" s="42"/>
      <c r="Y3558" s="42"/>
      <c r="Z3558" s="42"/>
      <c r="AA3558" s="42"/>
      <c r="AB3558" s="229">
        <f t="shared" si="1513"/>
        <v>0</v>
      </c>
      <c r="AC3558" s="228">
        <f t="shared" si="1501"/>
        <v>0</v>
      </c>
      <c r="AD3558" s="19">
        <v>15</v>
      </c>
      <c r="AE3558" s="43"/>
      <c r="AF3558" s="43"/>
      <c r="AG3558" s="43"/>
      <c r="AH3558" s="43"/>
      <c r="AI3558" s="43"/>
      <c r="AJ3558" s="43"/>
      <c r="AK3558" s="43"/>
      <c r="AL3558" s="43"/>
      <c r="AM3558" s="43"/>
      <c r="AN3558" s="43"/>
      <c r="AO3558" s="43"/>
      <c r="AP3558" s="43"/>
      <c r="AQ3558" s="43"/>
      <c r="AR3558" s="43"/>
      <c r="AS3558" s="43"/>
      <c r="AT3558" s="43"/>
      <c r="AU3558" s="43"/>
      <c r="AV3558" s="43"/>
      <c r="AW3558" s="43"/>
      <c r="AX3558" s="43"/>
      <c r="AY3558" s="43"/>
      <c r="AZ3558" s="43"/>
      <c r="BA3558" s="43"/>
      <c r="BB3558" s="43"/>
      <c r="BC3558" s="229">
        <f t="shared" si="1514"/>
        <v>0</v>
      </c>
      <c r="BD3558" s="48">
        <f t="shared" si="1503"/>
        <v>0</v>
      </c>
      <c r="BE3558" s="19">
        <v>0</v>
      </c>
      <c r="BF3558" s="229">
        <f t="shared" si="1515"/>
        <v>0</v>
      </c>
      <c r="BG3558" s="210">
        <f t="shared" si="1505"/>
        <v>0</v>
      </c>
      <c r="BH3558" s="210">
        <f t="shared" si="1516"/>
        <v>15</v>
      </c>
      <c r="BI3558" s="213">
        <f t="shared" si="1517"/>
        <v>0</v>
      </c>
      <c r="BJ3558" s="270" t="s">
        <v>2857</v>
      </c>
      <c r="BK3558" s="201"/>
      <c r="BL3558" s="4"/>
      <c r="BM3558" s="4"/>
    </row>
    <row r="3559" spans="1:65" s="38" customFormat="1" ht="15.95" customHeight="1">
      <c r="A3559" s="148">
        <v>8</v>
      </c>
      <c r="B3559" s="118" t="s">
        <v>1234</v>
      </c>
      <c r="C3559" s="120" t="s">
        <v>1235</v>
      </c>
      <c r="D3559" s="42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O3559" s="42"/>
      <c r="P3559" s="42"/>
      <c r="Q3559" s="42"/>
      <c r="R3559" s="42"/>
      <c r="S3559" s="42"/>
      <c r="T3559" s="42"/>
      <c r="U3559" s="42"/>
      <c r="V3559" s="42"/>
      <c r="W3559" s="42"/>
      <c r="X3559" s="42"/>
      <c r="Y3559" s="42"/>
      <c r="Z3559" s="42"/>
      <c r="AA3559" s="42"/>
      <c r="AB3559" s="229">
        <f t="shared" si="1513"/>
        <v>0</v>
      </c>
      <c r="AC3559" s="228">
        <f t="shared" si="1501"/>
        <v>0</v>
      </c>
      <c r="AD3559" s="19">
        <v>27</v>
      </c>
      <c r="AE3559" s="43"/>
      <c r="AF3559" s="43"/>
      <c r="AG3559" s="43"/>
      <c r="AH3559" s="43"/>
      <c r="AI3559" s="43"/>
      <c r="AJ3559" s="43"/>
      <c r="AK3559" s="43"/>
      <c r="AL3559" s="43"/>
      <c r="AM3559" s="43"/>
      <c r="AN3559" s="43"/>
      <c r="AO3559" s="43"/>
      <c r="AP3559" s="43"/>
      <c r="AQ3559" s="43"/>
      <c r="AR3559" s="43"/>
      <c r="AS3559" s="43"/>
      <c r="AT3559" s="43"/>
      <c r="AU3559" s="43"/>
      <c r="AV3559" s="43"/>
      <c r="AW3559" s="43"/>
      <c r="AX3559" s="43"/>
      <c r="AY3559" s="43"/>
      <c r="AZ3559" s="43"/>
      <c r="BA3559" s="43"/>
      <c r="BB3559" s="43"/>
      <c r="BC3559" s="229">
        <f t="shared" si="1514"/>
        <v>0</v>
      </c>
      <c r="BD3559" s="48">
        <f t="shared" si="1503"/>
        <v>0</v>
      </c>
      <c r="BE3559" s="19">
        <v>0</v>
      </c>
      <c r="BF3559" s="229">
        <f t="shared" si="1515"/>
        <v>0</v>
      </c>
      <c r="BG3559" s="210">
        <f t="shared" si="1505"/>
        <v>0</v>
      </c>
      <c r="BH3559" s="210">
        <f t="shared" si="1516"/>
        <v>27</v>
      </c>
      <c r="BI3559" s="213">
        <f t="shared" si="1517"/>
        <v>0</v>
      </c>
      <c r="BJ3559" s="270" t="s">
        <v>2857</v>
      </c>
      <c r="BK3559" s="201"/>
      <c r="BL3559" s="4"/>
      <c r="BM3559" s="4"/>
    </row>
    <row r="3560" spans="1:65" s="38" customFormat="1" ht="21.95" customHeight="1">
      <c r="A3560" s="148">
        <v>9</v>
      </c>
      <c r="B3560" s="118" t="s">
        <v>1251</v>
      </c>
      <c r="C3560" s="150" t="s">
        <v>1364</v>
      </c>
      <c r="D3560" s="42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O3560" s="42"/>
      <c r="P3560" s="42"/>
      <c r="Q3560" s="42"/>
      <c r="R3560" s="42"/>
      <c r="S3560" s="42"/>
      <c r="T3560" s="42"/>
      <c r="U3560" s="42"/>
      <c r="V3560" s="42"/>
      <c r="W3560" s="42"/>
      <c r="X3560" s="42"/>
      <c r="Y3560" s="42"/>
      <c r="Z3560" s="42"/>
      <c r="AA3560" s="42"/>
      <c r="AB3560" s="229">
        <f t="shared" si="1513"/>
        <v>0</v>
      </c>
      <c r="AC3560" s="228">
        <f t="shared" si="1501"/>
        <v>0</v>
      </c>
      <c r="AD3560" s="19">
        <v>3</v>
      </c>
      <c r="AE3560" s="43"/>
      <c r="AF3560" s="43"/>
      <c r="AG3560" s="43"/>
      <c r="AH3560" s="43"/>
      <c r="AI3560" s="43"/>
      <c r="AJ3560" s="43"/>
      <c r="AK3560" s="43"/>
      <c r="AL3560" s="43"/>
      <c r="AM3560" s="43"/>
      <c r="AN3560" s="43"/>
      <c r="AO3560" s="43"/>
      <c r="AP3560" s="43"/>
      <c r="AQ3560" s="43"/>
      <c r="AR3560" s="43"/>
      <c r="AS3560" s="43"/>
      <c r="AT3560" s="43"/>
      <c r="AU3560" s="43"/>
      <c r="AV3560" s="43"/>
      <c r="AW3560" s="43"/>
      <c r="AX3560" s="43"/>
      <c r="AY3560" s="43"/>
      <c r="AZ3560" s="43"/>
      <c r="BA3560" s="43"/>
      <c r="BB3560" s="43"/>
      <c r="BC3560" s="229">
        <f t="shared" si="1514"/>
        <v>0</v>
      </c>
      <c r="BD3560" s="48">
        <f t="shared" si="1503"/>
        <v>0</v>
      </c>
      <c r="BE3560" s="19">
        <v>0</v>
      </c>
      <c r="BF3560" s="229">
        <f t="shared" si="1515"/>
        <v>0</v>
      </c>
      <c r="BG3560" s="210">
        <f t="shared" si="1505"/>
        <v>0</v>
      </c>
      <c r="BH3560" s="210">
        <f t="shared" si="1516"/>
        <v>3</v>
      </c>
      <c r="BI3560" s="213">
        <f t="shared" si="1517"/>
        <v>0</v>
      </c>
      <c r="BJ3560" s="270" t="s">
        <v>2857</v>
      </c>
      <c r="BK3560" s="201"/>
      <c r="BL3560" s="4"/>
      <c r="BM3560" s="4"/>
    </row>
    <row r="3561" spans="1:65" s="38" customFormat="1" ht="15.95" customHeight="1">
      <c r="A3561" s="148">
        <v>10</v>
      </c>
      <c r="B3561" s="118" t="s">
        <v>1236</v>
      </c>
      <c r="C3561" s="120" t="s">
        <v>1237</v>
      </c>
      <c r="D3561" s="42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O3561" s="42"/>
      <c r="P3561" s="42"/>
      <c r="Q3561" s="42"/>
      <c r="R3561" s="42"/>
      <c r="S3561" s="42"/>
      <c r="T3561" s="42"/>
      <c r="U3561" s="42"/>
      <c r="V3561" s="42"/>
      <c r="W3561" s="42"/>
      <c r="X3561" s="42"/>
      <c r="Y3561" s="42"/>
      <c r="Z3561" s="42"/>
      <c r="AA3561" s="42"/>
      <c r="AB3561" s="229">
        <f t="shared" si="1513"/>
        <v>0</v>
      </c>
      <c r="AC3561" s="228">
        <f t="shared" si="1501"/>
        <v>0</v>
      </c>
      <c r="AD3561" s="19">
        <v>23</v>
      </c>
      <c r="AE3561" s="43"/>
      <c r="AF3561" s="43"/>
      <c r="AG3561" s="43"/>
      <c r="AH3561" s="43"/>
      <c r="AI3561" s="43"/>
      <c r="AJ3561" s="43"/>
      <c r="AK3561" s="43"/>
      <c r="AL3561" s="43"/>
      <c r="AM3561" s="43"/>
      <c r="AN3561" s="43"/>
      <c r="AO3561" s="43"/>
      <c r="AP3561" s="43"/>
      <c r="AQ3561" s="43"/>
      <c r="AR3561" s="43"/>
      <c r="AS3561" s="43"/>
      <c r="AT3561" s="43"/>
      <c r="AU3561" s="43"/>
      <c r="AV3561" s="43"/>
      <c r="AW3561" s="43"/>
      <c r="AX3561" s="43"/>
      <c r="AY3561" s="43"/>
      <c r="AZ3561" s="43"/>
      <c r="BA3561" s="43"/>
      <c r="BB3561" s="43"/>
      <c r="BC3561" s="229">
        <f t="shared" si="1514"/>
        <v>0</v>
      </c>
      <c r="BD3561" s="48">
        <f t="shared" si="1503"/>
        <v>0</v>
      </c>
      <c r="BE3561" s="19">
        <v>0</v>
      </c>
      <c r="BF3561" s="229">
        <f t="shared" si="1515"/>
        <v>0</v>
      </c>
      <c r="BG3561" s="210">
        <f t="shared" si="1505"/>
        <v>0</v>
      </c>
      <c r="BH3561" s="210">
        <f t="shared" si="1516"/>
        <v>23</v>
      </c>
      <c r="BI3561" s="213">
        <f t="shared" si="1517"/>
        <v>0</v>
      </c>
      <c r="BJ3561" s="270" t="s">
        <v>2857</v>
      </c>
      <c r="BK3561" s="201"/>
      <c r="BL3561" s="4"/>
      <c r="BM3561" s="4"/>
    </row>
    <row r="3562" spans="1:65" s="38" customFormat="1" ht="15.95" customHeight="1">
      <c r="A3562" s="148">
        <v>11</v>
      </c>
      <c r="B3562" s="118" t="s">
        <v>1241</v>
      </c>
      <c r="C3562" s="120" t="s">
        <v>1242</v>
      </c>
      <c r="D3562" s="42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O3562" s="42"/>
      <c r="P3562" s="42"/>
      <c r="Q3562" s="42"/>
      <c r="R3562" s="42"/>
      <c r="S3562" s="42"/>
      <c r="T3562" s="42"/>
      <c r="U3562" s="42"/>
      <c r="V3562" s="42"/>
      <c r="W3562" s="42"/>
      <c r="X3562" s="42"/>
      <c r="Y3562" s="42"/>
      <c r="Z3562" s="42"/>
      <c r="AA3562" s="42"/>
      <c r="AB3562" s="229">
        <f t="shared" si="1513"/>
        <v>0</v>
      </c>
      <c r="AC3562" s="228">
        <f t="shared" si="1501"/>
        <v>0</v>
      </c>
      <c r="AD3562" s="19">
        <v>0</v>
      </c>
      <c r="AE3562" s="43"/>
      <c r="AF3562" s="43"/>
      <c r="AG3562" s="43"/>
      <c r="AH3562" s="43"/>
      <c r="AI3562" s="43"/>
      <c r="AJ3562" s="43"/>
      <c r="AK3562" s="43"/>
      <c r="AL3562" s="43"/>
      <c r="AM3562" s="43"/>
      <c r="AN3562" s="43"/>
      <c r="AO3562" s="43"/>
      <c r="AP3562" s="43"/>
      <c r="AQ3562" s="43"/>
      <c r="AR3562" s="43"/>
      <c r="AS3562" s="43"/>
      <c r="AT3562" s="43"/>
      <c r="AU3562" s="43"/>
      <c r="AV3562" s="43"/>
      <c r="AW3562" s="43"/>
      <c r="AX3562" s="43"/>
      <c r="AY3562" s="43"/>
      <c r="AZ3562" s="43"/>
      <c r="BA3562" s="43"/>
      <c r="BB3562" s="43"/>
      <c r="BC3562" s="229">
        <f t="shared" si="1514"/>
        <v>0</v>
      </c>
      <c r="BD3562" s="48">
        <f t="shared" si="1503"/>
        <v>0</v>
      </c>
      <c r="BE3562" s="19">
        <v>576</v>
      </c>
      <c r="BF3562" s="229">
        <f t="shared" si="1515"/>
        <v>0</v>
      </c>
      <c r="BG3562" s="210">
        <f t="shared" si="1505"/>
        <v>0</v>
      </c>
      <c r="BH3562" s="210">
        <f t="shared" si="1516"/>
        <v>576</v>
      </c>
      <c r="BI3562" s="213">
        <f t="shared" si="1517"/>
        <v>0</v>
      </c>
      <c r="BJ3562" s="141"/>
      <c r="BK3562" s="201"/>
      <c r="BL3562" s="4"/>
      <c r="BM3562" s="4"/>
    </row>
    <row r="3563" spans="1:65" s="38" customFormat="1" ht="15.95" customHeight="1">
      <c r="A3563" s="148">
        <v>12</v>
      </c>
      <c r="B3563" s="118" t="s">
        <v>1243</v>
      </c>
      <c r="C3563" s="120" t="s">
        <v>1244</v>
      </c>
      <c r="D3563" s="42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O3563" s="42"/>
      <c r="P3563" s="42"/>
      <c r="Q3563" s="42"/>
      <c r="R3563" s="42"/>
      <c r="S3563" s="42"/>
      <c r="T3563" s="42"/>
      <c r="U3563" s="42"/>
      <c r="V3563" s="42"/>
      <c r="W3563" s="42"/>
      <c r="X3563" s="42"/>
      <c r="Y3563" s="42"/>
      <c r="Z3563" s="42"/>
      <c r="AA3563" s="42"/>
      <c r="AB3563" s="229">
        <f t="shared" si="1513"/>
        <v>0</v>
      </c>
      <c r="AC3563" s="228">
        <f t="shared" si="1501"/>
        <v>0</v>
      </c>
      <c r="AD3563" s="19">
        <v>0</v>
      </c>
      <c r="AE3563" s="43"/>
      <c r="AF3563" s="43"/>
      <c r="AG3563" s="43"/>
      <c r="AH3563" s="43"/>
      <c r="AI3563" s="43"/>
      <c r="AJ3563" s="43"/>
      <c r="AK3563" s="43"/>
      <c r="AL3563" s="43"/>
      <c r="AM3563" s="43"/>
      <c r="AN3563" s="43"/>
      <c r="AO3563" s="43"/>
      <c r="AP3563" s="43"/>
      <c r="AQ3563" s="43"/>
      <c r="AR3563" s="43"/>
      <c r="AS3563" s="43"/>
      <c r="AT3563" s="43"/>
      <c r="AU3563" s="43"/>
      <c r="AV3563" s="43"/>
      <c r="AW3563" s="43"/>
      <c r="AX3563" s="43"/>
      <c r="AY3563" s="43"/>
      <c r="AZ3563" s="43"/>
      <c r="BA3563" s="43"/>
      <c r="BB3563" s="43"/>
      <c r="BC3563" s="229">
        <f t="shared" si="1514"/>
        <v>0</v>
      </c>
      <c r="BD3563" s="48">
        <f t="shared" si="1503"/>
        <v>0</v>
      </c>
      <c r="BE3563" s="19">
        <v>1</v>
      </c>
      <c r="BF3563" s="229">
        <f t="shared" si="1515"/>
        <v>0</v>
      </c>
      <c r="BG3563" s="210">
        <f t="shared" si="1505"/>
        <v>0</v>
      </c>
      <c r="BH3563" s="210">
        <f t="shared" si="1516"/>
        <v>1</v>
      </c>
      <c r="BI3563" s="213">
        <f t="shared" si="1517"/>
        <v>0</v>
      </c>
      <c r="BJ3563" s="141"/>
      <c r="BK3563" s="201"/>
      <c r="BL3563" s="4"/>
      <c r="BM3563" s="4"/>
    </row>
    <row r="3564" spans="1:65" s="38" customFormat="1" ht="15.95" customHeight="1">
      <c r="A3564" s="148">
        <v>13</v>
      </c>
      <c r="B3564" s="152" t="s">
        <v>840</v>
      </c>
      <c r="C3564" s="120" t="s">
        <v>841</v>
      </c>
      <c r="D3564" s="42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O3564" s="42"/>
      <c r="P3564" s="42"/>
      <c r="Q3564" s="42"/>
      <c r="R3564" s="42"/>
      <c r="S3564" s="42"/>
      <c r="T3564" s="42"/>
      <c r="U3564" s="42"/>
      <c r="V3564" s="42"/>
      <c r="W3564" s="42"/>
      <c r="X3564" s="42"/>
      <c r="Y3564" s="42"/>
      <c r="Z3564" s="42"/>
      <c r="AA3564" s="42"/>
      <c r="AB3564" s="229">
        <f t="shared" si="1513"/>
        <v>0</v>
      </c>
      <c r="AC3564" s="228">
        <f t="shared" si="1501"/>
        <v>0</v>
      </c>
      <c r="AD3564" s="19">
        <v>0</v>
      </c>
      <c r="AE3564" s="43"/>
      <c r="AF3564" s="43"/>
      <c r="AG3564" s="43"/>
      <c r="AH3564" s="43"/>
      <c r="AI3564" s="43"/>
      <c r="AJ3564" s="43"/>
      <c r="AK3564" s="43"/>
      <c r="AL3564" s="43"/>
      <c r="AM3564" s="43"/>
      <c r="AN3564" s="43"/>
      <c r="AO3564" s="43"/>
      <c r="AP3564" s="43"/>
      <c r="AQ3564" s="43"/>
      <c r="AR3564" s="43"/>
      <c r="AS3564" s="43"/>
      <c r="AT3564" s="43"/>
      <c r="AU3564" s="43"/>
      <c r="AV3564" s="43"/>
      <c r="AW3564" s="43"/>
      <c r="AX3564" s="43"/>
      <c r="AY3564" s="43"/>
      <c r="AZ3564" s="43"/>
      <c r="BA3564" s="43"/>
      <c r="BB3564" s="43"/>
      <c r="BC3564" s="229">
        <f t="shared" si="1514"/>
        <v>0</v>
      </c>
      <c r="BD3564" s="48">
        <f t="shared" si="1503"/>
        <v>0</v>
      </c>
      <c r="BE3564" s="19">
        <v>1</v>
      </c>
      <c r="BF3564" s="229">
        <f t="shared" si="1515"/>
        <v>0</v>
      </c>
      <c r="BG3564" s="210">
        <f t="shared" si="1505"/>
        <v>0</v>
      </c>
      <c r="BH3564" s="210">
        <f t="shared" si="1516"/>
        <v>1</v>
      </c>
      <c r="BI3564" s="213">
        <f t="shared" si="1517"/>
        <v>0</v>
      </c>
      <c r="BJ3564" s="141"/>
      <c r="BK3564" s="201"/>
      <c r="BL3564" s="4"/>
      <c r="BM3564" s="4"/>
    </row>
    <row r="3565" spans="1:65" s="38" customFormat="1" ht="15.95" customHeight="1">
      <c r="A3565" s="148">
        <v>14</v>
      </c>
      <c r="B3565" s="118" t="s">
        <v>1178</v>
      </c>
      <c r="C3565" s="120" t="s">
        <v>1179</v>
      </c>
      <c r="D3565" s="42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O3565" s="42"/>
      <c r="P3565" s="42"/>
      <c r="Q3565" s="42"/>
      <c r="R3565" s="42"/>
      <c r="S3565" s="42"/>
      <c r="T3565" s="42"/>
      <c r="U3565" s="42"/>
      <c r="V3565" s="42"/>
      <c r="W3565" s="42"/>
      <c r="X3565" s="42"/>
      <c r="Y3565" s="42"/>
      <c r="Z3565" s="42"/>
      <c r="AA3565" s="42"/>
      <c r="AB3565" s="229">
        <f t="shared" si="1513"/>
        <v>0</v>
      </c>
      <c r="AC3565" s="228">
        <f t="shared" si="1501"/>
        <v>0</v>
      </c>
      <c r="AD3565" s="19">
        <v>0</v>
      </c>
      <c r="AE3565" s="43"/>
      <c r="AF3565" s="43"/>
      <c r="AG3565" s="43"/>
      <c r="AH3565" s="43"/>
      <c r="AI3565" s="43"/>
      <c r="AJ3565" s="43"/>
      <c r="AK3565" s="43"/>
      <c r="AL3565" s="43"/>
      <c r="AM3565" s="43"/>
      <c r="AN3565" s="43"/>
      <c r="AO3565" s="43"/>
      <c r="AP3565" s="43"/>
      <c r="AQ3565" s="43"/>
      <c r="AR3565" s="43"/>
      <c r="AS3565" s="43"/>
      <c r="AT3565" s="43"/>
      <c r="AU3565" s="43"/>
      <c r="AV3565" s="43"/>
      <c r="AW3565" s="43"/>
      <c r="AX3565" s="43"/>
      <c r="AY3565" s="43"/>
      <c r="AZ3565" s="43"/>
      <c r="BA3565" s="43"/>
      <c r="BB3565" s="43"/>
      <c r="BC3565" s="229">
        <f t="shared" si="1514"/>
        <v>0</v>
      </c>
      <c r="BD3565" s="48">
        <f t="shared" si="1503"/>
        <v>0</v>
      </c>
      <c r="BE3565" s="19">
        <v>39</v>
      </c>
      <c r="BF3565" s="229">
        <f t="shared" si="1515"/>
        <v>0</v>
      </c>
      <c r="BG3565" s="210">
        <f t="shared" si="1505"/>
        <v>0</v>
      </c>
      <c r="BH3565" s="210">
        <f t="shared" si="1516"/>
        <v>39</v>
      </c>
      <c r="BI3565" s="213">
        <f t="shared" si="1517"/>
        <v>0</v>
      </c>
      <c r="BJ3565" s="141"/>
      <c r="BK3565" s="201"/>
      <c r="BL3565" s="4"/>
      <c r="BM3565" s="4"/>
    </row>
    <row r="3566" spans="1:65" s="38" customFormat="1" ht="21.95" customHeight="1">
      <c r="A3566" s="148">
        <v>15</v>
      </c>
      <c r="B3566" s="118" t="s">
        <v>1245</v>
      </c>
      <c r="C3566" s="119" t="s">
        <v>1246</v>
      </c>
      <c r="D3566" s="42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O3566" s="42"/>
      <c r="P3566" s="42"/>
      <c r="Q3566" s="42"/>
      <c r="R3566" s="42"/>
      <c r="S3566" s="42"/>
      <c r="T3566" s="42"/>
      <c r="U3566" s="42"/>
      <c r="V3566" s="42"/>
      <c r="W3566" s="42"/>
      <c r="X3566" s="42"/>
      <c r="Y3566" s="42"/>
      <c r="Z3566" s="42"/>
      <c r="AA3566" s="42"/>
      <c r="AB3566" s="229">
        <f t="shared" si="1513"/>
        <v>0</v>
      </c>
      <c r="AC3566" s="228">
        <f t="shared" si="1501"/>
        <v>0</v>
      </c>
      <c r="AD3566" s="19">
        <v>0</v>
      </c>
      <c r="AE3566" s="43"/>
      <c r="AF3566" s="43"/>
      <c r="AG3566" s="43"/>
      <c r="AH3566" s="43"/>
      <c r="AI3566" s="43"/>
      <c r="AJ3566" s="43"/>
      <c r="AK3566" s="43"/>
      <c r="AL3566" s="43"/>
      <c r="AM3566" s="43"/>
      <c r="AN3566" s="43"/>
      <c r="AO3566" s="43"/>
      <c r="AP3566" s="43"/>
      <c r="AQ3566" s="43"/>
      <c r="AR3566" s="43"/>
      <c r="AS3566" s="43"/>
      <c r="AT3566" s="43"/>
      <c r="AU3566" s="43"/>
      <c r="AV3566" s="43"/>
      <c r="AW3566" s="43"/>
      <c r="AX3566" s="43"/>
      <c r="AY3566" s="43"/>
      <c r="AZ3566" s="43"/>
      <c r="BA3566" s="43"/>
      <c r="BB3566" s="43"/>
      <c r="BC3566" s="229">
        <f t="shared" si="1514"/>
        <v>0</v>
      </c>
      <c r="BD3566" s="48">
        <f t="shared" si="1503"/>
        <v>0</v>
      </c>
      <c r="BE3566" s="19">
        <v>50</v>
      </c>
      <c r="BF3566" s="229">
        <f t="shared" si="1515"/>
        <v>0</v>
      </c>
      <c r="BG3566" s="210">
        <f t="shared" si="1505"/>
        <v>0</v>
      </c>
      <c r="BH3566" s="210">
        <f t="shared" si="1516"/>
        <v>50</v>
      </c>
      <c r="BI3566" s="213">
        <f t="shared" si="1517"/>
        <v>0</v>
      </c>
      <c r="BJ3566" s="141"/>
      <c r="BK3566" s="201"/>
      <c r="BL3566" s="4"/>
      <c r="BM3566" s="4"/>
    </row>
    <row r="3567" spans="1:65" s="38" customFormat="1" ht="15.95" customHeight="1">
      <c r="A3567" s="148">
        <v>16</v>
      </c>
      <c r="B3567" s="118" t="s">
        <v>1247</v>
      </c>
      <c r="C3567" s="195" t="s">
        <v>1248</v>
      </c>
      <c r="D3567" s="42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O3567" s="42"/>
      <c r="P3567" s="42"/>
      <c r="Q3567" s="42"/>
      <c r="R3567" s="42"/>
      <c r="S3567" s="42"/>
      <c r="T3567" s="42"/>
      <c r="U3567" s="42"/>
      <c r="V3567" s="42"/>
      <c r="W3567" s="42"/>
      <c r="X3567" s="42"/>
      <c r="Y3567" s="42"/>
      <c r="Z3567" s="42"/>
      <c r="AA3567" s="42"/>
      <c r="AB3567" s="229">
        <f t="shared" si="1513"/>
        <v>0</v>
      </c>
      <c r="AC3567" s="228">
        <f t="shared" si="1501"/>
        <v>0</v>
      </c>
      <c r="AD3567" s="19">
        <v>0</v>
      </c>
      <c r="AE3567" s="43"/>
      <c r="AF3567" s="43"/>
      <c r="AG3567" s="43"/>
      <c r="AH3567" s="43"/>
      <c r="AI3567" s="43"/>
      <c r="AJ3567" s="43"/>
      <c r="AK3567" s="43"/>
      <c r="AL3567" s="43"/>
      <c r="AM3567" s="43"/>
      <c r="AN3567" s="43"/>
      <c r="AO3567" s="43"/>
      <c r="AP3567" s="43"/>
      <c r="AQ3567" s="43"/>
      <c r="AR3567" s="43"/>
      <c r="AS3567" s="43"/>
      <c r="AT3567" s="43"/>
      <c r="AU3567" s="43"/>
      <c r="AV3567" s="43"/>
      <c r="AW3567" s="43"/>
      <c r="AX3567" s="43"/>
      <c r="AY3567" s="43"/>
      <c r="AZ3567" s="43"/>
      <c r="BA3567" s="43"/>
      <c r="BB3567" s="43"/>
      <c r="BC3567" s="229">
        <f t="shared" si="1514"/>
        <v>0</v>
      </c>
      <c r="BD3567" s="48">
        <f t="shared" si="1503"/>
        <v>0</v>
      </c>
      <c r="BE3567" s="19">
        <v>2</v>
      </c>
      <c r="BF3567" s="229">
        <f t="shared" si="1515"/>
        <v>0</v>
      </c>
      <c r="BG3567" s="210">
        <f t="shared" si="1505"/>
        <v>0</v>
      </c>
      <c r="BH3567" s="210">
        <f t="shared" si="1516"/>
        <v>2</v>
      </c>
      <c r="BI3567" s="213">
        <f t="shared" si="1517"/>
        <v>0</v>
      </c>
      <c r="BJ3567" s="141"/>
      <c r="BK3567" s="201"/>
      <c r="BL3567" s="4"/>
      <c r="BM3567" s="4"/>
    </row>
    <row r="3568" spans="1:65" s="38" customFormat="1" ht="15.95" customHeight="1">
      <c r="A3568" s="148">
        <v>17</v>
      </c>
      <c r="B3568" s="118" t="s">
        <v>1262</v>
      </c>
      <c r="C3568" s="120" t="s">
        <v>1263</v>
      </c>
      <c r="D3568" s="42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O3568" s="42"/>
      <c r="P3568" s="42"/>
      <c r="Q3568" s="42"/>
      <c r="R3568" s="42"/>
      <c r="S3568" s="42"/>
      <c r="T3568" s="42"/>
      <c r="U3568" s="42"/>
      <c r="V3568" s="42"/>
      <c r="W3568" s="42"/>
      <c r="X3568" s="42"/>
      <c r="Y3568" s="42"/>
      <c r="Z3568" s="42"/>
      <c r="AA3568" s="42"/>
      <c r="AB3568" s="229">
        <f t="shared" si="1513"/>
        <v>0</v>
      </c>
      <c r="AC3568" s="228">
        <f t="shared" si="1501"/>
        <v>0</v>
      </c>
      <c r="AD3568" s="19">
        <v>0</v>
      </c>
      <c r="AE3568" s="43"/>
      <c r="AF3568" s="43"/>
      <c r="AG3568" s="43"/>
      <c r="AH3568" s="43"/>
      <c r="AI3568" s="43"/>
      <c r="AJ3568" s="43"/>
      <c r="AK3568" s="43"/>
      <c r="AL3568" s="43"/>
      <c r="AM3568" s="43"/>
      <c r="AN3568" s="43"/>
      <c r="AO3568" s="43"/>
      <c r="AP3568" s="43"/>
      <c r="AQ3568" s="43"/>
      <c r="AR3568" s="43"/>
      <c r="AS3568" s="43"/>
      <c r="AT3568" s="43"/>
      <c r="AU3568" s="43"/>
      <c r="AV3568" s="43"/>
      <c r="AW3568" s="43"/>
      <c r="AX3568" s="43"/>
      <c r="AY3568" s="43"/>
      <c r="AZ3568" s="43"/>
      <c r="BA3568" s="43"/>
      <c r="BB3568" s="43"/>
      <c r="BC3568" s="229">
        <f t="shared" si="1514"/>
        <v>0</v>
      </c>
      <c r="BD3568" s="48">
        <f t="shared" si="1503"/>
        <v>0</v>
      </c>
      <c r="BE3568" s="19">
        <v>5</v>
      </c>
      <c r="BF3568" s="229">
        <f t="shared" si="1515"/>
        <v>0</v>
      </c>
      <c r="BG3568" s="210">
        <f t="shared" si="1505"/>
        <v>0</v>
      </c>
      <c r="BH3568" s="210">
        <f t="shared" si="1516"/>
        <v>5</v>
      </c>
      <c r="BI3568" s="213">
        <f t="shared" si="1517"/>
        <v>0</v>
      </c>
      <c r="BJ3568" s="141"/>
      <c r="BK3568" s="201"/>
      <c r="BL3568" s="4"/>
      <c r="BM3568" s="4"/>
    </row>
    <row r="3569" spans="1:65" s="38" customFormat="1" ht="21.95" customHeight="1">
      <c r="A3569" s="364" t="s">
        <v>2790</v>
      </c>
      <c r="B3569" s="364"/>
      <c r="C3569" s="364"/>
      <c r="D3569" s="39">
        <f t="shared" ref="D3569:BE3569" si="1518">SUM(D3570:D3587)</f>
        <v>0</v>
      </c>
      <c r="E3569" s="39">
        <f t="shared" si="1518"/>
        <v>0</v>
      </c>
      <c r="F3569" s="39">
        <f t="shared" si="1518"/>
        <v>0</v>
      </c>
      <c r="G3569" s="39">
        <f t="shared" si="1518"/>
        <v>0</v>
      </c>
      <c r="H3569" s="39">
        <f t="shared" si="1518"/>
        <v>0</v>
      </c>
      <c r="I3569" s="39">
        <f t="shared" si="1518"/>
        <v>0</v>
      </c>
      <c r="J3569" s="39">
        <f t="shared" si="1518"/>
        <v>0</v>
      </c>
      <c r="K3569" s="39">
        <f t="shared" si="1518"/>
        <v>0</v>
      </c>
      <c r="L3569" s="39">
        <f t="shared" si="1518"/>
        <v>0</v>
      </c>
      <c r="M3569" s="39">
        <f t="shared" si="1518"/>
        <v>0</v>
      </c>
      <c r="N3569" s="39">
        <f t="shared" si="1518"/>
        <v>0</v>
      </c>
      <c r="O3569" s="39">
        <f t="shared" si="1518"/>
        <v>0</v>
      </c>
      <c r="P3569" s="39">
        <f t="shared" si="1518"/>
        <v>0</v>
      </c>
      <c r="Q3569" s="39">
        <f t="shared" si="1518"/>
        <v>0</v>
      </c>
      <c r="R3569" s="39">
        <f t="shared" si="1518"/>
        <v>0</v>
      </c>
      <c r="S3569" s="39">
        <f t="shared" si="1518"/>
        <v>0</v>
      </c>
      <c r="T3569" s="39">
        <f t="shared" si="1518"/>
        <v>0</v>
      </c>
      <c r="U3569" s="39">
        <f t="shared" si="1518"/>
        <v>0</v>
      </c>
      <c r="V3569" s="39">
        <f t="shared" si="1518"/>
        <v>0</v>
      </c>
      <c r="W3569" s="39">
        <f t="shared" si="1518"/>
        <v>0</v>
      </c>
      <c r="X3569" s="39">
        <f t="shared" si="1518"/>
        <v>0</v>
      </c>
      <c r="Y3569" s="39">
        <f t="shared" si="1518"/>
        <v>0</v>
      </c>
      <c r="Z3569" s="39">
        <f t="shared" si="1518"/>
        <v>0</v>
      </c>
      <c r="AA3569" s="39">
        <f t="shared" si="1518"/>
        <v>0</v>
      </c>
      <c r="AB3569" s="39">
        <f t="shared" si="1500"/>
        <v>0</v>
      </c>
      <c r="AC3569" s="39">
        <f t="shared" si="1501"/>
        <v>0</v>
      </c>
      <c r="AD3569" s="39">
        <f t="shared" si="1518"/>
        <v>228</v>
      </c>
      <c r="AE3569" s="39">
        <f t="shared" si="1518"/>
        <v>0</v>
      </c>
      <c r="AF3569" s="39">
        <f t="shared" si="1518"/>
        <v>0</v>
      </c>
      <c r="AG3569" s="39">
        <f t="shared" si="1518"/>
        <v>0</v>
      </c>
      <c r="AH3569" s="39">
        <f t="shared" si="1518"/>
        <v>0</v>
      </c>
      <c r="AI3569" s="39">
        <f t="shared" si="1518"/>
        <v>0</v>
      </c>
      <c r="AJ3569" s="39">
        <f t="shared" si="1518"/>
        <v>0</v>
      </c>
      <c r="AK3569" s="39">
        <f t="shared" si="1518"/>
        <v>0</v>
      </c>
      <c r="AL3569" s="39">
        <f t="shared" si="1518"/>
        <v>0</v>
      </c>
      <c r="AM3569" s="39">
        <f t="shared" si="1518"/>
        <v>0</v>
      </c>
      <c r="AN3569" s="39">
        <f t="shared" si="1518"/>
        <v>0</v>
      </c>
      <c r="AO3569" s="39">
        <f t="shared" si="1518"/>
        <v>0</v>
      </c>
      <c r="AP3569" s="39">
        <f t="shared" si="1518"/>
        <v>0</v>
      </c>
      <c r="AQ3569" s="39">
        <f t="shared" si="1518"/>
        <v>0</v>
      </c>
      <c r="AR3569" s="39">
        <f t="shared" si="1518"/>
        <v>0</v>
      </c>
      <c r="AS3569" s="39">
        <f t="shared" si="1518"/>
        <v>0</v>
      </c>
      <c r="AT3569" s="39">
        <f t="shared" si="1518"/>
        <v>0</v>
      </c>
      <c r="AU3569" s="39">
        <f t="shared" si="1518"/>
        <v>0</v>
      </c>
      <c r="AV3569" s="39">
        <f t="shared" si="1518"/>
        <v>0</v>
      </c>
      <c r="AW3569" s="39">
        <f t="shared" si="1518"/>
        <v>0</v>
      </c>
      <c r="AX3569" s="39">
        <f t="shared" si="1518"/>
        <v>0</v>
      </c>
      <c r="AY3569" s="39">
        <f t="shared" si="1518"/>
        <v>0</v>
      </c>
      <c r="AZ3569" s="39">
        <f t="shared" si="1518"/>
        <v>0</v>
      </c>
      <c r="BA3569" s="39">
        <f t="shared" si="1518"/>
        <v>0</v>
      </c>
      <c r="BB3569" s="39">
        <f t="shared" si="1518"/>
        <v>0</v>
      </c>
      <c r="BC3569" s="39">
        <f t="shared" si="1502"/>
        <v>0</v>
      </c>
      <c r="BD3569" s="101">
        <f t="shared" si="1503"/>
        <v>0</v>
      </c>
      <c r="BE3569" s="39">
        <f t="shared" si="1518"/>
        <v>120</v>
      </c>
      <c r="BF3569" s="39">
        <f t="shared" si="1504"/>
        <v>0</v>
      </c>
      <c r="BG3569" s="101">
        <f t="shared" si="1505"/>
        <v>0</v>
      </c>
      <c r="BH3569" s="101">
        <f t="shared" ref="BH3569:BH3631" si="1519">AD3569+BE3569</f>
        <v>348</v>
      </c>
      <c r="BI3569" s="280">
        <f t="shared" si="1506"/>
        <v>0</v>
      </c>
      <c r="BJ3569" s="142">
        <v>348</v>
      </c>
      <c r="BK3569" s="203">
        <f>BH3569-BJ3569</f>
        <v>0</v>
      </c>
      <c r="BL3569" s="4"/>
      <c r="BM3569" s="4"/>
    </row>
    <row r="3570" spans="1:65" ht="15.95" customHeight="1">
      <c r="A3570" s="148">
        <v>1</v>
      </c>
      <c r="B3570" s="118" t="s">
        <v>1224</v>
      </c>
      <c r="C3570" s="120" t="s">
        <v>1225</v>
      </c>
      <c r="D3570" s="42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O3570" s="42"/>
      <c r="P3570" s="42"/>
      <c r="Q3570" s="42"/>
      <c r="R3570" s="42"/>
      <c r="S3570" s="42"/>
      <c r="T3570" s="42"/>
      <c r="U3570" s="42"/>
      <c r="V3570" s="42"/>
      <c r="W3570" s="42"/>
      <c r="X3570" s="42"/>
      <c r="Y3570" s="42"/>
      <c r="Z3570" s="42"/>
      <c r="AA3570" s="42"/>
      <c r="AB3570" s="229">
        <f t="shared" ref="AB3570:AB3587" si="1520">D3570+F3570+H3570+J3570+L3570+N3570+P3570+R3570+T3570+V3570+X3570+Z3570</f>
        <v>0</v>
      </c>
      <c r="AC3570" s="228">
        <f t="shared" si="1501"/>
        <v>0</v>
      </c>
      <c r="AD3570" s="19">
        <v>5</v>
      </c>
      <c r="AE3570" s="43"/>
      <c r="AF3570" s="43"/>
      <c r="AG3570" s="43"/>
      <c r="AH3570" s="43"/>
      <c r="AI3570" s="43"/>
      <c r="AJ3570" s="43"/>
      <c r="AK3570" s="43"/>
      <c r="AL3570" s="43"/>
      <c r="AM3570" s="43"/>
      <c r="AN3570" s="43"/>
      <c r="AO3570" s="43"/>
      <c r="AP3570" s="43"/>
      <c r="AQ3570" s="43"/>
      <c r="AR3570" s="43"/>
      <c r="AS3570" s="43"/>
      <c r="AT3570" s="43"/>
      <c r="AU3570" s="43"/>
      <c r="AV3570" s="43"/>
      <c r="AW3570" s="43"/>
      <c r="AX3570" s="43"/>
      <c r="AY3570" s="43"/>
      <c r="AZ3570" s="43"/>
      <c r="BA3570" s="43"/>
      <c r="BB3570" s="43"/>
      <c r="BC3570" s="229">
        <f t="shared" ref="BC3570:BC3587" si="1521">AE3570+AG3570+AI3570+AK3570+AM3570+AO3570+AQ3570+AS3570+AU3570+AW3570+AY3570+BA3570</f>
        <v>0</v>
      </c>
      <c r="BD3570" s="48">
        <f t="shared" si="1503"/>
        <v>0</v>
      </c>
      <c r="BE3570" s="19">
        <v>0</v>
      </c>
      <c r="BF3570" s="229">
        <f t="shared" ref="BF3570:BF3587" si="1522">AB3570+BC3570</f>
        <v>0</v>
      </c>
      <c r="BG3570" s="210">
        <f t="shared" si="1505"/>
        <v>0</v>
      </c>
      <c r="BH3570" s="210">
        <f t="shared" si="1519"/>
        <v>5</v>
      </c>
      <c r="BI3570" s="213">
        <f t="shared" ref="BI3570:BI3587" si="1523">BG3570/BH3570*100</f>
        <v>0</v>
      </c>
      <c r="BJ3570" s="270" t="s">
        <v>2857</v>
      </c>
      <c r="BK3570" s="201"/>
    </row>
    <row r="3571" spans="1:65" ht="15.95" customHeight="1">
      <c r="A3571" s="148">
        <v>2</v>
      </c>
      <c r="B3571" s="118" t="s">
        <v>1272</v>
      </c>
      <c r="C3571" s="120" t="s">
        <v>1502</v>
      </c>
      <c r="D3571" s="42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O3571" s="42"/>
      <c r="P3571" s="42"/>
      <c r="Q3571" s="42"/>
      <c r="R3571" s="42"/>
      <c r="S3571" s="42"/>
      <c r="T3571" s="42"/>
      <c r="U3571" s="42"/>
      <c r="V3571" s="42"/>
      <c r="W3571" s="42"/>
      <c r="X3571" s="42"/>
      <c r="Y3571" s="42"/>
      <c r="Z3571" s="42"/>
      <c r="AA3571" s="42"/>
      <c r="AB3571" s="229">
        <f t="shared" si="1520"/>
        <v>0</v>
      </c>
      <c r="AC3571" s="228">
        <f t="shared" si="1501"/>
        <v>0</v>
      </c>
      <c r="AD3571" s="19">
        <v>8</v>
      </c>
      <c r="AE3571" s="43"/>
      <c r="AF3571" s="43"/>
      <c r="AG3571" s="43"/>
      <c r="AH3571" s="43"/>
      <c r="AI3571" s="43"/>
      <c r="AJ3571" s="43"/>
      <c r="AK3571" s="43"/>
      <c r="AL3571" s="43"/>
      <c r="AM3571" s="43"/>
      <c r="AN3571" s="43"/>
      <c r="AO3571" s="43"/>
      <c r="AP3571" s="43"/>
      <c r="AQ3571" s="43"/>
      <c r="AR3571" s="43"/>
      <c r="AS3571" s="43"/>
      <c r="AT3571" s="43"/>
      <c r="AU3571" s="43"/>
      <c r="AV3571" s="43"/>
      <c r="AW3571" s="43"/>
      <c r="AX3571" s="43"/>
      <c r="AY3571" s="43"/>
      <c r="AZ3571" s="43"/>
      <c r="BA3571" s="43"/>
      <c r="BB3571" s="43"/>
      <c r="BC3571" s="229">
        <f t="shared" si="1521"/>
        <v>0</v>
      </c>
      <c r="BD3571" s="48">
        <f t="shared" si="1503"/>
        <v>0</v>
      </c>
      <c r="BE3571" s="19">
        <v>0</v>
      </c>
      <c r="BF3571" s="229">
        <f t="shared" si="1522"/>
        <v>0</v>
      </c>
      <c r="BG3571" s="210">
        <f t="shared" si="1505"/>
        <v>0</v>
      </c>
      <c r="BH3571" s="210">
        <f t="shared" si="1519"/>
        <v>8</v>
      </c>
      <c r="BI3571" s="213">
        <f t="shared" si="1523"/>
        <v>0</v>
      </c>
      <c r="BJ3571" s="270" t="s">
        <v>2857</v>
      </c>
      <c r="BK3571" s="201"/>
    </row>
    <row r="3572" spans="1:65" ht="15.95" customHeight="1">
      <c r="A3572" s="148">
        <v>3</v>
      </c>
      <c r="B3572" s="118" t="s">
        <v>1228</v>
      </c>
      <c r="C3572" s="120" t="s">
        <v>1229</v>
      </c>
      <c r="D3572" s="42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O3572" s="42"/>
      <c r="P3572" s="42"/>
      <c r="Q3572" s="42"/>
      <c r="R3572" s="42"/>
      <c r="S3572" s="42"/>
      <c r="T3572" s="42"/>
      <c r="U3572" s="42"/>
      <c r="V3572" s="42"/>
      <c r="W3572" s="42"/>
      <c r="X3572" s="42"/>
      <c r="Y3572" s="42"/>
      <c r="Z3572" s="42"/>
      <c r="AA3572" s="42"/>
      <c r="AB3572" s="229">
        <f t="shared" si="1520"/>
        <v>0</v>
      </c>
      <c r="AC3572" s="228">
        <f t="shared" si="1501"/>
        <v>0</v>
      </c>
      <c r="AD3572" s="19">
        <v>125</v>
      </c>
      <c r="AE3572" s="43"/>
      <c r="AF3572" s="43"/>
      <c r="AG3572" s="43"/>
      <c r="AH3572" s="43"/>
      <c r="AI3572" s="43"/>
      <c r="AJ3572" s="43"/>
      <c r="AK3572" s="43"/>
      <c r="AL3572" s="43"/>
      <c r="AM3572" s="43"/>
      <c r="AN3572" s="43"/>
      <c r="AO3572" s="43"/>
      <c r="AP3572" s="43"/>
      <c r="AQ3572" s="43"/>
      <c r="AR3572" s="43"/>
      <c r="AS3572" s="43"/>
      <c r="AT3572" s="43"/>
      <c r="AU3572" s="43"/>
      <c r="AV3572" s="43"/>
      <c r="AW3572" s="43"/>
      <c r="AX3572" s="43"/>
      <c r="AY3572" s="43"/>
      <c r="AZ3572" s="43"/>
      <c r="BA3572" s="43"/>
      <c r="BB3572" s="43"/>
      <c r="BC3572" s="229">
        <f t="shared" si="1521"/>
        <v>0</v>
      </c>
      <c r="BD3572" s="48">
        <f t="shared" si="1503"/>
        <v>0</v>
      </c>
      <c r="BE3572" s="19">
        <v>0</v>
      </c>
      <c r="BF3572" s="229">
        <f t="shared" si="1522"/>
        <v>0</v>
      </c>
      <c r="BG3572" s="210">
        <f t="shared" si="1505"/>
        <v>0</v>
      </c>
      <c r="BH3572" s="210">
        <f t="shared" si="1519"/>
        <v>125</v>
      </c>
      <c r="BI3572" s="213">
        <f t="shared" si="1523"/>
        <v>0</v>
      </c>
      <c r="BJ3572" s="270" t="s">
        <v>2857</v>
      </c>
      <c r="BK3572" s="201"/>
    </row>
    <row r="3573" spans="1:65" ht="15.95" customHeight="1">
      <c r="A3573" s="148">
        <v>4</v>
      </c>
      <c r="B3573" s="118" t="s">
        <v>1230</v>
      </c>
      <c r="C3573" s="120" t="s">
        <v>1231</v>
      </c>
      <c r="D3573" s="42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O3573" s="42"/>
      <c r="P3573" s="42"/>
      <c r="Q3573" s="42"/>
      <c r="R3573" s="42"/>
      <c r="S3573" s="42"/>
      <c r="T3573" s="42"/>
      <c r="U3573" s="42"/>
      <c r="V3573" s="42"/>
      <c r="W3573" s="42"/>
      <c r="X3573" s="42"/>
      <c r="Y3573" s="42"/>
      <c r="Z3573" s="42"/>
      <c r="AA3573" s="42"/>
      <c r="AB3573" s="229">
        <f t="shared" si="1520"/>
        <v>0</v>
      </c>
      <c r="AC3573" s="228">
        <f t="shared" si="1501"/>
        <v>0</v>
      </c>
      <c r="AD3573" s="19">
        <v>46</v>
      </c>
      <c r="AE3573" s="43"/>
      <c r="AF3573" s="43"/>
      <c r="AG3573" s="43"/>
      <c r="AH3573" s="43"/>
      <c r="AI3573" s="43"/>
      <c r="AJ3573" s="43"/>
      <c r="AK3573" s="43"/>
      <c r="AL3573" s="43"/>
      <c r="AM3573" s="43"/>
      <c r="AN3573" s="43"/>
      <c r="AO3573" s="43"/>
      <c r="AP3573" s="43"/>
      <c r="AQ3573" s="43"/>
      <c r="AR3573" s="43"/>
      <c r="AS3573" s="43"/>
      <c r="AT3573" s="43"/>
      <c r="AU3573" s="43"/>
      <c r="AV3573" s="43"/>
      <c r="AW3573" s="43"/>
      <c r="AX3573" s="43"/>
      <c r="AY3573" s="43"/>
      <c r="AZ3573" s="43"/>
      <c r="BA3573" s="43"/>
      <c r="BB3573" s="43"/>
      <c r="BC3573" s="229">
        <f t="shared" si="1521"/>
        <v>0</v>
      </c>
      <c r="BD3573" s="48">
        <f t="shared" si="1503"/>
        <v>0</v>
      </c>
      <c r="BE3573" s="19">
        <v>0</v>
      </c>
      <c r="BF3573" s="229">
        <f t="shared" si="1522"/>
        <v>0</v>
      </c>
      <c r="BG3573" s="210">
        <f t="shared" si="1505"/>
        <v>0</v>
      </c>
      <c r="BH3573" s="210">
        <f t="shared" si="1519"/>
        <v>46</v>
      </c>
      <c r="BI3573" s="213">
        <f t="shared" si="1523"/>
        <v>0</v>
      </c>
      <c r="BJ3573" s="270" t="s">
        <v>2857</v>
      </c>
      <c r="BK3573" s="201"/>
    </row>
    <row r="3574" spans="1:65" ht="15.95" customHeight="1">
      <c r="A3574" s="148">
        <v>5</v>
      </c>
      <c r="B3574" s="118" t="s">
        <v>1264</v>
      </c>
      <c r="C3574" s="120" t="s">
        <v>1265</v>
      </c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O3574" s="42"/>
      <c r="P3574" s="42"/>
      <c r="Q3574" s="42"/>
      <c r="R3574" s="42"/>
      <c r="S3574" s="42"/>
      <c r="T3574" s="42"/>
      <c r="U3574" s="42"/>
      <c r="V3574" s="42"/>
      <c r="W3574" s="42"/>
      <c r="X3574" s="42"/>
      <c r="Y3574" s="42"/>
      <c r="Z3574" s="42"/>
      <c r="AA3574" s="42"/>
      <c r="AB3574" s="229">
        <f t="shared" si="1520"/>
        <v>0</v>
      </c>
      <c r="AC3574" s="228">
        <f t="shared" si="1501"/>
        <v>0</v>
      </c>
      <c r="AD3574" s="19">
        <v>3</v>
      </c>
      <c r="AE3574" s="43"/>
      <c r="AF3574" s="43"/>
      <c r="AG3574" s="43"/>
      <c r="AH3574" s="43"/>
      <c r="AI3574" s="43"/>
      <c r="AJ3574" s="43"/>
      <c r="AK3574" s="43"/>
      <c r="AL3574" s="43"/>
      <c r="AM3574" s="43"/>
      <c r="AN3574" s="43"/>
      <c r="AO3574" s="43"/>
      <c r="AP3574" s="43"/>
      <c r="AQ3574" s="43"/>
      <c r="AR3574" s="43"/>
      <c r="AS3574" s="43"/>
      <c r="AT3574" s="43"/>
      <c r="AU3574" s="43"/>
      <c r="AV3574" s="43"/>
      <c r="AW3574" s="43"/>
      <c r="AX3574" s="43"/>
      <c r="AY3574" s="43"/>
      <c r="AZ3574" s="43"/>
      <c r="BA3574" s="43"/>
      <c r="BB3574" s="43"/>
      <c r="BC3574" s="229">
        <f t="shared" si="1521"/>
        <v>0</v>
      </c>
      <c r="BD3574" s="48">
        <f t="shared" si="1503"/>
        <v>0</v>
      </c>
      <c r="BE3574" s="19">
        <v>0</v>
      </c>
      <c r="BF3574" s="229">
        <f t="shared" si="1522"/>
        <v>0</v>
      </c>
      <c r="BG3574" s="210">
        <f t="shared" si="1505"/>
        <v>0</v>
      </c>
      <c r="BH3574" s="210">
        <f t="shared" si="1519"/>
        <v>3</v>
      </c>
      <c r="BI3574" s="213">
        <f t="shared" si="1523"/>
        <v>0</v>
      </c>
      <c r="BJ3574" s="270" t="s">
        <v>2857</v>
      </c>
      <c r="BK3574" s="201"/>
    </row>
    <row r="3575" spans="1:65" ht="15.95" customHeight="1">
      <c r="A3575" s="148">
        <v>6</v>
      </c>
      <c r="B3575" s="118" t="s">
        <v>1232</v>
      </c>
      <c r="C3575" s="120" t="s">
        <v>1233</v>
      </c>
      <c r="D3575" s="42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O3575" s="42"/>
      <c r="P3575" s="42"/>
      <c r="Q3575" s="42"/>
      <c r="R3575" s="42"/>
      <c r="S3575" s="42"/>
      <c r="T3575" s="42"/>
      <c r="U3575" s="42"/>
      <c r="V3575" s="42"/>
      <c r="W3575" s="42"/>
      <c r="X3575" s="42"/>
      <c r="Y3575" s="42"/>
      <c r="Z3575" s="42"/>
      <c r="AA3575" s="42"/>
      <c r="AB3575" s="229">
        <f t="shared" si="1520"/>
        <v>0</v>
      </c>
      <c r="AC3575" s="228">
        <f t="shared" si="1501"/>
        <v>0</v>
      </c>
      <c r="AD3575" s="19">
        <v>5</v>
      </c>
      <c r="AE3575" s="43"/>
      <c r="AF3575" s="43"/>
      <c r="AG3575" s="43"/>
      <c r="AH3575" s="43"/>
      <c r="AI3575" s="43"/>
      <c r="AJ3575" s="43"/>
      <c r="AK3575" s="43"/>
      <c r="AL3575" s="43"/>
      <c r="AM3575" s="43"/>
      <c r="AN3575" s="43"/>
      <c r="AO3575" s="43"/>
      <c r="AP3575" s="43"/>
      <c r="AQ3575" s="43"/>
      <c r="AR3575" s="43"/>
      <c r="AS3575" s="43"/>
      <c r="AT3575" s="43"/>
      <c r="AU3575" s="43"/>
      <c r="AV3575" s="43"/>
      <c r="AW3575" s="43"/>
      <c r="AX3575" s="43"/>
      <c r="AY3575" s="43"/>
      <c r="AZ3575" s="43"/>
      <c r="BA3575" s="43"/>
      <c r="BB3575" s="43"/>
      <c r="BC3575" s="229">
        <f t="shared" si="1521"/>
        <v>0</v>
      </c>
      <c r="BD3575" s="48">
        <f t="shared" si="1503"/>
        <v>0</v>
      </c>
      <c r="BE3575" s="19">
        <v>0</v>
      </c>
      <c r="BF3575" s="229">
        <f t="shared" si="1522"/>
        <v>0</v>
      </c>
      <c r="BG3575" s="210">
        <f t="shared" si="1505"/>
        <v>0</v>
      </c>
      <c r="BH3575" s="210">
        <f t="shared" si="1519"/>
        <v>5</v>
      </c>
      <c r="BI3575" s="213">
        <f t="shared" si="1523"/>
        <v>0</v>
      </c>
      <c r="BJ3575" s="270" t="s">
        <v>2857</v>
      </c>
      <c r="BK3575" s="201"/>
    </row>
    <row r="3576" spans="1:65" ht="15.95" customHeight="1">
      <c r="A3576" s="148">
        <v>7</v>
      </c>
      <c r="B3576" s="118" t="s">
        <v>1234</v>
      </c>
      <c r="C3576" s="120" t="s">
        <v>1235</v>
      </c>
      <c r="D3576" s="42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O3576" s="42"/>
      <c r="P3576" s="42"/>
      <c r="Q3576" s="42"/>
      <c r="R3576" s="42"/>
      <c r="S3576" s="42"/>
      <c r="T3576" s="42"/>
      <c r="U3576" s="42"/>
      <c r="V3576" s="42"/>
      <c r="W3576" s="42"/>
      <c r="X3576" s="42"/>
      <c r="Y3576" s="42"/>
      <c r="Z3576" s="42"/>
      <c r="AA3576" s="42"/>
      <c r="AB3576" s="229">
        <f t="shared" si="1520"/>
        <v>0</v>
      </c>
      <c r="AC3576" s="228">
        <f t="shared" si="1501"/>
        <v>0</v>
      </c>
      <c r="AD3576" s="19">
        <v>20</v>
      </c>
      <c r="AE3576" s="43"/>
      <c r="AF3576" s="43"/>
      <c r="AG3576" s="43"/>
      <c r="AH3576" s="43"/>
      <c r="AI3576" s="43"/>
      <c r="AJ3576" s="43"/>
      <c r="AK3576" s="43"/>
      <c r="AL3576" s="43"/>
      <c r="AM3576" s="43"/>
      <c r="AN3576" s="43"/>
      <c r="AO3576" s="43"/>
      <c r="AP3576" s="43"/>
      <c r="AQ3576" s="43"/>
      <c r="AR3576" s="43"/>
      <c r="AS3576" s="43"/>
      <c r="AT3576" s="43"/>
      <c r="AU3576" s="43"/>
      <c r="AV3576" s="43"/>
      <c r="AW3576" s="43"/>
      <c r="AX3576" s="43"/>
      <c r="AY3576" s="43"/>
      <c r="AZ3576" s="43"/>
      <c r="BA3576" s="43"/>
      <c r="BB3576" s="43"/>
      <c r="BC3576" s="229">
        <f t="shared" si="1521"/>
        <v>0</v>
      </c>
      <c r="BD3576" s="48">
        <f t="shared" si="1503"/>
        <v>0</v>
      </c>
      <c r="BE3576" s="19">
        <v>0</v>
      </c>
      <c r="BF3576" s="229">
        <f t="shared" si="1522"/>
        <v>0</v>
      </c>
      <c r="BG3576" s="210">
        <f t="shared" si="1505"/>
        <v>0</v>
      </c>
      <c r="BH3576" s="210">
        <f t="shared" si="1519"/>
        <v>20</v>
      </c>
      <c r="BI3576" s="213">
        <f t="shared" si="1523"/>
        <v>0</v>
      </c>
      <c r="BJ3576" s="270" t="s">
        <v>2857</v>
      </c>
      <c r="BK3576" s="201"/>
    </row>
    <row r="3577" spans="1:65" ht="15.95" customHeight="1">
      <c r="A3577" s="148">
        <v>8</v>
      </c>
      <c r="B3577" s="118" t="s">
        <v>1259</v>
      </c>
      <c r="C3577" s="120" t="s">
        <v>1481</v>
      </c>
      <c r="D3577" s="42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O3577" s="42"/>
      <c r="P3577" s="42"/>
      <c r="Q3577" s="42"/>
      <c r="R3577" s="42"/>
      <c r="S3577" s="42"/>
      <c r="T3577" s="42"/>
      <c r="U3577" s="42"/>
      <c r="V3577" s="42"/>
      <c r="W3577" s="42"/>
      <c r="X3577" s="42"/>
      <c r="Y3577" s="42"/>
      <c r="Z3577" s="42"/>
      <c r="AA3577" s="42"/>
      <c r="AB3577" s="229">
        <f t="shared" si="1520"/>
        <v>0</v>
      </c>
      <c r="AC3577" s="228">
        <f t="shared" si="1501"/>
        <v>0</v>
      </c>
      <c r="AD3577" s="19">
        <v>1</v>
      </c>
      <c r="AE3577" s="43"/>
      <c r="AF3577" s="43"/>
      <c r="AG3577" s="43"/>
      <c r="AH3577" s="43"/>
      <c r="AI3577" s="43"/>
      <c r="AJ3577" s="43"/>
      <c r="AK3577" s="43"/>
      <c r="AL3577" s="43"/>
      <c r="AM3577" s="43"/>
      <c r="AN3577" s="43"/>
      <c r="AO3577" s="43"/>
      <c r="AP3577" s="43"/>
      <c r="AQ3577" s="43"/>
      <c r="AR3577" s="43"/>
      <c r="AS3577" s="43"/>
      <c r="AT3577" s="43"/>
      <c r="AU3577" s="43"/>
      <c r="AV3577" s="43"/>
      <c r="AW3577" s="43"/>
      <c r="AX3577" s="43"/>
      <c r="AY3577" s="43"/>
      <c r="AZ3577" s="43"/>
      <c r="BA3577" s="43"/>
      <c r="BB3577" s="43"/>
      <c r="BC3577" s="229">
        <f t="shared" si="1521"/>
        <v>0</v>
      </c>
      <c r="BD3577" s="48">
        <f t="shared" si="1503"/>
        <v>0</v>
      </c>
      <c r="BE3577" s="19">
        <v>0</v>
      </c>
      <c r="BF3577" s="229">
        <f t="shared" si="1522"/>
        <v>0</v>
      </c>
      <c r="BG3577" s="210">
        <f t="shared" si="1505"/>
        <v>0</v>
      </c>
      <c r="BH3577" s="210">
        <f t="shared" si="1519"/>
        <v>1</v>
      </c>
      <c r="BI3577" s="213">
        <f t="shared" si="1523"/>
        <v>0</v>
      </c>
      <c r="BJ3577" s="270" t="s">
        <v>2857</v>
      </c>
      <c r="BK3577" s="201"/>
    </row>
    <row r="3578" spans="1:65" ht="15.95" customHeight="1">
      <c r="A3578" s="148">
        <v>9</v>
      </c>
      <c r="B3578" s="118" t="s">
        <v>1236</v>
      </c>
      <c r="C3578" s="120" t="s">
        <v>1237</v>
      </c>
      <c r="D3578" s="42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O3578" s="42"/>
      <c r="P3578" s="42"/>
      <c r="Q3578" s="42"/>
      <c r="R3578" s="42"/>
      <c r="S3578" s="42"/>
      <c r="T3578" s="42"/>
      <c r="U3578" s="42"/>
      <c r="V3578" s="42"/>
      <c r="W3578" s="42"/>
      <c r="X3578" s="42"/>
      <c r="Y3578" s="42"/>
      <c r="Z3578" s="42"/>
      <c r="AA3578" s="42"/>
      <c r="AB3578" s="229">
        <f t="shared" si="1520"/>
        <v>0</v>
      </c>
      <c r="AC3578" s="228">
        <f t="shared" si="1501"/>
        <v>0</v>
      </c>
      <c r="AD3578" s="19">
        <v>15</v>
      </c>
      <c r="AE3578" s="43"/>
      <c r="AF3578" s="43"/>
      <c r="AG3578" s="43"/>
      <c r="AH3578" s="43"/>
      <c r="AI3578" s="43"/>
      <c r="AJ3578" s="43"/>
      <c r="AK3578" s="43"/>
      <c r="AL3578" s="43"/>
      <c r="AM3578" s="43"/>
      <c r="AN3578" s="43"/>
      <c r="AO3578" s="43"/>
      <c r="AP3578" s="43"/>
      <c r="AQ3578" s="43"/>
      <c r="AR3578" s="43"/>
      <c r="AS3578" s="43"/>
      <c r="AT3578" s="43"/>
      <c r="AU3578" s="43"/>
      <c r="AV3578" s="43"/>
      <c r="AW3578" s="43"/>
      <c r="AX3578" s="43"/>
      <c r="AY3578" s="43"/>
      <c r="AZ3578" s="43"/>
      <c r="BA3578" s="43"/>
      <c r="BB3578" s="43"/>
      <c r="BC3578" s="229">
        <f t="shared" si="1521"/>
        <v>0</v>
      </c>
      <c r="BD3578" s="48">
        <f t="shared" si="1503"/>
        <v>0</v>
      </c>
      <c r="BE3578" s="19">
        <v>0</v>
      </c>
      <c r="BF3578" s="229">
        <f t="shared" si="1522"/>
        <v>0</v>
      </c>
      <c r="BG3578" s="210">
        <f t="shared" si="1505"/>
        <v>0</v>
      </c>
      <c r="BH3578" s="210">
        <f t="shared" si="1519"/>
        <v>15</v>
      </c>
      <c r="BI3578" s="213">
        <f t="shared" si="1523"/>
        <v>0</v>
      </c>
      <c r="BJ3578" s="270" t="s">
        <v>2857</v>
      </c>
      <c r="BK3578" s="201"/>
    </row>
    <row r="3579" spans="1:65" ht="15.95" customHeight="1">
      <c r="A3579" s="148">
        <v>10</v>
      </c>
      <c r="B3579" s="118" t="s">
        <v>1241</v>
      </c>
      <c r="C3579" s="120" t="s">
        <v>1242</v>
      </c>
      <c r="D3579" s="42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O3579" s="42"/>
      <c r="P3579" s="42"/>
      <c r="Q3579" s="42"/>
      <c r="R3579" s="42"/>
      <c r="S3579" s="42"/>
      <c r="T3579" s="42"/>
      <c r="U3579" s="42"/>
      <c r="V3579" s="42"/>
      <c r="W3579" s="42"/>
      <c r="X3579" s="42"/>
      <c r="Y3579" s="42"/>
      <c r="Z3579" s="42"/>
      <c r="AA3579" s="42"/>
      <c r="AB3579" s="229">
        <f t="shared" si="1520"/>
        <v>0</v>
      </c>
      <c r="AC3579" s="228">
        <f t="shared" si="1501"/>
        <v>0</v>
      </c>
      <c r="AD3579" s="19">
        <v>0</v>
      </c>
      <c r="AE3579" s="43"/>
      <c r="AF3579" s="43"/>
      <c r="AG3579" s="43"/>
      <c r="AH3579" s="43"/>
      <c r="AI3579" s="43"/>
      <c r="AJ3579" s="43"/>
      <c r="AK3579" s="43"/>
      <c r="AL3579" s="43"/>
      <c r="AM3579" s="43"/>
      <c r="AN3579" s="43"/>
      <c r="AO3579" s="43"/>
      <c r="AP3579" s="43"/>
      <c r="AQ3579" s="43"/>
      <c r="AR3579" s="43"/>
      <c r="AS3579" s="43"/>
      <c r="AT3579" s="43"/>
      <c r="AU3579" s="43"/>
      <c r="AV3579" s="43"/>
      <c r="AW3579" s="43"/>
      <c r="AX3579" s="43"/>
      <c r="AY3579" s="43"/>
      <c r="AZ3579" s="43"/>
      <c r="BA3579" s="43"/>
      <c r="BB3579" s="43"/>
      <c r="BC3579" s="229">
        <f t="shared" si="1521"/>
        <v>0</v>
      </c>
      <c r="BD3579" s="48">
        <f t="shared" si="1503"/>
        <v>0</v>
      </c>
      <c r="BE3579" s="19">
        <v>25</v>
      </c>
      <c r="BF3579" s="229">
        <f t="shared" si="1522"/>
        <v>0</v>
      </c>
      <c r="BG3579" s="210">
        <f t="shared" si="1505"/>
        <v>0</v>
      </c>
      <c r="BH3579" s="210">
        <f t="shared" si="1519"/>
        <v>25</v>
      </c>
      <c r="BI3579" s="213">
        <f t="shared" si="1523"/>
        <v>0</v>
      </c>
      <c r="BJ3579" s="141"/>
      <c r="BK3579" s="201"/>
    </row>
    <row r="3580" spans="1:65" ht="15.95" customHeight="1">
      <c r="A3580" s="148">
        <v>11</v>
      </c>
      <c r="B3580" s="118" t="s">
        <v>1243</v>
      </c>
      <c r="C3580" s="120" t="s">
        <v>1244</v>
      </c>
      <c r="D3580" s="42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O3580" s="42"/>
      <c r="P3580" s="42"/>
      <c r="Q3580" s="42"/>
      <c r="R3580" s="42"/>
      <c r="S3580" s="42"/>
      <c r="T3580" s="42"/>
      <c r="U3580" s="42"/>
      <c r="V3580" s="42"/>
      <c r="W3580" s="42"/>
      <c r="X3580" s="42"/>
      <c r="Y3580" s="42"/>
      <c r="Z3580" s="42"/>
      <c r="AA3580" s="42"/>
      <c r="AB3580" s="229">
        <f t="shared" si="1520"/>
        <v>0</v>
      </c>
      <c r="AC3580" s="228">
        <f t="shared" si="1501"/>
        <v>0</v>
      </c>
      <c r="AD3580" s="19">
        <v>0</v>
      </c>
      <c r="AE3580" s="43"/>
      <c r="AF3580" s="43"/>
      <c r="AG3580" s="43"/>
      <c r="AH3580" s="43"/>
      <c r="AI3580" s="43"/>
      <c r="AJ3580" s="43"/>
      <c r="AK3580" s="43"/>
      <c r="AL3580" s="43"/>
      <c r="AM3580" s="43"/>
      <c r="AN3580" s="43"/>
      <c r="AO3580" s="43"/>
      <c r="AP3580" s="43"/>
      <c r="AQ3580" s="43"/>
      <c r="AR3580" s="43"/>
      <c r="AS3580" s="43"/>
      <c r="AT3580" s="43"/>
      <c r="AU3580" s="43"/>
      <c r="AV3580" s="43"/>
      <c r="AW3580" s="43"/>
      <c r="AX3580" s="43"/>
      <c r="AY3580" s="43"/>
      <c r="AZ3580" s="43"/>
      <c r="BA3580" s="43"/>
      <c r="BB3580" s="43"/>
      <c r="BC3580" s="229">
        <f t="shared" si="1521"/>
        <v>0</v>
      </c>
      <c r="BD3580" s="48">
        <f t="shared" si="1503"/>
        <v>0</v>
      </c>
      <c r="BE3580" s="19">
        <v>9</v>
      </c>
      <c r="BF3580" s="229">
        <f t="shared" si="1522"/>
        <v>0</v>
      </c>
      <c r="BG3580" s="210">
        <f t="shared" si="1505"/>
        <v>0</v>
      </c>
      <c r="BH3580" s="210">
        <f t="shared" si="1519"/>
        <v>9</v>
      </c>
      <c r="BI3580" s="213">
        <f t="shared" si="1523"/>
        <v>0</v>
      </c>
      <c r="BJ3580" s="141"/>
      <c r="BK3580" s="201"/>
    </row>
    <row r="3581" spans="1:65" ht="15.95" customHeight="1">
      <c r="A3581" s="148">
        <v>12</v>
      </c>
      <c r="B3581" s="152" t="s">
        <v>840</v>
      </c>
      <c r="C3581" s="120" t="s">
        <v>841</v>
      </c>
      <c r="D3581" s="42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O3581" s="42"/>
      <c r="P3581" s="42"/>
      <c r="Q3581" s="42"/>
      <c r="R3581" s="42"/>
      <c r="S3581" s="42"/>
      <c r="T3581" s="42"/>
      <c r="U3581" s="42"/>
      <c r="V3581" s="42"/>
      <c r="W3581" s="42"/>
      <c r="X3581" s="42"/>
      <c r="Y3581" s="42"/>
      <c r="Z3581" s="42"/>
      <c r="AA3581" s="42"/>
      <c r="AB3581" s="229">
        <f t="shared" si="1520"/>
        <v>0</v>
      </c>
      <c r="AC3581" s="228">
        <f t="shared" si="1501"/>
        <v>0</v>
      </c>
      <c r="AD3581" s="19">
        <v>0</v>
      </c>
      <c r="AE3581" s="43"/>
      <c r="AF3581" s="43"/>
      <c r="AG3581" s="43"/>
      <c r="AH3581" s="43"/>
      <c r="AI3581" s="43"/>
      <c r="AJ3581" s="43"/>
      <c r="AK3581" s="43"/>
      <c r="AL3581" s="43"/>
      <c r="AM3581" s="43"/>
      <c r="AN3581" s="43"/>
      <c r="AO3581" s="43"/>
      <c r="AP3581" s="43"/>
      <c r="AQ3581" s="43"/>
      <c r="AR3581" s="43"/>
      <c r="AS3581" s="43"/>
      <c r="AT3581" s="43"/>
      <c r="AU3581" s="43"/>
      <c r="AV3581" s="43"/>
      <c r="AW3581" s="43"/>
      <c r="AX3581" s="43"/>
      <c r="AY3581" s="43"/>
      <c r="AZ3581" s="43"/>
      <c r="BA3581" s="43"/>
      <c r="BB3581" s="43"/>
      <c r="BC3581" s="229">
        <f t="shared" si="1521"/>
        <v>0</v>
      </c>
      <c r="BD3581" s="48">
        <f t="shared" si="1503"/>
        <v>0</v>
      </c>
      <c r="BE3581" s="19">
        <v>7</v>
      </c>
      <c r="BF3581" s="229">
        <f t="shared" si="1522"/>
        <v>0</v>
      </c>
      <c r="BG3581" s="210">
        <f t="shared" si="1505"/>
        <v>0</v>
      </c>
      <c r="BH3581" s="210">
        <f t="shared" si="1519"/>
        <v>7</v>
      </c>
      <c r="BI3581" s="213">
        <f t="shared" si="1523"/>
        <v>0</v>
      </c>
      <c r="BJ3581" s="141"/>
      <c r="BK3581" s="201"/>
    </row>
    <row r="3582" spans="1:65" ht="15.95" customHeight="1">
      <c r="A3582" s="148">
        <v>13</v>
      </c>
      <c r="B3582" s="118" t="s">
        <v>1260</v>
      </c>
      <c r="C3582" s="120" t="s">
        <v>1261</v>
      </c>
      <c r="D3582" s="42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O3582" s="42"/>
      <c r="P3582" s="42"/>
      <c r="Q3582" s="42"/>
      <c r="R3582" s="42"/>
      <c r="S3582" s="42"/>
      <c r="T3582" s="42"/>
      <c r="U3582" s="42"/>
      <c r="V3582" s="42"/>
      <c r="W3582" s="42"/>
      <c r="X3582" s="42"/>
      <c r="Y3582" s="42"/>
      <c r="Z3582" s="42"/>
      <c r="AA3582" s="42"/>
      <c r="AB3582" s="229">
        <f t="shared" si="1520"/>
        <v>0</v>
      </c>
      <c r="AC3582" s="228">
        <f t="shared" si="1501"/>
        <v>0</v>
      </c>
      <c r="AD3582" s="19">
        <v>0</v>
      </c>
      <c r="AE3582" s="43"/>
      <c r="AF3582" s="43"/>
      <c r="AG3582" s="43"/>
      <c r="AH3582" s="43"/>
      <c r="AI3582" s="43"/>
      <c r="AJ3582" s="43"/>
      <c r="AK3582" s="43"/>
      <c r="AL3582" s="43"/>
      <c r="AM3582" s="43"/>
      <c r="AN3582" s="43"/>
      <c r="AO3582" s="43"/>
      <c r="AP3582" s="43"/>
      <c r="AQ3582" s="43"/>
      <c r="AR3582" s="43"/>
      <c r="AS3582" s="43"/>
      <c r="AT3582" s="43"/>
      <c r="AU3582" s="43"/>
      <c r="AV3582" s="43"/>
      <c r="AW3582" s="43"/>
      <c r="AX3582" s="43"/>
      <c r="AY3582" s="43"/>
      <c r="AZ3582" s="43"/>
      <c r="BA3582" s="43"/>
      <c r="BB3582" s="43"/>
      <c r="BC3582" s="229">
        <f t="shared" si="1521"/>
        <v>0</v>
      </c>
      <c r="BD3582" s="48">
        <f t="shared" si="1503"/>
        <v>0</v>
      </c>
      <c r="BE3582" s="19">
        <v>1</v>
      </c>
      <c r="BF3582" s="229">
        <f t="shared" si="1522"/>
        <v>0</v>
      </c>
      <c r="BG3582" s="210">
        <f t="shared" si="1505"/>
        <v>0</v>
      </c>
      <c r="BH3582" s="210">
        <f t="shared" si="1519"/>
        <v>1</v>
      </c>
      <c r="BI3582" s="213">
        <f t="shared" si="1523"/>
        <v>0</v>
      </c>
      <c r="BJ3582" s="141"/>
      <c r="BK3582" s="201"/>
    </row>
    <row r="3583" spans="1:65" ht="15.95" customHeight="1">
      <c r="A3583" s="148">
        <v>14</v>
      </c>
      <c r="B3583" s="118" t="s">
        <v>1178</v>
      </c>
      <c r="C3583" s="120" t="s">
        <v>1179</v>
      </c>
      <c r="D3583" s="42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O3583" s="42"/>
      <c r="P3583" s="42"/>
      <c r="Q3583" s="42"/>
      <c r="R3583" s="42"/>
      <c r="S3583" s="42"/>
      <c r="T3583" s="42"/>
      <c r="U3583" s="42"/>
      <c r="V3583" s="42"/>
      <c r="W3583" s="42"/>
      <c r="X3583" s="42"/>
      <c r="Y3583" s="42"/>
      <c r="Z3583" s="42"/>
      <c r="AA3583" s="42"/>
      <c r="AB3583" s="229">
        <f t="shared" si="1520"/>
        <v>0</v>
      </c>
      <c r="AC3583" s="228">
        <f t="shared" si="1501"/>
        <v>0</v>
      </c>
      <c r="AD3583" s="19">
        <v>0</v>
      </c>
      <c r="AE3583" s="43"/>
      <c r="AF3583" s="43"/>
      <c r="AG3583" s="43"/>
      <c r="AH3583" s="43"/>
      <c r="AI3583" s="43"/>
      <c r="AJ3583" s="43"/>
      <c r="AK3583" s="43"/>
      <c r="AL3583" s="43"/>
      <c r="AM3583" s="43"/>
      <c r="AN3583" s="43"/>
      <c r="AO3583" s="43"/>
      <c r="AP3583" s="43"/>
      <c r="AQ3583" s="43"/>
      <c r="AR3583" s="43"/>
      <c r="AS3583" s="43"/>
      <c r="AT3583" s="43"/>
      <c r="AU3583" s="43"/>
      <c r="AV3583" s="43"/>
      <c r="AW3583" s="43"/>
      <c r="AX3583" s="43"/>
      <c r="AY3583" s="43"/>
      <c r="AZ3583" s="43"/>
      <c r="BA3583" s="43"/>
      <c r="BB3583" s="43"/>
      <c r="BC3583" s="229">
        <f t="shared" si="1521"/>
        <v>0</v>
      </c>
      <c r="BD3583" s="48">
        <f t="shared" si="1503"/>
        <v>0</v>
      </c>
      <c r="BE3583" s="19">
        <v>30</v>
      </c>
      <c r="BF3583" s="229">
        <f t="shared" si="1522"/>
        <v>0</v>
      </c>
      <c r="BG3583" s="210">
        <f t="shared" si="1505"/>
        <v>0</v>
      </c>
      <c r="BH3583" s="210">
        <f t="shared" si="1519"/>
        <v>30</v>
      </c>
      <c r="BI3583" s="213">
        <f t="shared" si="1523"/>
        <v>0</v>
      </c>
      <c r="BJ3583" s="141"/>
      <c r="BK3583" s="201"/>
    </row>
    <row r="3584" spans="1:65" s="38" customFormat="1" ht="21.95" customHeight="1">
      <c r="A3584" s="148">
        <v>15</v>
      </c>
      <c r="B3584" s="118" t="s">
        <v>1245</v>
      </c>
      <c r="C3584" s="119" t="s">
        <v>1246</v>
      </c>
      <c r="D3584" s="42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O3584" s="42"/>
      <c r="P3584" s="42"/>
      <c r="Q3584" s="42"/>
      <c r="R3584" s="42"/>
      <c r="S3584" s="42"/>
      <c r="T3584" s="42"/>
      <c r="U3584" s="42"/>
      <c r="V3584" s="42"/>
      <c r="W3584" s="42"/>
      <c r="X3584" s="42"/>
      <c r="Y3584" s="42"/>
      <c r="Z3584" s="42"/>
      <c r="AA3584" s="42"/>
      <c r="AB3584" s="229">
        <f t="shared" si="1520"/>
        <v>0</v>
      </c>
      <c r="AC3584" s="228">
        <f t="shared" si="1501"/>
        <v>0</v>
      </c>
      <c r="AD3584" s="19">
        <v>0</v>
      </c>
      <c r="AE3584" s="43"/>
      <c r="AF3584" s="43"/>
      <c r="AG3584" s="43"/>
      <c r="AH3584" s="43"/>
      <c r="AI3584" s="43"/>
      <c r="AJ3584" s="43"/>
      <c r="AK3584" s="43"/>
      <c r="AL3584" s="43"/>
      <c r="AM3584" s="43"/>
      <c r="AN3584" s="43"/>
      <c r="AO3584" s="43"/>
      <c r="AP3584" s="43"/>
      <c r="AQ3584" s="43"/>
      <c r="AR3584" s="43"/>
      <c r="AS3584" s="43"/>
      <c r="AT3584" s="43"/>
      <c r="AU3584" s="43"/>
      <c r="AV3584" s="43"/>
      <c r="AW3584" s="43"/>
      <c r="AX3584" s="43"/>
      <c r="AY3584" s="43"/>
      <c r="AZ3584" s="43"/>
      <c r="BA3584" s="43"/>
      <c r="BB3584" s="43"/>
      <c r="BC3584" s="229">
        <f t="shared" si="1521"/>
        <v>0</v>
      </c>
      <c r="BD3584" s="48">
        <f t="shared" si="1503"/>
        <v>0</v>
      </c>
      <c r="BE3584" s="19">
        <v>35</v>
      </c>
      <c r="BF3584" s="229">
        <f t="shared" si="1522"/>
        <v>0</v>
      </c>
      <c r="BG3584" s="210">
        <f t="shared" si="1505"/>
        <v>0</v>
      </c>
      <c r="BH3584" s="210">
        <f t="shared" si="1519"/>
        <v>35</v>
      </c>
      <c r="BI3584" s="213">
        <f t="shared" si="1523"/>
        <v>0</v>
      </c>
      <c r="BJ3584" s="141"/>
      <c r="BK3584" s="201"/>
      <c r="BL3584" s="4"/>
      <c r="BM3584" s="4"/>
    </row>
    <row r="3585" spans="1:65" s="38" customFormat="1" ht="15.95" customHeight="1">
      <c r="A3585" s="148">
        <v>16</v>
      </c>
      <c r="B3585" s="118" t="s">
        <v>1247</v>
      </c>
      <c r="C3585" s="195" t="s">
        <v>1248</v>
      </c>
      <c r="D3585" s="42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O3585" s="42"/>
      <c r="P3585" s="42"/>
      <c r="Q3585" s="42"/>
      <c r="R3585" s="42"/>
      <c r="S3585" s="42"/>
      <c r="T3585" s="42"/>
      <c r="U3585" s="42"/>
      <c r="V3585" s="42"/>
      <c r="W3585" s="42"/>
      <c r="X3585" s="42"/>
      <c r="Y3585" s="42"/>
      <c r="Z3585" s="42"/>
      <c r="AA3585" s="42"/>
      <c r="AB3585" s="229">
        <f t="shared" si="1520"/>
        <v>0</v>
      </c>
      <c r="AC3585" s="228">
        <f t="shared" si="1501"/>
        <v>0</v>
      </c>
      <c r="AD3585" s="19">
        <v>0</v>
      </c>
      <c r="AE3585" s="43"/>
      <c r="AF3585" s="43"/>
      <c r="AG3585" s="43"/>
      <c r="AH3585" s="43"/>
      <c r="AI3585" s="43"/>
      <c r="AJ3585" s="43"/>
      <c r="AK3585" s="43"/>
      <c r="AL3585" s="43"/>
      <c r="AM3585" s="43"/>
      <c r="AN3585" s="43"/>
      <c r="AO3585" s="43"/>
      <c r="AP3585" s="43"/>
      <c r="AQ3585" s="43"/>
      <c r="AR3585" s="43"/>
      <c r="AS3585" s="43"/>
      <c r="AT3585" s="43"/>
      <c r="AU3585" s="43"/>
      <c r="AV3585" s="43"/>
      <c r="AW3585" s="43"/>
      <c r="AX3585" s="43"/>
      <c r="AY3585" s="43"/>
      <c r="AZ3585" s="43"/>
      <c r="BA3585" s="43"/>
      <c r="BB3585" s="43"/>
      <c r="BC3585" s="229">
        <f t="shared" si="1521"/>
        <v>0</v>
      </c>
      <c r="BD3585" s="48">
        <f t="shared" si="1503"/>
        <v>0</v>
      </c>
      <c r="BE3585" s="19">
        <v>5</v>
      </c>
      <c r="BF3585" s="229">
        <f t="shared" si="1522"/>
        <v>0</v>
      </c>
      <c r="BG3585" s="210">
        <f t="shared" si="1505"/>
        <v>0</v>
      </c>
      <c r="BH3585" s="210">
        <f t="shared" si="1519"/>
        <v>5</v>
      </c>
      <c r="BI3585" s="213">
        <f t="shared" si="1523"/>
        <v>0</v>
      </c>
      <c r="BJ3585" s="141"/>
      <c r="BK3585" s="201"/>
      <c r="BL3585" s="4"/>
      <c r="BM3585" s="4"/>
    </row>
    <row r="3586" spans="1:65" s="38" customFormat="1" ht="15.95" customHeight="1">
      <c r="A3586" s="148">
        <v>17</v>
      </c>
      <c r="B3586" s="118" t="s">
        <v>1249</v>
      </c>
      <c r="C3586" s="120" t="s">
        <v>1668</v>
      </c>
      <c r="D3586" s="42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O3586" s="42"/>
      <c r="P3586" s="42"/>
      <c r="Q3586" s="42"/>
      <c r="R3586" s="42"/>
      <c r="S3586" s="42"/>
      <c r="T3586" s="42"/>
      <c r="U3586" s="42"/>
      <c r="V3586" s="42"/>
      <c r="W3586" s="42"/>
      <c r="X3586" s="42"/>
      <c r="Y3586" s="42"/>
      <c r="Z3586" s="42"/>
      <c r="AA3586" s="42"/>
      <c r="AB3586" s="229">
        <f t="shared" si="1520"/>
        <v>0</v>
      </c>
      <c r="AC3586" s="228">
        <f t="shared" si="1501"/>
        <v>0</v>
      </c>
      <c r="AD3586" s="19">
        <v>0</v>
      </c>
      <c r="AE3586" s="43"/>
      <c r="AF3586" s="43"/>
      <c r="AG3586" s="43"/>
      <c r="AH3586" s="43"/>
      <c r="AI3586" s="43"/>
      <c r="AJ3586" s="43"/>
      <c r="AK3586" s="43"/>
      <c r="AL3586" s="43"/>
      <c r="AM3586" s="43"/>
      <c r="AN3586" s="43"/>
      <c r="AO3586" s="43"/>
      <c r="AP3586" s="43"/>
      <c r="AQ3586" s="43"/>
      <c r="AR3586" s="43"/>
      <c r="AS3586" s="43"/>
      <c r="AT3586" s="43"/>
      <c r="AU3586" s="43"/>
      <c r="AV3586" s="43"/>
      <c r="AW3586" s="43"/>
      <c r="AX3586" s="43"/>
      <c r="AY3586" s="43"/>
      <c r="AZ3586" s="43"/>
      <c r="BA3586" s="43"/>
      <c r="BB3586" s="43"/>
      <c r="BC3586" s="229">
        <f t="shared" si="1521"/>
        <v>0</v>
      </c>
      <c r="BD3586" s="48">
        <f t="shared" si="1503"/>
        <v>0</v>
      </c>
      <c r="BE3586" s="19">
        <v>5</v>
      </c>
      <c r="BF3586" s="229">
        <f t="shared" si="1522"/>
        <v>0</v>
      </c>
      <c r="BG3586" s="210">
        <f t="shared" si="1505"/>
        <v>0</v>
      </c>
      <c r="BH3586" s="210">
        <f t="shared" si="1519"/>
        <v>5</v>
      </c>
      <c r="BI3586" s="213">
        <f t="shared" si="1523"/>
        <v>0</v>
      </c>
      <c r="BJ3586" s="141"/>
      <c r="BK3586" s="201"/>
      <c r="BL3586" s="4"/>
      <c r="BM3586" s="4"/>
    </row>
    <row r="3587" spans="1:65" s="38" customFormat="1" ht="15.95" customHeight="1">
      <c r="A3587" s="148">
        <v>18</v>
      </c>
      <c r="B3587" s="118" t="s">
        <v>1262</v>
      </c>
      <c r="C3587" s="120" t="s">
        <v>1263</v>
      </c>
      <c r="D3587" s="42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O3587" s="42"/>
      <c r="P3587" s="42"/>
      <c r="Q3587" s="42"/>
      <c r="R3587" s="42"/>
      <c r="S3587" s="42"/>
      <c r="T3587" s="42"/>
      <c r="U3587" s="42"/>
      <c r="V3587" s="42"/>
      <c r="W3587" s="42"/>
      <c r="X3587" s="42"/>
      <c r="Y3587" s="42"/>
      <c r="Z3587" s="42"/>
      <c r="AA3587" s="42"/>
      <c r="AB3587" s="229">
        <f t="shared" si="1520"/>
        <v>0</v>
      </c>
      <c r="AC3587" s="228">
        <f t="shared" si="1501"/>
        <v>0</v>
      </c>
      <c r="AD3587" s="19">
        <v>0</v>
      </c>
      <c r="AE3587" s="43"/>
      <c r="AF3587" s="43"/>
      <c r="AG3587" s="43"/>
      <c r="AH3587" s="43"/>
      <c r="AI3587" s="43"/>
      <c r="AJ3587" s="43"/>
      <c r="AK3587" s="43"/>
      <c r="AL3587" s="43"/>
      <c r="AM3587" s="43"/>
      <c r="AN3587" s="43"/>
      <c r="AO3587" s="43"/>
      <c r="AP3587" s="43"/>
      <c r="AQ3587" s="43"/>
      <c r="AR3587" s="43"/>
      <c r="AS3587" s="43"/>
      <c r="AT3587" s="43"/>
      <c r="AU3587" s="43"/>
      <c r="AV3587" s="43"/>
      <c r="AW3587" s="43"/>
      <c r="AX3587" s="43"/>
      <c r="AY3587" s="43"/>
      <c r="AZ3587" s="43"/>
      <c r="BA3587" s="43"/>
      <c r="BB3587" s="43"/>
      <c r="BC3587" s="229">
        <f t="shared" si="1521"/>
        <v>0</v>
      </c>
      <c r="BD3587" s="48">
        <f t="shared" si="1503"/>
        <v>0</v>
      </c>
      <c r="BE3587" s="19">
        <v>3</v>
      </c>
      <c r="BF3587" s="229">
        <f t="shared" si="1522"/>
        <v>0</v>
      </c>
      <c r="BG3587" s="210">
        <f t="shared" si="1505"/>
        <v>0</v>
      </c>
      <c r="BH3587" s="210">
        <f t="shared" si="1519"/>
        <v>3</v>
      </c>
      <c r="BI3587" s="213">
        <f t="shared" si="1523"/>
        <v>0</v>
      </c>
      <c r="BJ3587" s="141"/>
      <c r="BK3587" s="201"/>
      <c r="BL3587" s="4"/>
      <c r="BM3587" s="4"/>
    </row>
    <row r="3588" spans="1:65" s="38" customFormat="1" ht="21.95" customHeight="1">
      <c r="A3588" s="365" t="s">
        <v>2791</v>
      </c>
      <c r="B3588" s="365"/>
      <c r="C3588" s="365"/>
      <c r="D3588" s="39">
        <f t="shared" ref="D3588:BE3588" si="1524">SUM(D3589:D3602)</f>
        <v>0</v>
      </c>
      <c r="E3588" s="39">
        <f t="shared" si="1524"/>
        <v>0</v>
      </c>
      <c r="F3588" s="39">
        <f t="shared" si="1524"/>
        <v>0</v>
      </c>
      <c r="G3588" s="39">
        <f t="shared" si="1524"/>
        <v>0</v>
      </c>
      <c r="H3588" s="39">
        <f t="shared" si="1524"/>
        <v>0</v>
      </c>
      <c r="I3588" s="39">
        <f t="shared" si="1524"/>
        <v>0</v>
      </c>
      <c r="J3588" s="39">
        <f t="shared" si="1524"/>
        <v>0</v>
      </c>
      <c r="K3588" s="39">
        <f t="shared" si="1524"/>
        <v>0</v>
      </c>
      <c r="L3588" s="39">
        <f t="shared" si="1524"/>
        <v>0</v>
      </c>
      <c r="M3588" s="39">
        <f t="shared" si="1524"/>
        <v>0</v>
      </c>
      <c r="N3588" s="39">
        <f t="shared" si="1524"/>
        <v>0</v>
      </c>
      <c r="O3588" s="39">
        <f t="shared" si="1524"/>
        <v>0</v>
      </c>
      <c r="P3588" s="39">
        <f t="shared" si="1524"/>
        <v>0</v>
      </c>
      <c r="Q3588" s="39">
        <f t="shared" si="1524"/>
        <v>0</v>
      </c>
      <c r="R3588" s="39">
        <f t="shared" si="1524"/>
        <v>0</v>
      </c>
      <c r="S3588" s="39">
        <f t="shared" si="1524"/>
        <v>0</v>
      </c>
      <c r="T3588" s="39">
        <f t="shared" si="1524"/>
        <v>0</v>
      </c>
      <c r="U3588" s="39">
        <f t="shared" si="1524"/>
        <v>0</v>
      </c>
      <c r="V3588" s="39">
        <f t="shared" si="1524"/>
        <v>0</v>
      </c>
      <c r="W3588" s="39">
        <f t="shared" si="1524"/>
        <v>0</v>
      </c>
      <c r="X3588" s="39">
        <f t="shared" si="1524"/>
        <v>0</v>
      </c>
      <c r="Y3588" s="39">
        <f t="shared" si="1524"/>
        <v>0</v>
      </c>
      <c r="Z3588" s="39">
        <f t="shared" si="1524"/>
        <v>0</v>
      </c>
      <c r="AA3588" s="39">
        <f t="shared" si="1524"/>
        <v>0</v>
      </c>
      <c r="AB3588" s="39">
        <f t="shared" si="1500"/>
        <v>0</v>
      </c>
      <c r="AC3588" s="39">
        <f t="shared" si="1501"/>
        <v>0</v>
      </c>
      <c r="AD3588" s="39">
        <f t="shared" si="1524"/>
        <v>224</v>
      </c>
      <c r="AE3588" s="39">
        <f t="shared" si="1524"/>
        <v>0</v>
      </c>
      <c r="AF3588" s="39">
        <f t="shared" si="1524"/>
        <v>0</v>
      </c>
      <c r="AG3588" s="39">
        <f t="shared" si="1524"/>
        <v>0</v>
      </c>
      <c r="AH3588" s="39">
        <f t="shared" si="1524"/>
        <v>0</v>
      </c>
      <c r="AI3588" s="39">
        <f t="shared" si="1524"/>
        <v>0</v>
      </c>
      <c r="AJ3588" s="39">
        <f t="shared" si="1524"/>
        <v>0</v>
      </c>
      <c r="AK3588" s="39">
        <f t="shared" si="1524"/>
        <v>0</v>
      </c>
      <c r="AL3588" s="39">
        <f t="shared" si="1524"/>
        <v>0</v>
      </c>
      <c r="AM3588" s="39">
        <f t="shared" si="1524"/>
        <v>0</v>
      </c>
      <c r="AN3588" s="39">
        <f t="shared" si="1524"/>
        <v>0</v>
      </c>
      <c r="AO3588" s="39">
        <f t="shared" si="1524"/>
        <v>0</v>
      </c>
      <c r="AP3588" s="39">
        <f t="shared" si="1524"/>
        <v>0</v>
      </c>
      <c r="AQ3588" s="39">
        <f t="shared" si="1524"/>
        <v>0</v>
      </c>
      <c r="AR3588" s="39">
        <f t="shared" si="1524"/>
        <v>0</v>
      </c>
      <c r="AS3588" s="39">
        <f t="shared" si="1524"/>
        <v>0</v>
      </c>
      <c r="AT3588" s="39">
        <f t="shared" si="1524"/>
        <v>0</v>
      </c>
      <c r="AU3588" s="39">
        <f t="shared" si="1524"/>
        <v>0</v>
      </c>
      <c r="AV3588" s="39">
        <f t="shared" si="1524"/>
        <v>0</v>
      </c>
      <c r="AW3588" s="39">
        <f t="shared" si="1524"/>
        <v>0</v>
      </c>
      <c r="AX3588" s="39">
        <f t="shared" si="1524"/>
        <v>0</v>
      </c>
      <c r="AY3588" s="39">
        <f t="shared" si="1524"/>
        <v>0</v>
      </c>
      <c r="AZ3588" s="39">
        <f t="shared" si="1524"/>
        <v>0</v>
      </c>
      <c r="BA3588" s="39">
        <f t="shared" si="1524"/>
        <v>0</v>
      </c>
      <c r="BB3588" s="39">
        <f t="shared" si="1524"/>
        <v>0</v>
      </c>
      <c r="BC3588" s="39">
        <f t="shared" si="1502"/>
        <v>0</v>
      </c>
      <c r="BD3588" s="101">
        <f t="shared" si="1503"/>
        <v>0</v>
      </c>
      <c r="BE3588" s="39">
        <f t="shared" si="1524"/>
        <v>65</v>
      </c>
      <c r="BF3588" s="39">
        <f t="shared" si="1504"/>
        <v>0</v>
      </c>
      <c r="BG3588" s="101">
        <f t="shared" si="1505"/>
        <v>0</v>
      </c>
      <c r="BH3588" s="101">
        <f t="shared" si="1519"/>
        <v>289</v>
      </c>
      <c r="BI3588" s="280">
        <f t="shared" si="1506"/>
        <v>0</v>
      </c>
      <c r="BJ3588" s="142">
        <v>289</v>
      </c>
      <c r="BK3588" s="203">
        <f>BH3588-BJ3588</f>
        <v>0</v>
      </c>
      <c r="BL3588" s="4"/>
      <c r="BM3588" s="4"/>
    </row>
    <row r="3589" spans="1:65" s="38" customFormat="1" ht="15.95" customHeight="1">
      <c r="A3589" s="148">
        <v>1</v>
      </c>
      <c r="B3589" s="118" t="s">
        <v>1256</v>
      </c>
      <c r="C3589" s="120" t="s">
        <v>1257</v>
      </c>
      <c r="D3589" s="42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O3589" s="42"/>
      <c r="P3589" s="42"/>
      <c r="Q3589" s="42"/>
      <c r="R3589" s="42"/>
      <c r="S3589" s="42"/>
      <c r="T3589" s="42"/>
      <c r="U3589" s="42"/>
      <c r="V3589" s="42"/>
      <c r="W3589" s="42"/>
      <c r="X3589" s="42"/>
      <c r="Y3589" s="42"/>
      <c r="Z3589" s="42"/>
      <c r="AA3589" s="42"/>
      <c r="AB3589" s="229">
        <f t="shared" ref="AB3589:AB3602" si="1525">D3589+F3589+H3589+J3589+L3589+N3589+P3589+R3589+T3589+V3589+X3589+Z3589</f>
        <v>0</v>
      </c>
      <c r="AC3589" s="228">
        <f t="shared" ref="AC3589:AC3602" si="1526">E3589+G3589+I3589+K3589+M3589+O3589+Q3589+S3589+U3589+W3589+Y3589+AA3589</f>
        <v>0</v>
      </c>
      <c r="AD3589" s="19">
        <v>4</v>
      </c>
      <c r="AE3589" s="43"/>
      <c r="AF3589" s="43"/>
      <c r="AG3589" s="43"/>
      <c r="AH3589" s="43"/>
      <c r="AI3589" s="43"/>
      <c r="AJ3589" s="43"/>
      <c r="AK3589" s="43"/>
      <c r="AL3589" s="43"/>
      <c r="AM3589" s="43"/>
      <c r="AN3589" s="43"/>
      <c r="AO3589" s="43"/>
      <c r="AP3589" s="43"/>
      <c r="AQ3589" s="43"/>
      <c r="AR3589" s="43"/>
      <c r="AS3589" s="43"/>
      <c r="AT3589" s="43"/>
      <c r="AU3589" s="43"/>
      <c r="AV3589" s="43"/>
      <c r="AW3589" s="43"/>
      <c r="AX3589" s="43"/>
      <c r="AY3589" s="43"/>
      <c r="AZ3589" s="43"/>
      <c r="BA3589" s="43"/>
      <c r="BB3589" s="43"/>
      <c r="BC3589" s="229">
        <f t="shared" ref="BC3589:BC3602" si="1527">AE3589+AG3589+AI3589+AK3589+AM3589+AO3589+AQ3589+AS3589+AU3589+AW3589+AY3589+BA3589</f>
        <v>0</v>
      </c>
      <c r="BD3589" s="48">
        <f t="shared" ref="BD3589:BD3602" si="1528">AF3589+AH3589+AJ3589+AL3589+AN3589+AP3589+AR3589+AT3589+AV3589+AX3589+AZ3589+BB3589</f>
        <v>0</v>
      </c>
      <c r="BE3589" s="19">
        <v>0</v>
      </c>
      <c r="BF3589" s="229">
        <f t="shared" ref="BF3589:BF3602" si="1529">AB3589+BC3589</f>
        <v>0</v>
      </c>
      <c r="BG3589" s="210">
        <f t="shared" ref="BG3589:BG3602" si="1530">AC3589+BD3589</f>
        <v>0</v>
      </c>
      <c r="BH3589" s="210">
        <f t="shared" si="1519"/>
        <v>4</v>
      </c>
      <c r="BI3589" s="213">
        <f t="shared" ref="BI3589:BI3602" si="1531">BG3589/BH3589*100</f>
        <v>0</v>
      </c>
      <c r="BJ3589" s="270" t="s">
        <v>2857</v>
      </c>
      <c r="BK3589" s="201"/>
      <c r="BL3589" s="4"/>
      <c r="BM3589" s="4"/>
    </row>
    <row r="3590" spans="1:65" s="38" customFormat="1" ht="15.95" customHeight="1">
      <c r="A3590" s="148">
        <v>2</v>
      </c>
      <c r="B3590" s="118" t="s">
        <v>1224</v>
      </c>
      <c r="C3590" s="120" t="s">
        <v>1225</v>
      </c>
      <c r="D3590" s="42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O3590" s="42"/>
      <c r="P3590" s="42"/>
      <c r="Q3590" s="42"/>
      <c r="R3590" s="42"/>
      <c r="S3590" s="42"/>
      <c r="T3590" s="42"/>
      <c r="U3590" s="42"/>
      <c r="V3590" s="42"/>
      <c r="W3590" s="42"/>
      <c r="X3590" s="42"/>
      <c r="Y3590" s="42"/>
      <c r="Z3590" s="42"/>
      <c r="AA3590" s="42"/>
      <c r="AB3590" s="229">
        <f t="shared" si="1525"/>
        <v>0</v>
      </c>
      <c r="AC3590" s="228">
        <f t="shared" si="1526"/>
        <v>0</v>
      </c>
      <c r="AD3590" s="19">
        <v>100</v>
      </c>
      <c r="AE3590" s="43"/>
      <c r="AF3590" s="43"/>
      <c r="AG3590" s="43"/>
      <c r="AH3590" s="43"/>
      <c r="AI3590" s="43"/>
      <c r="AJ3590" s="43"/>
      <c r="AK3590" s="43"/>
      <c r="AL3590" s="43"/>
      <c r="AM3590" s="43"/>
      <c r="AN3590" s="43"/>
      <c r="AO3590" s="43"/>
      <c r="AP3590" s="43"/>
      <c r="AQ3590" s="43"/>
      <c r="AR3590" s="43"/>
      <c r="AS3590" s="43"/>
      <c r="AT3590" s="43"/>
      <c r="AU3590" s="43"/>
      <c r="AV3590" s="43"/>
      <c r="AW3590" s="43"/>
      <c r="AX3590" s="43"/>
      <c r="AY3590" s="43"/>
      <c r="AZ3590" s="43"/>
      <c r="BA3590" s="43"/>
      <c r="BB3590" s="43"/>
      <c r="BC3590" s="229">
        <f t="shared" si="1527"/>
        <v>0</v>
      </c>
      <c r="BD3590" s="48">
        <f t="shared" si="1528"/>
        <v>0</v>
      </c>
      <c r="BE3590" s="19">
        <v>0</v>
      </c>
      <c r="BF3590" s="229">
        <f t="shared" si="1529"/>
        <v>0</v>
      </c>
      <c r="BG3590" s="210">
        <f t="shared" si="1530"/>
        <v>0</v>
      </c>
      <c r="BH3590" s="210">
        <f t="shared" si="1519"/>
        <v>100</v>
      </c>
      <c r="BI3590" s="213">
        <f t="shared" si="1531"/>
        <v>0</v>
      </c>
      <c r="BJ3590" s="270" t="s">
        <v>2857</v>
      </c>
      <c r="BK3590" s="201"/>
      <c r="BL3590" s="4"/>
      <c r="BM3590" s="4"/>
    </row>
    <row r="3591" spans="1:65" s="38" customFormat="1" ht="15.95" customHeight="1">
      <c r="A3591" s="148">
        <v>3</v>
      </c>
      <c r="B3591" s="118" t="s">
        <v>1272</v>
      </c>
      <c r="C3591" s="120" t="s">
        <v>1502</v>
      </c>
      <c r="D3591" s="42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O3591" s="42"/>
      <c r="P3591" s="42"/>
      <c r="Q3591" s="42"/>
      <c r="R3591" s="42"/>
      <c r="S3591" s="42"/>
      <c r="T3591" s="42"/>
      <c r="U3591" s="42"/>
      <c r="V3591" s="42"/>
      <c r="W3591" s="42"/>
      <c r="X3591" s="42"/>
      <c r="Y3591" s="42"/>
      <c r="Z3591" s="42"/>
      <c r="AA3591" s="42"/>
      <c r="AB3591" s="229">
        <f t="shared" si="1525"/>
        <v>0</v>
      </c>
      <c r="AC3591" s="228">
        <f t="shared" si="1526"/>
        <v>0</v>
      </c>
      <c r="AD3591" s="19">
        <v>5</v>
      </c>
      <c r="AE3591" s="43"/>
      <c r="AF3591" s="43"/>
      <c r="AG3591" s="43"/>
      <c r="AH3591" s="43"/>
      <c r="AI3591" s="43"/>
      <c r="AJ3591" s="43"/>
      <c r="AK3591" s="43"/>
      <c r="AL3591" s="43"/>
      <c r="AM3591" s="43"/>
      <c r="AN3591" s="43"/>
      <c r="AO3591" s="43"/>
      <c r="AP3591" s="43"/>
      <c r="AQ3591" s="43"/>
      <c r="AR3591" s="43"/>
      <c r="AS3591" s="43"/>
      <c r="AT3591" s="43"/>
      <c r="AU3591" s="43"/>
      <c r="AV3591" s="43"/>
      <c r="AW3591" s="43"/>
      <c r="AX3591" s="43"/>
      <c r="AY3591" s="43"/>
      <c r="AZ3591" s="43"/>
      <c r="BA3591" s="43"/>
      <c r="BB3591" s="43"/>
      <c r="BC3591" s="229">
        <f t="shared" si="1527"/>
        <v>0</v>
      </c>
      <c r="BD3591" s="48">
        <f t="shared" si="1528"/>
        <v>0</v>
      </c>
      <c r="BE3591" s="19">
        <v>0</v>
      </c>
      <c r="BF3591" s="229">
        <f t="shared" si="1529"/>
        <v>0</v>
      </c>
      <c r="BG3591" s="210">
        <f t="shared" si="1530"/>
        <v>0</v>
      </c>
      <c r="BH3591" s="210">
        <f t="shared" si="1519"/>
        <v>5</v>
      </c>
      <c r="BI3591" s="213">
        <f t="shared" si="1531"/>
        <v>0</v>
      </c>
      <c r="BJ3591" s="270" t="s">
        <v>2857</v>
      </c>
      <c r="BK3591" s="201"/>
      <c r="BL3591" s="4"/>
      <c r="BM3591" s="4"/>
    </row>
    <row r="3592" spans="1:65" s="38" customFormat="1" ht="15.95" customHeight="1">
      <c r="A3592" s="148">
        <v>4</v>
      </c>
      <c r="B3592" s="118" t="s">
        <v>1228</v>
      </c>
      <c r="C3592" s="120" t="s">
        <v>1229</v>
      </c>
      <c r="D3592" s="42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O3592" s="42"/>
      <c r="P3592" s="42"/>
      <c r="Q3592" s="42"/>
      <c r="R3592" s="42"/>
      <c r="S3592" s="42"/>
      <c r="T3592" s="42"/>
      <c r="U3592" s="42"/>
      <c r="V3592" s="42"/>
      <c r="W3592" s="42"/>
      <c r="X3592" s="42"/>
      <c r="Y3592" s="42"/>
      <c r="Z3592" s="42"/>
      <c r="AA3592" s="42"/>
      <c r="AB3592" s="229">
        <f t="shared" si="1525"/>
        <v>0</v>
      </c>
      <c r="AC3592" s="228">
        <f t="shared" si="1526"/>
        <v>0</v>
      </c>
      <c r="AD3592" s="19">
        <v>30</v>
      </c>
      <c r="AE3592" s="43"/>
      <c r="AF3592" s="43"/>
      <c r="AG3592" s="43"/>
      <c r="AH3592" s="43"/>
      <c r="AI3592" s="43"/>
      <c r="AJ3592" s="43"/>
      <c r="AK3592" s="43"/>
      <c r="AL3592" s="43"/>
      <c r="AM3592" s="43"/>
      <c r="AN3592" s="43"/>
      <c r="AO3592" s="43"/>
      <c r="AP3592" s="43"/>
      <c r="AQ3592" s="43"/>
      <c r="AR3592" s="43"/>
      <c r="AS3592" s="43"/>
      <c r="AT3592" s="43"/>
      <c r="AU3592" s="43"/>
      <c r="AV3592" s="43"/>
      <c r="AW3592" s="43"/>
      <c r="AX3592" s="43"/>
      <c r="AY3592" s="43"/>
      <c r="AZ3592" s="43"/>
      <c r="BA3592" s="43"/>
      <c r="BB3592" s="43"/>
      <c r="BC3592" s="229">
        <f t="shared" si="1527"/>
        <v>0</v>
      </c>
      <c r="BD3592" s="48">
        <f t="shared" si="1528"/>
        <v>0</v>
      </c>
      <c r="BE3592" s="19">
        <v>0</v>
      </c>
      <c r="BF3592" s="229">
        <f t="shared" si="1529"/>
        <v>0</v>
      </c>
      <c r="BG3592" s="210">
        <f t="shared" si="1530"/>
        <v>0</v>
      </c>
      <c r="BH3592" s="210">
        <f t="shared" si="1519"/>
        <v>30</v>
      </c>
      <c r="BI3592" s="213">
        <f t="shared" si="1531"/>
        <v>0</v>
      </c>
      <c r="BJ3592" s="270" t="s">
        <v>2857</v>
      </c>
      <c r="BK3592" s="201"/>
      <c r="BL3592" s="4"/>
      <c r="BM3592" s="4"/>
    </row>
    <row r="3593" spans="1:65" s="38" customFormat="1" ht="15.95" customHeight="1">
      <c r="A3593" s="148">
        <v>5</v>
      </c>
      <c r="B3593" s="118" t="s">
        <v>1230</v>
      </c>
      <c r="C3593" s="120" t="s">
        <v>1231</v>
      </c>
      <c r="D3593" s="42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O3593" s="42"/>
      <c r="P3593" s="42"/>
      <c r="Q3593" s="42"/>
      <c r="R3593" s="42"/>
      <c r="S3593" s="42"/>
      <c r="T3593" s="42"/>
      <c r="U3593" s="42"/>
      <c r="V3593" s="42"/>
      <c r="W3593" s="42"/>
      <c r="X3593" s="42"/>
      <c r="Y3593" s="42"/>
      <c r="Z3593" s="42"/>
      <c r="AA3593" s="42"/>
      <c r="AB3593" s="229">
        <f t="shared" si="1525"/>
        <v>0</v>
      </c>
      <c r="AC3593" s="228">
        <f t="shared" si="1526"/>
        <v>0</v>
      </c>
      <c r="AD3593" s="19">
        <v>20</v>
      </c>
      <c r="AE3593" s="43"/>
      <c r="AF3593" s="43"/>
      <c r="AG3593" s="43"/>
      <c r="AH3593" s="43"/>
      <c r="AI3593" s="43"/>
      <c r="AJ3593" s="43"/>
      <c r="AK3593" s="43"/>
      <c r="AL3593" s="43"/>
      <c r="AM3593" s="43"/>
      <c r="AN3593" s="43"/>
      <c r="AO3593" s="43"/>
      <c r="AP3593" s="43"/>
      <c r="AQ3593" s="43"/>
      <c r="AR3593" s="43"/>
      <c r="AS3593" s="43"/>
      <c r="AT3593" s="43"/>
      <c r="AU3593" s="43"/>
      <c r="AV3593" s="43"/>
      <c r="AW3593" s="43"/>
      <c r="AX3593" s="43"/>
      <c r="AY3593" s="43"/>
      <c r="AZ3593" s="43"/>
      <c r="BA3593" s="43"/>
      <c r="BB3593" s="43"/>
      <c r="BC3593" s="229">
        <f t="shared" si="1527"/>
        <v>0</v>
      </c>
      <c r="BD3593" s="48">
        <f t="shared" si="1528"/>
        <v>0</v>
      </c>
      <c r="BE3593" s="19">
        <v>0</v>
      </c>
      <c r="BF3593" s="229">
        <f t="shared" si="1529"/>
        <v>0</v>
      </c>
      <c r="BG3593" s="210">
        <f t="shared" si="1530"/>
        <v>0</v>
      </c>
      <c r="BH3593" s="210">
        <f t="shared" si="1519"/>
        <v>20</v>
      </c>
      <c r="BI3593" s="213">
        <f t="shared" si="1531"/>
        <v>0</v>
      </c>
      <c r="BJ3593" s="270" t="s">
        <v>2857</v>
      </c>
      <c r="BK3593" s="201"/>
      <c r="BL3593" s="4"/>
      <c r="BM3593" s="4"/>
    </row>
    <row r="3594" spans="1:65" s="38" customFormat="1" ht="15.95" customHeight="1">
      <c r="A3594" s="148">
        <v>6</v>
      </c>
      <c r="B3594" s="118" t="s">
        <v>1264</v>
      </c>
      <c r="C3594" s="120" t="s">
        <v>1265</v>
      </c>
      <c r="D3594" s="42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O3594" s="42"/>
      <c r="P3594" s="42"/>
      <c r="Q3594" s="42"/>
      <c r="R3594" s="42"/>
      <c r="S3594" s="42"/>
      <c r="T3594" s="42"/>
      <c r="U3594" s="42"/>
      <c r="V3594" s="42"/>
      <c r="W3594" s="42"/>
      <c r="X3594" s="42"/>
      <c r="Y3594" s="42"/>
      <c r="Z3594" s="42"/>
      <c r="AA3594" s="42"/>
      <c r="AB3594" s="229">
        <f t="shared" si="1525"/>
        <v>0</v>
      </c>
      <c r="AC3594" s="228">
        <f t="shared" si="1526"/>
        <v>0</v>
      </c>
      <c r="AD3594" s="19">
        <v>20</v>
      </c>
      <c r="AE3594" s="43"/>
      <c r="AF3594" s="43"/>
      <c r="AG3594" s="43"/>
      <c r="AH3594" s="43"/>
      <c r="AI3594" s="43"/>
      <c r="AJ3594" s="43"/>
      <c r="AK3594" s="43"/>
      <c r="AL3594" s="43"/>
      <c r="AM3594" s="43"/>
      <c r="AN3594" s="43"/>
      <c r="AO3594" s="43"/>
      <c r="AP3594" s="43"/>
      <c r="AQ3594" s="43"/>
      <c r="AR3594" s="43"/>
      <c r="AS3594" s="43"/>
      <c r="AT3594" s="43"/>
      <c r="AU3594" s="43"/>
      <c r="AV3594" s="43"/>
      <c r="AW3594" s="43"/>
      <c r="AX3594" s="43"/>
      <c r="AY3594" s="43"/>
      <c r="AZ3594" s="43"/>
      <c r="BA3594" s="43"/>
      <c r="BB3594" s="43"/>
      <c r="BC3594" s="229">
        <f t="shared" si="1527"/>
        <v>0</v>
      </c>
      <c r="BD3594" s="48">
        <f t="shared" si="1528"/>
        <v>0</v>
      </c>
      <c r="BE3594" s="19">
        <v>0</v>
      </c>
      <c r="BF3594" s="229">
        <f t="shared" si="1529"/>
        <v>0</v>
      </c>
      <c r="BG3594" s="210">
        <f t="shared" si="1530"/>
        <v>0</v>
      </c>
      <c r="BH3594" s="210">
        <f t="shared" si="1519"/>
        <v>20</v>
      </c>
      <c r="BI3594" s="213">
        <f t="shared" si="1531"/>
        <v>0</v>
      </c>
      <c r="BJ3594" s="270" t="s">
        <v>2857</v>
      </c>
      <c r="BK3594" s="201"/>
      <c r="BL3594" s="4"/>
      <c r="BM3594" s="4"/>
    </row>
    <row r="3595" spans="1:65" s="38" customFormat="1" ht="15.95" customHeight="1">
      <c r="A3595" s="148">
        <v>7</v>
      </c>
      <c r="B3595" s="118" t="s">
        <v>1232</v>
      </c>
      <c r="C3595" s="120" t="s">
        <v>1233</v>
      </c>
      <c r="D3595" s="42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O3595" s="42"/>
      <c r="P3595" s="42"/>
      <c r="Q3595" s="42"/>
      <c r="R3595" s="42"/>
      <c r="S3595" s="42"/>
      <c r="T3595" s="42"/>
      <c r="U3595" s="42"/>
      <c r="V3595" s="42"/>
      <c r="W3595" s="42"/>
      <c r="X3595" s="42"/>
      <c r="Y3595" s="42"/>
      <c r="Z3595" s="42"/>
      <c r="AA3595" s="42"/>
      <c r="AB3595" s="229">
        <f t="shared" si="1525"/>
        <v>0</v>
      </c>
      <c r="AC3595" s="228">
        <f t="shared" si="1526"/>
        <v>0</v>
      </c>
      <c r="AD3595" s="19">
        <v>10</v>
      </c>
      <c r="AE3595" s="43"/>
      <c r="AF3595" s="43"/>
      <c r="AG3595" s="43"/>
      <c r="AH3595" s="43"/>
      <c r="AI3595" s="43"/>
      <c r="AJ3595" s="43"/>
      <c r="AK3595" s="43"/>
      <c r="AL3595" s="43"/>
      <c r="AM3595" s="43"/>
      <c r="AN3595" s="43"/>
      <c r="AO3595" s="43"/>
      <c r="AP3595" s="43"/>
      <c r="AQ3595" s="43"/>
      <c r="AR3595" s="43"/>
      <c r="AS3595" s="43"/>
      <c r="AT3595" s="43"/>
      <c r="AU3595" s="43"/>
      <c r="AV3595" s="43"/>
      <c r="AW3595" s="43"/>
      <c r="AX3595" s="43"/>
      <c r="AY3595" s="43"/>
      <c r="AZ3595" s="43"/>
      <c r="BA3595" s="43"/>
      <c r="BB3595" s="43"/>
      <c r="BC3595" s="229">
        <f t="shared" si="1527"/>
        <v>0</v>
      </c>
      <c r="BD3595" s="48">
        <f t="shared" si="1528"/>
        <v>0</v>
      </c>
      <c r="BE3595" s="19">
        <v>0</v>
      </c>
      <c r="BF3595" s="229">
        <f t="shared" si="1529"/>
        <v>0</v>
      </c>
      <c r="BG3595" s="210">
        <f t="shared" si="1530"/>
        <v>0</v>
      </c>
      <c r="BH3595" s="210">
        <f t="shared" si="1519"/>
        <v>10</v>
      </c>
      <c r="BI3595" s="213">
        <f t="shared" si="1531"/>
        <v>0</v>
      </c>
      <c r="BJ3595" s="270" t="s">
        <v>2857</v>
      </c>
      <c r="BK3595" s="201"/>
      <c r="BL3595" s="4"/>
      <c r="BM3595" s="4"/>
    </row>
    <row r="3596" spans="1:65" s="38" customFormat="1" ht="15.95" customHeight="1">
      <c r="A3596" s="148">
        <v>8</v>
      </c>
      <c r="B3596" s="118" t="s">
        <v>1234</v>
      </c>
      <c r="C3596" s="120" t="s">
        <v>1235</v>
      </c>
      <c r="D3596" s="42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O3596" s="42"/>
      <c r="P3596" s="42"/>
      <c r="Q3596" s="42"/>
      <c r="R3596" s="42"/>
      <c r="S3596" s="42"/>
      <c r="T3596" s="42"/>
      <c r="U3596" s="42"/>
      <c r="V3596" s="42"/>
      <c r="W3596" s="42"/>
      <c r="X3596" s="42"/>
      <c r="Y3596" s="42"/>
      <c r="Z3596" s="42"/>
      <c r="AA3596" s="42"/>
      <c r="AB3596" s="229">
        <f t="shared" si="1525"/>
        <v>0</v>
      </c>
      <c r="AC3596" s="228">
        <f t="shared" si="1526"/>
        <v>0</v>
      </c>
      <c r="AD3596" s="19">
        <v>15</v>
      </c>
      <c r="AE3596" s="43"/>
      <c r="AF3596" s="43"/>
      <c r="AG3596" s="43"/>
      <c r="AH3596" s="43"/>
      <c r="AI3596" s="43"/>
      <c r="AJ3596" s="43"/>
      <c r="AK3596" s="43"/>
      <c r="AL3596" s="43"/>
      <c r="AM3596" s="43"/>
      <c r="AN3596" s="43"/>
      <c r="AO3596" s="43"/>
      <c r="AP3596" s="43"/>
      <c r="AQ3596" s="43"/>
      <c r="AR3596" s="43"/>
      <c r="AS3596" s="43"/>
      <c r="AT3596" s="43"/>
      <c r="AU3596" s="43"/>
      <c r="AV3596" s="43"/>
      <c r="AW3596" s="43"/>
      <c r="AX3596" s="43"/>
      <c r="AY3596" s="43"/>
      <c r="AZ3596" s="43"/>
      <c r="BA3596" s="43"/>
      <c r="BB3596" s="43"/>
      <c r="BC3596" s="229">
        <f t="shared" si="1527"/>
        <v>0</v>
      </c>
      <c r="BD3596" s="48">
        <f t="shared" si="1528"/>
        <v>0</v>
      </c>
      <c r="BE3596" s="19">
        <v>0</v>
      </c>
      <c r="BF3596" s="229">
        <f t="shared" si="1529"/>
        <v>0</v>
      </c>
      <c r="BG3596" s="210">
        <f t="shared" si="1530"/>
        <v>0</v>
      </c>
      <c r="BH3596" s="210">
        <f t="shared" si="1519"/>
        <v>15</v>
      </c>
      <c r="BI3596" s="213">
        <f t="shared" si="1531"/>
        <v>0</v>
      </c>
      <c r="BJ3596" s="270" t="s">
        <v>2857</v>
      </c>
      <c r="BK3596" s="201"/>
      <c r="BL3596" s="4"/>
      <c r="BM3596" s="4"/>
    </row>
    <row r="3597" spans="1:65" s="38" customFormat="1" ht="15.95" customHeight="1">
      <c r="A3597" s="148">
        <v>9</v>
      </c>
      <c r="B3597" s="118" t="s">
        <v>1236</v>
      </c>
      <c r="C3597" s="120" t="s">
        <v>1237</v>
      </c>
      <c r="D3597" s="42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O3597" s="42"/>
      <c r="P3597" s="42"/>
      <c r="Q3597" s="42"/>
      <c r="R3597" s="42"/>
      <c r="S3597" s="42"/>
      <c r="T3597" s="42"/>
      <c r="U3597" s="42"/>
      <c r="V3597" s="42"/>
      <c r="W3597" s="42"/>
      <c r="X3597" s="42"/>
      <c r="Y3597" s="42"/>
      <c r="Z3597" s="42"/>
      <c r="AA3597" s="42"/>
      <c r="AB3597" s="229">
        <f t="shared" si="1525"/>
        <v>0</v>
      </c>
      <c r="AC3597" s="228">
        <f t="shared" si="1526"/>
        <v>0</v>
      </c>
      <c r="AD3597" s="19">
        <v>20</v>
      </c>
      <c r="AE3597" s="43"/>
      <c r="AF3597" s="43"/>
      <c r="AG3597" s="43"/>
      <c r="AH3597" s="43"/>
      <c r="AI3597" s="43"/>
      <c r="AJ3597" s="43"/>
      <c r="AK3597" s="43"/>
      <c r="AL3597" s="43"/>
      <c r="AM3597" s="43"/>
      <c r="AN3597" s="43"/>
      <c r="AO3597" s="43"/>
      <c r="AP3597" s="43"/>
      <c r="AQ3597" s="43"/>
      <c r="AR3597" s="43"/>
      <c r="AS3597" s="43"/>
      <c r="AT3597" s="43"/>
      <c r="AU3597" s="43"/>
      <c r="AV3597" s="43"/>
      <c r="AW3597" s="43"/>
      <c r="AX3597" s="43"/>
      <c r="AY3597" s="43"/>
      <c r="AZ3597" s="43"/>
      <c r="BA3597" s="43"/>
      <c r="BB3597" s="43"/>
      <c r="BC3597" s="229">
        <f t="shared" si="1527"/>
        <v>0</v>
      </c>
      <c r="BD3597" s="48">
        <f t="shared" si="1528"/>
        <v>0</v>
      </c>
      <c r="BE3597" s="19">
        <v>0</v>
      </c>
      <c r="BF3597" s="229">
        <f t="shared" si="1529"/>
        <v>0</v>
      </c>
      <c r="BG3597" s="210">
        <f t="shared" si="1530"/>
        <v>0</v>
      </c>
      <c r="BH3597" s="210">
        <f t="shared" si="1519"/>
        <v>20</v>
      </c>
      <c r="BI3597" s="213">
        <f t="shared" si="1531"/>
        <v>0</v>
      </c>
      <c r="BJ3597" s="270" t="s">
        <v>2857</v>
      </c>
      <c r="BK3597" s="201"/>
      <c r="BL3597" s="4"/>
      <c r="BM3597" s="4"/>
    </row>
    <row r="3598" spans="1:65" s="38" customFormat="1" ht="15.95" customHeight="1">
      <c r="A3598" s="148">
        <v>10</v>
      </c>
      <c r="B3598" s="118" t="s">
        <v>1241</v>
      </c>
      <c r="C3598" s="120" t="s">
        <v>1275</v>
      </c>
      <c r="D3598" s="42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O3598" s="42"/>
      <c r="P3598" s="42"/>
      <c r="Q3598" s="42"/>
      <c r="R3598" s="42"/>
      <c r="S3598" s="42"/>
      <c r="T3598" s="42"/>
      <c r="U3598" s="42"/>
      <c r="V3598" s="42"/>
      <c r="W3598" s="42"/>
      <c r="X3598" s="42"/>
      <c r="Y3598" s="42"/>
      <c r="Z3598" s="42"/>
      <c r="AA3598" s="42"/>
      <c r="AB3598" s="229">
        <f t="shared" si="1525"/>
        <v>0</v>
      </c>
      <c r="AC3598" s="228">
        <f t="shared" si="1526"/>
        <v>0</v>
      </c>
      <c r="AD3598" s="19">
        <v>0</v>
      </c>
      <c r="AE3598" s="43"/>
      <c r="AF3598" s="43"/>
      <c r="AG3598" s="43"/>
      <c r="AH3598" s="43"/>
      <c r="AI3598" s="43"/>
      <c r="AJ3598" s="43"/>
      <c r="AK3598" s="43"/>
      <c r="AL3598" s="43"/>
      <c r="AM3598" s="43"/>
      <c r="AN3598" s="43"/>
      <c r="AO3598" s="43"/>
      <c r="AP3598" s="43"/>
      <c r="AQ3598" s="43"/>
      <c r="AR3598" s="43"/>
      <c r="AS3598" s="43"/>
      <c r="AT3598" s="43"/>
      <c r="AU3598" s="43"/>
      <c r="AV3598" s="43"/>
      <c r="AW3598" s="43"/>
      <c r="AX3598" s="43"/>
      <c r="AY3598" s="43"/>
      <c r="AZ3598" s="43"/>
      <c r="BA3598" s="43"/>
      <c r="BB3598" s="43"/>
      <c r="BC3598" s="229">
        <f t="shared" si="1527"/>
        <v>0</v>
      </c>
      <c r="BD3598" s="48">
        <f t="shared" si="1528"/>
        <v>0</v>
      </c>
      <c r="BE3598" s="19">
        <v>20</v>
      </c>
      <c r="BF3598" s="229">
        <f t="shared" si="1529"/>
        <v>0</v>
      </c>
      <c r="BG3598" s="210">
        <f t="shared" si="1530"/>
        <v>0</v>
      </c>
      <c r="BH3598" s="210">
        <f t="shared" si="1519"/>
        <v>20</v>
      </c>
      <c r="BI3598" s="213">
        <f t="shared" si="1531"/>
        <v>0</v>
      </c>
      <c r="BJ3598" s="141"/>
      <c r="BK3598" s="201"/>
      <c r="BL3598" s="4"/>
      <c r="BM3598" s="4"/>
    </row>
    <row r="3599" spans="1:65" s="38" customFormat="1" ht="15.95" customHeight="1">
      <c r="A3599" s="148">
        <v>11</v>
      </c>
      <c r="B3599" s="118" t="s">
        <v>1178</v>
      </c>
      <c r="C3599" s="120" t="s">
        <v>1179</v>
      </c>
      <c r="D3599" s="42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O3599" s="42"/>
      <c r="P3599" s="42"/>
      <c r="Q3599" s="42"/>
      <c r="R3599" s="42"/>
      <c r="S3599" s="42"/>
      <c r="T3599" s="42"/>
      <c r="U3599" s="42"/>
      <c r="V3599" s="42"/>
      <c r="W3599" s="42"/>
      <c r="X3599" s="42"/>
      <c r="Y3599" s="42"/>
      <c r="Z3599" s="42"/>
      <c r="AA3599" s="42"/>
      <c r="AB3599" s="229">
        <f t="shared" si="1525"/>
        <v>0</v>
      </c>
      <c r="AC3599" s="228">
        <f t="shared" si="1526"/>
        <v>0</v>
      </c>
      <c r="AD3599" s="19">
        <v>0</v>
      </c>
      <c r="AE3599" s="43"/>
      <c r="AF3599" s="43"/>
      <c r="AG3599" s="43"/>
      <c r="AH3599" s="43"/>
      <c r="AI3599" s="43"/>
      <c r="AJ3599" s="43"/>
      <c r="AK3599" s="43"/>
      <c r="AL3599" s="43"/>
      <c r="AM3599" s="43"/>
      <c r="AN3599" s="43"/>
      <c r="AO3599" s="43"/>
      <c r="AP3599" s="43"/>
      <c r="AQ3599" s="43"/>
      <c r="AR3599" s="43"/>
      <c r="AS3599" s="43"/>
      <c r="AT3599" s="43"/>
      <c r="AU3599" s="43"/>
      <c r="AV3599" s="43"/>
      <c r="AW3599" s="43"/>
      <c r="AX3599" s="43"/>
      <c r="AY3599" s="43"/>
      <c r="AZ3599" s="43"/>
      <c r="BA3599" s="43"/>
      <c r="BB3599" s="43"/>
      <c r="BC3599" s="229">
        <f t="shared" si="1527"/>
        <v>0</v>
      </c>
      <c r="BD3599" s="48">
        <f t="shared" si="1528"/>
        <v>0</v>
      </c>
      <c r="BE3599" s="19">
        <v>20</v>
      </c>
      <c r="BF3599" s="229">
        <f t="shared" si="1529"/>
        <v>0</v>
      </c>
      <c r="BG3599" s="210">
        <f t="shared" si="1530"/>
        <v>0</v>
      </c>
      <c r="BH3599" s="210">
        <f t="shared" si="1519"/>
        <v>20</v>
      </c>
      <c r="BI3599" s="213">
        <f t="shared" si="1531"/>
        <v>0</v>
      </c>
      <c r="BJ3599" s="141"/>
      <c r="BK3599" s="201"/>
      <c r="BL3599" s="4"/>
      <c r="BM3599" s="4"/>
    </row>
    <row r="3600" spans="1:65" s="38" customFormat="1" ht="21.95" customHeight="1">
      <c r="A3600" s="148">
        <v>12</v>
      </c>
      <c r="B3600" s="118" t="s">
        <v>1245</v>
      </c>
      <c r="C3600" s="119" t="s">
        <v>1246</v>
      </c>
      <c r="D3600" s="42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O3600" s="42"/>
      <c r="P3600" s="42"/>
      <c r="Q3600" s="42"/>
      <c r="R3600" s="42"/>
      <c r="S3600" s="42"/>
      <c r="T3600" s="42"/>
      <c r="U3600" s="42"/>
      <c r="V3600" s="42"/>
      <c r="W3600" s="42"/>
      <c r="X3600" s="42"/>
      <c r="Y3600" s="42"/>
      <c r="Z3600" s="42"/>
      <c r="AA3600" s="42"/>
      <c r="AB3600" s="229">
        <f t="shared" si="1525"/>
        <v>0</v>
      </c>
      <c r="AC3600" s="228">
        <f t="shared" si="1526"/>
        <v>0</v>
      </c>
      <c r="AD3600" s="19">
        <v>0</v>
      </c>
      <c r="AE3600" s="43"/>
      <c r="AF3600" s="43"/>
      <c r="AG3600" s="43"/>
      <c r="AH3600" s="43"/>
      <c r="AI3600" s="43"/>
      <c r="AJ3600" s="43"/>
      <c r="AK3600" s="43"/>
      <c r="AL3600" s="43"/>
      <c r="AM3600" s="43"/>
      <c r="AN3600" s="43"/>
      <c r="AO3600" s="43"/>
      <c r="AP3600" s="43"/>
      <c r="AQ3600" s="43"/>
      <c r="AR3600" s="43"/>
      <c r="AS3600" s="43"/>
      <c r="AT3600" s="43"/>
      <c r="AU3600" s="43"/>
      <c r="AV3600" s="43"/>
      <c r="AW3600" s="43"/>
      <c r="AX3600" s="43"/>
      <c r="AY3600" s="43"/>
      <c r="AZ3600" s="43"/>
      <c r="BA3600" s="43"/>
      <c r="BB3600" s="43"/>
      <c r="BC3600" s="229">
        <f t="shared" si="1527"/>
        <v>0</v>
      </c>
      <c r="BD3600" s="48">
        <f t="shared" si="1528"/>
        <v>0</v>
      </c>
      <c r="BE3600" s="19">
        <v>20</v>
      </c>
      <c r="BF3600" s="229">
        <f t="shared" si="1529"/>
        <v>0</v>
      </c>
      <c r="BG3600" s="210">
        <f t="shared" si="1530"/>
        <v>0</v>
      </c>
      <c r="BH3600" s="210">
        <f t="shared" si="1519"/>
        <v>20</v>
      </c>
      <c r="BI3600" s="213">
        <f t="shared" si="1531"/>
        <v>0</v>
      </c>
      <c r="BJ3600" s="141"/>
      <c r="BK3600" s="201"/>
      <c r="BL3600" s="4"/>
      <c r="BM3600" s="4"/>
    </row>
    <row r="3601" spans="1:65" s="38" customFormat="1" ht="15.95" customHeight="1">
      <c r="A3601" s="148">
        <v>13</v>
      </c>
      <c r="B3601" s="118" t="s">
        <v>1247</v>
      </c>
      <c r="C3601" s="195" t="s">
        <v>1248</v>
      </c>
      <c r="D3601" s="42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O3601" s="42"/>
      <c r="P3601" s="42"/>
      <c r="Q3601" s="42"/>
      <c r="R3601" s="42"/>
      <c r="S3601" s="42"/>
      <c r="T3601" s="42"/>
      <c r="U3601" s="42"/>
      <c r="V3601" s="42"/>
      <c r="W3601" s="42"/>
      <c r="X3601" s="42"/>
      <c r="Y3601" s="42"/>
      <c r="Z3601" s="42"/>
      <c r="AA3601" s="42"/>
      <c r="AB3601" s="229">
        <f t="shared" si="1525"/>
        <v>0</v>
      </c>
      <c r="AC3601" s="228">
        <f t="shared" si="1526"/>
        <v>0</v>
      </c>
      <c r="AD3601" s="19">
        <v>0</v>
      </c>
      <c r="AE3601" s="43"/>
      <c r="AF3601" s="43"/>
      <c r="AG3601" s="43"/>
      <c r="AH3601" s="43"/>
      <c r="AI3601" s="43"/>
      <c r="AJ3601" s="43"/>
      <c r="AK3601" s="43"/>
      <c r="AL3601" s="43"/>
      <c r="AM3601" s="43"/>
      <c r="AN3601" s="43"/>
      <c r="AO3601" s="43"/>
      <c r="AP3601" s="43"/>
      <c r="AQ3601" s="43"/>
      <c r="AR3601" s="43"/>
      <c r="AS3601" s="43"/>
      <c r="AT3601" s="43"/>
      <c r="AU3601" s="43"/>
      <c r="AV3601" s="43"/>
      <c r="AW3601" s="43"/>
      <c r="AX3601" s="43"/>
      <c r="AY3601" s="43"/>
      <c r="AZ3601" s="43"/>
      <c r="BA3601" s="43"/>
      <c r="BB3601" s="43"/>
      <c r="BC3601" s="229">
        <f t="shared" si="1527"/>
        <v>0</v>
      </c>
      <c r="BD3601" s="48">
        <f t="shared" si="1528"/>
        <v>0</v>
      </c>
      <c r="BE3601" s="19">
        <v>3</v>
      </c>
      <c r="BF3601" s="229">
        <f t="shared" si="1529"/>
        <v>0</v>
      </c>
      <c r="BG3601" s="210">
        <f t="shared" si="1530"/>
        <v>0</v>
      </c>
      <c r="BH3601" s="210">
        <f t="shared" si="1519"/>
        <v>3</v>
      </c>
      <c r="BI3601" s="213">
        <f t="shared" si="1531"/>
        <v>0</v>
      </c>
      <c r="BJ3601" s="141"/>
      <c r="BK3601" s="201"/>
      <c r="BL3601" s="4"/>
      <c r="BM3601" s="4"/>
    </row>
    <row r="3602" spans="1:65" s="38" customFormat="1" ht="15.95" customHeight="1">
      <c r="A3602" s="148">
        <v>14</v>
      </c>
      <c r="B3602" s="118" t="s">
        <v>1262</v>
      </c>
      <c r="C3602" s="120" t="s">
        <v>1263</v>
      </c>
      <c r="D3602" s="42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O3602" s="42"/>
      <c r="P3602" s="42"/>
      <c r="Q3602" s="42"/>
      <c r="R3602" s="42"/>
      <c r="S3602" s="42"/>
      <c r="T3602" s="42"/>
      <c r="U3602" s="42"/>
      <c r="V3602" s="42"/>
      <c r="W3602" s="42"/>
      <c r="X3602" s="42"/>
      <c r="Y3602" s="42"/>
      <c r="Z3602" s="42"/>
      <c r="AA3602" s="42"/>
      <c r="AB3602" s="229">
        <f t="shared" si="1525"/>
        <v>0</v>
      </c>
      <c r="AC3602" s="228">
        <f t="shared" si="1526"/>
        <v>0</v>
      </c>
      <c r="AD3602" s="19">
        <v>0</v>
      </c>
      <c r="AE3602" s="43"/>
      <c r="AF3602" s="43"/>
      <c r="AG3602" s="43"/>
      <c r="AH3602" s="43"/>
      <c r="AI3602" s="43"/>
      <c r="AJ3602" s="43"/>
      <c r="AK3602" s="43"/>
      <c r="AL3602" s="43"/>
      <c r="AM3602" s="43"/>
      <c r="AN3602" s="43"/>
      <c r="AO3602" s="43"/>
      <c r="AP3602" s="43"/>
      <c r="AQ3602" s="43"/>
      <c r="AR3602" s="43"/>
      <c r="AS3602" s="43"/>
      <c r="AT3602" s="43"/>
      <c r="AU3602" s="43"/>
      <c r="AV3602" s="43"/>
      <c r="AW3602" s="43"/>
      <c r="AX3602" s="43"/>
      <c r="AY3602" s="43"/>
      <c r="AZ3602" s="43"/>
      <c r="BA3602" s="43"/>
      <c r="BB3602" s="43"/>
      <c r="BC3602" s="229">
        <f t="shared" si="1527"/>
        <v>0</v>
      </c>
      <c r="BD3602" s="48">
        <f t="shared" si="1528"/>
        <v>0</v>
      </c>
      <c r="BE3602" s="19">
        <v>2</v>
      </c>
      <c r="BF3602" s="229">
        <f t="shared" si="1529"/>
        <v>0</v>
      </c>
      <c r="BG3602" s="210">
        <f t="shared" si="1530"/>
        <v>0</v>
      </c>
      <c r="BH3602" s="210">
        <f t="shared" si="1519"/>
        <v>2</v>
      </c>
      <c r="BI3602" s="213">
        <f t="shared" si="1531"/>
        <v>0</v>
      </c>
      <c r="BJ3602" s="141"/>
      <c r="BK3602" s="201"/>
      <c r="BL3602" s="4"/>
      <c r="BM3602" s="4"/>
    </row>
    <row r="3603" spans="1:65" s="38" customFormat="1" ht="21.95" customHeight="1">
      <c r="A3603" s="364" t="s">
        <v>1280</v>
      </c>
      <c r="B3603" s="364"/>
      <c r="C3603" s="364"/>
      <c r="D3603" s="39">
        <f t="shared" ref="D3603:BE3603" si="1532">SUM(D3604:D3605)</f>
        <v>0</v>
      </c>
      <c r="E3603" s="39">
        <f t="shared" si="1532"/>
        <v>0</v>
      </c>
      <c r="F3603" s="39">
        <f t="shared" si="1532"/>
        <v>0</v>
      </c>
      <c r="G3603" s="39">
        <f t="shared" si="1532"/>
        <v>0</v>
      </c>
      <c r="H3603" s="39">
        <f t="shared" si="1532"/>
        <v>0</v>
      </c>
      <c r="I3603" s="39">
        <f t="shared" si="1532"/>
        <v>0</v>
      </c>
      <c r="J3603" s="39">
        <f t="shared" si="1532"/>
        <v>0</v>
      </c>
      <c r="K3603" s="39">
        <f t="shared" si="1532"/>
        <v>0</v>
      </c>
      <c r="L3603" s="39">
        <f t="shared" si="1532"/>
        <v>0</v>
      </c>
      <c r="M3603" s="39">
        <f t="shared" si="1532"/>
        <v>0</v>
      </c>
      <c r="N3603" s="39">
        <f t="shared" si="1532"/>
        <v>0</v>
      </c>
      <c r="O3603" s="39">
        <f t="shared" si="1532"/>
        <v>0</v>
      </c>
      <c r="P3603" s="39">
        <f t="shared" ref="P3603:S3603" si="1533">SUM(P3604:P3605)</f>
        <v>0</v>
      </c>
      <c r="Q3603" s="39">
        <f t="shared" si="1533"/>
        <v>0</v>
      </c>
      <c r="R3603" s="39">
        <f t="shared" si="1533"/>
        <v>0</v>
      </c>
      <c r="S3603" s="39">
        <f t="shared" si="1533"/>
        <v>0</v>
      </c>
      <c r="T3603" s="39">
        <f t="shared" si="1532"/>
        <v>0</v>
      </c>
      <c r="U3603" s="39">
        <f t="shared" si="1532"/>
        <v>0</v>
      </c>
      <c r="V3603" s="39">
        <f t="shared" si="1532"/>
        <v>0</v>
      </c>
      <c r="W3603" s="39">
        <f t="shared" si="1532"/>
        <v>0</v>
      </c>
      <c r="X3603" s="39">
        <f t="shared" si="1532"/>
        <v>0</v>
      </c>
      <c r="Y3603" s="39">
        <f t="shared" si="1532"/>
        <v>0</v>
      </c>
      <c r="Z3603" s="39">
        <f t="shared" si="1532"/>
        <v>0</v>
      </c>
      <c r="AA3603" s="39">
        <f t="shared" si="1532"/>
        <v>0</v>
      </c>
      <c r="AB3603" s="39">
        <f t="shared" ref="AB3603:AB3654" si="1534">D3603+F3603+H3603+J3603+L3603+N3603+P3603+R3603+T3603+V3603+X3603+Z3603</f>
        <v>0</v>
      </c>
      <c r="AC3603" s="39">
        <f t="shared" ref="AC3603:AC3654" si="1535">E3603+G3603+I3603+K3603+M3603+O3603+Q3603+S3603+U3603+W3603+Y3603+AA3603</f>
        <v>0</v>
      </c>
      <c r="AD3603" s="39">
        <f t="shared" si="1532"/>
        <v>0</v>
      </c>
      <c r="AE3603" s="39">
        <f t="shared" si="1532"/>
        <v>0</v>
      </c>
      <c r="AF3603" s="39">
        <f t="shared" si="1532"/>
        <v>0</v>
      </c>
      <c r="AG3603" s="39">
        <f t="shared" si="1532"/>
        <v>0</v>
      </c>
      <c r="AH3603" s="39">
        <f t="shared" si="1532"/>
        <v>0</v>
      </c>
      <c r="AI3603" s="39">
        <f t="shared" si="1532"/>
        <v>0</v>
      </c>
      <c r="AJ3603" s="39">
        <f t="shared" si="1532"/>
        <v>0</v>
      </c>
      <c r="AK3603" s="39">
        <f t="shared" si="1532"/>
        <v>0</v>
      </c>
      <c r="AL3603" s="39">
        <f t="shared" si="1532"/>
        <v>0</v>
      </c>
      <c r="AM3603" s="39">
        <f t="shared" si="1532"/>
        <v>0</v>
      </c>
      <c r="AN3603" s="39">
        <f t="shared" si="1532"/>
        <v>0</v>
      </c>
      <c r="AO3603" s="39">
        <f t="shared" si="1532"/>
        <v>0</v>
      </c>
      <c r="AP3603" s="39">
        <f t="shared" si="1532"/>
        <v>0</v>
      </c>
      <c r="AQ3603" s="39">
        <f t="shared" ref="AQ3603:AT3603" si="1536">SUM(AQ3604:AQ3605)</f>
        <v>0</v>
      </c>
      <c r="AR3603" s="39">
        <f t="shared" si="1536"/>
        <v>0</v>
      </c>
      <c r="AS3603" s="39">
        <f t="shared" si="1536"/>
        <v>0</v>
      </c>
      <c r="AT3603" s="39">
        <f t="shared" si="1536"/>
        <v>0</v>
      </c>
      <c r="AU3603" s="39">
        <f t="shared" ref="AU3603:AX3603" si="1537">SUM(AU3604:AU3605)</f>
        <v>0</v>
      </c>
      <c r="AV3603" s="39">
        <f t="shared" si="1537"/>
        <v>0</v>
      </c>
      <c r="AW3603" s="39">
        <f t="shared" si="1537"/>
        <v>0</v>
      </c>
      <c r="AX3603" s="39">
        <f t="shared" si="1537"/>
        <v>0</v>
      </c>
      <c r="AY3603" s="39">
        <f t="shared" si="1532"/>
        <v>0</v>
      </c>
      <c r="AZ3603" s="39">
        <f t="shared" si="1532"/>
        <v>0</v>
      </c>
      <c r="BA3603" s="39">
        <f t="shared" si="1532"/>
        <v>0</v>
      </c>
      <c r="BB3603" s="39">
        <f t="shared" si="1532"/>
        <v>0</v>
      </c>
      <c r="BC3603" s="39">
        <f t="shared" ref="BC3603:BC3654" si="1538">AE3603+AG3603+AI3603+AK3603+AM3603+AO3603+AQ3603+AS3603+AU3603+AW3603+AY3603+BA3603</f>
        <v>0</v>
      </c>
      <c r="BD3603" s="101">
        <f t="shared" ref="BD3603:BD3654" si="1539">AF3603+AH3603+AJ3603+AL3603+AN3603+AP3603+AR3603+AT3603+AV3603+AX3603+AZ3603+BB3603</f>
        <v>0</v>
      </c>
      <c r="BE3603" s="39">
        <f t="shared" si="1532"/>
        <v>0</v>
      </c>
      <c r="BF3603" s="39">
        <f t="shared" ref="BF3603:BF3654" si="1540">AB3603+BC3603</f>
        <v>0</v>
      </c>
      <c r="BG3603" s="101">
        <f t="shared" ref="BG3603:BG3654" si="1541">AC3603+BD3603</f>
        <v>0</v>
      </c>
      <c r="BH3603" s="101">
        <f t="shared" si="1519"/>
        <v>0</v>
      </c>
      <c r="BI3603" s="280" t="e">
        <f t="shared" ref="BI3603:BI3654" si="1542">BG3603/BH3603*100</f>
        <v>#DIV/0!</v>
      </c>
      <c r="BJ3603" s="142">
        <v>0</v>
      </c>
      <c r="BK3603" s="203">
        <f>BH3603-BJ3603</f>
        <v>0</v>
      </c>
      <c r="BL3603" s="4"/>
      <c r="BM3603" s="4"/>
    </row>
    <row r="3604" spans="1:65" s="38" customFormat="1" ht="15.95" customHeight="1">
      <c r="A3604" s="116">
        <v>1</v>
      </c>
      <c r="B3604" s="40" t="s">
        <v>1228</v>
      </c>
      <c r="C3604" s="120" t="s">
        <v>1229</v>
      </c>
      <c r="D3604" s="42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O3604" s="42"/>
      <c r="P3604" s="42"/>
      <c r="Q3604" s="42"/>
      <c r="R3604" s="42"/>
      <c r="S3604" s="42"/>
      <c r="T3604" s="42"/>
      <c r="U3604" s="42"/>
      <c r="V3604" s="42"/>
      <c r="W3604" s="42"/>
      <c r="X3604" s="42"/>
      <c r="Y3604" s="42"/>
      <c r="Z3604" s="42"/>
      <c r="AA3604" s="42"/>
      <c r="AB3604" s="229">
        <f t="shared" si="1534"/>
        <v>0</v>
      </c>
      <c r="AC3604" s="228">
        <f t="shared" si="1535"/>
        <v>0</v>
      </c>
      <c r="AD3604" s="19">
        <v>0</v>
      </c>
      <c r="AE3604" s="43"/>
      <c r="AF3604" s="43"/>
      <c r="AG3604" s="43"/>
      <c r="AH3604" s="43"/>
      <c r="AI3604" s="43"/>
      <c r="AJ3604" s="43"/>
      <c r="AK3604" s="43"/>
      <c r="AL3604" s="43"/>
      <c r="AM3604" s="43"/>
      <c r="AN3604" s="43"/>
      <c r="AO3604" s="43"/>
      <c r="AP3604" s="43"/>
      <c r="AQ3604" s="43"/>
      <c r="AR3604" s="43"/>
      <c r="AS3604" s="43"/>
      <c r="AT3604" s="43"/>
      <c r="AU3604" s="43"/>
      <c r="AV3604" s="43"/>
      <c r="AW3604" s="43"/>
      <c r="AX3604" s="43"/>
      <c r="AY3604" s="43"/>
      <c r="AZ3604" s="43"/>
      <c r="BA3604" s="43"/>
      <c r="BB3604" s="43"/>
      <c r="BC3604" s="229">
        <f t="shared" si="1538"/>
        <v>0</v>
      </c>
      <c r="BD3604" s="48">
        <f t="shared" si="1539"/>
        <v>0</v>
      </c>
      <c r="BE3604" s="19">
        <v>0</v>
      </c>
      <c r="BF3604" s="229">
        <f t="shared" si="1540"/>
        <v>0</v>
      </c>
      <c r="BG3604" s="210">
        <f t="shared" si="1541"/>
        <v>0</v>
      </c>
      <c r="BH3604" s="210">
        <f t="shared" si="1519"/>
        <v>0</v>
      </c>
      <c r="BI3604" s="213" t="e">
        <f t="shared" si="1542"/>
        <v>#DIV/0!</v>
      </c>
      <c r="BJ3604" s="270" t="s">
        <v>2857</v>
      </c>
      <c r="BK3604" s="136"/>
      <c r="BL3604" s="4"/>
      <c r="BM3604" s="4"/>
    </row>
    <row r="3605" spans="1:65" s="38" customFormat="1" ht="15.95" customHeight="1">
      <c r="A3605" s="116">
        <v>2</v>
      </c>
      <c r="B3605" s="40" t="s">
        <v>1230</v>
      </c>
      <c r="C3605" s="41" t="s">
        <v>1231</v>
      </c>
      <c r="D3605" s="42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O3605" s="42"/>
      <c r="P3605" s="42"/>
      <c r="Q3605" s="42"/>
      <c r="R3605" s="42"/>
      <c r="S3605" s="42"/>
      <c r="T3605" s="42"/>
      <c r="U3605" s="42"/>
      <c r="V3605" s="42"/>
      <c r="W3605" s="42"/>
      <c r="X3605" s="42"/>
      <c r="Y3605" s="42"/>
      <c r="Z3605" s="42"/>
      <c r="AA3605" s="42"/>
      <c r="AB3605" s="229">
        <f t="shared" si="1534"/>
        <v>0</v>
      </c>
      <c r="AC3605" s="228">
        <f t="shared" si="1535"/>
        <v>0</v>
      </c>
      <c r="AD3605" s="19">
        <v>0</v>
      </c>
      <c r="AE3605" s="43"/>
      <c r="AF3605" s="43"/>
      <c r="AG3605" s="43"/>
      <c r="AH3605" s="43"/>
      <c r="AI3605" s="43"/>
      <c r="AJ3605" s="43"/>
      <c r="AK3605" s="43"/>
      <c r="AL3605" s="43"/>
      <c r="AM3605" s="43"/>
      <c r="AN3605" s="43"/>
      <c r="AO3605" s="43"/>
      <c r="AP3605" s="43"/>
      <c r="AQ3605" s="43"/>
      <c r="AR3605" s="43"/>
      <c r="AS3605" s="43"/>
      <c r="AT3605" s="43"/>
      <c r="AU3605" s="43"/>
      <c r="AV3605" s="43"/>
      <c r="AW3605" s="43"/>
      <c r="AX3605" s="43"/>
      <c r="AY3605" s="43"/>
      <c r="AZ3605" s="43"/>
      <c r="BA3605" s="43"/>
      <c r="BB3605" s="43"/>
      <c r="BC3605" s="229">
        <f t="shared" si="1538"/>
        <v>0</v>
      </c>
      <c r="BD3605" s="48">
        <f t="shared" si="1539"/>
        <v>0</v>
      </c>
      <c r="BE3605" s="19">
        <v>0</v>
      </c>
      <c r="BF3605" s="229">
        <f t="shared" si="1540"/>
        <v>0</v>
      </c>
      <c r="BG3605" s="210">
        <f t="shared" si="1541"/>
        <v>0</v>
      </c>
      <c r="BH3605" s="210">
        <f t="shared" si="1519"/>
        <v>0</v>
      </c>
      <c r="BI3605" s="213" t="e">
        <f t="shared" si="1542"/>
        <v>#DIV/0!</v>
      </c>
      <c r="BJ3605" s="270" t="s">
        <v>2857</v>
      </c>
      <c r="BK3605" s="136"/>
      <c r="BL3605" s="4"/>
      <c r="BM3605" s="4"/>
    </row>
    <row r="3606" spans="1:65" s="38" customFormat="1" ht="21.95" customHeight="1">
      <c r="A3606" s="364" t="s">
        <v>2792</v>
      </c>
      <c r="B3606" s="364"/>
      <c r="C3606" s="364"/>
      <c r="D3606" s="39">
        <f t="shared" ref="D3606:AA3606" si="1543">SUM(D3607:D3617)</f>
        <v>0</v>
      </c>
      <c r="E3606" s="39">
        <f t="shared" si="1543"/>
        <v>0</v>
      </c>
      <c r="F3606" s="39">
        <f t="shared" si="1543"/>
        <v>0</v>
      </c>
      <c r="G3606" s="39">
        <f t="shared" si="1543"/>
        <v>0</v>
      </c>
      <c r="H3606" s="39">
        <f t="shared" si="1543"/>
        <v>0</v>
      </c>
      <c r="I3606" s="39">
        <f t="shared" si="1543"/>
        <v>10</v>
      </c>
      <c r="J3606" s="39">
        <f t="shared" si="1543"/>
        <v>0</v>
      </c>
      <c r="K3606" s="39">
        <f t="shared" si="1543"/>
        <v>0</v>
      </c>
      <c r="L3606" s="39">
        <f t="shared" si="1543"/>
        <v>0</v>
      </c>
      <c r="M3606" s="39">
        <f t="shared" si="1543"/>
        <v>0</v>
      </c>
      <c r="N3606" s="39">
        <f t="shared" si="1543"/>
        <v>0</v>
      </c>
      <c r="O3606" s="39">
        <f t="shared" si="1543"/>
        <v>14</v>
      </c>
      <c r="P3606" s="39">
        <f t="shared" si="1543"/>
        <v>0</v>
      </c>
      <c r="Q3606" s="39">
        <f t="shared" si="1543"/>
        <v>0</v>
      </c>
      <c r="R3606" s="39">
        <f t="shared" si="1543"/>
        <v>0</v>
      </c>
      <c r="S3606" s="39">
        <f t="shared" si="1543"/>
        <v>0</v>
      </c>
      <c r="T3606" s="39">
        <f t="shared" si="1543"/>
        <v>0</v>
      </c>
      <c r="U3606" s="39">
        <f t="shared" si="1543"/>
        <v>9</v>
      </c>
      <c r="V3606" s="39">
        <f t="shared" si="1543"/>
        <v>0</v>
      </c>
      <c r="W3606" s="39">
        <f t="shared" si="1543"/>
        <v>0</v>
      </c>
      <c r="X3606" s="39">
        <f t="shared" si="1543"/>
        <v>0</v>
      </c>
      <c r="Y3606" s="39">
        <f t="shared" si="1543"/>
        <v>0</v>
      </c>
      <c r="Z3606" s="39">
        <f t="shared" si="1543"/>
        <v>0</v>
      </c>
      <c r="AA3606" s="39">
        <f t="shared" si="1543"/>
        <v>0</v>
      </c>
      <c r="AB3606" s="39">
        <f t="shared" si="1534"/>
        <v>0</v>
      </c>
      <c r="AC3606" s="39">
        <f t="shared" si="1535"/>
        <v>33</v>
      </c>
      <c r="AD3606" s="39">
        <f t="shared" ref="AD3606:BB3606" si="1544">SUM(AD3607:AD3617)</f>
        <v>38</v>
      </c>
      <c r="AE3606" s="39">
        <f t="shared" si="1544"/>
        <v>0</v>
      </c>
      <c r="AF3606" s="39">
        <f t="shared" si="1544"/>
        <v>0</v>
      </c>
      <c r="AG3606" s="39">
        <f t="shared" si="1544"/>
        <v>0</v>
      </c>
      <c r="AH3606" s="39">
        <f t="shared" si="1544"/>
        <v>0</v>
      </c>
      <c r="AI3606" s="39">
        <f t="shared" si="1544"/>
        <v>0</v>
      </c>
      <c r="AJ3606" s="39">
        <f t="shared" si="1544"/>
        <v>0</v>
      </c>
      <c r="AK3606" s="39">
        <f t="shared" si="1544"/>
        <v>0</v>
      </c>
      <c r="AL3606" s="39">
        <f t="shared" si="1544"/>
        <v>0</v>
      </c>
      <c r="AM3606" s="39">
        <f t="shared" si="1544"/>
        <v>0</v>
      </c>
      <c r="AN3606" s="39">
        <f t="shared" si="1544"/>
        <v>0</v>
      </c>
      <c r="AO3606" s="39">
        <f t="shared" si="1544"/>
        <v>0</v>
      </c>
      <c r="AP3606" s="39">
        <f t="shared" si="1544"/>
        <v>0</v>
      </c>
      <c r="AQ3606" s="39">
        <f t="shared" si="1544"/>
        <v>0</v>
      </c>
      <c r="AR3606" s="39">
        <f t="shared" si="1544"/>
        <v>0</v>
      </c>
      <c r="AS3606" s="39">
        <f t="shared" si="1544"/>
        <v>0</v>
      </c>
      <c r="AT3606" s="39">
        <f t="shared" si="1544"/>
        <v>0</v>
      </c>
      <c r="AU3606" s="39">
        <f t="shared" si="1544"/>
        <v>0</v>
      </c>
      <c r="AV3606" s="39">
        <f t="shared" si="1544"/>
        <v>0</v>
      </c>
      <c r="AW3606" s="39">
        <f t="shared" si="1544"/>
        <v>0</v>
      </c>
      <c r="AX3606" s="39">
        <f t="shared" si="1544"/>
        <v>0</v>
      </c>
      <c r="AY3606" s="39">
        <f t="shared" si="1544"/>
        <v>0</v>
      </c>
      <c r="AZ3606" s="39">
        <f t="shared" si="1544"/>
        <v>0</v>
      </c>
      <c r="BA3606" s="39">
        <f t="shared" si="1544"/>
        <v>0</v>
      </c>
      <c r="BB3606" s="39">
        <f t="shared" si="1544"/>
        <v>0</v>
      </c>
      <c r="BC3606" s="39">
        <f t="shared" si="1538"/>
        <v>0</v>
      </c>
      <c r="BD3606" s="101">
        <f t="shared" si="1539"/>
        <v>0</v>
      </c>
      <c r="BE3606" s="39">
        <f>SUM(BE3607:BE3617)</f>
        <v>53</v>
      </c>
      <c r="BF3606" s="39">
        <f t="shared" si="1540"/>
        <v>0</v>
      </c>
      <c r="BG3606" s="101">
        <f t="shared" si="1541"/>
        <v>33</v>
      </c>
      <c r="BH3606" s="101">
        <f t="shared" si="1519"/>
        <v>91</v>
      </c>
      <c r="BI3606" s="280">
        <f t="shared" si="1542"/>
        <v>36.263736263736263</v>
      </c>
      <c r="BJ3606" s="142">
        <v>91</v>
      </c>
      <c r="BK3606" s="203">
        <f>BH3606-BJ3606</f>
        <v>0</v>
      </c>
      <c r="BL3606" s="4"/>
      <c r="BM3606" s="4"/>
    </row>
    <row r="3607" spans="1:65" s="38" customFormat="1" ht="15.95" customHeight="1">
      <c r="A3607" s="148">
        <v>1</v>
      </c>
      <c r="B3607" s="118" t="s">
        <v>1224</v>
      </c>
      <c r="C3607" s="120" t="s">
        <v>1225</v>
      </c>
      <c r="D3607" s="42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O3607" s="42"/>
      <c r="P3607" s="42"/>
      <c r="Q3607" s="42"/>
      <c r="R3607" s="42"/>
      <c r="S3607" s="42"/>
      <c r="T3607" s="42"/>
      <c r="U3607" s="42"/>
      <c r="V3607" s="42"/>
      <c r="W3607" s="42"/>
      <c r="X3607" s="42"/>
      <c r="Y3607" s="42"/>
      <c r="Z3607" s="42"/>
      <c r="AA3607" s="42"/>
      <c r="AB3607" s="229">
        <f t="shared" ref="AB3607:AB3617" si="1545">D3607+F3607+H3607+J3607+L3607+N3607+P3607+R3607+T3607+V3607+X3607+Z3607</f>
        <v>0</v>
      </c>
      <c r="AC3607" s="228">
        <f t="shared" si="1535"/>
        <v>0</v>
      </c>
      <c r="AD3607" s="19">
        <v>2</v>
      </c>
      <c r="AE3607" s="43"/>
      <c r="AF3607" s="43"/>
      <c r="AG3607" s="43"/>
      <c r="AH3607" s="43"/>
      <c r="AI3607" s="43"/>
      <c r="AJ3607" s="43"/>
      <c r="AK3607" s="43"/>
      <c r="AL3607" s="43"/>
      <c r="AM3607" s="43"/>
      <c r="AN3607" s="43"/>
      <c r="AO3607" s="43"/>
      <c r="AP3607" s="43"/>
      <c r="AQ3607" s="43"/>
      <c r="AR3607" s="43"/>
      <c r="AS3607" s="43"/>
      <c r="AT3607" s="43"/>
      <c r="AU3607" s="43"/>
      <c r="AV3607" s="43"/>
      <c r="AW3607" s="43"/>
      <c r="AX3607" s="43"/>
      <c r="AY3607" s="43"/>
      <c r="AZ3607" s="43"/>
      <c r="BA3607" s="43"/>
      <c r="BB3607" s="43"/>
      <c r="BC3607" s="229">
        <f t="shared" ref="BC3607:BC3617" si="1546">AE3607+AG3607+AI3607+AK3607+AM3607+AO3607+AQ3607+AS3607+AU3607+AW3607+AY3607+BA3607</f>
        <v>0</v>
      </c>
      <c r="BD3607" s="48">
        <f t="shared" si="1539"/>
        <v>0</v>
      </c>
      <c r="BE3607" s="19">
        <v>0</v>
      </c>
      <c r="BF3607" s="229">
        <f t="shared" ref="BF3607:BF3617" si="1547">AB3607+BC3607</f>
        <v>0</v>
      </c>
      <c r="BG3607" s="210">
        <f t="shared" si="1541"/>
        <v>0</v>
      </c>
      <c r="BH3607" s="210">
        <f t="shared" si="1519"/>
        <v>2</v>
      </c>
      <c r="BI3607" s="213">
        <f t="shared" ref="BI3607:BI3617" si="1548">BG3607/BH3607*100</f>
        <v>0</v>
      </c>
      <c r="BJ3607" s="270" t="s">
        <v>2857</v>
      </c>
      <c r="BK3607" s="201"/>
      <c r="BL3607" s="4"/>
      <c r="BM3607" s="4"/>
    </row>
    <row r="3608" spans="1:65" s="38" customFormat="1" ht="15.95" customHeight="1">
      <c r="A3608" s="148">
        <v>2</v>
      </c>
      <c r="B3608" s="118" t="s">
        <v>1258</v>
      </c>
      <c r="C3608" s="120" t="s">
        <v>2459</v>
      </c>
      <c r="D3608" s="42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O3608" s="42"/>
      <c r="P3608" s="42"/>
      <c r="Q3608" s="42"/>
      <c r="R3608" s="42"/>
      <c r="S3608" s="42"/>
      <c r="T3608" s="42"/>
      <c r="U3608" s="42"/>
      <c r="V3608" s="42"/>
      <c r="W3608" s="42"/>
      <c r="X3608" s="42"/>
      <c r="Y3608" s="42"/>
      <c r="Z3608" s="42"/>
      <c r="AA3608" s="42"/>
      <c r="AB3608" s="229">
        <f t="shared" si="1545"/>
        <v>0</v>
      </c>
      <c r="AC3608" s="228">
        <f t="shared" si="1535"/>
        <v>0</v>
      </c>
      <c r="AD3608" s="19">
        <v>3</v>
      </c>
      <c r="AE3608" s="43"/>
      <c r="AF3608" s="43"/>
      <c r="AG3608" s="43"/>
      <c r="AH3608" s="43"/>
      <c r="AI3608" s="43"/>
      <c r="AJ3608" s="43"/>
      <c r="AK3608" s="43"/>
      <c r="AL3608" s="43"/>
      <c r="AM3608" s="43"/>
      <c r="AN3608" s="43"/>
      <c r="AO3608" s="43"/>
      <c r="AP3608" s="43"/>
      <c r="AQ3608" s="43"/>
      <c r="AR3608" s="43"/>
      <c r="AS3608" s="43"/>
      <c r="AT3608" s="43"/>
      <c r="AU3608" s="43"/>
      <c r="AV3608" s="43"/>
      <c r="AW3608" s="43"/>
      <c r="AX3608" s="43"/>
      <c r="AY3608" s="43"/>
      <c r="AZ3608" s="43"/>
      <c r="BA3608" s="43"/>
      <c r="BB3608" s="43"/>
      <c r="BC3608" s="229">
        <f t="shared" si="1546"/>
        <v>0</v>
      </c>
      <c r="BD3608" s="48">
        <f t="shared" si="1539"/>
        <v>0</v>
      </c>
      <c r="BE3608" s="19">
        <v>0</v>
      </c>
      <c r="BF3608" s="229">
        <f t="shared" si="1547"/>
        <v>0</v>
      </c>
      <c r="BG3608" s="210">
        <f t="shared" si="1541"/>
        <v>0</v>
      </c>
      <c r="BH3608" s="210">
        <f t="shared" si="1519"/>
        <v>3</v>
      </c>
      <c r="BI3608" s="213">
        <f t="shared" si="1548"/>
        <v>0</v>
      </c>
      <c r="BJ3608" s="270" t="s">
        <v>2857</v>
      </c>
      <c r="BK3608" s="201"/>
      <c r="BL3608" s="4"/>
      <c r="BM3608" s="4"/>
    </row>
    <row r="3609" spans="1:65" s="38" customFormat="1" ht="15.95" customHeight="1">
      <c r="A3609" s="148">
        <v>3</v>
      </c>
      <c r="B3609" s="118" t="s">
        <v>1228</v>
      </c>
      <c r="C3609" s="120" t="s">
        <v>1229</v>
      </c>
      <c r="D3609" s="42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O3609" s="42"/>
      <c r="P3609" s="42"/>
      <c r="Q3609" s="42"/>
      <c r="R3609" s="42"/>
      <c r="S3609" s="42"/>
      <c r="T3609" s="42"/>
      <c r="U3609" s="42">
        <v>1</v>
      </c>
      <c r="V3609" s="42"/>
      <c r="W3609" s="42"/>
      <c r="X3609" s="42"/>
      <c r="Y3609" s="42"/>
      <c r="Z3609" s="42"/>
      <c r="AA3609" s="42"/>
      <c r="AB3609" s="229">
        <f t="shared" si="1545"/>
        <v>0</v>
      </c>
      <c r="AC3609" s="228">
        <f t="shared" si="1535"/>
        <v>1</v>
      </c>
      <c r="AD3609" s="19">
        <v>3</v>
      </c>
      <c r="AE3609" s="43"/>
      <c r="AF3609" s="43"/>
      <c r="AG3609" s="43"/>
      <c r="AH3609" s="43"/>
      <c r="AI3609" s="43"/>
      <c r="AJ3609" s="43"/>
      <c r="AK3609" s="43"/>
      <c r="AL3609" s="43"/>
      <c r="AM3609" s="43"/>
      <c r="AN3609" s="43"/>
      <c r="AO3609" s="43"/>
      <c r="AP3609" s="43"/>
      <c r="AQ3609" s="43"/>
      <c r="AR3609" s="43"/>
      <c r="AS3609" s="43"/>
      <c r="AT3609" s="43"/>
      <c r="AU3609" s="43"/>
      <c r="AV3609" s="43"/>
      <c r="AW3609" s="43"/>
      <c r="AX3609" s="43"/>
      <c r="AY3609" s="43"/>
      <c r="AZ3609" s="43"/>
      <c r="BA3609" s="43"/>
      <c r="BB3609" s="43"/>
      <c r="BC3609" s="229">
        <f t="shared" si="1546"/>
        <v>0</v>
      </c>
      <c r="BD3609" s="48">
        <f t="shared" si="1539"/>
        <v>0</v>
      </c>
      <c r="BE3609" s="19">
        <v>0</v>
      </c>
      <c r="BF3609" s="229">
        <f t="shared" si="1547"/>
        <v>0</v>
      </c>
      <c r="BG3609" s="210">
        <f t="shared" si="1541"/>
        <v>1</v>
      </c>
      <c r="BH3609" s="210">
        <f t="shared" si="1519"/>
        <v>3</v>
      </c>
      <c r="BI3609" s="213">
        <f t="shared" si="1548"/>
        <v>33.333333333333329</v>
      </c>
      <c r="BJ3609" s="270" t="s">
        <v>2857</v>
      </c>
      <c r="BK3609" s="201"/>
      <c r="BL3609" s="4"/>
      <c r="BM3609" s="4"/>
    </row>
    <row r="3610" spans="1:65" s="38" customFormat="1" ht="15.95" customHeight="1">
      <c r="A3610" s="148">
        <v>4</v>
      </c>
      <c r="B3610" s="118" t="s">
        <v>1232</v>
      </c>
      <c r="C3610" s="120" t="s">
        <v>1233</v>
      </c>
      <c r="D3610" s="42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O3610" s="42"/>
      <c r="P3610" s="42"/>
      <c r="Q3610" s="42"/>
      <c r="R3610" s="42"/>
      <c r="S3610" s="42"/>
      <c r="T3610" s="42"/>
      <c r="U3610" s="42"/>
      <c r="V3610" s="42"/>
      <c r="W3610" s="42"/>
      <c r="X3610" s="42"/>
      <c r="Y3610" s="42"/>
      <c r="Z3610" s="42"/>
      <c r="AA3610" s="42"/>
      <c r="AB3610" s="229">
        <f t="shared" si="1545"/>
        <v>0</v>
      </c>
      <c r="AC3610" s="228">
        <f t="shared" si="1535"/>
        <v>0</v>
      </c>
      <c r="AD3610" s="19">
        <v>3</v>
      </c>
      <c r="AE3610" s="43"/>
      <c r="AF3610" s="43"/>
      <c r="AG3610" s="43"/>
      <c r="AH3610" s="43"/>
      <c r="AI3610" s="43"/>
      <c r="AJ3610" s="43"/>
      <c r="AK3610" s="43"/>
      <c r="AL3610" s="43"/>
      <c r="AM3610" s="43"/>
      <c r="AN3610" s="43"/>
      <c r="AO3610" s="43"/>
      <c r="AP3610" s="43"/>
      <c r="AQ3610" s="43"/>
      <c r="AR3610" s="43"/>
      <c r="AS3610" s="43"/>
      <c r="AT3610" s="43"/>
      <c r="AU3610" s="43"/>
      <c r="AV3610" s="43"/>
      <c r="AW3610" s="43"/>
      <c r="AX3610" s="43"/>
      <c r="AY3610" s="43"/>
      <c r="AZ3610" s="43"/>
      <c r="BA3610" s="43"/>
      <c r="BB3610" s="43"/>
      <c r="BC3610" s="229">
        <f t="shared" si="1546"/>
        <v>0</v>
      </c>
      <c r="BD3610" s="48">
        <f t="shared" si="1539"/>
        <v>0</v>
      </c>
      <c r="BE3610" s="19">
        <v>0</v>
      </c>
      <c r="BF3610" s="229">
        <f t="shared" si="1547"/>
        <v>0</v>
      </c>
      <c r="BG3610" s="210">
        <f t="shared" si="1541"/>
        <v>0</v>
      </c>
      <c r="BH3610" s="210">
        <f t="shared" si="1519"/>
        <v>3</v>
      </c>
      <c r="BI3610" s="213">
        <f t="shared" si="1548"/>
        <v>0</v>
      </c>
      <c r="BJ3610" s="270" t="s">
        <v>2857</v>
      </c>
      <c r="BK3610" s="201"/>
      <c r="BL3610" s="4"/>
      <c r="BM3610" s="4"/>
    </row>
    <row r="3611" spans="1:65" s="38" customFormat="1" ht="15.95" customHeight="1">
      <c r="A3611" s="148">
        <v>5</v>
      </c>
      <c r="B3611" s="118" t="s">
        <v>1234</v>
      </c>
      <c r="C3611" s="120" t="s">
        <v>1235</v>
      </c>
      <c r="D3611" s="42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O3611" s="42"/>
      <c r="P3611" s="42"/>
      <c r="Q3611" s="42"/>
      <c r="R3611" s="42"/>
      <c r="S3611" s="42"/>
      <c r="T3611" s="42"/>
      <c r="U3611" s="42"/>
      <c r="V3611" s="42"/>
      <c r="W3611" s="42"/>
      <c r="X3611" s="42"/>
      <c r="Y3611" s="42"/>
      <c r="Z3611" s="42"/>
      <c r="AA3611" s="42"/>
      <c r="AB3611" s="229">
        <f t="shared" si="1545"/>
        <v>0</v>
      </c>
      <c r="AC3611" s="228">
        <f t="shared" si="1535"/>
        <v>0</v>
      </c>
      <c r="AD3611" s="19">
        <v>10</v>
      </c>
      <c r="AE3611" s="43"/>
      <c r="AF3611" s="43"/>
      <c r="AG3611" s="43"/>
      <c r="AH3611" s="43"/>
      <c r="AI3611" s="43"/>
      <c r="AJ3611" s="43"/>
      <c r="AK3611" s="43"/>
      <c r="AL3611" s="43"/>
      <c r="AM3611" s="43"/>
      <c r="AN3611" s="43"/>
      <c r="AO3611" s="43"/>
      <c r="AP3611" s="43"/>
      <c r="AQ3611" s="43"/>
      <c r="AR3611" s="43"/>
      <c r="AS3611" s="43"/>
      <c r="AT3611" s="43"/>
      <c r="AU3611" s="43"/>
      <c r="AV3611" s="43"/>
      <c r="AW3611" s="43"/>
      <c r="AX3611" s="43"/>
      <c r="AY3611" s="43"/>
      <c r="AZ3611" s="43"/>
      <c r="BA3611" s="43"/>
      <c r="BB3611" s="43"/>
      <c r="BC3611" s="229">
        <f t="shared" si="1546"/>
        <v>0</v>
      </c>
      <c r="BD3611" s="48">
        <f t="shared" si="1539"/>
        <v>0</v>
      </c>
      <c r="BE3611" s="19">
        <v>0</v>
      </c>
      <c r="BF3611" s="229">
        <f t="shared" si="1547"/>
        <v>0</v>
      </c>
      <c r="BG3611" s="210">
        <f t="shared" si="1541"/>
        <v>0</v>
      </c>
      <c r="BH3611" s="210">
        <f t="shared" si="1519"/>
        <v>10</v>
      </c>
      <c r="BI3611" s="213">
        <f t="shared" si="1548"/>
        <v>0</v>
      </c>
      <c r="BJ3611" s="270" t="s">
        <v>2857</v>
      </c>
      <c r="BK3611" s="201"/>
      <c r="BL3611" s="4"/>
      <c r="BM3611" s="4"/>
    </row>
    <row r="3612" spans="1:65" s="38" customFormat="1" ht="21.95" customHeight="1">
      <c r="A3612" s="148">
        <v>6</v>
      </c>
      <c r="B3612" s="118" t="s">
        <v>1251</v>
      </c>
      <c r="C3612" s="150" t="s">
        <v>1364</v>
      </c>
      <c r="D3612" s="42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O3612" s="42"/>
      <c r="P3612" s="42"/>
      <c r="Q3612" s="42"/>
      <c r="R3612" s="42"/>
      <c r="S3612" s="42"/>
      <c r="T3612" s="42"/>
      <c r="U3612" s="42"/>
      <c r="V3612" s="42"/>
      <c r="W3612" s="42"/>
      <c r="X3612" s="42"/>
      <c r="Y3612" s="42"/>
      <c r="Z3612" s="42"/>
      <c r="AA3612" s="42"/>
      <c r="AB3612" s="229">
        <f t="shared" si="1545"/>
        <v>0</v>
      </c>
      <c r="AC3612" s="228">
        <f t="shared" si="1535"/>
        <v>0</v>
      </c>
      <c r="AD3612" s="19">
        <v>3</v>
      </c>
      <c r="AE3612" s="43"/>
      <c r="AF3612" s="43"/>
      <c r="AG3612" s="43"/>
      <c r="AH3612" s="43"/>
      <c r="AI3612" s="43"/>
      <c r="AJ3612" s="43"/>
      <c r="AK3612" s="43"/>
      <c r="AL3612" s="43"/>
      <c r="AM3612" s="43"/>
      <c r="AN3612" s="43"/>
      <c r="AO3612" s="43"/>
      <c r="AP3612" s="43"/>
      <c r="AQ3612" s="43"/>
      <c r="AR3612" s="43"/>
      <c r="AS3612" s="43"/>
      <c r="AT3612" s="43"/>
      <c r="AU3612" s="43"/>
      <c r="AV3612" s="43"/>
      <c r="AW3612" s="43"/>
      <c r="AX3612" s="43"/>
      <c r="AY3612" s="43"/>
      <c r="AZ3612" s="43"/>
      <c r="BA3612" s="43"/>
      <c r="BB3612" s="43"/>
      <c r="BC3612" s="229">
        <f t="shared" si="1546"/>
        <v>0</v>
      </c>
      <c r="BD3612" s="48">
        <f t="shared" si="1539"/>
        <v>0</v>
      </c>
      <c r="BE3612" s="19">
        <v>0</v>
      </c>
      <c r="BF3612" s="229">
        <f t="shared" si="1547"/>
        <v>0</v>
      </c>
      <c r="BG3612" s="210">
        <f t="shared" si="1541"/>
        <v>0</v>
      </c>
      <c r="BH3612" s="210">
        <f t="shared" si="1519"/>
        <v>3</v>
      </c>
      <c r="BI3612" s="213">
        <f t="shared" si="1548"/>
        <v>0</v>
      </c>
      <c r="BJ3612" s="270" t="s">
        <v>2857</v>
      </c>
      <c r="BK3612" s="201"/>
      <c r="BL3612" s="4"/>
      <c r="BM3612" s="4"/>
    </row>
    <row r="3613" spans="1:65" s="38" customFormat="1" ht="15.95" customHeight="1">
      <c r="A3613" s="148">
        <v>7</v>
      </c>
      <c r="B3613" s="118" t="s">
        <v>1236</v>
      </c>
      <c r="C3613" s="120" t="s">
        <v>1237</v>
      </c>
      <c r="D3613" s="42"/>
      <c r="E3613" s="42"/>
      <c r="F3613" s="42"/>
      <c r="G3613" s="42"/>
      <c r="H3613" s="42"/>
      <c r="I3613" s="42">
        <v>10</v>
      </c>
      <c r="J3613" s="42"/>
      <c r="K3613" s="42"/>
      <c r="L3613" s="42"/>
      <c r="M3613" s="42"/>
      <c r="N3613" s="42"/>
      <c r="O3613" s="42">
        <v>14</v>
      </c>
      <c r="P3613" s="42"/>
      <c r="Q3613" s="42"/>
      <c r="R3613" s="42"/>
      <c r="S3613" s="42"/>
      <c r="T3613" s="42"/>
      <c r="U3613" s="42">
        <v>8</v>
      </c>
      <c r="V3613" s="42"/>
      <c r="W3613" s="42"/>
      <c r="X3613" s="42"/>
      <c r="Y3613" s="42"/>
      <c r="Z3613" s="42"/>
      <c r="AA3613" s="42"/>
      <c r="AB3613" s="229">
        <f t="shared" si="1545"/>
        <v>0</v>
      </c>
      <c r="AC3613" s="228">
        <f t="shared" si="1535"/>
        <v>32</v>
      </c>
      <c r="AD3613" s="19">
        <v>14</v>
      </c>
      <c r="AE3613" s="43"/>
      <c r="AF3613" s="43"/>
      <c r="AG3613" s="43"/>
      <c r="AH3613" s="43"/>
      <c r="AI3613" s="43"/>
      <c r="AJ3613" s="43"/>
      <c r="AK3613" s="43"/>
      <c r="AL3613" s="43"/>
      <c r="AM3613" s="43"/>
      <c r="AN3613" s="43"/>
      <c r="AO3613" s="43"/>
      <c r="AP3613" s="43"/>
      <c r="AQ3613" s="43"/>
      <c r="AR3613" s="43"/>
      <c r="AS3613" s="43"/>
      <c r="AT3613" s="43"/>
      <c r="AU3613" s="43"/>
      <c r="AV3613" s="43"/>
      <c r="AW3613" s="43"/>
      <c r="AX3613" s="43"/>
      <c r="AY3613" s="43"/>
      <c r="AZ3613" s="43"/>
      <c r="BA3613" s="43"/>
      <c r="BB3613" s="43"/>
      <c r="BC3613" s="229">
        <f t="shared" si="1546"/>
        <v>0</v>
      </c>
      <c r="BD3613" s="48">
        <f t="shared" si="1539"/>
        <v>0</v>
      </c>
      <c r="BE3613" s="19">
        <v>0</v>
      </c>
      <c r="BF3613" s="229">
        <f t="shared" si="1547"/>
        <v>0</v>
      </c>
      <c r="BG3613" s="210">
        <f t="shared" si="1541"/>
        <v>32</v>
      </c>
      <c r="BH3613" s="210">
        <f t="shared" si="1519"/>
        <v>14</v>
      </c>
      <c r="BI3613" s="213">
        <f t="shared" si="1548"/>
        <v>228.57142857142856</v>
      </c>
      <c r="BJ3613" s="270" t="s">
        <v>2857</v>
      </c>
      <c r="BK3613" s="201"/>
      <c r="BL3613" s="4"/>
      <c r="BM3613" s="4"/>
    </row>
    <row r="3614" spans="1:65" s="38" customFormat="1" ht="15.95" customHeight="1">
      <c r="A3614" s="148">
        <v>8</v>
      </c>
      <c r="B3614" s="118" t="s">
        <v>1241</v>
      </c>
      <c r="C3614" s="120" t="s">
        <v>1242</v>
      </c>
      <c r="D3614" s="42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O3614" s="42"/>
      <c r="P3614" s="42"/>
      <c r="Q3614" s="42"/>
      <c r="R3614" s="42"/>
      <c r="S3614" s="42"/>
      <c r="T3614" s="42"/>
      <c r="U3614" s="42"/>
      <c r="V3614" s="42"/>
      <c r="W3614" s="42"/>
      <c r="X3614" s="42"/>
      <c r="Y3614" s="42"/>
      <c r="Z3614" s="42"/>
      <c r="AA3614" s="42"/>
      <c r="AB3614" s="229">
        <f t="shared" si="1545"/>
        <v>0</v>
      </c>
      <c r="AC3614" s="228">
        <f t="shared" si="1535"/>
        <v>0</v>
      </c>
      <c r="AD3614" s="19">
        <v>0</v>
      </c>
      <c r="AE3614" s="43"/>
      <c r="AF3614" s="43"/>
      <c r="AG3614" s="43"/>
      <c r="AH3614" s="43"/>
      <c r="AI3614" s="43"/>
      <c r="AJ3614" s="43"/>
      <c r="AK3614" s="43"/>
      <c r="AL3614" s="43"/>
      <c r="AM3614" s="43"/>
      <c r="AN3614" s="43"/>
      <c r="AO3614" s="43"/>
      <c r="AP3614" s="43"/>
      <c r="AQ3614" s="43"/>
      <c r="AR3614" s="43"/>
      <c r="AS3614" s="43"/>
      <c r="AT3614" s="43"/>
      <c r="AU3614" s="43"/>
      <c r="AV3614" s="43"/>
      <c r="AW3614" s="43"/>
      <c r="AX3614" s="43"/>
      <c r="AY3614" s="43"/>
      <c r="AZ3614" s="43"/>
      <c r="BA3614" s="43"/>
      <c r="BB3614" s="43"/>
      <c r="BC3614" s="229">
        <f t="shared" si="1546"/>
        <v>0</v>
      </c>
      <c r="BD3614" s="48">
        <f t="shared" si="1539"/>
        <v>0</v>
      </c>
      <c r="BE3614" s="19">
        <v>20</v>
      </c>
      <c r="BF3614" s="229">
        <f t="shared" si="1547"/>
        <v>0</v>
      </c>
      <c r="BG3614" s="210">
        <f t="shared" si="1541"/>
        <v>0</v>
      </c>
      <c r="BH3614" s="210">
        <f t="shared" si="1519"/>
        <v>20</v>
      </c>
      <c r="BI3614" s="213">
        <f t="shared" si="1548"/>
        <v>0</v>
      </c>
      <c r="BJ3614" s="141"/>
      <c r="BK3614" s="201"/>
      <c r="BL3614" s="4"/>
      <c r="BM3614" s="4"/>
    </row>
    <row r="3615" spans="1:65" s="38" customFormat="1" ht="15.95" customHeight="1">
      <c r="A3615" s="148">
        <v>9</v>
      </c>
      <c r="B3615" s="118" t="s">
        <v>1178</v>
      </c>
      <c r="C3615" s="120" t="s">
        <v>1179</v>
      </c>
      <c r="D3615" s="42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O3615" s="42"/>
      <c r="P3615" s="42"/>
      <c r="Q3615" s="42"/>
      <c r="R3615" s="42"/>
      <c r="S3615" s="42"/>
      <c r="T3615" s="42"/>
      <c r="U3615" s="42"/>
      <c r="V3615" s="42"/>
      <c r="W3615" s="42"/>
      <c r="X3615" s="42"/>
      <c r="Y3615" s="42"/>
      <c r="Z3615" s="42"/>
      <c r="AA3615" s="42"/>
      <c r="AB3615" s="229">
        <f t="shared" si="1545"/>
        <v>0</v>
      </c>
      <c r="AC3615" s="228">
        <f t="shared" si="1535"/>
        <v>0</v>
      </c>
      <c r="AD3615" s="19">
        <v>0</v>
      </c>
      <c r="AE3615" s="43"/>
      <c r="AF3615" s="43"/>
      <c r="AG3615" s="43"/>
      <c r="AH3615" s="43"/>
      <c r="AI3615" s="43"/>
      <c r="AJ3615" s="43"/>
      <c r="AK3615" s="43"/>
      <c r="AL3615" s="43"/>
      <c r="AM3615" s="43"/>
      <c r="AN3615" s="43"/>
      <c r="AO3615" s="43"/>
      <c r="AP3615" s="43"/>
      <c r="AQ3615" s="43"/>
      <c r="AR3615" s="43"/>
      <c r="AS3615" s="43"/>
      <c r="AT3615" s="43"/>
      <c r="AU3615" s="43"/>
      <c r="AV3615" s="43"/>
      <c r="AW3615" s="43"/>
      <c r="AX3615" s="43"/>
      <c r="AY3615" s="43"/>
      <c r="AZ3615" s="43"/>
      <c r="BA3615" s="43"/>
      <c r="BB3615" s="43"/>
      <c r="BC3615" s="229">
        <f t="shared" si="1546"/>
        <v>0</v>
      </c>
      <c r="BD3615" s="48">
        <f t="shared" si="1539"/>
        <v>0</v>
      </c>
      <c r="BE3615" s="19">
        <v>20</v>
      </c>
      <c r="BF3615" s="229">
        <f t="shared" si="1547"/>
        <v>0</v>
      </c>
      <c r="BG3615" s="210">
        <f t="shared" si="1541"/>
        <v>0</v>
      </c>
      <c r="BH3615" s="210">
        <f t="shared" si="1519"/>
        <v>20</v>
      </c>
      <c r="BI3615" s="213">
        <f t="shared" si="1548"/>
        <v>0</v>
      </c>
      <c r="BJ3615" s="141"/>
      <c r="BK3615" s="201"/>
      <c r="BL3615" s="4"/>
      <c r="BM3615" s="4"/>
    </row>
    <row r="3616" spans="1:65" s="38" customFormat="1" ht="21.95" customHeight="1">
      <c r="A3616" s="148">
        <v>10</v>
      </c>
      <c r="B3616" s="118" t="s">
        <v>1245</v>
      </c>
      <c r="C3616" s="119" t="s">
        <v>1246</v>
      </c>
      <c r="D3616" s="42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O3616" s="42"/>
      <c r="P3616" s="42"/>
      <c r="Q3616" s="42"/>
      <c r="R3616" s="42"/>
      <c r="S3616" s="42"/>
      <c r="T3616" s="42"/>
      <c r="U3616" s="42"/>
      <c r="V3616" s="42"/>
      <c r="W3616" s="42"/>
      <c r="X3616" s="42"/>
      <c r="Y3616" s="42"/>
      <c r="Z3616" s="42"/>
      <c r="AA3616" s="42"/>
      <c r="AB3616" s="229">
        <f t="shared" si="1545"/>
        <v>0</v>
      </c>
      <c r="AC3616" s="228">
        <f t="shared" si="1535"/>
        <v>0</v>
      </c>
      <c r="AD3616" s="19">
        <v>0</v>
      </c>
      <c r="AE3616" s="43"/>
      <c r="AF3616" s="43"/>
      <c r="AG3616" s="43"/>
      <c r="AH3616" s="43"/>
      <c r="AI3616" s="43"/>
      <c r="AJ3616" s="43"/>
      <c r="AK3616" s="43"/>
      <c r="AL3616" s="43"/>
      <c r="AM3616" s="43"/>
      <c r="AN3616" s="43"/>
      <c r="AO3616" s="43"/>
      <c r="AP3616" s="43"/>
      <c r="AQ3616" s="43"/>
      <c r="AR3616" s="43"/>
      <c r="AS3616" s="43"/>
      <c r="AT3616" s="43"/>
      <c r="AU3616" s="43"/>
      <c r="AV3616" s="43"/>
      <c r="AW3616" s="43"/>
      <c r="AX3616" s="43"/>
      <c r="AY3616" s="43"/>
      <c r="AZ3616" s="43"/>
      <c r="BA3616" s="43"/>
      <c r="BB3616" s="43"/>
      <c r="BC3616" s="229">
        <f t="shared" si="1546"/>
        <v>0</v>
      </c>
      <c r="BD3616" s="48">
        <f t="shared" si="1539"/>
        <v>0</v>
      </c>
      <c r="BE3616" s="19">
        <v>10</v>
      </c>
      <c r="BF3616" s="229">
        <f t="shared" si="1547"/>
        <v>0</v>
      </c>
      <c r="BG3616" s="210">
        <f t="shared" si="1541"/>
        <v>0</v>
      </c>
      <c r="BH3616" s="210">
        <f t="shared" si="1519"/>
        <v>10</v>
      </c>
      <c r="BI3616" s="213">
        <f t="shared" si="1548"/>
        <v>0</v>
      </c>
      <c r="BJ3616" s="141"/>
      <c r="BK3616" s="201"/>
      <c r="BL3616" s="4"/>
      <c r="BM3616" s="4"/>
    </row>
    <row r="3617" spans="1:65" s="38" customFormat="1" ht="15.95" customHeight="1">
      <c r="A3617" s="148">
        <v>11</v>
      </c>
      <c r="B3617" s="152" t="s">
        <v>1262</v>
      </c>
      <c r="C3617" s="120" t="s">
        <v>1263</v>
      </c>
      <c r="D3617" s="42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O3617" s="42"/>
      <c r="P3617" s="42"/>
      <c r="Q3617" s="42"/>
      <c r="R3617" s="42"/>
      <c r="S3617" s="42"/>
      <c r="T3617" s="42"/>
      <c r="U3617" s="42"/>
      <c r="V3617" s="42"/>
      <c r="W3617" s="42"/>
      <c r="X3617" s="42"/>
      <c r="Y3617" s="42"/>
      <c r="Z3617" s="42"/>
      <c r="AA3617" s="42"/>
      <c r="AB3617" s="229">
        <f t="shared" si="1545"/>
        <v>0</v>
      </c>
      <c r="AC3617" s="228">
        <f t="shared" si="1535"/>
        <v>0</v>
      </c>
      <c r="AD3617" s="19">
        <v>0</v>
      </c>
      <c r="AE3617" s="43"/>
      <c r="AF3617" s="43"/>
      <c r="AG3617" s="43"/>
      <c r="AH3617" s="43"/>
      <c r="AI3617" s="43"/>
      <c r="AJ3617" s="43"/>
      <c r="AK3617" s="43"/>
      <c r="AL3617" s="43"/>
      <c r="AM3617" s="43"/>
      <c r="AN3617" s="43"/>
      <c r="AO3617" s="43"/>
      <c r="AP3617" s="43"/>
      <c r="AQ3617" s="43"/>
      <c r="AR3617" s="43"/>
      <c r="AS3617" s="43"/>
      <c r="AT3617" s="43"/>
      <c r="AU3617" s="43"/>
      <c r="AV3617" s="43"/>
      <c r="AW3617" s="43"/>
      <c r="AX3617" s="43"/>
      <c r="AY3617" s="43"/>
      <c r="AZ3617" s="43"/>
      <c r="BA3617" s="43"/>
      <c r="BB3617" s="43"/>
      <c r="BC3617" s="229">
        <f t="shared" si="1546"/>
        <v>0</v>
      </c>
      <c r="BD3617" s="48">
        <f t="shared" si="1539"/>
        <v>0</v>
      </c>
      <c r="BE3617" s="19">
        <v>3</v>
      </c>
      <c r="BF3617" s="229">
        <f t="shared" si="1547"/>
        <v>0</v>
      </c>
      <c r="BG3617" s="210">
        <f t="shared" si="1541"/>
        <v>0</v>
      </c>
      <c r="BH3617" s="210">
        <f t="shared" si="1519"/>
        <v>3</v>
      </c>
      <c r="BI3617" s="213">
        <f t="shared" si="1548"/>
        <v>0</v>
      </c>
      <c r="BJ3617" s="141"/>
      <c r="BK3617" s="201"/>
      <c r="BL3617" s="4"/>
      <c r="BM3617" s="4"/>
    </row>
    <row r="3618" spans="1:65" s="38" customFormat="1" ht="21.95" customHeight="1">
      <c r="A3618" s="359" t="s">
        <v>2793</v>
      </c>
      <c r="B3618" s="359"/>
      <c r="C3618" s="359"/>
      <c r="D3618" s="39">
        <f t="shared" ref="D3618:BE3618" si="1549">SUM(D3619:D3625)</f>
        <v>0</v>
      </c>
      <c r="E3618" s="39">
        <f t="shared" si="1549"/>
        <v>0</v>
      </c>
      <c r="F3618" s="39">
        <f t="shared" si="1549"/>
        <v>0</v>
      </c>
      <c r="G3618" s="39">
        <f t="shared" si="1549"/>
        <v>0</v>
      </c>
      <c r="H3618" s="39">
        <f t="shared" si="1549"/>
        <v>0</v>
      </c>
      <c r="I3618" s="39">
        <f t="shared" si="1549"/>
        <v>0</v>
      </c>
      <c r="J3618" s="39">
        <f t="shared" si="1549"/>
        <v>0</v>
      </c>
      <c r="K3618" s="39">
        <f t="shared" si="1549"/>
        <v>0</v>
      </c>
      <c r="L3618" s="39">
        <f t="shared" si="1549"/>
        <v>0</v>
      </c>
      <c r="M3618" s="39">
        <f t="shared" si="1549"/>
        <v>0</v>
      </c>
      <c r="N3618" s="39">
        <f t="shared" si="1549"/>
        <v>0</v>
      </c>
      <c r="O3618" s="39">
        <f t="shared" si="1549"/>
        <v>0</v>
      </c>
      <c r="P3618" s="39">
        <f t="shared" si="1549"/>
        <v>0</v>
      </c>
      <c r="Q3618" s="39">
        <f t="shared" si="1549"/>
        <v>0</v>
      </c>
      <c r="R3618" s="39">
        <f t="shared" si="1549"/>
        <v>0</v>
      </c>
      <c r="S3618" s="39">
        <f t="shared" si="1549"/>
        <v>0</v>
      </c>
      <c r="T3618" s="39">
        <f t="shared" si="1549"/>
        <v>0</v>
      </c>
      <c r="U3618" s="39">
        <f t="shared" si="1549"/>
        <v>0</v>
      </c>
      <c r="V3618" s="39">
        <f t="shared" si="1549"/>
        <v>0</v>
      </c>
      <c r="W3618" s="39">
        <f t="shared" si="1549"/>
        <v>0</v>
      </c>
      <c r="X3618" s="39">
        <f t="shared" si="1549"/>
        <v>0</v>
      </c>
      <c r="Y3618" s="39">
        <f t="shared" si="1549"/>
        <v>0</v>
      </c>
      <c r="Z3618" s="39">
        <f t="shared" si="1549"/>
        <v>0</v>
      </c>
      <c r="AA3618" s="39">
        <f t="shared" si="1549"/>
        <v>0</v>
      </c>
      <c r="AB3618" s="39">
        <f t="shared" si="1534"/>
        <v>0</v>
      </c>
      <c r="AC3618" s="39">
        <f t="shared" si="1535"/>
        <v>0</v>
      </c>
      <c r="AD3618" s="39">
        <f t="shared" si="1549"/>
        <v>20</v>
      </c>
      <c r="AE3618" s="39">
        <f t="shared" si="1549"/>
        <v>0</v>
      </c>
      <c r="AF3618" s="39">
        <f t="shared" si="1549"/>
        <v>0</v>
      </c>
      <c r="AG3618" s="39">
        <f t="shared" si="1549"/>
        <v>0</v>
      </c>
      <c r="AH3618" s="39">
        <f t="shared" si="1549"/>
        <v>0</v>
      </c>
      <c r="AI3618" s="39">
        <f t="shared" si="1549"/>
        <v>0</v>
      </c>
      <c r="AJ3618" s="39">
        <f t="shared" si="1549"/>
        <v>0</v>
      </c>
      <c r="AK3618" s="39">
        <f t="shared" si="1549"/>
        <v>0</v>
      </c>
      <c r="AL3618" s="39">
        <f t="shared" si="1549"/>
        <v>0</v>
      </c>
      <c r="AM3618" s="39">
        <f t="shared" si="1549"/>
        <v>0</v>
      </c>
      <c r="AN3618" s="39">
        <f t="shared" si="1549"/>
        <v>0</v>
      </c>
      <c r="AO3618" s="39">
        <f t="shared" si="1549"/>
        <v>0</v>
      </c>
      <c r="AP3618" s="39">
        <f t="shared" si="1549"/>
        <v>0</v>
      </c>
      <c r="AQ3618" s="39">
        <f t="shared" si="1549"/>
        <v>0</v>
      </c>
      <c r="AR3618" s="39">
        <f t="shared" si="1549"/>
        <v>0</v>
      </c>
      <c r="AS3618" s="39">
        <f t="shared" si="1549"/>
        <v>0</v>
      </c>
      <c r="AT3618" s="39">
        <f t="shared" si="1549"/>
        <v>0</v>
      </c>
      <c r="AU3618" s="39">
        <f t="shared" si="1549"/>
        <v>0</v>
      </c>
      <c r="AV3618" s="39">
        <f t="shared" si="1549"/>
        <v>0</v>
      </c>
      <c r="AW3618" s="39">
        <f t="shared" si="1549"/>
        <v>0</v>
      </c>
      <c r="AX3618" s="39">
        <f t="shared" si="1549"/>
        <v>0</v>
      </c>
      <c r="AY3618" s="39">
        <f t="shared" si="1549"/>
        <v>0</v>
      </c>
      <c r="AZ3618" s="39">
        <f t="shared" si="1549"/>
        <v>0</v>
      </c>
      <c r="BA3618" s="39">
        <f t="shared" si="1549"/>
        <v>0</v>
      </c>
      <c r="BB3618" s="39">
        <f t="shared" si="1549"/>
        <v>0</v>
      </c>
      <c r="BC3618" s="39">
        <f t="shared" si="1538"/>
        <v>0</v>
      </c>
      <c r="BD3618" s="101">
        <f t="shared" si="1539"/>
        <v>0</v>
      </c>
      <c r="BE3618" s="39">
        <f t="shared" si="1549"/>
        <v>4</v>
      </c>
      <c r="BF3618" s="39">
        <f t="shared" si="1540"/>
        <v>0</v>
      </c>
      <c r="BG3618" s="101">
        <f t="shared" si="1541"/>
        <v>0</v>
      </c>
      <c r="BH3618" s="101">
        <f t="shared" si="1519"/>
        <v>24</v>
      </c>
      <c r="BI3618" s="280">
        <f t="shared" si="1542"/>
        <v>0</v>
      </c>
      <c r="BJ3618" s="142">
        <v>24</v>
      </c>
      <c r="BK3618" s="203">
        <f>BH3618-BJ3618</f>
        <v>0</v>
      </c>
      <c r="BL3618" s="4"/>
      <c r="BM3618" s="4"/>
    </row>
    <row r="3619" spans="1:65" s="38" customFormat="1" ht="15.95" customHeight="1">
      <c r="A3619" s="126">
        <v>1</v>
      </c>
      <c r="B3619" s="179" t="s">
        <v>1228</v>
      </c>
      <c r="C3619" s="120" t="s">
        <v>1229</v>
      </c>
      <c r="D3619" s="63"/>
      <c r="E3619" s="63"/>
      <c r="F3619" s="63"/>
      <c r="G3619" s="63"/>
      <c r="H3619" s="63"/>
      <c r="I3619" s="63"/>
      <c r="J3619" s="63"/>
      <c r="K3619" s="63"/>
      <c r="L3619" s="63"/>
      <c r="M3619" s="63"/>
      <c r="N3619" s="63"/>
      <c r="O3619" s="63"/>
      <c r="P3619" s="63"/>
      <c r="Q3619" s="63"/>
      <c r="R3619" s="63"/>
      <c r="S3619" s="63"/>
      <c r="T3619" s="63"/>
      <c r="U3619" s="63"/>
      <c r="V3619" s="63"/>
      <c r="W3619" s="63"/>
      <c r="X3619" s="63"/>
      <c r="Y3619" s="63"/>
      <c r="Z3619" s="63"/>
      <c r="AA3619" s="63"/>
      <c r="AB3619" s="229">
        <f t="shared" ref="AB3619:AC3625" si="1550">D3619+F3619+H3619+J3619+L3619+N3619+P3619+R3619+T3619+V3619+X3619+Z3619</f>
        <v>0</v>
      </c>
      <c r="AC3619" s="228">
        <f t="shared" si="1550"/>
        <v>0</v>
      </c>
      <c r="AD3619" s="19">
        <v>2</v>
      </c>
      <c r="AE3619" s="65"/>
      <c r="AF3619" s="65"/>
      <c r="AG3619" s="65"/>
      <c r="AH3619" s="65"/>
      <c r="AI3619" s="65"/>
      <c r="AJ3619" s="65"/>
      <c r="AK3619" s="65"/>
      <c r="AL3619" s="65"/>
      <c r="AM3619" s="65"/>
      <c r="AN3619" s="65"/>
      <c r="AO3619" s="65"/>
      <c r="AP3619" s="65"/>
      <c r="AQ3619" s="65"/>
      <c r="AR3619" s="65"/>
      <c r="AS3619" s="65"/>
      <c r="AT3619" s="65"/>
      <c r="AU3619" s="65"/>
      <c r="AV3619" s="65"/>
      <c r="AW3619" s="65"/>
      <c r="AX3619" s="65"/>
      <c r="AY3619" s="65"/>
      <c r="AZ3619" s="65"/>
      <c r="BA3619" s="65"/>
      <c r="BB3619" s="65"/>
      <c r="BC3619" s="229">
        <f t="shared" ref="BC3619:BD3625" si="1551">AE3619+AG3619+AI3619+AK3619+AM3619+AO3619+AQ3619+AS3619+AU3619+AW3619+AY3619+BA3619</f>
        <v>0</v>
      </c>
      <c r="BD3619" s="48">
        <f t="shared" si="1551"/>
        <v>0</v>
      </c>
      <c r="BE3619" s="19">
        <v>0</v>
      </c>
      <c r="BF3619" s="229">
        <f t="shared" ref="BF3619:BH3625" si="1552">AB3619+BC3619</f>
        <v>0</v>
      </c>
      <c r="BG3619" s="210">
        <f t="shared" si="1552"/>
        <v>0</v>
      </c>
      <c r="BH3619" s="210">
        <f t="shared" si="1552"/>
        <v>2</v>
      </c>
      <c r="BI3619" s="213">
        <f t="shared" ref="BI3619:BI3625" si="1553">BG3619/BH3619*100</f>
        <v>0</v>
      </c>
      <c r="BJ3619" s="270" t="s">
        <v>2857</v>
      </c>
      <c r="BK3619" s="201"/>
      <c r="BL3619" s="4"/>
      <c r="BM3619" s="4"/>
    </row>
    <row r="3620" spans="1:65" s="38" customFormat="1" ht="15.95" customHeight="1">
      <c r="A3620" s="126">
        <v>2</v>
      </c>
      <c r="B3620" s="61">
        <v>600173</v>
      </c>
      <c r="C3620" s="120" t="s">
        <v>1265</v>
      </c>
      <c r="D3620" s="63"/>
      <c r="E3620" s="63"/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3"/>
      <c r="Q3620" s="63"/>
      <c r="R3620" s="63"/>
      <c r="S3620" s="63"/>
      <c r="T3620" s="63"/>
      <c r="U3620" s="63"/>
      <c r="V3620" s="63"/>
      <c r="W3620" s="63"/>
      <c r="X3620" s="63"/>
      <c r="Y3620" s="63"/>
      <c r="Z3620" s="63"/>
      <c r="AA3620" s="63"/>
      <c r="AB3620" s="229">
        <f t="shared" si="1550"/>
        <v>0</v>
      </c>
      <c r="AC3620" s="228">
        <f t="shared" si="1550"/>
        <v>0</v>
      </c>
      <c r="AD3620" s="46">
        <v>1</v>
      </c>
      <c r="AE3620" s="66"/>
      <c r="AF3620" s="66"/>
      <c r="AG3620" s="66"/>
      <c r="AH3620" s="66"/>
      <c r="AI3620" s="66"/>
      <c r="AJ3620" s="66"/>
      <c r="AK3620" s="66"/>
      <c r="AL3620" s="66"/>
      <c r="AM3620" s="66"/>
      <c r="AN3620" s="66"/>
      <c r="AO3620" s="66"/>
      <c r="AP3620" s="66"/>
      <c r="AQ3620" s="66"/>
      <c r="AR3620" s="66"/>
      <c r="AS3620" s="66"/>
      <c r="AT3620" s="66"/>
      <c r="AU3620" s="66"/>
      <c r="AV3620" s="66"/>
      <c r="AW3620" s="66"/>
      <c r="AX3620" s="66"/>
      <c r="AY3620" s="66"/>
      <c r="AZ3620" s="66"/>
      <c r="BA3620" s="66"/>
      <c r="BB3620" s="66"/>
      <c r="BC3620" s="229">
        <f t="shared" si="1551"/>
        <v>0</v>
      </c>
      <c r="BD3620" s="48">
        <f t="shared" si="1551"/>
        <v>0</v>
      </c>
      <c r="BE3620" s="45">
        <v>0</v>
      </c>
      <c r="BF3620" s="229">
        <f t="shared" si="1552"/>
        <v>0</v>
      </c>
      <c r="BG3620" s="210">
        <f t="shared" si="1552"/>
        <v>0</v>
      </c>
      <c r="BH3620" s="210">
        <f t="shared" si="1552"/>
        <v>1</v>
      </c>
      <c r="BI3620" s="213">
        <f t="shared" si="1553"/>
        <v>0</v>
      </c>
      <c r="BJ3620" s="270" t="s">
        <v>2857</v>
      </c>
      <c r="BK3620" s="201"/>
      <c r="BL3620" s="4"/>
      <c r="BM3620" s="4"/>
    </row>
    <row r="3621" spans="1:65" s="38" customFormat="1" ht="15.95" customHeight="1">
      <c r="A3621" s="126">
        <v>3</v>
      </c>
      <c r="B3621" s="179" t="s">
        <v>1234</v>
      </c>
      <c r="C3621" s="64" t="s">
        <v>1235</v>
      </c>
      <c r="D3621" s="63"/>
      <c r="E3621" s="63"/>
      <c r="F3621" s="63"/>
      <c r="G3621" s="63"/>
      <c r="H3621" s="63"/>
      <c r="I3621" s="63"/>
      <c r="J3621" s="63"/>
      <c r="K3621" s="63"/>
      <c r="L3621" s="63"/>
      <c r="M3621" s="63"/>
      <c r="N3621" s="63"/>
      <c r="O3621" s="63"/>
      <c r="P3621" s="63"/>
      <c r="Q3621" s="63"/>
      <c r="R3621" s="63"/>
      <c r="S3621" s="63"/>
      <c r="T3621" s="63"/>
      <c r="U3621" s="63"/>
      <c r="V3621" s="63"/>
      <c r="W3621" s="63"/>
      <c r="X3621" s="63"/>
      <c r="Y3621" s="63"/>
      <c r="Z3621" s="63"/>
      <c r="AA3621" s="63"/>
      <c r="AB3621" s="229">
        <f t="shared" si="1550"/>
        <v>0</v>
      </c>
      <c r="AC3621" s="228">
        <f t="shared" si="1550"/>
        <v>0</v>
      </c>
      <c r="AD3621" s="19">
        <v>5</v>
      </c>
      <c r="AE3621" s="65"/>
      <c r="AF3621" s="65"/>
      <c r="AG3621" s="65"/>
      <c r="AH3621" s="65"/>
      <c r="AI3621" s="65"/>
      <c r="AJ3621" s="65"/>
      <c r="AK3621" s="65"/>
      <c r="AL3621" s="65"/>
      <c r="AM3621" s="65"/>
      <c r="AN3621" s="65"/>
      <c r="AO3621" s="65"/>
      <c r="AP3621" s="65"/>
      <c r="AQ3621" s="65"/>
      <c r="AR3621" s="65"/>
      <c r="AS3621" s="65"/>
      <c r="AT3621" s="65"/>
      <c r="AU3621" s="65"/>
      <c r="AV3621" s="65"/>
      <c r="AW3621" s="65"/>
      <c r="AX3621" s="65"/>
      <c r="AY3621" s="65"/>
      <c r="AZ3621" s="65"/>
      <c r="BA3621" s="65"/>
      <c r="BB3621" s="65"/>
      <c r="BC3621" s="229">
        <f t="shared" si="1551"/>
        <v>0</v>
      </c>
      <c r="BD3621" s="48">
        <f t="shared" si="1551"/>
        <v>0</v>
      </c>
      <c r="BE3621" s="19">
        <v>0</v>
      </c>
      <c r="BF3621" s="229">
        <f t="shared" si="1552"/>
        <v>0</v>
      </c>
      <c r="BG3621" s="210">
        <f t="shared" si="1552"/>
        <v>0</v>
      </c>
      <c r="BH3621" s="210">
        <f t="shared" si="1552"/>
        <v>5</v>
      </c>
      <c r="BI3621" s="213">
        <f t="shared" si="1553"/>
        <v>0</v>
      </c>
      <c r="BJ3621" s="270" t="s">
        <v>2857</v>
      </c>
      <c r="BK3621" s="201"/>
      <c r="BL3621" s="4"/>
      <c r="BM3621" s="4"/>
    </row>
    <row r="3622" spans="1:65" s="38" customFormat="1" ht="15.95" customHeight="1">
      <c r="A3622" s="126">
        <v>4</v>
      </c>
      <c r="B3622" s="61">
        <v>600349</v>
      </c>
      <c r="C3622" s="62" t="s">
        <v>1237</v>
      </c>
      <c r="D3622" s="63"/>
      <c r="E3622" s="63"/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3"/>
      <c r="Q3622" s="63"/>
      <c r="R3622" s="63"/>
      <c r="S3622" s="63"/>
      <c r="T3622" s="63"/>
      <c r="U3622" s="63"/>
      <c r="V3622" s="63"/>
      <c r="W3622" s="63"/>
      <c r="X3622" s="63"/>
      <c r="Y3622" s="63"/>
      <c r="Z3622" s="63"/>
      <c r="AA3622" s="63"/>
      <c r="AB3622" s="229">
        <f t="shared" si="1550"/>
        <v>0</v>
      </c>
      <c r="AC3622" s="228">
        <f t="shared" si="1550"/>
        <v>0</v>
      </c>
      <c r="AD3622" s="46">
        <v>10</v>
      </c>
      <c r="AE3622" s="66"/>
      <c r="AF3622" s="66"/>
      <c r="AG3622" s="66"/>
      <c r="AH3622" s="66"/>
      <c r="AI3622" s="66"/>
      <c r="AJ3622" s="66"/>
      <c r="AK3622" s="66"/>
      <c r="AL3622" s="66"/>
      <c r="AM3622" s="66"/>
      <c r="AN3622" s="66"/>
      <c r="AO3622" s="66"/>
      <c r="AP3622" s="66"/>
      <c r="AQ3622" s="66"/>
      <c r="AR3622" s="66"/>
      <c r="AS3622" s="66"/>
      <c r="AT3622" s="66"/>
      <c r="AU3622" s="66"/>
      <c r="AV3622" s="66"/>
      <c r="AW3622" s="66"/>
      <c r="AX3622" s="66"/>
      <c r="AY3622" s="66"/>
      <c r="AZ3622" s="66"/>
      <c r="BA3622" s="66"/>
      <c r="BB3622" s="66"/>
      <c r="BC3622" s="229">
        <f t="shared" si="1551"/>
        <v>0</v>
      </c>
      <c r="BD3622" s="48">
        <f t="shared" si="1551"/>
        <v>0</v>
      </c>
      <c r="BE3622" s="45">
        <v>0</v>
      </c>
      <c r="BF3622" s="229">
        <f t="shared" si="1552"/>
        <v>0</v>
      </c>
      <c r="BG3622" s="210">
        <f t="shared" si="1552"/>
        <v>0</v>
      </c>
      <c r="BH3622" s="210">
        <f t="shared" si="1552"/>
        <v>10</v>
      </c>
      <c r="BI3622" s="213">
        <f t="shared" si="1553"/>
        <v>0</v>
      </c>
      <c r="BJ3622" s="270" t="s">
        <v>2857</v>
      </c>
      <c r="BK3622" s="201"/>
      <c r="BL3622" s="4"/>
      <c r="BM3622" s="4"/>
    </row>
    <row r="3623" spans="1:65" s="38" customFormat="1" ht="15.95" customHeight="1">
      <c r="A3623" s="126">
        <v>5</v>
      </c>
      <c r="B3623" s="61" t="s">
        <v>1241</v>
      </c>
      <c r="C3623" s="120" t="s">
        <v>1242</v>
      </c>
      <c r="D3623" s="63"/>
      <c r="E3623" s="63"/>
      <c r="F3623" s="63"/>
      <c r="G3623" s="63"/>
      <c r="H3623" s="63"/>
      <c r="I3623" s="63"/>
      <c r="J3623" s="63"/>
      <c r="K3623" s="63"/>
      <c r="L3623" s="63"/>
      <c r="M3623" s="63"/>
      <c r="N3623" s="63"/>
      <c r="O3623" s="63"/>
      <c r="P3623" s="63"/>
      <c r="Q3623" s="63"/>
      <c r="R3623" s="63"/>
      <c r="S3623" s="63"/>
      <c r="T3623" s="63"/>
      <c r="U3623" s="63"/>
      <c r="V3623" s="63"/>
      <c r="W3623" s="63"/>
      <c r="X3623" s="63"/>
      <c r="Y3623" s="63"/>
      <c r="Z3623" s="63"/>
      <c r="AA3623" s="63"/>
      <c r="AB3623" s="229">
        <f t="shared" si="1550"/>
        <v>0</v>
      </c>
      <c r="AC3623" s="228">
        <f t="shared" si="1550"/>
        <v>0</v>
      </c>
      <c r="AD3623" s="46">
        <v>0</v>
      </c>
      <c r="AE3623" s="66"/>
      <c r="AF3623" s="66"/>
      <c r="AG3623" s="66"/>
      <c r="AH3623" s="66"/>
      <c r="AI3623" s="66"/>
      <c r="AJ3623" s="66"/>
      <c r="AK3623" s="66"/>
      <c r="AL3623" s="66"/>
      <c r="AM3623" s="66"/>
      <c r="AN3623" s="66"/>
      <c r="AO3623" s="66"/>
      <c r="AP3623" s="66"/>
      <c r="AQ3623" s="66"/>
      <c r="AR3623" s="66"/>
      <c r="AS3623" s="66"/>
      <c r="AT3623" s="66"/>
      <c r="AU3623" s="66"/>
      <c r="AV3623" s="66"/>
      <c r="AW3623" s="66"/>
      <c r="AX3623" s="66"/>
      <c r="AY3623" s="66"/>
      <c r="AZ3623" s="66"/>
      <c r="BA3623" s="66"/>
      <c r="BB3623" s="66"/>
      <c r="BC3623" s="229">
        <f t="shared" si="1551"/>
        <v>0</v>
      </c>
      <c r="BD3623" s="48">
        <f t="shared" si="1551"/>
        <v>0</v>
      </c>
      <c r="BE3623" s="45">
        <v>2</v>
      </c>
      <c r="BF3623" s="229">
        <f t="shared" si="1552"/>
        <v>0</v>
      </c>
      <c r="BG3623" s="210">
        <f t="shared" si="1552"/>
        <v>0</v>
      </c>
      <c r="BH3623" s="210">
        <f t="shared" si="1552"/>
        <v>2</v>
      </c>
      <c r="BI3623" s="213">
        <f t="shared" si="1553"/>
        <v>0</v>
      </c>
      <c r="BJ3623" s="141"/>
      <c r="BK3623" s="201"/>
      <c r="BL3623" s="4"/>
      <c r="BM3623" s="4"/>
    </row>
    <row r="3624" spans="1:65" s="38" customFormat="1" ht="21.95" customHeight="1">
      <c r="A3624" s="126">
        <v>6</v>
      </c>
      <c r="B3624" s="61" t="s">
        <v>1245</v>
      </c>
      <c r="C3624" s="119" t="s">
        <v>1246</v>
      </c>
      <c r="D3624" s="63"/>
      <c r="E3624" s="63"/>
      <c r="F3624" s="63"/>
      <c r="G3624" s="63"/>
      <c r="H3624" s="63"/>
      <c r="I3624" s="63"/>
      <c r="J3624" s="63"/>
      <c r="K3624" s="63"/>
      <c r="L3624" s="63"/>
      <c r="M3624" s="63"/>
      <c r="N3624" s="63"/>
      <c r="O3624" s="63"/>
      <c r="P3624" s="63"/>
      <c r="Q3624" s="63"/>
      <c r="R3624" s="63"/>
      <c r="S3624" s="63"/>
      <c r="T3624" s="63"/>
      <c r="U3624" s="63"/>
      <c r="V3624" s="63"/>
      <c r="W3624" s="63"/>
      <c r="X3624" s="63"/>
      <c r="Y3624" s="63"/>
      <c r="Z3624" s="63"/>
      <c r="AA3624" s="63"/>
      <c r="AB3624" s="229">
        <f t="shared" si="1550"/>
        <v>0</v>
      </c>
      <c r="AC3624" s="228">
        <f t="shared" si="1550"/>
        <v>0</v>
      </c>
      <c r="AD3624" s="46">
        <v>0</v>
      </c>
      <c r="AE3624" s="66"/>
      <c r="AF3624" s="66"/>
      <c r="AG3624" s="66"/>
      <c r="AH3624" s="66"/>
      <c r="AI3624" s="66"/>
      <c r="AJ3624" s="66"/>
      <c r="AK3624" s="66"/>
      <c r="AL3624" s="66"/>
      <c r="AM3624" s="66"/>
      <c r="AN3624" s="66"/>
      <c r="AO3624" s="66"/>
      <c r="AP3624" s="66"/>
      <c r="AQ3624" s="66"/>
      <c r="AR3624" s="66"/>
      <c r="AS3624" s="66"/>
      <c r="AT3624" s="66"/>
      <c r="AU3624" s="66"/>
      <c r="AV3624" s="66"/>
      <c r="AW3624" s="66"/>
      <c r="AX3624" s="66"/>
      <c r="AY3624" s="66"/>
      <c r="AZ3624" s="66"/>
      <c r="BA3624" s="66"/>
      <c r="BB3624" s="66"/>
      <c r="BC3624" s="229">
        <f t="shared" si="1551"/>
        <v>0</v>
      </c>
      <c r="BD3624" s="48">
        <f t="shared" si="1551"/>
        <v>0</v>
      </c>
      <c r="BE3624" s="45">
        <v>2</v>
      </c>
      <c r="BF3624" s="229">
        <f t="shared" si="1552"/>
        <v>0</v>
      </c>
      <c r="BG3624" s="210">
        <f t="shared" si="1552"/>
        <v>0</v>
      </c>
      <c r="BH3624" s="210">
        <f t="shared" si="1552"/>
        <v>2</v>
      </c>
      <c r="BI3624" s="213">
        <f t="shared" si="1553"/>
        <v>0</v>
      </c>
      <c r="BJ3624" s="141"/>
      <c r="BK3624" s="201"/>
      <c r="BL3624" s="4"/>
      <c r="BM3624" s="4"/>
    </row>
    <row r="3625" spans="1:65" s="38" customFormat="1" ht="21.95" customHeight="1">
      <c r="A3625" s="126">
        <v>7</v>
      </c>
      <c r="B3625" s="61" t="s">
        <v>1279</v>
      </c>
      <c r="C3625" s="186" t="s">
        <v>1363</v>
      </c>
      <c r="D3625" s="63"/>
      <c r="E3625" s="63"/>
      <c r="F3625" s="63"/>
      <c r="G3625" s="63"/>
      <c r="H3625" s="63"/>
      <c r="I3625" s="63"/>
      <c r="J3625" s="63"/>
      <c r="K3625" s="63"/>
      <c r="L3625" s="63"/>
      <c r="M3625" s="63"/>
      <c r="N3625" s="63"/>
      <c r="O3625" s="63"/>
      <c r="P3625" s="63"/>
      <c r="Q3625" s="63"/>
      <c r="R3625" s="63"/>
      <c r="S3625" s="63"/>
      <c r="T3625" s="63"/>
      <c r="U3625" s="63"/>
      <c r="V3625" s="63"/>
      <c r="W3625" s="63"/>
      <c r="X3625" s="63"/>
      <c r="Y3625" s="63"/>
      <c r="Z3625" s="63"/>
      <c r="AA3625" s="63"/>
      <c r="AB3625" s="229">
        <f t="shared" si="1550"/>
        <v>0</v>
      </c>
      <c r="AC3625" s="228">
        <f t="shared" si="1550"/>
        <v>0</v>
      </c>
      <c r="AD3625" s="46">
        <v>2</v>
      </c>
      <c r="AE3625" s="66"/>
      <c r="AF3625" s="66"/>
      <c r="AG3625" s="66"/>
      <c r="AH3625" s="66"/>
      <c r="AI3625" s="66"/>
      <c r="AJ3625" s="66"/>
      <c r="AK3625" s="66"/>
      <c r="AL3625" s="66"/>
      <c r="AM3625" s="66"/>
      <c r="AN3625" s="66"/>
      <c r="AO3625" s="66"/>
      <c r="AP3625" s="66"/>
      <c r="AQ3625" s="66"/>
      <c r="AR3625" s="66"/>
      <c r="AS3625" s="66"/>
      <c r="AT3625" s="66"/>
      <c r="AU3625" s="66"/>
      <c r="AV3625" s="66"/>
      <c r="AW3625" s="66"/>
      <c r="AX3625" s="66"/>
      <c r="AY3625" s="66"/>
      <c r="AZ3625" s="66"/>
      <c r="BA3625" s="66"/>
      <c r="BB3625" s="66"/>
      <c r="BC3625" s="229">
        <f t="shared" si="1551"/>
        <v>0</v>
      </c>
      <c r="BD3625" s="48">
        <f t="shared" si="1551"/>
        <v>0</v>
      </c>
      <c r="BE3625" s="45">
        <v>0</v>
      </c>
      <c r="BF3625" s="229">
        <f t="shared" si="1552"/>
        <v>0</v>
      </c>
      <c r="BG3625" s="210">
        <f t="shared" si="1552"/>
        <v>0</v>
      </c>
      <c r="BH3625" s="210">
        <f t="shared" si="1552"/>
        <v>2</v>
      </c>
      <c r="BI3625" s="213">
        <f t="shared" si="1553"/>
        <v>0</v>
      </c>
      <c r="BJ3625" s="155"/>
      <c r="BK3625" s="136"/>
      <c r="BL3625" s="4"/>
      <c r="BM3625" s="4"/>
    </row>
    <row r="3626" spans="1:65" s="38" customFormat="1" ht="21.95" customHeight="1">
      <c r="A3626" s="359" t="s">
        <v>2794</v>
      </c>
      <c r="B3626" s="359"/>
      <c r="C3626" s="359"/>
      <c r="D3626" s="39">
        <f t="shared" ref="D3626:BE3626" si="1554">D3627</f>
        <v>0</v>
      </c>
      <c r="E3626" s="39">
        <f t="shared" si="1554"/>
        <v>0</v>
      </c>
      <c r="F3626" s="39">
        <f t="shared" si="1554"/>
        <v>0</v>
      </c>
      <c r="G3626" s="39">
        <f t="shared" si="1554"/>
        <v>0</v>
      </c>
      <c r="H3626" s="39">
        <f t="shared" si="1554"/>
        <v>0</v>
      </c>
      <c r="I3626" s="39">
        <f t="shared" si="1554"/>
        <v>0</v>
      </c>
      <c r="J3626" s="39">
        <f t="shared" si="1554"/>
        <v>0</v>
      </c>
      <c r="K3626" s="39">
        <f t="shared" si="1554"/>
        <v>0</v>
      </c>
      <c r="L3626" s="39">
        <f t="shared" si="1554"/>
        <v>0</v>
      </c>
      <c r="M3626" s="39">
        <f t="shared" si="1554"/>
        <v>0</v>
      </c>
      <c r="N3626" s="39">
        <f t="shared" si="1554"/>
        <v>0</v>
      </c>
      <c r="O3626" s="39">
        <f t="shared" si="1554"/>
        <v>0</v>
      </c>
      <c r="P3626" s="39">
        <f t="shared" si="1554"/>
        <v>0</v>
      </c>
      <c r="Q3626" s="39">
        <f t="shared" si="1554"/>
        <v>0</v>
      </c>
      <c r="R3626" s="39">
        <f t="shared" si="1554"/>
        <v>0</v>
      </c>
      <c r="S3626" s="39">
        <f t="shared" si="1554"/>
        <v>0</v>
      </c>
      <c r="T3626" s="39">
        <f t="shared" si="1554"/>
        <v>0</v>
      </c>
      <c r="U3626" s="39">
        <f t="shared" si="1554"/>
        <v>0</v>
      </c>
      <c r="V3626" s="39">
        <f t="shared" si="1554"/>
        <v>0</v>
      </c>
      <c r="W3626" s="39">
        <f t="shared" si="1554"/>
        <v>0</v>
      </c>
      <c r="X3626" s="39">
        <f t="shared" si="1554"/>
        <v>0</v>
      </c>
      <c r="Y3626" s="39">
        <f t="shared" si="1554"/>
        <v>0</v>
      </c>
      <c r="Z3626" s="39">
        <f t="shared" si="1554"/>
        <v>0</v>
      </c>
      <c r="AA3626" s="39">
        <f t="shared" si="1554"/>
        <v>0</v>
      </c>
      <c r="AB3626" s="39">
        <f t="shared" si="1534"/>
        <v>0</v>
      </c>
      <c r="AC3626" s="39">
        <f t="shared" si="1535"/>
        <v>0</v>
      </c>
      <c r="AD3626" s="39">
        <f t="shared" si="1554"/>
        <v>0</v>
      </c>
      <c r="AE3626" s="39">
        <f t="shared" si="1554"/>
        <v>0</v>
      </c>
      <c r="AF3626" s="39">
        <f t="shared" si="1554"/>
        <v>0</v>
      </c>
      <c r="AG3626" s="39">
        <f t="shared" si="1554"/>
        <v>0</v>
      </c>
      <c r="AH3626" s="39">
        <f t="shared" si="1554"/>
        <v>0</v>
      </c>
      <c r="AI3626" s="39">
        <f t="shared" si="1554"/>
        <v>0</v>
      </c>
      <c r="AJ3626" s="39">
        <f t="shared" si="1554"/>
        <v>0</v>
      </c>
      <c r="AK3626" s="39">
        <f t="shared" si="1554"/>
        <v>0</v>
      </c>
      <c r="AL3626" s="39">
        <f t="shared" si="1554"/>
        <v>0</v>
      </c>
      <c r="AM3626" s="39">
        <f t="shared" si="1554"/>
        <v>0</v>
      </c>
      <c r="AN3626" s="39">
        <f t="shared" si="1554"/>
        <v>0</v>
      </c>
      <c r="AO3626" s="39">
        <f t="shared" si="1554"/>
        <v>0</v>
      </c>
      <c r="AP3626" s="39">
        <f t="shared" si="1554"/>
        <v>0</v>
      </c>
      <c r="AQ3626" s="39">
        <f t="shared" si="1554"/>
        <v>0</v>
      </c>
      <c r="AR3626" s="39">
        <f t="shared" si="1554"/>
        <v>0</v>
      </c>
      <c r="AS3626" s="39">
        <f t="shared" si="1554"/>
        <v>0</v>
      </c>
      <c r="AT3626" s="39">
        <f t="shared" si="1554"/>
        <v>0</v>
      </c>
      <c r="AU3626" s="39">
        <f t="shared" si="1554"/>
        <v>0</v>
      </c>
      <c r="AV3626" s="39">
        <f t="shared" si="1554"/>
        <v>0</v>
      </c>
      <c r="AW3626" s="39">
        <f t="shared" si="1554"/>
        <v>0</v>
      </c>
      <c r="AX3626" s="39">
        <f t="shared" si="1554"/>
        <v>0</v>
      </c>
      <c r="AY3626" s="39">
        <f t="shared" si="1554"/>
        <v>0</v>
      </c>
      <c r="AZ3626" s="39">
        <f t="shared" si="1554"/>
        <v>0</v>
      </c>
      <c r="BA3626" s="39">
        <f t="shared" si="1554"/>
        <v>0</v>
      </c>
      <c r="BB3626" s="39">
        <f t="shared" si="1554"/>
        <v>0</v>
      </c>
      <c r="BC3626" s="39">
        <f t="shared" si="1538"/>
        <v>0</v>
      </c>
      <c r="BD3626" s="101">
        <f t="shared" si="1539"/>
        <v>0</v>
      </c>
      <c r="BE3626" s="39">
        <f t="shared" si="1554"/>
        <v>0</v>
      </c>
      <c r="BF3626" s="39">
        <f t="shared" si="1540"/>
        <v>0</v>
      </c>
      <c r="BG3626" s="101">
        <f t="shared" si="1541"/>
        <v>0</v>
      </c>
      <c r="BH3626" s="101">
        <f t="shared" si="1519"/>
        <v>0</v>
      </c>
      <c r="BI3626" s="280" t="e">
        <f t="shared" si="1542"/>
        <v>#DIV/0!</v>
      </c>
      <c r="BJ3626" s="142">
        <v>0</v>
      </c>
      <c r="BK3626" s="203">
        <f>BH3626-BJ3626</f>
        <v>0</v>
      </c>
      <c r="BL3626" s="4"/>
      <c r="BM3626" s="4"/>
    </row>
    <row r="3627" spans="1:65" s="38" customFormat="1" ht="21.95" customHeight="1">
      <c r="A3627" s="96"/>
      <c r="B3627" s="96"/>
      <c r="C3627" s="96"/>
      <c r="D3627" s="42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O3627" s="42"/>
      <c r="P3627" s="42"/>
      <c r="Q3627" s="42"/>
      <c r="R3627" s="42"/>
      <c r="S3627" s="42"/>
      <c r="T3627" s="42"/>
      <c r="U3627" s="42"/>
      <c r="V3627" s="42"/>
      <c r="W3627" s="42"/>
      <c r="X3627" s="42"/>
      <c r="Y3627" s="42"/>
      <c r="Z3627" s="42"/>
      <c r="AA3627" s="42"/>
      <c r="AB3627" s="229">
        <f t="shared" si="1534"/>
        <v>0</v>
      </c>
      <c r="AC3627" s="228">
        <f t="shared" si="1535"/>
        <v>0</v>
      </c>
      <c r="AD3627" s="19">
        <v>0</v>
      </c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229">
        <f t="shared" si="1538"/>
        <v>0</v>
      </c>
      <c r="BD3627" s="48">
        <f t="shared" si="1539"/>
        <v>0</v>
      </c>
      <c r="BE3627" s="19">
        <v>0</v>
      </c>
      <c r="BF3627" s="229">
        <f t="shared" si="1540"/>
        <v>0</v>
      </c>
      <c r="BG3627" s="210">
        <f t="shared" si="1541"/>
        <v>0</v>
      </c>
      <c r="BH3627" s="210">
        <f t="shared" si="1519"/>
        <v>0</v>
      </c>
      <c r="BI3627" s="213" t="e">
        <f t="shared" si="1542"/>
        <v>#DIV/0!</v>
      </c>
      <c r="BJ3627" s="155"/>
      <c r="BK3627" s="136"/>
      <c r="BL3627" s="4"/>
      <c r="BM3627" s="4"/>
    </row>
    <row r="3628" spans="1:65" s="38" customFormat="1" ht="21.95" customHeight="1">
      <c r="A3628" s="359" t="s">
        <v>2795</v>
      </c>
      <c r="B3628" s="359"/>
      <c r="C3628" s="359"/>
      <c r="D3628" s="39">
        <f t="shared" ref="D3628:BE3628" si="1555">SUM(D3629:D3630)</f>
        <v>0</v>
      </c>
      <c r="E3628" s="39">
        <f t="shared" si="1555"/>
        <v>0</v>
      </c>
      <c r="F3628" s="39">
        <f t="shared" si="1555"/>
        <v>0</v>
      </c>
      <c r="G3628" s="39">
        <f t="shared" si="1555"/>
        <v>0</v>
      </c>
      <c r="H3628" s="39">
        <f t="shared" si="1555"/>
        <v>0</v>
      </c>
      <c r="I3628" s="39">
        <f t="shared" si="1555"/>
        <v>0</v>
      </c>
      <c r="J3628" s="39">
        <f t="shared" si="1555"/>
        <v>0</v>
      </c>
      <c r="K3628" s="39">
        <f t="shared" si="1555"/>
        <v>0</v>
      </c>
      <c r="L3628" s="39">
        <f t="shared" si="1555"/>
        <v>0</v>
      </c>
      <c r="M3628" s="39">
        <f t="shared" si="1555"/>
        <v>0</v>
      </c>
      <c r="N3628" s="39">
        <f t="shared" si="1555"/>
        <v>0</v>
      </c>
      <c r="O3628" s="39">
        <f t="shared" si="1555"/>
        <v>0</v>
      </c>
      <c r="P3628" s="39">
        <f t="shared" si="1555"/>
        <v>0</v>
      </c>
      <c r="Q3628" s="39">
        <f t="shared" si="1555"/>
        <v>0</v>
      </c>
      <c r="R3628" s="39">
        <f t="shared" si="1555"/>
        <v>0</v>
      </c>
      <c r="S3628" s="39">
        <f t="shared" si="1555"/>
        <v>0</v>
      </c>
      <c r="T3628" s="39">
        <f t="shared" si="1555"/>
        <v>0</v>
      </c>
      <c r="U3628" s="39">
        <f t="shared" si="1555"/>
        <v>0</v>
      </c>
      <c r="V3628" s="39">
        <f t="shared" si="1555"/>
        <v>0</v>
      </c>
      <c r="W3628" s="39">
        <f t="shared" si="1555"/>
        <v>0</v>
      </c>
      <c r="X3628" s="39">
        <f t="shared" si="1555"/>
        <v>0</v>
      </c>
      <c r="Y3628" s="39">
        <f t="shared" si="1555"/>
        <v>0</v>
      </c>
      <c r="Z3628" s="39">
        <f t="shared" si="1555"/>
        <v>0</v>
      </c>
      <c r="AA3628" s="39">
        <f t="shared" si="1555"/>
        <v>0</v>
      </c>
      <c r="AB3628" s="39">
        <f t="shared" si="1534"/>
        <v>0</v>
      </c>
      <c r="AC3628" s="39">
        <f t="shared" si="1535"/>
        <v>0</v>
      </c>
      <c r="AD3628" s="39">
        <f t="shared" si="1555"/>
        <v>0</v>
      </c>
      <c r="AE3628" s="39">
        <f t="shared" si="1555"/>
        <v>0</v>
      </c>
      <c r="AF3628" s="39">
        <f t="shared" si="1555"/>
        <v>0</v>
      </c>
      <c r="AG3628" s="39">
        <f t="shared" si="1555"/>
        <v>0</v>
      </c>
      <c r="AH3628" s="39">
        <f t="shared" si="1555"/>
        <v>0</v>
      </c>
      <c r="AI3628" s="39">
        <f t="shared" si="1555"/>
        <v>0</v>
      </c>
      <c r="AJ3628" s="39">
        <f t="shared" si="1555"/>
        <v>0</v>
      </c>
      <c r="AK3628" s="39">
        <f t="shared" si="1555"/>
        <v>0</v>
      </c>
      <c r="AL3628" s="39">
        <f t="shared" si="1555"/>
        <v>0</v>
      </c>
      <c r="AM3628" s="39">
        <f t="shared" si="1555"/>
        <v>0</v>
      </c>
      <c r="AN3628" s="39">
        <f t="shared" si="1555"/>
        <v>0</v>
      </c>
      <c r="AO3628" s="39">
        <f t="shared" si="1555"/>
        <v>0</v>
      </c>
      <c r="AP3628" s="39">
        <f t="shared" si="1555"/>
        <v>0</v>
      </c>
      <c r="AQ3628" s="39">
        <f t="shared" si="1555"/>
        <v>0</v>
      </c>
      <c r="AR3628" s="39">
        <f t="shared" si="1555"/>
        <v>0</v>
      </c>
      <c r="AS3628" s="39">
        <f t="shared" si="1555"/>
        <v>0</v>
      </c>
      <c r="AT3628" s="39">
        <f t="shared" si="1555"/>
        <v>0</v>
      </c>
      <c r="AU3628" s="39">
        <f t="shared" ref="AU3628:AX3628" si="1556">SUM(AU3629:AU3630)</f>
        <v>0</v>
      </c>
      <c r="AV3628" s="39">
        <f t="shared" si="1556"/>
        <v>0</v>
      </c>
      <c r="AW3628" s="39">
        <f t="shared" si="1556"/>
        <v>0</v>
      </c>
      <c r="AX3628" s="39">
        <f t="shared" si="1556"/>
        <v>0</v>
      </c>
      <c r="AY3628" s="39">
        <f t="shared" si="1555"/>
        <v>0</v>
      </c>
      <c r="AZ3628" s="39">
        <f t="shared" si="1555"/>
        <v>0</v>
      </c>
      <c r="BA3628" s="39">
        <f t="shared" si="1555"/>
        <v>0</v>
      </c>
      <c r="BB3628" s="39">
        <f t="shared" si="1555"/>
        <v>0</v>
      </c>
      <c r="BC3628" s="39">
        <f t="shared" si="1538"/>
        <v>0</v>
      </c>
      <c r="BD3628" s="101">
        <f t="shared" si="1539"/>
        <v>0</v>
      </c>
      <c r="BE3628" s="39">
        <f t="shared" si="1555"/>
        <v>0</v>
      </c>
      <c r="BF3628" s="39">
        <f t="shared" si="1540"/>
        <v>0</v>
      </c>
      <c r="BG3628" s="101">
        <f t="shared" si="1541"/>
        <v>0</v>
      </c>
      <c r="BH3628" s="101">
        <f t="shared" si="1519"/>
        <v>0</v>
      </c>
      <c r="BI3628" s="280" t="e">
        <f t="shared" si="1542"/>
        <v>#DIV/0!</v>
      </c>
      <c r="BJ3628" s="142">
        <v>0</v>
      </c>
      <c r="BK3628" s="203">
        <f>BH3628-BJ3628</f>
        <v>0</v>
      </c>
      <c r="BL3628" s="4"/>
      <c r="BM3628" s="4"/>
    </row>
    <row r="3629" spans="1:65" s="38" customFormat="1" ht="15.95" customHeight="1">
      <c r="A3629" s="116">
        <v>1</v>
      </c>
      <c r="B3629" s="40" t="s">
        <v>1228</v>
      </c>
      <c r="C3629" s="120" t="s">
        <v>1229</v>
      </c>
      <c r="D3629" s="42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O3629" s="42"/>
      <c r="P3629" s="42"/>
      <c r="Q3629" s="42"/>
      <c r="R3629" s="42"/>
      <c r="S3629" s="42"/>
      <c r="T3629" s="42"/>
      <c r="U3629" s="42"/>
      <c r="V3629" s="42"/>
      <c r="W3629" s="42"/>
      <c r="X3629" s="42"/>
      <c r="Y3629" s="42"/>
      <c r="Z3629" s="42"/>
      <c r="AA3629" s="42"/>
      <c r="AB3629" s="229">
        <f t="shared" si="1534"/>
        <v>0</v>
      </c>
      <c r="AC3629" s="228">
        <f t="shared" si="1535"/>
        <v>0</v>
      </c>
      <c r="AD3629" s="19">
        <v>0</v>
      </c>
      <c r="AE3629" s="65"/>
      <c r="AF3629" s="65"/>
      <c r="AG3629" s="65"/>
      <c r="AH3629" s="65"/>
      <c r="AI3629" s="65"/>
      <c r="AJ3629" s="65"/>
      <c r="AK3629" s="65"/>
      <c r="AL3629" s="65"/>
      <c r="AM3629" s="65"/>
      <c r="AN3629" s="65"/>
      <c r="AO3629" s="65"/>
      <c r="AP3629" s="65"/>
      <c r="AQ3629" s="65"/>
      <c r="AR3629" s="65"/>
      <c r="AS3629" s="65"/>
      <c r="AT3629" s="65"/>
      <c r="AU3629" s="65"/>
      <c r="AV3629" s="65"/>
      <c r="AW3629" s="65"/>
      <c r="AX3629" s="65"/>
      <c r="AY3629" s="65"/>
      <c r="AZ3629" s="65"/>
      <c r="BA3629" s="65"/>
      <c r="BB3629" s="65"/>
      <c r="BC3629" s="229">
        <f t="shared" si="1538"/>
        <v>0</v>
      </c>
      <c r="BD3629" s="48">
        <f t="shared" si="1539"/>
        <v>0</v>
      </c>
      <c r="BE3629" s="19">
        <v>0</v>
      </c>
      <c r="BF3629" s="229">
        <f t="shared" si="1540"/>
        <v>0</v>
      </c>
      <c r="BG3629" s="210">
        <f t="shared" si="1541"/>
        <v>0</v>
      </c>
      <c r="BH3629" s="210">
        <f t="shared" si="1519"/>
        <v>0</v>
      </c>
      <c r="BI3629" s="213" t="e">
        <f t="shared" si="1542"/>
        <v>#DIV/0!</v>
      </c>
      <c r="BJ3629" s="270" t="s">
        <v>2857</v>
      </c>
      <c r="BK3629" s="201"/>
      <c r="BL3629" s="4"/>
      <c r="BM3629" s="4"/>
    </row>
    <row r="3630" spans="1:65" s="38" customFormat="1" ht="15.95" customHeight="1">
      <c r="A3630" s="116">
        <v>2</v>
      </c>
      <c r="B3630" s="40" t="s">
        <v>1230</v>
      </c>
      <c r="C3630" s="41" t="s">
        <v>1231</v>
      </c>
      <c r="D3630" s="42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O3630" s="42"/>
      <c r="P3630" s="42"/>
      <c r="Q3630" s="42"/>
      <c r="R3630" s="42"/>
      <c r="S3630" s="42"/>
      <c r="T3630" s="42"/>
      <c r="U3630" s="42"/>
      <c r="V3630" s="42"/>
      <c r="W3630" s="42"/>
      <c r="X3630" s="42"/>
      <c r="Y3630" s="42"/>
      <c r="Z3630" s="42"/>
      <c r="AA3630" s="42"/>
      <c r="AB3630" s="229">
        <f t="shared" si="1534"/>
        <v>0</v>
      </c>
      <c r="AC3630" s="228">
        <f t="shared" si="1535"/>
        <v>0</v>
      </c>
      <c r="AD3630" s="19">
        <v>0</v>
      </c>
      <c r="AE3630" s="65"/>
      <c r="AF3630" s="65"/>
      <c r="AG3630" s="65"/>
      <c r="AH3630" s="65"/>
      <c r="AI3630" s="65"/>
      <c r="AJ3630" s="65"/>
      <c r="AK3630" s="65"/>
      <c r="AL3630" s="65"/>
      <c r="AM3630" s="65"/>
      <c r="AN3630" s="65"/>
      <c r="AO3630" s="65"/>
      <c r="AP3630" s="65"/>
      <c r="AQ3630" s="65"/>
      <c r="AR3630" s="65"/>
      <c r="AS3630" s="65"/>
      <c r="AT3630" s="65"/>
      <c r="AU3630" s="65"/>
      <c r="AV3630" s="65"/>
      <c r="AW3630" s="65"/>
      <c r="AX3630" s="65"/>
      <c r="AY3630" s="65"/>
      <c r="AZ3630" s="65"/>
      <c r="BA3630" s="65"/>
      <c r="BB3630" s="65"/>
      <c r="BC3630" s="229">
        <f t="shared" si="1538"/>
        <v>0</v>
      </c>
      <c r="BD3630" s="48">
        <f t="shared" si="1539"/>
        <v>0</v>
      </c>
      <c r="BE3630" s="19">
        <v>0</v>
      </c>
      <c r="BF3630" s="229">
        <f t="shared" si="1540"/>
        <v>0</v>
      </c>
      <c r="BG3630" s="210">
        <f t="shared" si="1541"/>
        <v>0</v>
      </c>
      <c r="BH3630" s="210">
        <f t="shared" si="1519"/>
        <v>0</v>
      </c>
      <c r="BI3630" s="213" t="e">
        <f t="shared" si="1542"/>
        <v>#DIV/0!</v>
      </c>
      <c r="BJ3630" s="270" t="s">
        <v>2857</v>
      </c>
      <c r="BK3630" s="136"/>
      <c r="BL3630" s="4"/>
      <c r="BM3630" s="4"/>
    </row>
    <row r="3631" spans="1:65" s="38" customFormat="1" ht="21.95" customHeight="1">
      <c r="A3631" s="364" t="s">
        <v>2796</v>
      </c>
      <c r="B3631" s="364"/>
      <c r="C3631" s="364"/>
      <c r="D3631" s="39">
        <f t="shared" ref="D3631:AJ3631" si="1557">SUM(D3632:D3651)</f>
        <v>0</v>
      </c>
      <c r="E3631" s="39">
        <f t="shared" si="1557"/>
        <v>0</v>
      </c>
      <c r="F3631" s="39">
        <f t="shared" si="1557"/>
        <v>0</v>
      </c>
      <c r="G3631" s="39">
        <f t="shared" si="1557"/>
        <v>0</v>
      </c>
      <c r="H3631" s="39">
        <f t="shared" si="1557"/>
        <v>0</v>
      </c>
      <c r="I3631" s="39">
        <f t="shared" si="1557"/>
        <v>1236</v>
      </c>
      <c r="J3631" s="39">
        <f t="shared" si="1557"/>
        <v>0</v>
      </c>
      <c r="K3631" s="39">
        <f t="shared" si="1557"/>
        <v>0</v>
      </c>
      <c r="L3631" s="39">
        <f t="shared" si="1557"/>
        <v>0</v>
      </c>
      <c r="M3631" s="39">
        <f t="shared" si="1557"/>
        <v>0</v>
      </c>
      <c r="N3631" s="39">
        <f t="shared" si="1557"/>
        <v>0</v>
      </c>
      <c r="O3631" s="39">
        <f t="shared" si="1557"/>
        <v>1315</v>
      </c>
      <c r="P3631" s="39">
        <f t="shared" si="1557"/>
        <v>0</v>
      </c>
      <c r="Q3631" s="39">
        <f t="shared" si="1557"/>
        <v>0</v>
      </c>
      <c r="R3631" s="39">
        <f t="shared" si="1557"/>
        <v>0</v>
      </c>
      <c r="S3631" s="39">
        <f t="shared" si="1557"/>
        <v>0</v>
      </c>
      <c r="T3631" s="39">
        <f t="shared" si="1557"/>
        <v>0</v>
      </c>
      <c r="U3631" s="39">
        <f t="shared" si="1557"/>
        <v>1182</v>
      </c>
      <c r="V3631" s="39">
        <f t="shared" si="1557"/>
        <v>0</v>
      </c>
      <c r="W3631" s="39">
        <f t="shared" si="1557"/>
        <v>0</v>
      </c>
      <c r="X3631" s="39">
        <f t="shared" si="1557"/>
        <v>0</v>
      </c>
      <c r="Y3631" s="39">
        <f t="shared" si="1557"/>
        <v>0</v>
      </c>
      <c r="Z3631" s="39">
        <f t="shared" si="1557"/>
        <v>0</v>
      </c>
      <c r="AA3631" s="39">
        <f t="shared" si="1557"/>
        <v>2385</v>
      </c>
      <c r="AB3631" s="39">
        <f t="shared" si="1534"/>
        <v>0</v>
      </c>
      <c r="AC3631" s="39">
        <f t="shared" si="1535"/>
        <v>6118</v>
      </c>
      <c r="AD3631" s="39">
        <f t="shared" si="1557"/>
        <v>9076</v>
      </c>
      <c r="AE3631" s="39">
        <f t="shared" si="1557"/>
        <v>0</v>
      </c>
      <c r="AF3631" s="39">
        <f t="shared" si="1557"/>
        <v>0</v>
      </c>
      <c r="AG3631" s="39">
        <f t="shared" si="1557"/>
        <v>0</v>
      </c>
      <c r="AH3631" s="39">
        <f t="shared" si="1557"/>
        <v>0</v>
      </c>
      <c r="AI3631" s="39">
        <f t="shared" si="1557"/>
        <v>0</v>
      </c>
      <c r="AJ3631" s="39">
        <f t="shared" si="1557"/>
        <v>0</v>
      </c>
      <c r="AK3631" s="39">
        <f t="shared" ref="AK3631:BE3631" si="1558">SUM(AK3632:AK3651)</f>
        <v>0</v>
      </c>
      <c r="AL3631" s="39">
        <f t="shared" si="1558"/>
        <v>0</v>
      </c>
      <c r="AM3631" s="39">
        <f t="shared" si="1558"/>
        <v>0</v>
      </c>
      <c r="AN3631" s="39">
        <f t="shared" si="1558"/>
        <v>0</v>
      </c>
      <c r="AO3631" s="39">
        <f t="shared" si="1558"/>
        <v>0</v>
      </c>
      <c r="AP3631" s="39">
        <f t="shared" si="1558"/>
        <v>0</v>
      </c>
      <c r="AQ3631" s="39">
        <f t="shared" si="1558"/>
        <v>0</v>
      </c>
      <c r="AR3631" s="39">
        <f t="shared" si="1558"/>
        <v>0</v>
      </c>
      <c r="AS3631" s="39">
        <f t="shared" si="1558"/>
        <v>0</v>
      </c>
      <c r="AT3631" s="39">
        <f t="shared" si="1558"/>
        <v>0</v>
      </c>
      <c r="AU3631" s="39">
        <f t="shared" si="1558"/>
        <v>0</v>
      </c>
      <c r="AV3631" s="39">
        <f t="shared" si="1558"/>
        <v>0</v>
      </c>
      <c r="AW3631" s="39">
        <f t="shared" si="1558"/>
        <v>0</v>
      </c>
      <c r="AX3631" s="39">
        <f t="shared" si="1558"/>
        <v>0</v>
      </c>
      <c r="AY3631" s="39">
        <f t="shared" si="1558"/>
        <v>0</v>
      </c>
      <c r="AZ3631" s="39">
        <f t="shared" si="1558"/>
        <v>0</v>
      </c>
      <c r="BA3631" s="39">
        <f t="shared" si="1558"/>
        <v>0</v>
      </c>
      <c r="BB3631" s="39">
        <f t="shared" si="1558"/>
        <v>0</v>
      </c>
      <c r="BC3631" s="39">
        <f t="shared" si="1538"/>
        <v>0</v>
      </c>
      <c r="BD3631" s="101">
        <f t="shared" si="1539"/>
        <v>0</v>
      </c>
      <c r="BE3631" s="39">
        <f t="shared" si="1558"/>
        <v>302</v>
      </c>
      <c r="BF3631" s="39">
        <f t="shared" si="1540"/>
        <v>0</v>
      </c>
      <c r="BG3631" s="101">
        <f t="shared" si="1541"/>
        <v>6118</v>
      </c>
      <c r="BH3631" s="101">
        <f t="shared" si="1519"/>
        <v>9378</v>
      </c>
      <c r="BI3631" s="280">
        <f t="shared" si="1542"/>
        <v>65.237790573683085</v>
      </c>
      <c r="BJ3631" s="142">
        <v>9378</v>
      </c>
      <c r="BK3631" s="203">
        <f>BH3631-BJ3631</f>
        <v>0</v>
      </c>
      <c r="BL3631" s="4"/>
      <c r="BM3631" s="4"/>
    </row>
    <row r="3632" spans="1:65" s="38" customFormat="1" ht="15.95" customHeight="1">
      <c r="A3632" s="148">
        <v>1</v>
      </c>
      <c r="B3632" s="118" t="s">
        <v>2723</v>
      </c>
      <c r="C3632" s="120" t="s">
        <v>2724</v>
      </c>
      <c r="D3632" s="42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O3632" s="42"/>
      <c r="P3632" s="42"/>
      <c r="Q3632" s="42"/>
      <c r="R3632" s="42"/>
      <c r="S3632" s="42"/>
      <c r="T3632" s="42"/>
      <c r="U3632" s="42"/>
      <c r="V3632" s="42"/>
      <c r="W3632" s="42"/>
      <c r="X3632" s="42"/>
      <c r="Y3632" s="42"/>
      <c r="Z3632" s="42"/>
      <c r="AA3632" s="42"/>
      <c r="AB3632" s="229">
        <f t="shared" ref="AB3632:AB3651" si="1559">D3632+F3632+H3632+J3632+L3632+N3632+P3632+R3632+T3632+V3632+X3632+Z3632</f>
        <v>0</v>
      </c>
      <c r="AC3632" s="228">
        <f t="shared" si="1535"/>
        <v>0</v>
      </c>
      <c r="AD3632" s="19">
        <v>5</v>
      </c>
      <c r="AE3632" s="43"/>
      <c r="AF3632" s="43"/>
      <c r="AG3632" s="43"/>
      <c r="AH3632" s="43"/>
      <c r="AI3632" s="43"/>
      <c r="AJ3632" s="43"/>
      <c r="AK3632" s="43"/>
      <c r="AL3632" s="43"/>
      <c r="AM3632" s="43"/>
      <c r="AN3632" s="43"/>
      <c r="AO3632" s="43"/>
      <c r="AP3632" s="43"/>
      <c r="AQ3632" s="43"/>
      <c r="AR3632" s="43"/>
      <c r="AS3632" s="43"/>
      <c r="AT3632" s="43"/>
      <c r="AU3632" s="43"/>
      <c r="AV3632" s="43"/>
      <c r="AW3632" s="43"/>
      <c r="AX3632" s="43"/>
      <c r="AY3632" s="43"/>
      <c r="AZ3632" s="43"/>
      <c r="BA3632" s="43"/>
      <c r="BB3632" s="43"/>
      <c r="BC3632" s="229">
        <f t="shared" ref="BC3632:BC3651" si="1560">AE3632+AG3632+AI3632+AK3632+AM3632+AO3632+AQ3632+AS3632+AU3632+AW3632+AY3632+BA3632</f>
        <v>0</v>
      </c>
      <c r="BD3632" s="48">
        <f t="shared" si="1539"/>
        <v>0</v>
      </c>
      <c r="BE3632" s="19">
        <v>0</v>
      </c>
      <c r="BF3632" s="229">
        <f t="shared" ref="BF3632:BF3651" si="1561">AB3632+BC3632</f>
        <v>0</v>
      </c>
      <c r="BG3632" s="210">
        <f t="shared" si="1541"/>
        <v>0</v>
      </c>
      <c r="BH3632" s="210">
        <f t="shared" ref="BH3632:BH3651" si="1562">AD3632+BE3632</f>
        <v>5</v>
      </c>
      <c r="BI3632" s="213">
        <f t="shared" ref="BI3632:BI3651" si="1563">BG3632/BH3632*100</f>
        <v>0</v>
      </c>
      <c r="BJ3632" s="270" t="s">
        <v>2857</v>
      </c>
      <c r="BK3632" s="201"/>
      <c r="BL3632" s="4"/>
      <c r="BM3632" s="4"/>
    </row>
    <row r="3633" spans="1:65" s="38" customFormat="1" ht="15.95" customHeight="1">
      <c r="A3633" s="148">
        <v>2</v>
      </c>
      <c r="B3633" s="118" t="s">
        <v>1224</v>
      </c>
      <c r="C3633" s="120" t="s">
        <v>1225</v>
      </c>
      <c r="D3633" s="42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O3633" s="42"/>
      <c r="P3633" s="42"/>
      <c r="Q3633" s="42"/>
      <c r="R3633" s="42"/>
      <c r="S3633" s="42"/>
      <c r="T3633" s="42"/>
      <c r="U3633" s="42"/>
      <c r="V3633" s="42"/>
      <c r="W3633" s="42"/>
      <c r="X3633" s="42"/>
      <c r="Y3633" s="42"/>
      <c r="Z3633" s="42"/>
      <c r="AA3633" s="42"/>
      <c r="AB3633" s="229">
        <f t="shared" si="1559"/>
        <v>0</v>
      </c>
      <c r="AC3633" s="228">
        <f t="shared" si="1535"/>
        <v>0</v>
      </c>
      <c r="AD3633" s="19">
        <v>30</v>
      </c>
      <c r="AE3633" s="43"/>
      <c r="AF3633" s="43"/>
      <c r="AG3633" s="43"/>
      <c r="AH3633" s="43"/>
      <c r="AI3633" s="43"/>
      <c r="AJ3633" s="43"/>
      <c r="AK3633" s="43"/>
      <c r="AL3633" s="43"/>
      <c r="AM3633" s="43"/>
      <c r="AN3633" s="43"/>
      <c r="AO3633" s="43"/>
      <c r="AP3633" s="43"/>
      <c r="AQ3633" s="43"/>
      <c r="AR3633" s="43"/>
      <c r="AS3633" s="43"/>
      <c r="AT3633" s="43"/>
      <c r="AU3633" s="43"/>
      <c r="AV3633" s="43"/>
      <c r="AW3633" s="43"/>
      <c r="AX3633" s="43"/>
      <c r="AY3633" s="43"/>
      <c r="AZ3633" s="43"/>
      <c r="BA3633" s="43"/>
      <c r="BB3633" s="43"/>
      <c r="BC3633" s="229">
        <f t="shared" si="1560"/>
        <v>0</v>
      </c>
      <c r="BD3633" s="48">
        <f t="shared" si="1539"/>
        <v>0</v>
      </c>
      <c r="BE3633" s="19">
        <v>0</v>
      </c>
      <c r="BF3633" s="229">
        <f t="shared" si="1561"/>
        <v>0</v>
      </c>
      <c r="BG3633" s="210">
        <f t="shared" si="1541"/>
        <v>0</v>
      </c>
      <c r="BH3633" s="210">
        <f t="shared" si="1562"/>
        <v>30</v>
      </c>
      <c r="BI3633" s="213">
        <f t="shared" si="1563"/>
        <v>0</v>
      </c>
      <c r="BJ3633" s="270" t="s">
        <v>2857</v>
      </c>
      <c r="BK3633" s="201"/>
      <c r="BL3633" s="4"/>
      <c r="BM3633" s="4"/>
    </row>
    <row r="3634" spans="1:65" s="38" customFormat="1" ht="15.95" customHeight="1">
      <c r="A3634" s="148">
        <v>3</v>
      </c>
      <c r="B3634" s="118" t="s">
        <v>1226</v>
      </c>
      <c r="C3634" s="120" t="s">
        <v>1227</v>
      </c>
      <c r="D3634" s="42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O3634" s="42"/>
      <c r="P3634" s="42"/>
      <c r="Q3634" s="42"/>
      <c r="R3634" s="42"/>
      <c r="S3634" s="42"/>
      <c r="T3634" s="42"/>
      <c r="U3634" s="42"/>
      <c r="V3634" s="42"/>
      <c r="W3634" s="42"/>
      <c r="X3634" s="42"/>
      <c r="Y3634" s="42"/>
      <c r="Z3634" s="42"/>
      <c r="AA3634" s="42"/>
      <c r="AB3634" s="229">
        <f t="shared" si="1559"/>
        <v>0</v>
      </c>
      <c r="AC3634" s="228">
        <f t="shared" si="1535"/>
        <v>0</v>
      </c>
      <c r="AD3634" s="19">
        <v>0</v>
      </c>
      <c r="AE3634" s="43"/>
      <c r="AF3634" s="43"/>
      <c r="AG3634" s="43"/>
      <c r="AH3634" s="43"/>
      <c r="AI3634" s="43"/>
      <c r="AJ3634" s="43"/>
      <c r="AK3634" s="43"/>
      <c r="AL3634" s="43"/>
      <c r="AM3634" s="110"/>
      <c r="AN3634" s="43"/>
      <c r="AO3634" s="43"/>
      <c r="AP3634" s="43"/>
      <c r="AQ3634" s="110"/>
      <c r="AR3634" s="43"/>
      <c r="AS3634" s="43"/>
      <c r="AT3634" s="43"/>
      <c r="AU3634" s="43"/>
      <c r="AV3634" s="43"/>
      <c r="AW3634" s="43"/>
      <c r="AX3634" s="43"/>
      <c r="AY3634" s="43"/>
      <c r="AZ3634" s="43"/>
      <c r="BA3634" s="43"/>
      <c r="BB3634" s="43"/>
      <c r="BC3634" s="229">
        <f t="shared" si="1560"/>
        <v>0</v>
      </c>
      <c r="BD3634" s="48">
        <f t="shared" si="1539"/>
        <v>0</v>
      </c>
      <c r="BE3634" s="19">
        <v>0</v>
      </c>
      <c r="BF3634" s="229">
        <f t="shared" si="1561"/>
        <v>0</v>
      </c>
      <c r="BG3634" s="210">
        <f t="shared" si="1541"/>
        <v>0</v>
      </c>
      <c r="BH3634" s="210">
        <f t="shared" si="1562"/>
        <v>0</v>
      </c>
      <c r="BI3634" s="213" t="e">
        <f t="shared" si="1563"/>
        <v>#DIV/0!</v>
      </c>
      <c r="BJ3634" s="270" t="s">
        <v>2857</v>
      </c>
      <c r="BK3634" s="201"/>
      <c r="BL3634" s="4"/>
      <c r="BM3634" s="4"/>
    </row>
    <row r="3635" spans="1:65" s="38" customFormat="1" ht="15.95" customHeight="1">
      <c r="A3635" s="148">
        <v>4</v>
      </c>
      <c r="B3635" s="118" t="s">
        <v>1258</v>
      </c>
      <c r="C3635" s="120" t="s">
        <v>2459</v>
      </c>
      <c r="D3635" s="42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O3635" s="42"/>
      <c r="P3635" s="42"/>
      <c r="Q3635" s="42"/>
      <c r="R3635" s="42"/>
      <c r="S3635" s="42"/>
      <c r="T3635" s="42"/>
      <c r="U3635" s="42"/>
      <c r="V3635" s="42"/>
      <c r="W3635" s="42"/>
      <c r="X3635" s="42"/>
      <c r="Y3635" s="42"/>
      <c r="Z3635" s="42"/>
      <c r="AA3635" s="42"/>
      <c r="AB3635" s="229">
        <f t="shared" si="1559"/>
        <v>0</v>
      </c>
      <c r="AC3635" s="228">
        <f t="shared" si="1535"/>
        <v>0</v>
      </c>
      <c r="AD3635" s="19">
        <v>5</v>
      </c>
      <c r="AE3635" s="43"/>
      <c r="AF3635" s="43"/>
      <c r="AG3635" s="43"/>
      <c r="AH3635" s="43"/>
      <c r="AI3635" s="43"/>
      <c r="AJ3635" s="43"/>
      <c r="AK3635" s="43"/>
      <c r="AL3635" s="43"/>
      <c r="AM3635" s="110"/>
      <c r="AN3635" s="43"/>
      <c r="AO3635" s="43"/>
      <c r="AP3635" s="43"/>
      <c r="AQ3635" s="110"/>
      <c r="AR3635" s="43"/>
      <c r="AS3635" s="43"/>
      <c r="AT3635" s="43"/>
      <c r="AU3635" s="43"/>
      <c r="AV3635" s="43"/>
      <c r="AW3635" s="43"/>
      <c r="AX3635" s="43"/>
      <c r="AY3635" s="43"/>
      <c r="AZ3635" s="43"/>
      <c r="BA3635" s="43"/>
      <c r="BB3635" s="43"/>
      <c r="BC3635" s="229">
        <f t="shared" si="1560"/>
        <v>0</v>
      </c>
      <c r="BD3635" s="48">
        <f t="shared" si="1539"/>
        <v>0</v>
      </c>
      <c r="BE3635" s="19">
        <v>0</v>
      </c>
      <c r="BF3635" s="229">
        <f t="shared" si="1561"/>
        <v>0</v>
      </c>
      <c r="BG3635" s="210">
        <f t="shared" si="1541"/>
        <v>0</v>
      </c>
      <c r="BH3635" s="210">
        <f t="shared" si="1562"/>
        <v>5</v>
      </c>
      <c r="BI3635" s="213">
        <f t="shared" si="1563"/>
        <v>0</v>
      </c>
      <c r="BJ3635" s="270" t="s">
        <v>2857</v>
      </c>
      <c r="BK3635" s="201"/>
      <c r="BL3635" s="4"/>
      <c r="BM3635" s="4"/>
    </row>
    <row r="3636" spans="1:65" s="38" customFormat="1" ht="15.95" customHeight="1">
      <c r="A3636" s="148">
        <v>5</v>
      </c>
      <c r="B3636" s="118" t="s">
        <v>1272</v>
      </c>
      <c r="C3636" s="120" t="s">
        <v>1502</v>
      </c>
      <c r="D3636" s="42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O3636" s="42"/>
      <c r="P3636" s="42"/>
      <c r="Q3636" s="42"/>
      <c r="R3636" s="42"/>
      <c r="S3636" s="42"/>
      <c r="T3636" s="42"/>
      <c r="U3636" s="42"/>
      <c r="V3636" s="42"/>
      <c r="W3636" s="42"/>
      <c r="X3636" s="42"/>
      <c r="Y3636" s="42"/>
      <c r="Z3636" s="42"/>
      <c r="AA3636" s="42"/>
      <c r="AB3636" s="229">
        <f t="shared" si="1559"/>
        <v>0</v>
      </c>
      <c r="AC3636" s="228">
        <f t="shared" si="1535"/>
        <v>0</v>
      </c>
      <c r="AD3636" s="19">
        <v>2</v>
      </c>
      <c r="AE3636" s="43"/>
      <c r="AF3636" s="43"/>
      <c r="AG3636" s="43"/>
      <c r="AH3636" s="43"/>
      <c r="AI3636" s="43"/>
      <c r="AJ3636" s="43"/>
      <c r="AK3636" s="43"/>
      <c r="AL3636" s="43"/>
      <c r="AM3636" s="110"/>
      <c r="AN3636" s="43"/>
      <c r="AO3636" s="43"/>
      <c r="AP3636" s="43"/>
      <c r="AQ3636" s="110"/>
      <c r="AR3636" s="43"/>
      <c r="AS3636" s="43"/>
      <c r="AT3636" s="43"/>
      <c r="AU3636" s="43"/>
      <c r="AV3636" s="43"/>
      <c r="AW3636" s="43"/>
      <c r="AX3636" s="43"/>
      <c r="AY3636" s="43"/>
      <c r="AZ3636" s="43"/>
      <c r="BA3636" s="43"/>
      <c r="BB3636" s="43"/>
      <c r="BC3636" s="229">
        <f t="shared" si="1560"/>
        <v>0</v>
      </c>
      <c r="BD3636" s="48">
        <f t="shared" si="1539"/>
        <v>0</v>
      </c>
      <c r="BE3636" s="19">
        <v>0</v>
      </c>
      <c r="BF3636" s="229">
        <f t="shared" si="1561"/>
        <v>0</v>
      </c>
      <c r="BG3636" s="210">
        <f t="shared" si="1541"/>
        <v>0</v>
      </c>
      <c r="BH3636" s="210">
        <f t="shared" si="1562"/>
        <v>2</v>
      </c>
      <c r="BI3636" s="213">
        <f t="shared" si="1563"/>
        <v>0</v>
      </c>
      <c r="BJ3636" s="270" t="s">
        <v>2857</v>
      </c>
      <c r="BK3636" s="201"/>
      <c r="BL3636" s="4"/>
      <c r="BM3636" s="4"/>
    </row>
    <row r="3637" spans="1:65" s="38" customFormat="1" ht="15.95" customHeight="1">
      <c r="A3637" s="148">
        <v>6</v>
      </c>
      <c r="B3637" s="118" t="s">
        <v>1228</v>
      </c>
      <c r="C3637" s="120" t="s">
        <v>1229</v>
      </c>
      <c r="D3637" s="42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O3637" s="42">
        <v>2</v>
      </c>
      <c r="P3637" s="42"/>
      <c r="Q3637" s="42"/>
      <c r="R3637" s="42"/>
      <c r="S3637" s="42"/>
      <c r="T3637" s="42"/>
      <c r="U3637" s="42"/>
      <c r="V3637" s="42"/>
      <c r="W3637" s="42"/>
      <c r="X3637" s="42"/>
      <c r="Y3637" s="42"/>
      <c r="Z3637" s="42"/>
      <c r="AA3637" s="42"/>
      <c r="AB3637" s="229">
        <f t="shared" si="1559"/>
        <v>0</v>
      </c>
      <c r="AC3637" s="228">
        <f t="shared" si="1535"/>
        <v>2</v>
      </c>
      <c r="AD3637" s="19">
        <v>15</v>
      </c>
      <c r="AE3637" s="43"/>
      <c r="AF3637" s="43"/>
      <c r="AG3637" s="43"/>
      <c r="AH3637" s="43"/>
      <c r="AI3637" s="43"/>
      <c r="AJ3637" s="43"/>
      <c r="AK3637" s="43"/>
      <c r="AL3637" s="43"/>
      <c r="AM3637" s="110"/>
      <c r="AN3637" s="43"/>
      <c r="AO3637" s="43"/>
      <c r="AP3637" s="43"/>
      <c r="AQ3637" s="110"/>
      <c r="AR3637" s="43"/>
      <c r="AS3637" s="43"/>
      <c r="AT3637" s="43"/>
      <c r="AU3637" s="43"/>
      <c r="AV3637" s="43"/>
      <c r="AW3637" s="43"/>
      <c r="AX3637" s="43"/>
      <c r="AY3637" s="43"/>
      <c r="AZ3637" s="43"/>
      <c r="BA3637" s="43"/>
      <c r="BB3637" s="43"/>
      <c r="BC3637" s="229">
        <f t="shared" si="1560"/>
        <v>0</v>
      </c>
      <c r="BD3637" s="48">
        <f t="shared" si="1539"/>
        <v>0</v>
      </c>
      <c r="BE3637" s="19">
        <v>0</v>
      </c>
      <c r="BF3637" s="229">
        <f t="shared" si="1561"/>
        <v>0</v>
      </c>
      <c r="BG3637" s="210">
        <f t="shared" si="1541"/>
        <v>2</v>
      </c>
      <c r="BH3637" s="210">
        <f t="shared" si="1562"/>
        <v>15</v>
      </c>
      <c r="BI3637" s="213">
        <f t="shared" si="1563"/>
        <v>13.333333333333334</v>
      </c>
      <c r="BJ3637" s="270" t="s">
        <v>2857</v>
      </c>
      <c r="BK3637" s="201"/>
      <c r="BL3637" s="4"/>
      <c r="BM3637" s="4"/>
    </row>
    <row r="3638" spans="1:65" s="38" customFormat="1" ht="15.95" customHeight="1">
      <c r="A3638" s="148">
        <v>7</v>
      </c>
      <c r="B3638" s="118" t="s">
        <v>1230</v>
      </c>
      <c r="C3638" s="120" t="s">
        <v>1231</v>
      </c>
      <c r="D3638" s="42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O3638" s="42"/>
      <c r="P3638" s="42"/>
      <c r="Q3638" s="42"/>
      <c r="R3638" s="42"/>
      <c r="S3638" s="42"/>
      <c r="T3638" s="42"/>
      <c r="U3638" s="42"/>
      <c r="V3638" s="42"/>
      <c r="W3638" s="42"/>
      <c r="X3638" s="42"/>
      <c r="Y3638" s="42"/>
      <c r="Z3638" s="42"/>
      <c r="AA3638" s="42"/>
      <c r="AB3638" s="229">
        <f t="shared" si="1559"/>
        <v>0</v>
      </c>
      <c r="AC3638" s="228">
        <f t="shared" si="1535"/>
        <v>0</v>
      </c>
      <c r="AD3638" s="19">
        <v>20</v>
      </c>
      <c r="AE3638" s="43"/>
      <c r="AF3638" s="43"/>
      <c r="AG3638" s="43"/>
      <c r="AH3638" s="43"/>
      <c r="AI3638" s="43"/>
      <c r="AJ3638" s="43"/>
      <c r="AK3638" s="43"/>
      <c r="AL3638" s="43"/>
      <c r="AM3638" s="110"/>
      <c r="AN3638" s="43"/>
      <c r="AO3638" s="43"/>
      <c r="AP3638" s="43"/>
      <c r="AQ3638" s="110"/>
      <c r="AR3638" s="43"/>
      <c r="AS3638" s="43"/>
      <c r="AT3638" s="43"/>
      <c r="AU3638" s="43"/>
      <c r="AV3638" s="43"/>
      <c r="AW3638" s="43"/>
      <c r="AX3638" s="43"/>
      <c r="AY3638" s="43"/>
      <c r="AZ3638" s="43"/>
      <c r="BA3638" s="43"/>
      <c r="BB3638" s="43"/>
      <c r="BC3638" s="229">
        <f t="shared" si="1560"/>
        <v>0</v>
      </c>
      <c r="BD3638" s="48">
        <f t="shared" si="1539"/>
        <v>0</v>
      </c>
      <c r="BE3638" s="19">
        <v>0</v>
      </c>
      <c r="BF3638" s="229">
        <f t="shared" si="1561"/>
        <v>0</v>
      </c>
      <c r="BG3638" s="210">
        <f t="shared" si="1541"/>
        <v>0</v>
      </c>
      <c r="BH3638" s="210">
        <f t="shared" si="1562"/>
        <v>20</v>
      </c>
      <c r="BI3638" s="213">
        <f t="shared" si="1563"/>
        <v>0</v>
      </c>
      <c r="BJ3638" s="270" t="s">
        <v>2857</v>
      </c>
      <c r="BK3638" s="201"/>
      <c r="BL3638" s="4"/>
      <c r="BM3638" s="4"/>
    </row>
    <row r="3639" spans="1:65" s="38" customFormat="1" ht="15.95" customHeight="1">
      <c r="A3639" s="148">
        <v>8</v>
      </c>
      <c r="B3639" s="118" t="s">
        <v>1264</v>
      </c>
      <c r="C3639" s="120" t="s">
        <v>1265</v>
      </c>
      <c r="D3639" s="42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O3639" s="42"/>
      <c r="P3639" s="42"/>
      <c r="Q3639" s="42"/>
      <c r="R3639" s="42"/>
      <c r="S3639" s="42"/>
      <c r="T3639" s="42"/>
      <c r="U3639" s="42"/>
      <c r="V3639" s="42"/>
      <c r="W3639" s="42"/>
      <c r="X3639" s="42"/>
      <c r="Y3639" s="42"/>
      <c r="Z3639" s="42"/>
      <c r="AA3639" s="42"/>
      <c r="AB3639" s="229">
        <f t="shared" si="1559"/>
        <v>0</v>
      </c>
      <c r="AC3639" s="228">
        <f t="shared" si="1535"/>
        <v>0</v>
      </c>
      <c r="AD3639" s="19">
        <v>20</v>
      </c>
      <c r="AE3639" s="43"/>
      <c r="AF3639" s="43"/>
      <c r="AG3639" s="43"/>
      <c r="AH3639" s="43"/>
      <c r="AI3639" s="43"/>
      <c r="AJ3639" s="43"/>
      <c r="AK3639" s="43"/>
      <c r="AL3639" s="43"/>
      <c r="AM3639" s="110"/>
      <c r="AN3639" s="43"/>
      <c r="AO3639" s="43"/>
      <c r="AP3639" s="43"/>
      <c r="AQ3639" s="110"/>
      <c r="AR3639" s="43"/>
      <c r="AS3639" s="43"/>
      <c r="AT3639" s="43"/>
      <c r="AU3639" s="43"/>
      <c r="AV3639" s="43"/>
      <c r="AW3639" s="43"/>
      <c r="AX3639" s="43"/>
      <c r="AY3639" s="43"/>
      <c r="AZ3639" s="43"/>
      <c r="BA3639" s="43"/>
      <c r="BB3639" s="43"/>
      <c r="BC3639" s="229">
        <f t="shared" si="1560"/>
        <v>0</v>
      </c>
      <c r="BD3639" s="48">
        <f t="shared" si="1539"/>
        <v>0</v>
      </c>
      <c r="BE3639" s="19">
        <v>0</v>
      </c>
      <c r="BF3639" s="229">
        <f t="shared" si="1561"/>
        <v>0</v>
      </c>
      <c r="BG3639" s="210">
        <f t="shared" si="1541"/>
        <v>0</v>
      </c>
      <c r="BH3639" s="210">
        <f t="shared" si="1562"/>
        <v>20</v>
      </c>
      <c r="BI3639" s="213">
        <f t="shared" si="1563"/>
        <v>0</v>
      </c>
      <c r="BJ3639" s="270" t="s">
        <v>2857</v>
      </c>
      <c r="BK3639" s="201"/>
      <c r="BL3639" s="4"/>
      <c r="BM3639" s="4"/>
    </row>
    <row r="3640" spans="1:65" s="38" customFormat="1" ht="15.95" customHeight="1">
      <c r="A3640" s="148">
        <v>9</v>
      </c>
      <c r="B3640" s="118" t="s">
        <v>1232</v>
      </c>
      <c r="C3640" s="120" t="s">
        <v>1233</v>
      </c>
      <c r="D3640" s="42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O3640" s="42"/>
      <c r="P3640" s="42"/>
      <c r="Q3640" s="42"/>
      <c r="R3640" s="42"/>
      <c r="S3640" s="42"/>
      <c r="T3640" s="42"/>
      <c r="U3640" s="42"/>
      <c r="V3640" s="42"/>
      <c r="W3640" s="42"/>
      <c r="X3640" s="42"/>
      <c r="Y3640" s="42"/>
      <c r="Z3640" s="42"/>
      <c r="AA3640" s="42"/>
      <c r="AB3640" s="229">
        <f t="shared" si="1559"/>
        <v>0</v>
      </c>
      <c r="AC3640" s="228">
        <f t="shared" si="1535"/>
        <v>0</v>
      </c>
      <c r="AD3640" s="19">
        <v>22</v>
      </c>
      <c r="AE3640" s="43"/>
      <c r="AF3640" s="43"/>
      <c r="AG3640" s="43"/>
      <c r="AH3640" s="43"/>
      <c r="AI3640" s="43"/>
      <c r="AJ3640" s="43"/>
      <c r="AK3640" s="43"/>
      <c r="AL3640" s="43"/>
      <c r="AM3640" s="110"/>
      <c r="AN3640" s="43"/>
      <c r="AO3640" s="43"/>
      <c r="AP3640" s="43"/>
      <c r="AQ3640" s="110"/>
      <c r="AR3640" s="43"/>
      <c r="AS3640" s="43"/>
      <c r="AT3640" s="43"/>
      <c r="AU3640" s="43"/>
      <c r="AV3640" s="43"/>
      <c r="AW3640" s="43"/>
      <c r="AX3640" s="43"/>
      <c r="AY3640" s="43"/>
      <c r="AZ3640" s="43"/>
      <c r="BA3640" s="43"/>
      <c r="BB3640" s="43"/>
      <c r="BC3640" s="229">
        <f t="shared" si="1560"/>
        <v>0</v>
      </c>
      <c r="BD3640" s="48">
        <f t="shared" si="1539"/>
        <v>0</v>
      </c>
      <c r="BE3640" s="19">
        <v>0</v>
      </c>
      <c r="BF3640" s="229">
        <f t="shared" si="1561"/>
        <v>0</v>
      </c>
      <c r="BG3640" s="210">
        <f t="shared" si="1541"/>
        <v>0</v>
      </c>
      <c r="BH3640" s="210">
        <f t="shared" si="1562"/>
        <v>22</v>
      </c>
      <c r="BI3640" s="213">
        <f t="shared" si="1563"/>
        <v>0</v>
      </c>
      <c r="BJ3640" s="270" t="s">
        <v>2857</v>
      </c>
      <c r="BK3640" s="201"/>
      <c r="BL3640" s="4"/>
      <c r="BM3640" s="4"/>
    </row>
    <row r="3641" spans="1:65" s="38" customFormat="1" ht="15.95" customHeight="1">
      <c r="A3641" s="148">
        <v>10</v>
      </c>
      <c r="B3641" s="118" t="s">
        <v>1234</v>
      </c>
      <c r="C3641" s="120" t="s">
        <v>1235</v>
      </c>
      <c r="D3641" s="42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O3641" s="42"/>
      <c r="P3641" s="42"/>
      <c r="Q3641" s="42"/>
      <c r="R3641" s="42"/>
      <c r="S3641" s="42"/>
      <c r="T3641" s="42"/>
      <c r="U3641" s="42"/>
      <c r="V3641" s="42"/>
      <c r="W3641" s="42"/>
      <c r="X3641" s="42"/>
      <c r="Y3641" s="42"/>
      <c r="Z3641" s="42"/>
      <c r="AA3641" s="42"/>
      <c r="AB3641" s="229">
        <f t="shared" si="1559"/>
        <v>0</v>
      </c>
      <c r="AC3641" s="228">
        <f t="shared" si="1535"/>
        <v>0</v>
      </c>
      <c r="AD3641" s="19">
        <v>30</v>
      </c>
      <c r="AE3641" s="43"/>
      <c r="AF3641" s="43"/>
      <c r="AG3641" s="43"/>
      <c r="AH3641" s="43"/>
      <c r="AI3641" s="43"/>
      <c r="AJ3641" s="43"/>
      <c r="AK3641" s="43"/>
      <c r="AL3641" s="43"/>
      <c r="AM3641" s="110"/>
      <c r="AN3641" s="43"/>
      <c r="AO3641" s="43"/>
      <c r="AP3641" s="43"/>
      <c r="AQ3641" s="110"/>
      <c r="AR3641" s="43"/>
      <c r="AS3641" s="43"/>
      <c r="AT3641" s="43"/>
      <c r="AU3641" s="43"/>
      <c r="AV3641" s="43"/>
      <c r="AW3641" s="43"/>
      <c r="AX3641" s="43"/>
      <c r="AY3641" s="43"/>
      <c r="AZ3641" s="43"/>
      <c r="BA3641" s="43"/>
      <c r="BB3641" s="43"/>
      <c r="BC3641" s="229">
        <f t="shared" si="1560"/>
        <v>0</v>
      </c>
      <c r="BD3641" s="48">
        <f t="shared" si="1539"/>
        <v>0</v>
      </c>
      <c r="BE3641" s="19">
        <v>0</v>
      </c>
      <c r="BF3641" s="229">
        <f t="shared" si="1561"/>
        <v>0</v>
      </c>
      <c r="BG3641" s="210">
        <f t="shared" si="1541"/>
        <v>0</v>
      </c>
      <c r="BH3641" s="210">
        <f t="shared" si="1562"/>
        <v>30</v>
      </c>
      <c r="BI3641" s="213">
        <f t="shared" si="1563"/>
        <v>0</v>
      </c>
      <c r="BJ3641" s="270" t="s">
        <v>2857</v>
      </c>
      <c r="BK3641" s="201"/>
      <c r="BL3641" s="4"/>
      <c r="BM3641" s="4"/>
    </row>
    <row r="3642" spans="1:65" s="38" customFormat="1" ht="15.95" customHeight="1">
      <c r="A3642" s="148">
        <v>11</v>
      </c>
      <c r="B3642" s="118" t="s">
        <v>1251</v>
      </c>
      <c r="C3642" s="150" t="s">
        <v>1364</v>
      </c>
      <c r="D3642" s="42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O3642" s="42"/>
      <c r="P3642" s="42"/>
      <c r="Q3642" s="42"/>
      <c r="R3642" s="42"/>
      <c r="S3642" s="42"/>
      <c r="T3642" s="42"/>
      <c r="U3642" s="42"/>
      <c r="V3642" s="42"/>
      <c r="W3642" s="42"/>
      <c r="X3642" s="42"/>
      <c r="Y3642" s="42"/>
      <c r="Z3642" s="42"/>
      <c r="AA3642" s="42"/>
      <c r="AB3642" s="229">
        <f t="shared" si="1559"/>
        <v>0</v>
      </c>
      <c r="AC3642" s="228">
        <f t="shared" si="1535"/>
        <v>0</v>
      </c>
      <c r="AD3642" s="19">
        <v>25</v>
      </c>
      <c r="AE3642" s="43"/>
      <c r="AF3642" s="43"/>
      <c r="AG3642" s="43"/>
      <c r="AH3642" s="43"/>
      <c r="AI3642" s="43"/>
      <c r="AJ3642" s="43"/>
      <c r="AK3642" s="43"/>
      <c r="AL3642" s="43"/>
      <c r="AM3642" s="110"/>
      <c r="AN3642" s="43"/>
      <c r="AO3642" s="43"/>
      <c r="AP3642" s="43"/>
      <c r="AQ3642" s="110"/>
      <c r="AR3642" s="43"/>
      <c r="AS3642" s="43"/>
      <c r="AT3642" s="43"/>
      <c r="AU3642" s="43"/>
      <c r="AV3642" s="43"/>
      <c r="AW3642" s="43"/>
      <c r="AX3642" s="43"/>
      <c r="AY3642" s="43"/>
      <c r="AZ3642" s="43"/>
      <c r="BA3642" s="43"/>
      <c r="BB3642" s="43"/>
      <c r="BC3642" s="229">
        <f t="shared" si="1560"/>
        <v>0</v>
      </c>
      <c r="BD3642" s="48">
        <f t="shared" si="1539"/>
        <v>0</v>
      </c>
      <c r="BE3642" s="19">
        <v>0</v>
      </c>
      <c r="BF3642" s="229">
        <f t="shared" si="1561"/>
        <v>0</v>
      </c>
      <c r="BG3642" s="210">
        <f t="shared" si="1541"/>
        <v>0</v>
      </c>
      <c r="BH3642" s="210">
        <f t="shared" si="1562"/>
        <v>25</v>
      </c>
      <c r="BI3642" s="213">
        <f t="shared" si="1563"/>
        <v>0</v>
      </c>
      <c r="BJ3642" s="270" t="s">
        <v>2857</v>
      </c>
      <c r="BK3642" s="201"/>
      <c r="BL3642" s="4"/>
      <c r="BM3642" s="4"/>
    </row>
    <row r="3643" spans="1:65" s="38" customFormat="1" ht="15.95" customHeight="1">
      <c r="A3643" s="148">
        <v>12</v>
      </c>
      <c r="B3643" s="118" t="s">
        <v>1442</v>
      </c>
      <c r="C3643" s="120" t="s">
        <v>1443</v>
      </c>
      <c r="D3643" s="42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O3643" s="42"/>
      <c r="P3643" s="42"/>
      <c r="Q3643" s="42"/>
      <c r="R3643" s="42"/>
      <c r="S3643" s="42"/>
      <c r="T3643" s="42"/>
      <c r="U3643" s="42"/>
      <c r="V3643" s="42"/>
      <c r="W3643" s="42"/>
      <c r="X3643" s="42"/>
      <c r="Y3643" s="42"/>
      <c r="Z3643" s="42"/>
      <c r="AA3643" s="42"/>
      <c r="AB3643" s="229">
        <f t="shared" si="1559"/>
        <v>0</v>
      </c>
      <c r="AC3643" s="228">
        <f t="shared" si="1535"/>
        <v>0</v>
      </c>
      <c r="AD3643" s="19">
        <v>20</v>
      </c>
      <c r="AE3643" s="43"/>
      <c r="AF3643" s="43"/>
      <c r="AG3643" s="43"/>
      <c r="AH3643" s="43"/>
      <c r="AI3643" s="43"/>
      <c r="AJ3643" s="43"/>
      <c r="AK3643" s="43"/>
      <c r="AL3643" s="43"/>
      <c r="AM3643" s="110"/>
      <c r="AN3643" s="43"/>
      <c r="AO3643" s="43"/>
      <c r="AP3643" s="43"/>
      <c r="AQ3643" s="110"/>
      <c r="AR3643" s="43"/>
      <c r="AS3643" s="43"/>
      <c r="AT3643" s="43"/>
      <c r="AU3643" s="43"/>
      <c r="AV3643" s="43"/>
      <c r="AW3643" s="43"/>
      <c r="AX3643" s="43"/>
      <c r="AY3643" s="43"/>
      <c r="AZ3643" s="43"/>
      <c r="BA3643" s="43"/>
      <c r="BB3643" s="43"/>
      <c r="BC3643" s="229">
        <f t="shared" si="1560"/>
        <v>0</v>
      </c>
      <c r="BD3643" s="48">
        <f t="shared" si="1539"/>
        <v>0</v>
      </c>
      <c r="BE3643" s="19">
        <v>0</v>
      </c>
      <c r="BF3643" s="229">
        <f t="shared" si="1561"/>
        <v>0</v>
      </c>
      <c r="BG3643" s="210">
        <f t="shared" si="1541"/>
        <v>0</v>
      </c>
      <c r="BH3643" s="210">
        <f t="shared" si="1562"/>
        <v>20</v>
      </c>
      <c r="BI3643" s="213">
        <f t="shared" si="1563"/>
        <v>0</v>
      </c>
      <c r="BJ3643" s="270" t="s">
        <v>2857</v>
      </c>
      <c r="BK3643" s="201"/>
      <c r="BL3643" s="4"/>
      <c r="BM3643" s="4"/>
    </row>
    <row r="3644" spans="1:65" s="38" customFormat="1" ht="15.95" customHeight="1">
      <c r="A3644" s="148">
        <v>13</v>
      </c>
      <c r="B3644" s="118" t="s">
        <v>1236</v>
      </c>
      <c r="C3644" s="120" t="s">
        <v>1237</v>
      </c>
      <c r="D3644" s="42"/>
      <c r="E3644" s="42"/>
      <c r="F3644" s="42"/>
      <c r="G3644" s="42"/>
      <c r="H3644" s="42"/>
      <c r="I3644" s="42">
        <v>1236</v>
      </c>
      <c r="J3644" s="42"/>
      <c r="K3644" s="42"/>
      <c r="L3644" s="42"/>
      <c r="M3644" s="42"/>
      <c r="N3644" s="42"/>
      <c r="O3644" s="42">
        <v>1313</v>
      </c>
      <c r="P3644" s="42"/>
      <c r="Q3644" s="42"/>
      <c r="R3644" s="42"/>
      <c r="S3644" s="42"/>
      <c r="T3644" s="42"/>
      <c r="U3644" s="42">
        <v>1182</v>
      </c>
      <c r="V3644" s="42"/>
      <c r="W3644" s="42"/>
      <c r="X3644" s="42"/>
      <c r="Y3644" s="42"/>
      <c r="Z3644" s="42"/>
      <c r="AA3644" s="42">
        <v>2385</v>
      </c>
      <c r="AB3644" s="229">
        <f t="shared" si="1559"/>
        <v>0</v>
      </c>
      <c r="AC3644" s="228">
        <f t="shared" si="1535"/>
        <v>6116</v>
      </c>
      <c r="AD3644" s="19">
        <v>8882</v>
      </c>
      <c r="AE3644" s="43"/>
      <c r="AF3644" s="43"/>
      <c r="AG3644" s="43"/>
      <c r="AH3644" s="43"/>
      <c r="AI3644" s="43"/>
      <c r="AJ3644" s="43"/>
      <c r="AK3644" s="43"/>
      <c r="AL3644" s="43"/>
      <c r="AM3644" s="110"/>
      <c r="AN3644" s="43"/>
      <c r="AO3644" s="43"/>
      <c r="AP3644" s="43"/>
      <c r="AQ3644" s="110"/>
      <c r="AR3644" s="43"/>
      <c r="AS3644" s="43"/>
      <c r="AT3644" s="43"/>
      <c r="AU3644" s="43"/>
      <c r="AV3644" s="43"/>
      <c r="AW3644" s="43"/>
      <c r="AX3644" s="43"/>
      <c r="AY3644" s="43"/>
      <c r="AZ3644" s="43"/>
      <c r="BA3644" s="43"/>
      <c r="BB3644" s="43"/>
      <c r="BC3644" s="229">
        <f t="shared" si="1560"/>
        <v>0</v>
      </c>
      <c r="BD3644" s="48">
        <f t="shared" si="1539"/>
        <v>0</v>
      </c>
      <c r="BE3644" s="19">
        <v>0</v>
      </c>
      <c r="BF3644" s="229">
        <f t="shared" si="1561"/>
        <v>0</v>
      </c>
      <c r="BG3644" s="210">
        <f t="shared" si="1541"/>
        <v>6116</v>
      </c>
      <c r="BH3644" s="210">
        <f t="shared" si="1562"/>
        <v>8882</v>
      </c>
      <c r="BI3644" s="213">
        <f t="shared" si="1563"/>
        <v>68.858365233055622</v>
      </c>
      <c r="BJ3644" s="270" t="s">
        <v>2857</v>
      </c>
      <c r="BK3644" s="201"/>
      <c r="BL3644" s="4"/>
      <c r="BM3644" s="4"/>
    </row>
    <row r="3645" spans="1:65" s="38" customFormat="1" ht="15.95" customHeight="1">
      <c r="A3645" s="148">
        <v>14</v>
      </c>
      <c r="B3645" s="118" t="s">
        <v>1241</v>
      </c>
      <c r="C3645" s="120" t="s">
        <v>1242</v>
      </c>
      <c r="D3645" s="42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O3645" s="42"/>
      <c r="P3645" s="42"/>
      <c r="Q3645" s="42"/>
      <c r="R3645" s="42"/>
      <c r="S3645" s="42"/>
      <c r="T3645" s="42"/>
      <c r="U3645" s="42"/>
      <c r="V3645" s="42"/>
      <c r="W3645" s="42"/>
      <c r="X3645" s="42"/>
      <c r="Y3645" s="42"/>
      <c r="Z3645" s="42"/>
      <c r="AA3645" s="42"/>
      <c r="AB3645" s="229">
        <f t="shared" si="1559"/>
        <v>0</v>
      </c>
      <c r="AC3645" s="228">
        <f t="shared" si="1535"/>
        <v>0</v>
      </c>
      <c r="AD3645" s="19">
        <v>0</v>
      </c>
      <c r="AE3645" s="43"/>
      <c r="AF3645" s="43"/>
      <c r="AG3645" s="43"/>
      <c r="AH3645" s="43"/>
      <c r="AI3645" s="43"/>
      <c r="AJ3645" s="43"/>
      <c r="AK3645" s="43"/>
      <c r="AL3645" s="43"/>
      <c r="AM3645" s="110"/>
      <c r="AN3645" s="43"/>
      <c r="AO3645" s="43"/>
      <c r="AP3645" s="43"/>
      <c r="AQ3645" s="110"/>
      <c r="AR3645" s="43"/>
      <c r="AS3645" s="43"/>
      <c r="AT3645" s="43"/>
      <c r="AU3645" s="43"/>
      <c r="AV3645" s="43"/>
      <c r="AW3645" s="43"/>
      <c r="AX3645" s="43"/>
      <c r="AY3645" s="43"/>
      <c r="AZ3645" s="43"/>
      <c r="BA3645" s="43"/>
      <c r="BB3645" s="43"/>
      <c r="BC3645" s="229">
        <f t="shared" si="1560"/>
        <v>0</v>
      </c>
      <c r="BD3645" s="48">
        <f t="shared" si="1539"/>
        <v>0</v>
      </c>
      <c r="BE3645" s="19">
        <v>60</v>
      </c>
      <c r="BF3645" s="229">
        <f t="shared" si="1561"/>
        <v>0</v>
      </c>
      <c r="BG3645" s="210">
        <f t="shared" si="1541"/>
        <v>0</v>
      </c>
      <c r="BH3645" s="210">
        <f t="shared" si="1562"/>
        <v>60</v>
      </c>
      <c r="BI3645" s="213">
        <f t="shared" si="1563"/>
        <v>0</v>
      </c>
      <c r="BJ3645" s="141"/>
      <c r="BK3645" s="201"/>
      <c r="BL3645" s="4"/>
      <c r="BM3645" s="4"/>
    </row>
    <row r="3646" spans="1:65" s="38" customFormat="1" ht="15.95" customHeight="1">
      <c r="A3646" s="148">
        <v>15</v>
      </c>
      <c r="B3646" s="118" t="s">
        <v>1243</v>
      </c>
      <c r="C3646" s="120" t="s">
        <v>1244</v>
      </c>
      <c r="D3646" s="42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O3646" s="42"/>
      <c r="P3646" s="42"/>
      <c r="Q3646" s="42"/>
      <c r="R3646" s="42"/>
      <c r="S3646" s="42"/>
      <c r="T3646" s="42"/>
      <c r="U3646" s="42"/>
      <c r="V3646" s="42"/>
      <c r="W3646" s="42"/>
      <c r="X3646" s="42"/>
      <c r="Y3646" s="42"/>
      <c r="Z3646" s="42"/>
      <c r="AA3646" s="42"/>
      <c r="AB3646" s="229">
        <f t="shared" si="1559"/>
        <v>0</v>
      </c>
      <c r="AC3646" s="228">
        <f t="shared" si="1535"/>
        <v>0</v>
      </c>
      <c r="AD3646" s="19">
        <v>0</v>
      </c>
      <c r="AE3646" s="43"/>
      <c r="AF3646" s="43"/>
      <c r="AG3646" s="43"/>
      <c r="AH3646" s="43"/>
      <c r="AI3646" s="43"/>
      <c r="AJ3646" s="43"/>
      <c r="AK3646" s="43"/>
      <c r="AL3646" s="43"/>
      <c r="AM3646" s="43"/>
      <c r="AN3646" s="43"/>
      <c r="AO3646" s="43"/>
      <c r="AP3646" s="43"/>
      <c r="AQ3646" s="43"/>
      <c r="AR3646" s="43"/>
      <c r="AS3646" s="43"/>
      <c r="AT3646" s="43"/>
      <c r="AU3646" s="43"/>
      <c r="AV3646" s="43"/>
      <c r="AW3646" s="43"/>
      <c r="AX3646" s="43"/>
      <c r="AY3646" s="43"/>
      <c r="AZ3646" s="43"/>
      <c r="BA3646" s="43"/>
      <c r="BB3646" s="43"/>
      <c r="BC3646" s="229">
        <f t="shared" si="1560"/>
        <v>0</v>
      </c>
      <c r="BD3646" s="48">
        <f t="shared" si="1539"/>
        <v>0</v>
      </c>
      <c r="BE3646" s="19">
        <v>32</v>
      </c>
      <c r="BF3646" s="229">
        <f t="shared" si="1561"/>
        <v>0</v>
      </c>
      <c r="BG3646" s="210">
        <f t="shared" si="1541"/>
        <v>0</v>
      </c>
      <c r="BH3646" s="210">
        <f t="shared" si="1562"/>
        <v>32</v>
      </c>
      <c r="BI3646" s="213">
        <f t="shared" si="1563"/>
        <v>0</v>
      </c>
      <c r="BJ3646" s="141"/>
      <c r="BK3646" s="201"/>
      <c r="BL3646" s="4"/>
      <c r="BM3646" s="4"/>
    </row>
    <row r="3647" spans="1:65" s="38" customFormat="1" ht="15.95" customHeight="1">
      <c r="A3647" s="148">
        <v>16</v>
      </c>
      <c r="B3647" s="118" t="s">
        <v>1178</v>
      </c>
      <c r="C3647" s="120" t="s">
        <v>1179</v>
      </c>
      <c r="D3647" s="42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O3647" s="42"/>
      <c r="P3647" s="42"/>
      <c r="Q3647" s="42"/>
      <c r="R3647" s="42"/>
      <c r="S3647" s="42"/>
      <c r="T3647" s="42"/>
      <c r="U3647" s="42"/>
      <c r="V3647" s="42"/>
      <c r="W3647" s="42"/>
      <c r="X3647" s="42"/>
      <c r="Y3647" s="42"/>
      <c r="Z3647" s="42"/>
      <c r="AA3647" s="42"/>
      <c r="AB3647" s="229">
        <f t="shared" si="1559"/>
        <v>0</v>
      </c>
      <c r="AC3647" s="228">
        <f t="shared" si="1535"/>
        <v>0</v>
      </c>
      <c r="AD3647" s="19">
        <v>0</v>
      </c>
      <c r="AE3647" s="43"/>
      <c r="AF3647" s="43"/>
      <c r="AG3647" s="43"/>
      <c r="AH3647" s="43"/>
      <c r="AI3647" s="43"/>
      <c r="AJ3647" s="43"/>
      <c r="AK3647" s="43"/>
      <c r="AL3647" s="43"/>
      <c r="AM3647" s="43"/>
      <c r="AN3647" s="43"/>
      <c r="AO3647" s="43"/>
      <c r="AP3647" s="43"/>
      <c r="AQ3647" s="43"/>
      <c r="AR3647" s="43"/>
      <c r="AS3647" s="43"/>
      <c r="AT3647" s="43"/>
      <c r="AU3647" s="43"/>
      <c r="AV3647" s="43"/>
      <c r="AW3647" s="43"/>
      <c r="AX3647" s="43"/>
      <c r="AY3647" s="43"/>
      <c r="AZ3647" s="43"/>
      <c r="BA3647" s="43"/>
      <c r="BB3647" s="43"/>
      <c r="BC3647" s="229">
        <f t="shared" si="1560"/>
        <v>0</v>
      </c>
      <c r="BD3647" s="48">
        <f t="shared" si="1539"/>
        <v>0</v>
      </c>
      <c r="BE3647" s="19">
        <v>70</v>
      </c>
      <c r="BF3647" s="229">
        <f t="shared" si="1561"/>
        <v>0</v>
      </c>
      <c r="BG3647" s="210">
        <f t="shared" si="1541"/>
        <v>0</v>
      </c>
      <c r="BH3647" s="210">
        <f t="shared" si="1562"/>
        <v>70</v>
      </c>
      <c r="BI3647" s="213">
        <f t="shared" si="1563"/>
        <v>0</v>
      </c>
      <c r="BJ3647" s="141"/>
      <c r="BK3647" s="201"/>
      <c r="BL3647" s="4"/>
      <c r="BM3647" s="4"/>
    </row>
    <row r="3648" spans="1:65" s="38" customFormat="1" ht="21.95" customHeight="1">
      <c r="A3648" s="148">
        <v>17</v>
      </c>
      <c r="B3648" s="118" t="s">
        <v>1245</v>
      </c>
      <c r="C3648" s="119" t="s">
        <v>1246</v>
      </c>
      <c r="D3648" s="42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O3648" s="42"/>
      <c r="P3648" s="42"/>
      <c r="Q3648" s="42"/>
      <c r="R3648" s="42"/>
      <c r="S3648" s="42"/>
      <c r="T3648" s="42"/>
      <c r="U3648" s="42"/>
      <c r="V3648" s="42"/>
      <c r="W3648" s="42"/>
      <c r="X3648" s="42"/>
      <c r="Y3648" s="42"/>
      <c r="Z3648" s="42"/>
      <c r="AA3648" s="42"/>
      <c r="AB3648" s="229">
        <f t="shared" si="1559"/>
        <v>0</v>
      </c>
      <c r="AC3648" s="228">
        <f t="shared" si="1535"/>
        <v>0</v>
      </c>
      <c r="AD3648" s="19">
        <v>0</v>
      </c>
      <c r="AE3648" s="43"/>
      <c r="AF3648" s="43"/>
      <c r="AG3648" s="43"/>
      <c r="AH3648" s="43"/>
      <c r="AI3648" s="43"/>
      <c r="AJ3648" s="43"/>
      <c r="AK3648" s="43"/>
      <c r="AL3648" s="43"/>
      <c r="AM3648" s="43"/>
      <c r="AN3648" s="43"/>
      <c r="AO3648" s="43"/>
      <c r="AP3648" s="43"/>
      <c r="AQ3648" s="43"/>
      <c r="AR3648" s="43"/>
      <c r="AS3648" s="43"/>
      <c r="AT3648" s="43"/>
      <c r="AU3648" s="43"/>
      <c r="AV3648" s="43"/>
      <c r="AW3648" s="43"/>
      <c r="AX3648" s="43"/>
      <c r="AY3648" s="43"/>
      <c r="AZ3648" s="43"/>
      <c r="BA3648" s="43"/>
      <c r="BB3648" s="43"/>
      <c r="BC3648" s="229">
        <f t="shared" si="1560"/>
        <v>0</v>
      </c>
      <c r="BD3648" s="48">
        <f t="shared" si="1539"/>
        <v>0</v>
      </c>
      <c r="BE3648" s="19">
        <v>50</v>
      </c>
      <c r="BF3648" s="229">
        <f t="shared" si="1561"/>
        <v>0</v>
      </c>
      <c r="BG3648" s="210">
        <f t="shared" si="1541"/>
        <v>0</v>
      </c>
      <c r="BH3648" s="210">
        <f t="shared" si="1562"/>
        <v>50</v>
      </c>
      <c r="BI3648" s="213">
        <f t="shared" si="1563"/>
        <v>0</v>
      </c>
      <c r="BJ3648" s="141"/>
      <c r="BK3648" s="201"/>
      <c r="BL3648" s="4"/>
      <c r="BM3648" s="4"/>
    </row>
    <row r="3649" spans="1:65" s="38" customFormat="1" ht="15.95" customHeight="1">
      <c r="A3649" s="148">
        <v>18</v>
      </c>
      <c r="B3649" s="118" t="s">
        <v>1247</v>
      </c>
      <c r="C3649" s="195" t="s">
        <v>1248</v>
      </c>
      <c r="D3649" s="42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O3649" s="42"/>
      <c r="P3649" s="42"/>
      <c r="Q3649" s="42"/>
      <c r="R3649" s="42"/>
      <c r="S3649" s="42"/>
      <c r="T3649" s="42"/>
      <c r="U3649" s="42"/>
      <c r="V3649" s="42"/>
      <c r="W3649" s="42"/>
      <c r="X3649" s="42"/>
      <c r="Y3649" s="42"/>
      <c r="Z3649" s="42"/>
      <c r="AA3649" s="42"/>
      <c r="AB3649" s="229">
        <f t="shared" si="1559"/>
        <v>0</v>
      </c>
      <c r="AC3649" s="228">
        <f t="shared" si="1535"/>
        <v>0</v>
      </c>
      <c r="AD3649" s="19">
        <v>0</v>
      </c>
      <c r="AE3649" s="43"/>
      <c r="AF3649" s="43"/>
      <c r="AG3649" s="43"/>
      <c r="AH3649" s="43"/>
      <c r="AI3649" s="43"/>
      <c r="AJ3649" s="43"/>
      <c r="AK3649" s="43"/>
      <c r="AL3649" s="43"/>
      <c r="AM3649" s="43"/>
      <c r="AN3649" s="43"/>
      <c r="AO3649" s="43"/>
      <c r="AP3649" s="43"/>
      <c r="AQ3649" s="43"/>
      <c r="AR3649" s="43"/>
      <c r="AS3649" s="43"/>
      <c r="AT3649" s="43"/>
      <c r="AU3649" s="43"/>
      <c r="AV3649" s="43"/>
      <c r="AW3649" s="43"/>
      <c r="AX3649" s="43"/>
      <c r="AY3649" s="43"/>
      <c r="AZ3649" s="43"/>
      <c r="BA3649" s="43"/>
      <c r="BB3649" s="43"/>
      <c r="BC3649" s="229">
        <f t="shared" si="1560"/>
        <v>0</v>
      </c>
      <c r="BD3649" s="48">
        <f t="shared" si="1539"/>
        <v>0</v>
      </c>
      <c r="BE3649" s="19">
        <v>30</v>
      </c>
      <c r="BF3649" s="229">
        <f t="shared" si="1561"/>
        <v>0</v>
      </c>
      <c r="BG3649" s="210">
        <f t="shared" si="1541"/>
        <v>0</v>
      </c>
      <c r="BH3649" s="210">
        <f t="shared" si="1562"/>
        <v>30</v>
      </c>
      <c r="BI3649" s="213">
        <f t="shared" si="1563"/>
        <v>0</v>
      </c>
      <c r="BJ3649" s="141"/>
      <c r="BK3649" s="201"/>
      <c r="BL3649" s="4"/>
      <c r="BM3649" s="4"/>
    </row>
    <row r="3650" spans="1:65" s="38" customFormat="1" ht="15.95" customHeight="1">
      <c r="A3650" s="148">
        <v>19</v>
      </c>
      <c r="B3650" s="118" t="s">
        <v>1249</v>
      </c>
      <c r="C3650" s="120" t="s">
        <v>1668</v>
      </c>
      <c r="D3650" s="42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O3650" s="42"/>
      <c r="P3650" s="42"/>
      <c r="Q3650" s="42"/>
      <c r="R3650" s="42"/>
      <c r="S3650" s="42"/>
      <c r="T3650" s="42"/>
      <c r="U3650" s="42"/>
      <c r="V3650" s="42"/>
      <c r="W3650" s="42"/>
      <c r="X3650" s="42"/>
      <c r="Y3650" s="42"/>
      <c r="Z3650" s="42"/>
      <c r="AA3650" s="42"/>
      <c r="AB3650" s="229">
        <f t="shared" si="1559"/>
        <v>0</v>
      </c>
      <c r="AC3650" s="228">
        <f t="shared" si="1535"/>
        <v>0</v>
      </c>
      <c r="AD3650" s="19">
        <v>0</v>
      </c>
      <c r="AE3650" s="43"/>
      <c r="AF3650" s="43"/>
      <c r="AG3650" s="43"/>
      <c r="AH3650" s="43"/>
      <c r="AI3650" s="43"/>
      <c r="AJ3650" s="43"/>
      <c r="AK3650" s="43"/>
      <c r="AL3650" s="43"/>
      <c r="AM3650" s="43"/>
      <c r="AN3650" s="43"/>
      <c r="AO3650" s="43"/>
      <c r="AP3650" s="43"/>
      <c r="AQ3650" s="43"/>
      <c r="AR3650" s="43"/>
      <c r="AS3650" s="43"/>
      <c r="AT3650" s="43"/>
      <c r="AU3650" s="43"/>
      <c r="AV3650" s="43"/>
      <c r="AW3650" s="43"/>
      <c r="AX3650" s="43"/>
      <c r="AY3650" s="43"/>
      <c r="AZ3650" s="43"/>
      <c r="BA3650" s="43"/>
      <c r="BB3650" s="43"/>
      <c r="BC3650" s="229">
        <f t="shared" si="1560"/>
        <v>0</v>
      </c>
      <c r="BD3650" s="48">
        <f t="shared" si="1539"/>
        <v>0</v>
      </c>
      <c r="BE3650" s="19">
        <v>20</v>
      </c>
      <c r="BF3650" s="229">
        <f t="shared" si="1561"/>
        <v>0</v>
      </c>
      <c r="BG3650" s="210">
        <f t="shared" si="1541"/>
        <v>0</v>
      </c>
      <c r="BH3650" s="210">
        <f t="shared" si="1562"/>
        <v>20</v>
      </c>
      <c r="BI3650" s="213">
        <f t="shared" si="1563"/>
        <v>0</v>
      </c>
      <c r="BJ3650" s="141"/>
      <c r="BK3650" s="201"/>
      <c r="BL3650" s="4"/>
      <c r="BM3650" s="4"/>
    </row>
    <row r="3651" spans="1:65" s="38" customFormat="1" ht="15.95" customHeight="1">
      <c r="A3651" s="148">
        <v>20</v>
      </c>
      <c r="B3651" s="118" t="s">
        <v>1262</v>
      </c>
      <c r="C3651" s="120" t="s">
        <v>1263</v>
      </c>
      <c r="D3651" s="42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O3651" s="42"/>
      <c r="P3651" s="42"/>
      <c r="Q3651" s="42"/>
      <c r="R3651" s="42"/>
      <c r="S3651" s="42"/>
      <c r="T3651" s="42"/>
      <c r="U3651" s="42"/>
      <c r="V3651" s="42"/>
      <c r="W3651" s="42"/>
      <c r="X3651" s="42"/>
      <c r="Y3651" s="42"/>
      <c r="Z3651" s="42"/>
      <c r="AA3651" s="42"/>
      <c r="AB3651" s="229">
        <f t="shared" si="1559"/>
        <v>0</v>
      </c>
      <c r="AC3651" s="228">
        <f t="shared" si="1535"/>
        <v>0</v>
      </c>
      <c r="AD3651" s="19">
        <v>0</v>
      </c>
      <c r="AE3651" s="43"/>
      <c r="AF3651" s="43"/>
      <c r="AG3651" s="43"/>
      <c r="AH3651" s="43"/>
      <c r="AI3651" s="43"/>
      <c r="AJ3651" s="43"/>
      <c r="AK3651" s="43"/>
      <c r="AL3651" s="43"/>
      <c r="AM3651" s="43"/>
      <c r="AN3651" s="43"/>
      <c r="AO3651" s="43"/>
      <c r="AP3651" s="43"/>
      <c r="AQ3651" s="43"/>
      <c r="AR3651" s="43"/>
      <c r="AS3651" s="43"/>
      <c r="AT3651" s="43"/>
      <c r="AU3651" s="43"/>
      <c r="AV3651" s="43"/>
      <c r="AW3651" s="43"/>
      <c r="AX3651" s="43"/>
      <c r="AY3651" s="43"/>
      <c r="AZ3651" s="43"/>
      <c r="BA3651" s="43"/>
      <c r="BB3651" s="43"/>
      <c r="BC3651" s="229">
        <f t="shared" si="1560"/>
        <v>0</v>
      </c>
      <c r="BD3651" s="48">
        <f t="shared" si="1539"/>
        <v>0</v>
      </c>
      <c r="BE3651" s="19">
        <v>40</v>
      </c>
      <c r="BF3651" s="229">
        <f t="shared" si="1561"/>
        <v>0</v>
      </c>
      <c r="BG3651" s="210">
        <f t="shared" si="1541"/>
        <v>0</v>
      </c>
      <c r="BH3651" s="210">
        <f t="shared" si="1562"/>
        <v>40</v>
      </c>
      <c r="BI3651" s="213">
        <f t="shared" si="1563"/>
        <v>0</v>
      </c>
      <c r="BJ3651" s="141"/>
      <c r="BK3651" s="201"/>
      <c r="BL3651" s="4"/>
      <c r="BM3651" s="4"/>
    </row>
    <row r="3652" spans="1:65" s="38" customFormat="1" ht="21.95" customHeight="1">
      <c r="A3652" s="364" t="s">
        <v>1281</v>
      </c>
      <c r="B3652" s="364"/>
      <c r="C3652" s="364"/>
      <c r="D3652" s="39">
        <f t="shared" ref="D3652:BE3652" si="1564">SUM(D3653:D3653)</f>
        <v>0</v>
      </c>
      <c r="E3652" s="39">
        <f t="shared" si="1564"/>
        <v>0</v>
      </c>
      <c r="F3652" s="39">
        <f t="shared" si="1564"/>
        <v>0</v>
      </c>
      <c r="G3652" s="39">
        <f t="shared" si="1564"/>
        <v>0</v>
      </c>
      <c r="H3652" s="39">
        <f t="shared" si="1564"/>
        <v>0</v>
      </c>
      <c r="I3652" s="39">
        <f t="shared" si="1564"/>
        <v>0</v>
      </c>
      <c r="J3652" s="39">
        <f t="shared" si="1564"/>
        <v>0</v>
      </c>
      <c r="K3652" s="39">
        <f t="shared" si="1564"/>
        <v>0</v>
      </c>
      <c r="L3652" s="39">
        <f t="shared" si="1564"/>
        <v>0</v>
      </c>
      <c r="M3652" s="39">
        <f t="shared" si="1564"/>
        <v>0</v>
      </c>
      <c r="N3652" s="39">
        <f t="shared" si="1564"/>
        <v>0</v>
      </c>
      <c r="O3652" s="39">
        <f t="shared" si="1564"/>
        <v>0</v>
      </c>
      <c r="P3652" s="39">
        <f t="shared" si="1564"/>
        <v>0</v>
      </c>
      <c r="Q3652" s="39">
        <f t="shared" si="1564"/>
        <v>0</v>
      </c>
      <c r="R3652" s="39">
        <f t="shared" si="1564"/>
        <v>0</v>
      </c>
      <c r="S3652" s="39">
        <f t="shared" si="1564"/>
        <v>0</v>
      </c>
      <c r="T3652" s="39">
        <f t="shared" si="1564"/>
        <v>0</v>
      </c>
      <c r="U3652" s="39">
        <f t="shared" si="1564"/>
        <v>0</v>
      </c>
      <c r="V3652" s="39"/>
      <c r="W3652" s="39"/>
      <c r="X3652" s="39"/>
      <c r="Y3652" s="39"/>
      <c r="Z3652" s="39">
        <f t="shared" si="1564"/>
        <v>0</v>
      </c>
      <c r="AA3652" s="39">
        <f t="shared" si="1564"/>
        <v>0</v>
      </c>
      <c r="AB3652" s="39">
        <f t="shared" si="1534"/>
        <v>0</v>
      </c>
      <c r="AC3652" s="39">
        <f t="shared" si="1535"/>
        <v>0</v>
      </c>
      <c r="AD3652" s="39">
        <f t="shared" si="1564"/>
        <v>0</v>
      </c>
      <c r="AE3652" s="39">
        <f t="shared" si="1564"/>
        <v>0</v>
      </c>
      <c r="AF3652" s="39">
        <f t="shared" si="1564"/>
        <v>0</v>
      </c>
      <c r="AG3652" s="39">
        <f t="shared" si="1564"/>
        <v>0</v>
      </c>
      <c r="AH3652" s="39">
        <f t="shared" si="1564"/>
        <v>0</v>
      </c>
      <c r="AI3652" s="39">
        <f t="shared" si="1564"/>
        <v>0</v>
      </c>
      <c r="AJ3652" s="39">
        <f t="shared" si="1564"/>
        <v>0</v>
      </c>
      <c r="AK3652" s="39">
        <f t="shared" si="1564"/>
        <v>0</v>
      </c>
      <c r="AL3652" s="39">
        <f t="shared" si="1564"/>
        <v>0</v>
      </c>
      <c r="AM3652" s="39">
        <f t="shared" si="1564"/>
        <v>0</v>
      </c>
      <c r="AN3652" s="39">
        <f t="shared" si="1564"/>
        <v>0</v>
      </c>
      <c r="AO3652" s="39">
        <f t="shared" si="1564"/>
        <v>0</v>
      </c>
      <c r="AP3652" s="39">
        <f t="shared" si="1564"/>
        <v>0</v>
      </c>
      <c r="AQ3652" s="39">
        <f t="shared" si="1564"/>
        <v>0</v>
      </c>
      <c r="AR3652" s="39">
        <f t="shared" si="1564"/>
        <v>0</v>
      </c>
      <c r="AS3652" s="39">
        <f t="shared" si="1564"/>
        <v>0</v>
      </c>
      <c r="AT3652" s="39">
        <f t="shared" si="1564"/>
        <v>0</v>
      </c>
      <c r="AU3652" s="39">
        <f t="shared" si="1564"/>
        <v>0</v>
      </c>
      <c r="AV3652" s="39">
        <f t="shared" si="1564"/>
        <v>0</v>
      </c>
      <c r="AW3652" s="39">
        <f t="shared" si="1564"/>
        <v>0</v>
      </c>
      <c r="AX3652" s="39">
        <f t="shared" si="1564"/>
        <v>0</v>
      </c>
      <c r="AY3652" s="39">
        <f t="shared" si="1564"/>
        <v>0</v>
      </c>
      <c r="AZ3652" s="39">
        <f t="shared" si="1564"/>
        <v>0</v>
      </c>
      <c r="BA3652" s="39">
        <f t="shared" si="1564"/>
        <v>0</v>
      </c>
      <c r="BB3652" s="39">
        <f t="shared" si="1564"/>
        <v>0</v>
      </c>
      <c r="BC3652" s="39">
        <f t="shared" si="1538"/>
        <v>0</v>
      </c>
      <c r="BD3652" s="101">
        <f t="shared" si="1539"/>
        <v>0</v>
      </c>
      <c r="BE3652" s="39">
        <f t="shared" si="1564"/>
        <v>0</v>
      </c>
      <c r="BF3652" s="39">
        <f t="shared" si="1540"/>
        <v>0</v>
      </c>
      <c r="BG3652" s="101">
        <f t="shared" si="1541"/>
        <v>0</v>
      </c>
      <c r="BH3652" s="101">
        <f t="shared" ref="BH3652:BH3685" si="1565">AD3652+BE3652</f>
        <v>0</v>
      </c>
      <c r="BI3652" s="280" t="e">
        <f t="shared" si="1542"/>
        <v>#DIV/0!</v>
      </c>
      <c r="BJ3652" s="142">
        <v>0</v>
      </c>
      <c r="BK3652" s="203">
        <f>BJ3652-BH3653</f>
        <v>0</v>
      </c>
      <c r="BL3652" s="4"/>
      <c r="BM3652" s="4"/>
    </row>
    <row r="3653" spans="1:65" s="38" customFormat="1" ht="21.95" customHeight="1">
      <c r="A3653" s="116">
        <v>1</v>
      </c>
      <c r="B3653" s="40"/>
      <c r="C3653" s="41"/>
      <c r="D3653" s="42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O3653" s="42"/>
      <c r="P3653" s="42"/>
      <c r="Q3653" s="42"/>
      <c r="R3653" s="42"/>
      <c r="S3653" s="42"/>
      <c r="T3653" s="42"/>
      <c r="U3653" s="42"/>
      <c r="V3653" s="42"/>
      <c r="W3653" s="42"/>
      <c r="X3653" s="42"/>
      <c r="Y3653" s="42"/>
      <c r="Z3653" s="42"/>
      <c r="AA3653" s="42"/>
      <c r="AB3653" s="229">
        <f t="shared" si="1534"/>
        <v>0</v>
      </c>
      <c r="AC3653" s="228">
        <f t="shared" si="1535"/>
        <v>0</v>
      </c>
      <c r="AD3653" s="19">
        <v>0</v>
      </c>
      <c r="AE3653" s="43"/>
      <c r="AF3653" s="43"/>
      <c r="AG3653" s="43"/>
      <c r="AH3653" s="43"/>
      <c r="AI3653" s="43"/>
      <c r="AJ3653" s="43"/>
      <c r="AK3653" s="43"/>
      <c r="AL3653" s="43"/>
      <c r="AM3653" s="43"/>
      <c r="AN3653" s="43"/>
      <c r="AO3653" s="43"/>
      <c r="AP3653" s="43"/>
      <c r="AQ3653" s="43"/>
      <c r="AR3653" s="43"/>
      <c r="AS3653" s="43"/>
      <c r="AT3653" s="43"/>
      <c r="AU3653" s="43"/>
      <c r="AV3653" s="43"/>
      <c r="AW3653" s="43"/>
      <c r="AX3653" s="43"/>
      <c r="AY3653" s="43"/>
      <c r="AZ3653" s="43"/>
      <c r="BA3653" s="43"/>
      <c r="BB3653" s="43"/>
      <c r="BC3653" s="229">
        <f t="shared" si="1538"/>
        <v>0</v>
      </c>
      <c r="BD3653" s="48">
        <f t="shared" si="1539"/>
        <v>0</v>
      </c>
      <c r="BE3653" s="19">
        <v>0</v>
      </c>
      <c r="BF3653" s="229">
        <f t="shared" si="1540"/>
        <v>0</v>
      </c>
      <c r="BG3653" s="210">
        <f t="shared" si="1541"/>
        <v>0</v>
      </c>
      <c r="BH3653" s="210">
        <f t="shared" si="1565"/>
        <v>0</v>
      </c>
      <c r="BI3653" s="213" t="e">
        <f t="shared" si="1542"/>
        <v>#DIV/0!</v>
      </c>
      <c r="BJ3653" s="165"/>
      <c r="BK3653" s="201"/>
      <c r="BL3653" s="4"/>
      <c r="BM3653" s="4"/>
    </row>
    <row r="3654" spans="1:65" s="38" customFormat="1" ht="21.95" customHeight="1">
      <c r="A3654" s="359" t="s">
        <v>2797</v>
      </c>
      <c r="B3654" s="359"/>
      <c r="C3654" s="359"/>
      <c r="D3654" s="39">
        <f t="shared" ref="D3654:BE3654" si="1566">SUM(D3655:D3666)</f>
        <v>0</v>
      </c>
      <c r="E3654" s="39">
        <f t="shared" si="1566"/>
        <v>0</v>
      </c>
      <c r="F3654" s="39">
        <f t="shared" si="1566"/>
        <v>0</v>
      </c>
      <c r="G3654" s="39">
        <f t="shared" si="1566"/>
        <v>0</v>
      </c>
      <c r="H3654" s="39">
        <f t="shared" si="1566"/>
        <v>0</v>
      </c>
      <c r="I3654" s="39">
        <f t="shared" si="1566"/>
        <v>348</v>
      </c>
      <c r="J3654" s="39">
        <f t="shared" si="1566"/>
        <v>0</v>
      </c>
      <c r="K3654" s="39">
        <f t="shared" si="1566"/>
        <v>0</v>
      </c>
      <c r="L3654" s="39">
        <f t="shared" si="1566"/>
        <v>0</v>
      </c>
      <c r="M3654" s="39">
        <f t="shared" si="1566"/>
        <v>0</v>
      </c>
      <c r="N3654" s="39">
        <f t="shared" si="1566"/>
        <v>0</v>
      </c>
      <c r="O3654" s="39">
        <f t="shared" si="1566"/>
        <v>259</v>
      </c>
      <c r="P3654" s="39">
        <f t="shared" si="1566"/>
        <v>0</v>
      </c>
      <c r="Q3654" s="39">
        <f t="shared" si="1566"/>
        <v>0</v>
      </c>
      <c r="R3654" s="39">
        <f t="shared" si="1566"/>
        <v>0</v>
      </c>
      <c r="S3654" s="39">
        <f t="shared" si="1566"/>
        <v>0</v>
      </c>
      <c r="T3654" s="39">
        <f t="shared" si="1566"/>
        <v>0</v>
      </c>
      <c r="U3654" s="39">
        <f t="shared" si="1566"/>
        <v>134</v>
      </c>
      <c r="V3654" s="39">
        <f t="shared" si="1566"/>
        <v>0</v>
      </c>
      <c r="W3654" s="39">
        <f t="shared" si="1566"/>
        <v>0</v>
      </c>
      <c r="X3654" s="39">
        <f t="shared" si="1566"/>
        <v>0</v>
      </c>
      <c r="Y3654" s="39">
        <f t="shared" si="1566"/>
        <v>0</v>
      </c>
      <c r="Z3654" s="39">
        <f t="shared" si="1566"/>
        <v>0</v>
      </c>
      <c r="AA3654" s="39">
        <f t="shared" si="1566"/>
        <v>53</v>
      </c>
      <c r="AB3654" s="39">
        <f t="shared" si="1534"/>
        <v>0</v>
      </c>
      <c r="AC3654" s="39">
        <f t="shared" si="1535"/>
        <v>794</v>
      </c>
      <c r="AD3654" s="39">
        <f t="shared" si="1566"/>
        <v>141</v>
      </c>
      <c r="AE3654" s="39">
        <f t="shared" si="1566"/>
        <v>0</v>
      </c>
      <c r="AF3654" s="39">
        <f t="shared" si="1566"/>
        <v>0</v>
      </c>
      <c r="AG3654" s="39">
        <f t="shared" si="1566"/>
        <v>0</v>
      </c>
      <c r="AH3654" s="39">
        <f t="shared" si="1566"/>
        <v>0</v>
      </c>
      <c r="AI3654" s="39">
        <f t="shared" si="1566"/>
        <v>0</v>
      </c>
      <c r="AJ3654" s="39">
        <f t="shared" si="1566"/>
        <v>0</v>
      </c>
      <c r="AK3654" s="39">
        <f t="shared" si="1566"/>
        <v>0</v>
      </c>
      <c r="AL3654" s="39">
        <f t="shared" si="1566"/>
        <v>0</v>
      </c>
      <c r="AM3654" s="39">
        <f t="shared" si="1566"/>
        <v>0</v>
      </c>
      <c r="AN3654" s="39">
        <f t="shared" si="1566"/>
        <v>0</v>
      </c>
      <c r="AO3654" s="39">
        <f t="shared" si="1566"/>
        <v>0</v>
      </c>
      <c r="AP3654" s="39">
        <f t="shared" si="1566"/>
        <v>0</v>
      </c>
      <c r="AQ3654" s="39">
        <f t="shared" si="1566"/>
        <v>0</v>
      </c>
      <c r="AR3654" s="39">
        <f t="shared" si="1566"/>
        <v>0</v>
      </c>
      <c r="AS3654" s="39">
        <f t="shared" si="1566"/>
        <v>0</v>
      </c>
      <c r="AT3654" s="39">
        <f t="shared" si="1566"/>
        <v>0</v>
      </c>
      <c r="AU3654" s="39">
        <f t="shared" ref="AU3654:AX3654" si="1567">SUM(AU3655:AU3666)</f>
        <v>0</v>
      </c>
      <c r="AV3654" s="39">
        <f t="shared" si="1567"/>
        <v>0</v>
      </c>
      <c r="AW3654" s="39">
        <f t="shared" si="1567"/>
        <v>0</v>
      </c>
      <c r="AX3654" s="39">
        <f t="shared" si="1567"/>
        <v>0</v>
      </c>
      <c r="AY3654" s="39">
        <f t="shared" si="1566"/>
        <v>0</v>
      </c>
      <c r="AZ3654" s="39">
        <f t="shared" si="1566"/>
        <v>0</v>
      </c>
      <c r="BA3654" s="39">
        <f t="shared" si="1566"/>
        <v>0</v>
      </c>
      <c r="BB3654" s="39">
        <f t="shared" si="1566"/>
        <v>0</v>
      </c>
      <c r="BC3654" s="39">
        <f t="shared" si="1538"/>
        <v>0</v>
      </c>
      <c r="BD3654" s="101">
        <f t="shared" si="1539"/>
        <v>0</v>
      </c>
      <c r="BE3654" s="39">
        <f t="shared" si="1566"/>
        <v>8</v>
      </c>
      <c r="BF3654" s="39">
        <f t="shared" si="1540"/>
        <v>0</v>
      </c>
      <c r="BG3654" s="101">
        <f t="shared" si="1541"/>
        <v>794</v>
      </c>
      <c r="BH3654" s="101">
        <f t="shared" si="1565"/>
        <v>149</v>
      </c>
      <c r="BI3654" s="280">
        <f t="shared" si="1542"/>
        <v>532.88590604026842</v>
      </c>
      <c r="BJ3654" s="142">
        <v>149</v>
      </c>
      <c r="BK3654" s="203">
        <f>BH3654-BJ3654</f>
        <v>0</v>
      </c>
      <c r="BL3654" s="4"/>
      <c r="BM3654" s="4"/>
    </row>
    <row r="3655" spans="1:65" s="38" customFormat="1" ht="15.95" customHeight="1">
      <c r="A3655" s="148">
        <v>1</v>
      </c>
      <c r="B3655" s="118" t="s">
        <v>1228</v>
      </c>
      <c r="C3655" s="120" t="s">
        <v>1229</v>
      </c>
      <c r="D3655" s="42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O3655" s="42">
        <v>1</v>
      </c>
      <c r="P3655" s="42"/>
      <c r="Q3655" s="42"/>
      <c r="R3655" s="42"/>
      <c r="S3655" s="42"/>
      <c r="T3655" s="42"/>
      <c r="U3655" s="42"/>
      <c r="V3655" s="42"/>
      <c r="W3655" s="42"/>
      <c r="X3655" s="42"/>
      <c r="Y3655" s="42"/>
      <c r="Z3655" s="42"/>
      <c r="AA3655" s="42"/>
      <c r="AB3655" s="229">
        <f t="shared" ref="AB3655:AB3666" si="1568">D3655+F3655+H3655+J3655+L3655+N3655+P3655+R3655+T3655+V3655+X3655+Z3655</f>
        <v>0</v>
      </c>
      <c r="AC3655" s="228">
        <f t="shared" ref="AC3655:AC3666" si="1569">E3655+G3655+I3655+K3655+M3655+O3655+Q3655+S3655+U3655+W3655+Y3655+AA3655</f>
        <v>1</v>
      </c>
      <c r="AD3655" s="19">
        <v>3</v>
      </c>
      <c r="AE3655" s="43"/>
      <c r="AF3655" s="43"/>
      <c r="AG3655" s="43"/>
      <c r="AH3655" s="43"/>
      <c r="AI3655" s="43"/>
      <c r="AJ3655" s="43"/>
      <c r="AK3655" s="43"/>
      <c r="AL3655" s="43"/>
      <c r="AM3655" s="110"/>
      <c r="AN3655" s="43"/>
      <c r="AO3655" s="43"/>
      <c r="AP3655" s="43"/>
      <c r="AQ3655" s="110"/>
      <c r="AR3655" s="43"/>
      <c r="AS3655" s="43"/>
      <c r="AT3655" s="43"/>
      <c r="AU3655" s="43"/>
      <c r="AV3655" s="43"/>
      <c r="AW3655" s="43"/>
      <c r="AX3655" s="43"/>
      <c r="AY3655" s="43"/>
      <c r="AZ3655" s="43"/>
      <c r="BA3655" s="43"/>
      <c r="BB3655" s="43"/>
      <c r="BC3655" s="229">
        <f t="shared" ref="BC3655:BC3666" si="1570">AE3655+AG3655+AI3655+AK3655+AM3655+AO3655+AQ3655+AS3655+AU3655+AW3655+AY3655+BA3655</f>
        <v>0</v>
      </c>
      <c r="BD3655" s="48">
        <f t="shared" ref="BD3655:BD3666" si="1571">AF3655+AH3655+AJ3655+AL3655+AN3655+AP3655+AR3655+AT3655+AV3655+AX3655+AZ3655+BB3655</f>
        <v>0</v>
      </c>
      <c r="BE3655" s="19">
        <v>0</v>
      </c>
      <c r="BF3655" s="229">
        <f t="shared" ref="BF3655:BF3666" si="1572">AB3655+BC3655</f>
        <v>0</v>
      </c>
      <c r="BG3655" s="210">
        <f t="shared" ref="BG3655:BG3666" si="1573">AC3655+BD3655</f>
        <v>1</v>
      </c>
      <c r="BH3655" s="210">
        <f t="shared" si="1565"/>
        <v>3</v>
      </c>
      <c r="BI3655" s="213">
        <f t="shared" ref="BI3655:BI3666" si="1574">BG3655/BH3655*100</f>
        <v>33.333333333333329</v>
      </c>
      <c r="BJ3655" s="270" t="s">
        <v>2857</v>
      </c>
      <c r="BK3655" s="201"/>
      <c r="BL3655" s="4"/>
      <c r="BM3655" s="4"/>
    </row>
    <row r="3656" spans="1:65" s="38" customFormat="1" ht="15.95" customHeight="1">
      <c r="A3656" s="148">
        <v>2</v>
      </c>
      <c r="B3656" s="118" t="s">
        <v>1230</v>
      </c>
      <c r="C3656" s="120" t="s">
        <v>1231</v>
      </c>
      <c r="D3656" s="42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O3656" s="42"/>
      <c r="P3656" s="42"/>
      <c r="Q3656" s="42"/>
      <c r="R3656" s="42"/>
      <c r="S3656" s="42"/>
      <c r="T3656" s="42"/>
      <c r="U3656" s="42"/>
      <c r="V3656" s="42"/>
      <c r="W3656" s="42"/>
      <c r="X3656" s="42"/>
      <c r="Y3656" s="42"/>
      <c r="Z3656" s="42"/>
      <c r="AA3656" s="42"/>
      <c r="AB3656" s="229">
        <f t="shared" si="1568"/>
        <v>0</v>
      </c>
      <c r="AC3656" s="228">
        <f t="shared" si="1569"/>
        <v>0</v>
      </c>
      <c r="AD3656" s="19">
        <v>2</v>
      </c>
      <c r="AE3656" s="43"/>
      <c r="AF3656" s="43"/>
      <c r="AG3656" s="43"/>
      <c r="AH3656" s="43"/>
      <c r="AI3656" s="43"/>
      <c r="AJ3656" s="43"/>
      <c r="AK3656" s="43"/>
      <c r="AL3656" s="43"/>
      <c r="AM3656" s="43"/>
      <c r="AN3656" s="43"/>
      <c r="AO3656" s="43"/>
      <c r="AP3656" s="43"/>
      <c r="AQ3656" s="43"/>
      <c r="AR3656" s="43"/>
      <c r="AS3656" s="43"/>
      <c r="AT3656" s="43"/>
      <c r="AU3656" s="43"/>
      <c r="AV3656" s="43"/>
      <c r="AW3656" s="43"/>
      <c r="AX3656" s="43"/>
      <c r="AY3656" s="43"/>
      <c r="AZ3656" s="43"/>
      <c r="BA3656" s="43"/>
      <c r="BB3656" s="43"/>
      <c r="BC3656" s="229">
        <f t="shared" si="1570"/>
        <v>0</v>
      </c>
      <c r="BD3656" s="48">
        <f t="shared" si="1571"/>
        <v>0</v>
      </c>
      <c r="BE3656" s="19">
        <v>0</v>
      </c>
      <c r="BF3656" s="229">
        <f t="shared" si="1572"/>
        <v>0</v>
      </c>
      <c r="BG3656" s="210">
        <f t="shared" si="1573"/>
        <v>0</v>
      </c>
      <c r="BH3656" s="210">
        <f t="shared" si="1565"/>
        <v>2</v>
      </c>
      <c r="BI3656" s="213">
        <f t="shared" si="1574"/>
        <v>0</v>
      </c>
      <c r="BJ3656" s="270" t="s">
        <v>2857</v>
      </c>
      <c r="BK3656" s="201"/>
      <c r="BL3656" s="4"/>
      <c r="BM3656" s="4"/>
    </row>
    <row r="3657" spans="1:65" s="38" customFormat="1" ht="15.95" customHeight="1">
      <c r="A3657" s="148">
        <v>3</v>
      </c>
      <c r="B3657" s="118" t="s">
        <v>1264</v>
      </c>
      <c r="C3657" s="120" t="s">
        <v>1265</v>
      </c>
      <c r="D3657" s="42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O3657" s="42"/>
      <c r="P3657" s="42"/>
      <c r="Q3657" s="42"/>
      <c r="R3657" s="42"/>
      <c r="S3657" s="42"/>
      <c r="T3657" s="42"/>
      <c r="U3657" s="42"/>
      <c r="V3657" s="42"/>
      <c r="W3657" s="42"/>
      <c r="X3657" s="42"/>
      <c r="Y3657" s="42"/>
      <c r="Z3657" s="42"/>
      <c r="AA3657" s="42"/>
      <c r="AB3657" s="229">
        <f t="shared" si="1568"/>
        <v>0</v>
      </c>
      <c r="AC3657" s="228">
        <f t="shared" si="1569"/>
        <v>0</v>
      </c>
      <c r="AD3657" s="19">
        <v>2</v>
      </c>
      <c r="AE3657" s="43"/>
      <c r="AF3657" s="43"/>
      <c r="AG3657" s="43"/>
      <c r="AH3657" s="43"/>
      <c r="AI3657" s="43"/>
      <c r="AJ3657" s="43"/>
      <c r="AK3657" s="43"/>
      <c r="AL3657" s="43"/>
      <c r="AM3657" s="43"/>
      <c r="AN3657" s="43"/>
      <c r="AO3657" s="43"/>
      <c r="AP3657" s="43"/>
      <c r="AQ3657" s="43"/>
      <c r="AR3657" s="43"/>
      <c r="AS3657" s="43"/>
      <c r="AT3657" s="43"/>
      <c r="AU3657" s="43"/>
      <c r="AV3657" s="43"/>
      <c r="AW3657" s="43"/>
      <c r="AX3657" s="43"/>
      <c r="AY3657" s="43"/>
      <c r="AZ3657" s="43"/>
      <c r="BA3657" s="43"/>
      <c r="BB3657" s="43"/>
      <c r="BC3657" s="229">
        <f t="shared" si="1570"/>
        <v>0</v>
      </c>
      <c r="BD3657" s="48">
        <f t="shared" si="1571"/>
        <v>0</v>
      </c>
      <c r="BE3657" s="19">
        <v>0</v>
      </c>
      <c r="BF3657" s="229">
        <f t="shared" si="1572"/>
        <v>0</v>
      </c>
      <c r="BG3657" s="210">
        <f t="shared" si="1573"/>
        <v>0</v>
      </c>
      <c r="BH3657" s="210">
        <f t="shared" si="1565"/>
        <v>2</v>
      </c>
      <c r="BI3657" s="213">
        <f t="shared" si="1574"/>
        <v>0</v>
      </c>
      <c r="BJ3657" s="270" t="s">
        <v>2857</v>
      </c>
      <c r="BK3657" s="201"/>
      <c r="BL3657" s="4"/>
      <c r="BM3657" s="4"/>
    </row>
    <row r="3658" spans="1:65" s="38" customFormat="1" ht="15.95" customHeight="1">
      <c r="A3658" s="148">
        <v>4</v>
      </c>
      <c r="B3658" s="118" t="s">
        <v>1232</v>
      </c>
      <c r="C3658" s="120" t="s">
        <v>1233</v>
      </c>
      <c r="D3658" s="42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O3658" s="42"/>
      <c r="P3658" s="42"/>
      <c r="Q3658" s="42"/>
      <c r="R3658" s="42"/>
      <c r="S3658" s="42"/>
      <c r="T3658" s="42"/>
      <c r="U3658" s="42"/>
      <c r="V3658" s="42"/>
      <c r="W3658" s="42"/>
      <c r="X3658" s="42"/>
      <c r="Y3658" s="42"/>
      <c r="Z3658" s="42"/>
      <c r="AA3658" s="42"/>
      <c r="AB3658" s="229">
        <f t="shared" si="1568"/>
        <v>0</v>
      </c>
      <c r="AC3658" s="228">
        <f t="shared" si="1569"/>
        <v>0</v>
      </c>
      <c r="AD3658" s="19">
        <v>3</v>
      </c>
      <c r="AE3658" s="43"/>
      <c r="AF3658" s="43"/>
      <c r="AG3658" s="43"/>
      <c r="AH3658" s="43"/>
      <c r="AI3658" s="43"/>
      <c r="AJ3658" s="43"/>
      <c r="AK3658" s="43"/>
      <c r="AL3658" s="43"/>
      <c r="AM3658" s="43"/>
      <c r="AN3658" s="43"/>
      <c r="AO3658" s="43"/>
      <c r="AP3658" s="43"/>
      <c r="AQ3658" s="43"/>
      <c r="AR3658" s="43"/>
      <c r="AS3658" s="43"/>
      <c r="AT3658" s="43"/>
      <c r="AU3658" s="43"/>
      <c r="AV3658" s="43"/>
      <c r="AW3658" s="43"/>
      <c r="AX3658" s="43"/>
      <c r="AY3658" s="43"/>
      <c r="AZ3658" s="43"/>
      <c r="BA3658" s="43"/>
      <c r="BB3658" s="43"/>
      <c r="BC3658" s="229">
        <f t="shared" si="1570"/>
        <v>0</v>
      </c>
      <c r="BD3658" s="48">
        <f t="shared" si="1571"/>
        <v>0</v>
      </c>
      <c r="BE3658" s="19">
        <v>0</v>
      </c>
      <c r="BF3658" s="229">
        <f t="shared" si="1572"/>
        <v>0</v>
      </c>
      <c r="BG3658" s="210">
        <f t="shared" si="1573"/>
        <v>0</v>
      </c>
      <c r="BH3658" s="210">
        <f t="shared" si="1565"/>
        <v>3</v>
      </c>
      <c r="BI3658" s="213">
        <f t="shared" si="1574"/>
        <v>0</v>
      </c>
      <c r="BJ3658" s="270" t="s">
        <v>2857</v>
      </c>
      <c r="BK3658" s="201"/>
      <c r="BL3658" s="4"/>
      <c r="BM3658" s="4"/>
    </row>
    <row r="3659" spans="1:65" s="38" customFormat="1" ht="15.95" customHeight="1">
      <c r="A3659" s="148">
        <v>5</v>
      </c>
      <c r="B3659" s="118" t="s">
        <v>1234</v>
      </c>
      <c r="C3659" s="120" t="s">
        <v>1235</v>
      </c>
      <c r="D3659" s="42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O3659" s="42"/>
      <c r="P3659" s="42"/>
      <c r="Q3659" s="42"/>
      <c r="R3659" s="42"/>
      <c r="S3659" s="42"/>
      <c r="T3659" s="42"/>
      <c r="U3659" s="42"/>
      <c r="V3659" s="42"/>
      <c r="W3659" s="42"/>
      <c r="X3659" s="42"/>
      <c r="Y3659" s="42"/>
      <c r="Z3659" s="42"/>
      <c r="AA3659" s="42"/>
      <c r="AB3659" s="229">
        <f t="shared" si="1568"/>
        <v>0</v>
      </c>
      <c r="AC3659" s="228">
        <f t="shared" si="1569"/>
        <v>0</v>
      </c>
      <c r="AD3659" s="19">
        <v>2</v>
      </c>
      <c r="AE3659" s="43"/>
      <c r="AF3659" s="43"/>
      <c r="AG3659" s="43"/>
      <c r="AH3659" s="43"/>
      <c r="AI3659" s="43"/>
      <c r="AJ3659" s="43"/>
      <c r="AK3659" s="43"/>
      <c r="AL3659" s="43"/>
      <c r="AM3659" s="43"/>
      <c r="AN3659" s="43"/>
      <c r="AO3659" s="43"/>
      <c r="AP3659" s="43"/>
      <c r="AQ3659" s="43"/>
      <c r="AR3659" s="43"/>
      <c r="AS3659" s="43"/>
      <c r="AT3659" s="43"/>
      <c r="AU3659" s="43"/>
      <c r="AV3659" s="43"/>
      <c r="AW3659" s="43"/>
      <c r="AX3659" s="43"/>
      <c r="AY3659" s="43"/>
      <c r="AZ3659" s="43"/>
      <c r="BA3659" s="43"/>
      <c r="BB3659" s="43"/>
      <c r="BC3659" s="229">
        <f t="shared" si="1570"/>
        <v>0</v>
      </c>
      <c r="BD3659" s="48">
        <f t="shared" si="1571"/>
        <v>0</v>
      </c>
      <c r="BE3659" s="19">
        <v>0</v>
      </c>
      <c r="BF3659" s="229">
        <f t="shared" si="1572"/>
        <v>0</v>
      </c>
      <c r="BG3659" s="210">
        <f t="shared" si="1573"/>
        <v>0</v>
      </c>
      <c r="BH3659" s="210">
        <f t="shared" si="1565"/>
        <v>2</v>
      </c>
      <c r="BI3659" s="213">
        <f t="shared" si="1574"/>
        <v>0</v>
      </c>
      <c r="BJ3659" s="270" t="s">
        <v>2857</v>
      </c>
      <c r="BK3659" s="201"/>
      <c r="BL3659" s="4"/>
      <c r="BM3659" s="4"/>
    </row>
    <row r="3660" spans="1:65" s="38" customFormat="1" ht="21.95" customHeight="1">
      <c r="A3660" s="148">
        <v>6</v>
      </c>
      <c r="B3660" s="118" t="s">
        <v>1251</v>
      </c>
      <c r="C3660" s="150" t="s">
        <v>1364</v>
      </c>
      <c r="D3660" s="42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O3660" s="42"/>
      <c r="P3660" s="42"/>
      <c r="Q3660" s="42"/>
      <c r="R3660" s="42"/>
      <c r="S3660" s="42"/>
      <c r="T3660" s="42"/>
      <c r="U3660" s="42"/>
      <c r="V3660" s="42"/>
      <c r="W3660" s="42"/>
      <c r="X3660" s="42"/>
      <c r="Y3660" s="42"/>
      <c r="Z3660" s="42"/>
      <c r="AA3660" s="42"/>
      <c r="AB3660" s="229">
        <f t="shared" si="1568"/>
        <v>0</v>
      </c>
      <c r="AC3660" s="228">
        <f t="shared" si="1569"/>
        <v>0</v>
      </c>
      <c r="AD3660" s="19">
        <v>45</v>
      </c>
      <c r="AE3660" s="43"/>
      <c r="AF3660" s="43"/>
      <c r="AG3660" s="43"/>
      <c r="AH3660" s="43"/>
      <c r="AI3660" s="43"/>
      <c r="AJ3660" s="43"/>
      <c r="AK3660" s="43"/>
      <c r="AL3660" s="43"/>
      <c r="AM3660" s="110"/>
      <c r="AN3660" s="43"/>
      <c r="AO3660" s="43"/>
      <c r="AP3660" s="43"/>
      <c r="AQ3660" s="110"/>
      <c r="AR3660" s="43"/>
      <c r="AS3660" s="43"/>
      <c r="AT3660" s="43"/>
      <c r="AU3660" s="43"/>
      <c r="AV3660" s="43"/>
      <c r="AW3660" s="43"/>
      <c r="AX3660" s="43"/>
      <c r="AY3660" s="43"/>
      <c r="AZ3660" s="43"/>
      <c r="BA3660" s="43"/>
      <c r="BB3660" s="43"/>
      <c r="BC3660" s="229">
        <f t="shared" si="1570"/>
        <v>0</v>
      </c>
      <c r="BD3660" s="48">
        <f t="shared" si="1571"/>
        <v>0</v>
      </c>
      <c r="BE3660" s="19">
        <v>0</v>
      </c>
      <c r="BF3660" s="229">
        <f t="shared" si="1572"/>
        <v>0</v>
      </c>
      <c r="BG3660" s="210">
        <f t="shared" si="1573"/>
        <v>0</v>
      </c>
      <c r="BH3660" s="210">
        <f t="shared" si="1565"/>
        <v>45</v>
      </c>
      <c r="BI3660" s="213">
        <f t="shared" si="1574"/>
        <v>0</v>
      </c>
      <c r="BJ3660" s="270" t="s">
        <v>2857</v>
      </c>
      <c r="BK3660" s="201"/>
      <c r="BL3660" s="4"/>
      <c r="BM3660" s="4"/>
    </row>
    <row r="3661" spans="1:65" s="38" customFormat="1" ht="15.95" customHeight="1">
      <c r="A3661" s="148">
        <v>7</v>
      </c>
      <c r="B3661" s="118" t="s">
        <v>1236</v>
      </c>
      <c r="C3661" s="120" t="s">
        <v>1237</v>
      </c>
      <c r="D3661" s="42"/>
      <c r="E3661" s="42"/>
      <c r="F3661" s="42"/>
      <c r="G3661" s="42"/>
      <c r="H3661" s="42"/>
      <c r="I3661" s="42">
        <v>348</v>
      </c>
      <c r="J3661" s="42"/>
      <c r="K3661" s="42"/>
      <c r="L3661" s="42"/>
      <c r="M3661" s="42"/>
      <c r="N3661" s="42"/>
      <c r="O3661" s="42">
        <v>258</v>
      </c>
      <c r="P3661" s="42"/>
      <c r="Q3661" s="42"/>
      <c r="R3661" s="42"/>
      <c r="S3661" s="42"/>
      <c r="T3661" s="42"/>
      <c r="U3661" s="42">
        <v>134</v>
      </c>
      <c r="V3661" s="42"/>
      <c r="W3661" s="42"/>
      <c r="X3661" s="42"/>
      <c r="Y3661" s="42"/>
      <c r="Z3661" s="42"/>
      <c r="AA3661" s="42">
        <v>53</v>
      </c>
      <c r="AB3661" s="229">
        <f t="shared" si="1568"/>
        <v>0</v>
      </c>
      <c r="AC3661" s="228">
        <f t="shared" si="1569"/>
        <v>793</v>
      </c>
      <c r="AD3661" s="19">
        <v>84</v>
      </c>
      <c r="AE3661" s="43"/>
      <c r="AF3661" s="43"/>
      <c r="AG3661" s="43"/>
      <c r="AH3661" s="43"/>
      <c r="AI3661" s="43"/>
      <c r="AJ3661" s="43"/>
      <c r="AK3661" s="43"/>
      <c r="AL3661" s="43"/>
      <c r="AM3661" s="110"/>
      <c r="AN3661" s="43"/>
      <c r="AO3661" s="43"/>
      <c r="AP3661" s="43"/>
      <c r="AQ3661" s="110"/>
      <c r="AR3661" s="43"/>
      <c r="AS3661" s="43"/>
      <c r="AT3661" s="43"/>
      <c r="AU3661" s="43"/>
      <c r="AV3661" s="43"/>
      <c r="AW3661" s="43"/>
      <c r="AX3661" s="43"/>
      <c r="AY3661" s="43"/>
      <c r="AZ3661" s="43"/>
      <c r="BA3661" s="43"/>
      <c r="BB3661" s="43"/>
      <c r="BC3661" s="229">
        <f t="shared" si="1570"/>
        <v>0</v>
      </c>
      <c r="BD3661" s="48">
        <f t="shared" si="1571"/>
        <v>0</v>
      </c>
      <c r="BE3661" s="19">
        <v>0</v>
      </c>
      <c r="BF3661" s="229">
        <f t="shared" si="1572"/>
        <v>0</v>
      </c>
      <c r="BG3661" s="210">
        <f t="shared" si="1573"/>
        <v>793</v>
      </c>
      <c r="BH3661" s="210">
        <f t="shared" si="1565"/>
        <v>84</v>
      </c>
      <c r="BI3661" s="213">
        <f t="shared" si="1574"/>
        <v>944.04761904761904</v>
      </c>
      <c r="BJ3661" s="270" t="s">
        <v>2857</v>
      </c>
      <c r="BK3661" s="201"/>
      <c r="BL3661" s="4"/>
      <c r="BM3661" s="4"/>
    </row>
    <row r="3662" spans="1:65" s="38" customFormat="1" ht="15.95" customHeight="1">
      <c r="A3662" s="148">
        <v>8</v>
      </c>
      <c r="B3662" s="118" t="s">
        <v>1241</v>
      </c>
      <c r="C3662" s="120" t="s">
        <v>1242</v>
      </c>
      <c r="D3662" s="42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O3662" s="42"/>
      <c r="P3662" s="42"/>
      <c r="Q3662" s="42"/>
      <c r="R3662" s="42"/>
      <c r="S3662" s="42"/>
      <c r="T3662" s="42"/>
      <c r="U3662" s="42"/>
      <c r="V3662" s="42"/>
      <c r="W3662" s="42"/>
      <c r="X3662" s="42"/>
      <c r="Y3662" s="42"/>
      <c r="Z3662" s="42"/>
      <c r="AA3662" s="42"/>
      <c r="AB3662" s="229">
        <f t="shared" si="1568"/>
        <v>0</v>
      </c>
      <c r="AC3662" s="228">
        <f t="shared" si="1569"/>
        <v>0</v>
      </c>
      <c r="AD3662" s="19">
        <v>0</v>
      </c>
      <c r="AE3662" s="43"/>
      <c r="AF3662" s="43"/>
      <c r="AG3662" s="43"/>
      <c r="AH3662" s="43"/>
      <c r="AI3662" s="43"/>
      <c r="AJ3662" s="43"/>
      <c r="AK3662" s="43"/>
      <c r="AL3662" s="43"/>
      <c r="AM3662" s="110"/>
      <c r="AN3662" s="43"/>
      <c r="AO3662" s="43"/>
      <c r="AP3662" s="43"/>
      <c r="AQ3662" s="110"/>
      <c r="AR3662" s="43"/>
      <c r="AS3662" s="43"/>
      <c r="AT3662" s="43"/>
      <c r="AU3662" s="43"/>
      <c r="AV3662" s="43"/>
      <c r="AW3662" s="43"/>
      <c r="AX3662" s="43"/>
      <c r="AY3662" s="43"/>
      <c r="AZ3662" s="43"/>
      <c r="BA3662" s="43"/>
      <c r="BB3662" s="43"/>
      <c r="BC3662" s="229">
        <f t="shared" si="1570"/>
        <v>0</v>
      </c>
      <c r="BD3662" s="48">
        <f t="shared" si="1571"/>
        <v>0</v>
      </c>
      <c r="BE3662" s="19">
        <v>2</v>
      </c>
      <c r="BF3662" s="229">
        <f t="shared" si="1572"/>
        <v>0</v>
      </c>
      <c r="BG3662" s="210">
        <f t="shared" si="1573"/>
        <v>0</v>
      </c>
      <c r="BH3662" s="210">
        <f t="shared" si="1565"/>
        <v>2</v>
      </c>
      <c r="BI3662" s="213">
        <f t="shared" si="1574"/>
        <v>0</v>
      </c>
      <c r="BJ3662" s="141"/>
      <c r="BK3662" s="201"/>
      <c r="BL3662" s="4"/>
      <c r="BM3662" s="4"/>
    </row>
    <row r="3663" spans="1:65" s="38" customFormat="1" ht="15.95" customHeight="1">
      <c r="A3663" s="148">
        <v>9</v>
      </c>
      <c r="B3663" s="118" t="s">
        <v>1178</v>
      </c>
      <c r="C3663" s="120" t="s">
        <v>1179</v>
      </c>
      <c r="D3663" s="42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O3663" s="42"/>
      <c r="P3663" s="42"/>
      <c r="Q3663" s="42"/>
      <c r="R3663" s="42"/>
      <c r="S3663" s="42"/>
      <c r="T3663" s="42"/>
      <c r="U3663" s="42"/>
      <c r="V3663" s="42"/>
      <c r="W3663" s="42"/>
      <c r="X3663" s="42"/>
      <c r="Y3663" s="42"/>
      <c r="Z3663" s="42"/>
      <c r="AA3663" s="42"/>
      <c r="AB3663" s="229">
        <f t="shared" si="1568"/>
        <v>0</v>
      </c>
      <c r="AC3663" s="228">
        <f t="shared" si="1569"/>
        <v>0</v>
      </c>
      <c r="AD3663" s="19">
        <v>0</v>
      </c>
      <c r="AE3663" s="43"/>
      <c r="AF3663" s="43"/>
      <c r="AG3663" s="43"/>
      <c r="AH3663" s="43"/>
      <c r="AI3663" s="43"/>
      <c r="AJ3663" s="43"/>
      <c r="AK3663" s="43"/>
      <c r="AL3663" s="43"/>
      <c r="AM3663" s="43"/>
      <c r="AN3663" s="43"/>
      <c r="AO3663" s="43"/>
      <c r="AP3663" s="43"/>
      <c r="AQ3663" s="43"/>
      <c r="AR3663" s="43"/>
      <c r="AS3663" s="43"/>
      <c r="AT3663" s="43"/>
      <c r="AU3663" s="43"/>
      <c r="AV3663" s="43"/>
      <c r="AW3663" s="43"/>
      <c r="AX3663" s="43"/>
      <c r="AY3663" s="43"/>
      <c r="AZ3663" s="43"/>
      <c r="BA3663" s="43"/>
      <c r="BB3663" s="43"/>
      <c r="BC3663" s="229">
        <f t="shared" si="1570"/>
        <v>0</v>
      </c>
      <c r="BD3663" s="48">
        <f t="shared" si="1571"/>
        <v>0</v>
      </c>
      <c r="BE3663" s="19">
        <v>2</v>
      </c>
      <c r="BF3663" s="229">
        <f t="shared" si="1572"/>
        <v>0</v>
      </c>
      <c r="BG3663" s="210">
        <f t="shared" si="1573"/>
        <v>0</v>
      </c>
      <c r="BH3663" s="210">
        <f t="shared" si="1565"/>
        <v>2</v>
      </c>
      <c r="BI3663" s="213">
        <f t="shared" si="1574"/>
        <v>0</v>
      </c>
      <c r="BJ3663" s="141"/>
      <c r="BK3663" s="201"/>
      <c r="BL3663" s="4"/>
      <c r="BM3663" s="4"/>
    </row>
    <row r="3664" spans="1:65" s="38" customFormat="1" ht="21.95" customHeight="1">
      <c r="A3664" s="148">
        <v>10</v>
      </c>
      <c r="B3664" s="118" t="s">
        <v>1245</v>
      </c>
      <c r="C3664" s="119" t="s">
        <v>1246</v>
      </c>
      <c r="D3664" s="42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O3664" s="42"/>
      <c r="P3664" s="42"/>
      <c r="Q3664" s="42"/>
      <c r="R3664" s="42"/>
      <c r="S3664" s="42"/>
      <c r="T3664" s="42"/>
      <c r="U3664" s="42"/>
      <c r="V3664" s="42"/>
      <c r="W3664" s="42"/>
      <c r="X3664" s="42"/>
      <c r="Y3664" s="42"/>
      <c r="Z3664" s="42"/>
      <c r="AA3664" s="42"/>
      <c r="AB3664" s="229">
        <f t="shared" si="1568"/>
        <v>0</v>
      </c>
      <c r="AC3664" s="228">
        <f t="shared" si="1569"/>
        <v>0</v>
      </c>
      <c r="AD3664" s="19">
        <v>0</v>
      </c>
      <c r="AE3664" s="43"/>
      <c r="AF3664" s="43"/>
      <c r="AG3664" s="43"/>
      <c r="AH3664" s="43"/>
      <c r="AI3664" s="43"/>
      <c r="AJ3664" s="43"/>
      <c r="AK3664" s="43"/>
      <c r="AL3664" s="43"/>
      <c r="AM3664" s="110"/>
      <c r="AN3664" s="43"/>
      <c r="AO3664" s="43"/>
      <c r="AP3664" s="43"/>
      <c r="AQ3664" s="110"/>
      <c r="AR3664" s="43"/>
      <c r="AS3664" s="43"/>
      <c r="AT3664" s="43"/>
      <c r="AU3664" s="43"/>
      <c r="AV3664" s="43"/>
      <c r="AW3664" s="43"/>
      <c r="AX3664" s="43"/>
      <c r="AY3664" s="43"/>
      <c r="AZ3664" s="43"/>
      <c r="BA3664" s="43"/>
      <c r="BB3664" s="43"/>
      <c r="BC3664" s="229">
        <f t="shared" si="1570"/>
        <v>0</v>
      </c>
      <c r="BD3664" s="48">
        <f t="shared" si="1571"/>
        <v>0</v>
      </c>
      <c r="BE3664" s="19">
        <v>2</v>
      </c>
      <c r="BF3664" s="229">
        <f t="shared" si="1572"/>
        <v>0</v>
      </c>
      <c r="BG3664" s="210">
        <f t="shared" si="1573"/>
        <v>0</v>
      </c>
      <c r="BH3664" s="210">
        <f t="shared" si="1565"/>
        <v>2</v>
      </c>
      <c r="BI3664" s="213">
        <f t="shared" si="1574"/>
        <v>0</v>
      </c>
      <c r="BJ3664" s="141"/>
      <c r="BK3664" s="201"/>
      <c r="BL3664" s="4"/>
      <c r="BM3664" s="4"/>
    </row>
    <row r="3665" spans="1:65" s="38" customFormat="1" ht="15.95" customHeight="1">
      <c r="A3665" s="148">
        <v>11</v>
      </c>
      <c r="B3665" s="118" t="s">
        <v>1249</v>
      </c>
      <c r="C3665" s="120" t="s">
        <v>1668</v>
      </c>
      <c r="D3665" s="42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O3665" s="42"/>
      <c r="P3665" s="42"/>
      <c r="Q3665" s="42"/>
      <c r="R3665" s="42"/>
      <c r="S3665" s="42"/>
      <c r="T3665" s="42"/>
      <c r="U3665" s="42"/>
      <c r="V3665" s="42"/>
      <c r="W3665" s="42"/>
      <c r="X3665" s="42"/>
      <c r="Y3665" s="42"/>
      <c r="Z3665" s="42"/>
      <c r="AA3665" s="42"/>
      <c r="AB3665" s="229">
        <f t="shared" si="1568"/>
        <v>0</v>
      </c>
      <c r="AC3665" s="228">
        <f t="shared" si="1569"/>
        <v>0</v>
      </c>
      <c r="AD3665" s="19">
        <v>0</v>
      </c>
      <c r="AE3665" s="43"/>
      <c r="AF3665" s="43"/>
      <c r="AG3665" s="43"/>
      <c r="AH3665" s="43"/>
      <c r="AI3665" s="43"/>
      <c r="AJ3665" s="43"/>
      <c r="AK3665" s="43"/>
      <c r="AL3665" s="43"/>
      <c r="AM3665" s="43"/>
      <c r="AN3665" s="43"/>
      <c r="AO3665" s="43"/>
      <c r="AP3665" s="43"/>
      <c r="AQ3665" s="43"/>
      <c r="AR3665" s="43"/>
      <c r="AS3665" s="43"/>
      <c r="AT3665" s="43"/>
      <c r="AU3665" s="43"/>
      <c r="AV3665" s="43"/>
      <c r="AW3665" s="43"/>
      <c r="AX3665" s="43"/>
      <c r="AY3665" s="43"/>
      <c r="AZ3665" s="43"/>
      <c r="BA3665" s="43"/>
      <c r="BB3665" s="43"/>
      <c r="BC3665" s="229">
        <f t="shared" si="1570"/>
        <v>0</v>
      </c>
      <c r="BD3665" s="48">
        <f t="shared" si="1571"/>
        <v>0</v>
      </c>
      <c r="BE3665" s="19">
        <v>1</v>
      </c>
      <c r="BF3665" s="229">
        <f t="shared" si="1572"/>
        <v>0</v>
      </c>
      <c r="BG3665" s="210">
        <f t="shared" si="1573"/>
        <v>0</v>
      </c>
      <c r="BH3665" s="210">
        <f t="shared" si="1565"/>
        <v>1</v>
      </c>
      <c r="BI3665" s="213">
        <f t="shared" si="1574"/>
        <v>0</v>
      </c>
      <c r="BJ3665" s="141"/>
      <c r="BK3665" s="201"/>
      <c r="BL3665" s="4"/>
      <c r="BM3665" s="4"/>
    </row>
    <row r="3666" spans="1:65" s="38" customFormat="1" ht="15.95" customHeight="1">
      <c r="A3666" s="148">
        <v>12</v>
      </c>
      <c r="B3666" s="118" t="s">
        <v>1262</v>
      </c>
      <c r="C3666" s="120" t="s">
        <v>1263</v>
      </c>
      <c r="D3666" s="42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O3666" s="42"/>
      <c r="P3666" s="42"/>
      <c r="Q3666" s="42"/>
      <c r="R3666" s="42"/>
      <c r="S3666" s="42"/>
      <c r="T3666" s="42"/>
      <c r="U3666" s="42"/>
      <c r="V3666" s="42"/>
      <c r="W3666" s="42"/>
      <c r="X3666" s="42"/>
      <c r="Y3666" s="42"/>
      <c r="Z3666" s="42"/>
      <c r="AA3666" s="42"/>
      <c r="AB3666" s="229">
        <f t="shared" si="1568"/>
        <v>0</v>
      </c>
      <c r="AC3666" s="228">
        <f t="shared" si="1569"/>
        <v>0</v>
      </c>
      <c r="AD3666" s="19">
        <v>0</v>
      </c>
      <c r="AE3666" s="43"/>
      <c r="AF3666" s="43"/>
      <c r="AG3666" s="43"/>
      <c r="AH3666" s="43"/>
      <c r="AI3666" s="43"/>
      <c r="AJ3666" s="43"/>
      <c r="AK3666" s="43"/>
      <c r="AL3666" s="43"/>
      <c r="AM3666" s="110"/>
      <c r="AN3666" s="43"/>
      <c r="AO3666" s="43"/>
      <c r="AP3666" s="43"/>
      <c r="AQ3666" s="110"/>
      <c r="AR3666" s="43"/>
      <c r="AS3666" s="43"/>
      <c r="AT3666" s="43"/>
      <c r="AU3666" s="43"/>
      <c r="AV3666" s="43"/>
      <c r="AW3666" s="43"/>
      <c r="AX3666" s="43"/>
      <c r="AY3666" s="43"/>
      <c r="AZ3666" s="43"/>
      <c r="BA3666" s="43"/>
      <c r="BB3666" s="43"/>
      <c r="BC3666" s="229">
        <f t="shared" si="1570"/>
        <v>0</v>
      </c>
      <c r="BD3666" s="48">
        <f t="shared" si="1571"/>
        <v>0</v>
      </c>
      <c r="BE3666" s="19">
        <v>1</v>
      </c>
      <c r="BF3666" s="229">
        <f t="shared" si="1572"/>
        <v>0</v>
      </c>
      <c r="BG3666" s="210">
        <f t="shared" si="1573"/>
        <v>0</v>
      </c>
      <c r="BH3666" s="210">
        <f t="shared" si="1565"/>
        <v>1</v>
      </c>
      <c r="BI3666" s="213">
        <f t="shared" si="1574"/>
        <v>0</v>
      </c>
      <c r="BJ3666" s="141"/>
      <c r="BK3666" s="201"/>
      <c r="BL3666" s="4"/>
      <c r="BM3666" s="4"/>
    </row>
    <row r="3667" spans="1:65" s="38" customFormat="1" ht="21.95" customHeight="1">
      <c r="A3667" s="359" t="s">
        <v>2798</v>
      </c>
      <c r="B3667" s="359"/>
      <c r="C3667" s="359"/>
      <c r="D3667" s="39">
        <f t="shared" ref="D3667:BE3667" si="1575">SUM(D3668:D3684)</f>
        <v>0</v>
      </c>
      <c r="E3667" s="39">
        <f t="shared" si="1575"/>
        <v>0</v>
      </c>
      <c r="F3667" s="39">
        <f t="shared" si="1575"/>
        <v>0</v>
      </c>
      <c r="G3667" s="39">
        <f t="shared" si="1575"/>
        <v>0</v>
      </c>
      <c r="H3667" s="39">
        <f t="shared" si="1575"/>
        <v>0</v>
      </c>
      <c r="I3667" s="39">
        <f t="shared" si="1575"/>
        <v>1887</v>
      </c>
      <c r="J3667" s="39">
        <f t="shared" si="1575"/>
        <v>0</v>
      </c>
      <c r="K3667" s="39">
        <f t="shared" si="1575"/>
        <v>0</v>
      </c>
      <c r="L3667" s="39">
        <f t="shared" si="1575"/>
        <v>0</v>
      </c>
      <c r="M3667" s="39">
        <f t="shared" si="1575"/>
        <v>0</v>
      </c>
      <c r="N3667" s="39">
        <f t="shared" si="1575"/>
        <v>0</v>
      </c>
      <c r="O3667" s="39">
        <f t="shared" si="1575"/>
        <v>1458</v>
      </c>
      <c r="P3667" s="39">
        <f t="shared" si="1575"/>
        <v>0</v>
      </c>
      <c r="Q3667" s="39">
        <f t="shared" si="1575"/>
        <v>0</v>
      </c>
      <c r="R3667" s="39">
        <f t="shared" si="1575"/>
        <v>0</v>
      </c>
      <c r="S3667" s="39">
        <f t="shared" si="1575"/>
        <v>0</v>
      </c>
      <c r="T3667" s="39">
        <f t="shared" si="1575"/>
        <v>0</v>
      </c>
      <c r="U3667" s="39">
        <f t="shared" si="1575"/>
        <v>1504</v>
      </c>
      <c r="V3667" s="39">
        <f t="shared" si="1575"/>
        <v>0</v>
      </c>
      <c r="W3667" s="39">
        <f t="shared" si="1575"/>
        <v>0</v>
      </c>
      <c r="X3667" s="39">
        <f t="shared" si="1575"/>
        <v>0</v>
      </c>
      <c r="Y3667" s="39">
        <f t="shared" si="1575"/>
        <v>0</v>
      </c>
      <c r="Z3667" s="39">
        <f t="shared" si="1575"/>
        <v>0</v>
      </c>
      <c r="AA3667" s="39">
        <f t="shared" si="1575"/>
        <v>1961</v>
      </c>
      <c r="AB3667" s="39">
        <f t="shared" ref="AB3667:AB3712" si="1576">D3667+F3667+H3667+J3667+L3667+N3667+P3667+R3667+T3667+V3667+X3667+Z3667</f>
        <v>0</v>
      </c>
      <c r="AC3667" s="39">
        <f t="shared" ref="AC3667:AC3712" si="1577">E3667+G3667+I3667+K3667+M3667+O3667+Q3667+S3667+U3667+W3667+Y3667+AA3667</f>
        <v>6810</v>
      </c>
      <c r="AD3667" s="39">
        <f t="shared" si="1575"/>
        <v>6261</v>
      </c>
      <c r="AE3667" s="39">
        <f t="shared" si="1575"/>
        <v>0</v>
      </c>
      <c r="AF3667" s="39">
        <f t="shared" si="1575"/>
        <v>0</v>
      </c>
      <c r="AG3667" s="39">
        <f t="shared" si="1575"/>
        <v>0</v>
      </c>
      <c r="AH3667" s="39">
        <f t="shared" si="1575"/>
        <v>0</v>
      </c>
      <c r="AI3667" s="39">
        <f t="shared" si="1575"/>
        <v>0</v>
      </c>
      <c r="AJ3667" s="39">
        <f t="shared" si="1575"/>
        <v>0</v>
      </c>
      <c r="AK3667" s="39">
        <f t="shared" si="1575"/>
        <v>0</v>
      </c>
      <c r="AL3667" s="39">
        <f t="shared" si="1575"/>
        <v>0</v>
      </c>
      <c r="AM3667" s="39">
        <f t="shared" si="1575"/>
        <v>0</v>
      </c>
      <c r="AN3667" s="39">
        <f t="shared" si="1575"/>
        <v>0</v>
      </c>
      <c r="AO3667" s="39">
        <f t="shared" si="1575"/>
        <v>0</v>
      </c>
      <c r="AP3667" s="39">
        <f t="shared" si="1575"/>
        <v>0</v>
      </c>
      <c r="AQ3667" s="39">
        <f t="shared" si="1575"/>
        <v>0</v>
      </c>
      <c r="AR3667" s="39">
        <f t="shared" si="1575"/>
        <v>0</v>
      </c>
      <c r="AS3667" s="39">
        <f t="shared" si="1575"/>
        <v>0</v>
      </c>
      <c r="AT3667" s="39">
        <f t="shared" si="1575"/>
        <v>0</v>
      </c>
      <c r="AU3667" s="39">
        <f t="shared" si="1575"/>
        <v>0</v>
      </c>
      <c r="AV3667" s="39">
        <f t="shared" si="1575"/>
        <v>0</v>
      </c>
      <c r="AW3667" s="39">
        <f t="shared" si="1575"/>
        <v>0</v>
      </c>
      <c r="AX3667" s="39">
        <f t="shared" si="1575"/>
        <v>0</v>
      </c>
      <c r="AY3667" s="39">
        <f t="shared" si="1575"/>
        <v>0</v>
      </c>
      <c r="AZ3667" s="39">
        <f t="shared" si="1575"/>
        <v>0</v>
      </c>
      <c r="BA3667" s="39">
        <f t="shared" si="1575"/>
        <v>0</v>
      </c>
      <c r="BB3667" s="39">
        <f t="shared" si="1575"/>
        <v>0</v>
      </c>
      <c r="BC3667" s="39">
        <f t="shared" ref="BC3667:BC3712" si="1578">AE3667+AG3667+AI3667+AK3667+AM3667+AO3667+AQ3667+AS3667+AU3667+AW3667+AY3667+BA3667</f>
        <v>0</v>
      </c>
      <c r="BD3667" s="101">
        <f t="shared" ref="BD3667:BD3712" si="1579">AF3667+AH3667+AJ3667+AL3667+AN3667+AP3667+AR3667+AT3667+AV3667+AX3667+AZ3667+BB3667</f>
        <v>0</v>
      </c>
      <c r="BE3667" s="39">
        <f t="shared" si="1575"/>
        <v>108</v>
      </c>
      <c r="BF3667" s="39">
        <f t="shared" ref="BF3667:BF3712" si="1580">AB3667+BC3667</f>
        <v>0</v>
      </c>
      <c r="BG3667" s="101">
        <f t="shared" ref="BG3667:BG3712" si="1581">AC3667+BD3667</f>
        <v>6810</v>
      </c>
      <c r="BH3667" s="101">
        <f t="shared" si="1565"/>
        <v>6369</v>
      </c>
      <c r="BI3667" s="280">
        <f t="shared" ref="BI3667:BI3712" si="1582">BG3667/BH3667*100</f>
        <v>106.92416391898256</v>
      </c>
      <c r="BJ3667" s="142">
        <v>6369</v>
      </c>
      <c r="BK3667" s="203">
        <f>BH3667-BJ3667</f>
        <v>0</v>
      </c>
      <c r="BL3667" s="4"/>
      <c r="BM3667" s="4"/>
    </row>
    <row r="3668" spans="1:65" s="38" customFormat="1" ht="15.95" customHeight="1">
      <c r="A3668" s="148">
        <v>1</v>
      </c>
      <c r="B3668" s="118" t="s">
        <v>1256</v>
      </c>
      <c r="C3668" s="120" t="s">
        <v>1257</v>
      </c>
      <c r="D3668" s="42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O3668" s="42"/>
      <c r="P3668" s="42"/>
      <c r="Q3668" s="42"/>
      <c r="R3668" s="42"/>
      <c r="S3668" s="42"/>
      <c r="T3668" s="42"/>
      <c r="U3668" s="42"/>
      <c r="V3668" s="42"/>
      <c r="W3668" s="42"/>
      <c r="X3668" s="42"/>
      <c r="Y3668" s="42"/>
      <c r="Z3668" s="42"/>
      <c r="AA3668" s="42"/>
      <c r="AB3668" s="229">
        <f t="shared" ref="AB3668:AB3684" si="1583">D3668+F3668+H3668+J3668+L3668+N3668+P3668+R3668+T3668+V3668+X3668+Z3668</f>
        <v>0</v>
      </c>
      <c r="AC3668" s="228">
        <f t="shared" si="1577"/>
        <v>0</v>
      </c>
      <c r="AD3668" s="19">
        <v>40</v>
      </c>
      <c r="AE3668" s="43"/>
      <c r="AF3668" s="43"/>
      <c r="AG3668" s="43"/>
      <c r="AH3668" s="43"/>
      <c r="AI3668" s="43"/>
      <c r="AJ3668" s="43"/>
      <c r="AK3668" s="43"/>
      <c r="AL3668" s="43"/>
      <c r="AM3668" s="110"/>
      <c r="AN3668" s="43"/>
      <c r="AO3668" s="43"/>
      <c r="AP3668" s="43"/>
      <c r="AQ3668" s="110"/>
      <c r="AR3668" s="43"/>
      <c r="AS3668" s="43"/>
      <c r="AT3668" s="43"/>
      <c r="AU3668" s="43"/>
      <c r="AV3668" s="43"/>
      <c r="AW3668" s="43"/>
      <c r="AX3668" s="43"/>
      <c r="AY3668" s="43"/>
      <c r="AZ3668" s="43"/>
      <c r="BA3668" s="43"/>
      <c r="BB3668" s="43"/>
      <c r="BC3668" s="229">
        <f t="shared" ref="BC3668:BC3684" si="1584">AE3668+AG3668+AI3668+AK3668+AM3668+AO3668+AQ3668+AS3668+AU3668+AW3668+AY3668+BA3668</f>
        <v>0</v>
      </c>
      <c r="BD3668" s="48">
        <f t="shared" si="1579"/>
        <v>0</v>
      </c>
      <c r="BE3668" s="19">
        <v>0</v>
      </c>
      <c r="BF3668" s="229">
        <f t="shared" ref="BF3668:BF3684" si="1585">AB3668+BC3668</f>
        <v>0</v>
      </c>
      <c r="BG3668" s="210">
        <f t="shared" si="1581"/>
        <v>0</v>
      </c>
      <c r="BH3668" s="210">
        <f t="shared" si="1565"/>
        <v>40</v>
      </c>
      <c r="BI3668" s="213">
        <f t="shared" ref="BI3668:BI3684" si="1586">BG3668/BH3668*100</f>
        <v>0</v>
      </c>
      <c r="BJ3668" s="270" t="s">
        <v>2857</v>
      </c>
      <c r="BK3668" s="201"/>
      <c r="BL3668" s="4"/>
      <c r="BM3668" s="4"/>
    </row>
    <row r="3669" spans="1:65" s="38" customFormat="1" ht="15.95" customHeight="1">
      <c r="A3669" s="148">
        <v>2</v>
      </c>
      <c r="B3669" s="118" t="s">
        <v>1224</v>
      </c>
      <c r="C3669" s="120" t="s">
        <v>1225</v>
      </c>
      <c r="D3669" s="42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O3669" s="42"/>
      <c r="P3669" s="42"/>
      <c r="Q3669" s="42"/>
      <c r="R3669" s="42"/>
      <c r="S3669" s="42"/>
      <c r="T3669" s="42"/>
      <c r="U3669" s="42"/>
      <c r="V3669" s="42"/>
      <c r="W3669" s="42"/>
      <c r="X3669" s="42"/>
      <c r="Y3669" s="42"/>
      <c r="Z3669" s="42"/>
      <c r="AA3669" s="42"/>
      <c r="AB3669" s="229">
        <f t="shared" si="1583"/>
        <v>0</v>
      </c>
      <c r="AC3669" s="228">
        <f t="shared" si="1577"/>
        <v>0</v>
      </c>
      <c r="AD3669" s="19">
        <v>50</v>
      </c>
      <c r="AE3669" s="43"/>
      <c r="AF3669" s="43"/>
      <c r="AG3669" s="43"/>
      <c r="AH3669" s="43"/>
      <c r="AI3669" s="43"/>
      <c r="AJ3669" s="43"/>
      <c r="AK3669" s="43"/>
      <c r="AL3669" s="43"/>
      <c r="AM3669" s="110"/>
      <c r="AN3669" s="43"/>
      <c r="AO3669" s="43"/>
      <c r="AP3669" s="43"/>
      <c r="AQ3669" s="110"/>
      <c r="AR3669" s="43"/>
      <c r="AS3669" s="43"/>
      <c r="AT3669" s="43"/>
      <c r="AU3669" s="43"/>
      <c r="AV3669" s="43"/>
      <c r="AW3669" s="43"/>
      <c r="AX3669" s="43"/>
      <c r="AY3669" s="43"/>
      <c r="AZ3669" s="43"/>
      <c r="BA3669" s="43"/>
      <c r="BB3669" s="43"/>
      <c r="BC3669" s="229">
        <f t="shared" si="1584"/>
        <v>0</v>
      </c>
      <c r="BD3669" s="48">
        <f t="shared" si="1579"/>
        <v>0</v>
      </c>
      <c r="BE3669" s="19">
        <v>0</v>
      </c>
      <c r="BF3669" s="229">
        <f t="shared" si="1585"/>
        <v>0</v>
      </c>
      <c r="BG3669" s="210">
        <f t="shared" si="1581"/>
        <v>0</v>
      </c>
      <c r="BH3669" s="210">
        <f t="shared" si="1565"/>
        <v>50</v>
      </c>
      <c r="BI3669" s="213">
        <f t="shared" si="1586"/>
        <v>0</v>
      </c>
      <c r="BJ3669" s="270" t="s">
        <v>2857</v>
      </c>
      <c r="BK3669" s="201"/>
      <c r="BL3669" s="4"/>
      <c r="BM3669" s="4"/>
    </row>
    <row r="3670" spans="1:65" s="38" customFormat="1" ht="15.95" customHeight="1">
      <c r="A3670" s="148">
        <v>3</v>
      </c>
      <c r="B3670" s="118" t="s">
        <v>1272</v>
      </c>
      <c r="C3670" s="120" t="s">
        <v>1502</v>
      </c>
      <c r="D3670" s="42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O3670" s="42"/>
      <c r="P3670" s="42"/>
      <c r="Q3670" s="42"/>
      <c r="R3670" s="42"/>
      <c r="S3670" s="42"/>
      <c r="T3670" s="42"/>
      <c r="U3670" s="42"/>
      <c r="V3670" s="42"/>
      <c r="W3670" s="42"/>
      <c r="X3670" s="42"/>
      <c r="Y3670" s="42"/>
      <c r="Z3670" s="42"/>
      <c r="AA3670" s="42"/>
      <c r="AB3670" s="229">
        <f t="shared" si="1583"/>
        <v>0</v>
      </c>
      <c r="AC3670" s="228">
        <f t="shared" si="1577"/>
        <v>0</v>
      </c>
      <c r="AD3670" s="19">
        <v>50</v>
      </c>
      <c r="AE3670" s="43"/>
      <c r="AF3670" s="43"/>
      <c r="AG3670" s="43"/>
      <c r="AH3670" s="43"/>
      <c r="AI3670" s="43"/>
      <c r="AJ3670" s="43"/>
      <c r="AK3670" s="43"/>
      <c r="AL3670" s="43"/>
      <c r="AM3670" s="110"/>
      <c r="AN3670" s="43"/>
      <c r="AO3670" s="43"/>
      <c r="AP3670" s="43"/>
      <c r="AQ3670" s="110"/>
      <c r="AR3670" s="43"/>
      <c r="AS3670" s="43"/>
      <c r="AT3670" s="43"/>
      <c r="AU3670" s="43"/>
      <c r="AV3670" s="43"/>
      <c r="AW3670" s="43"/>
      <c r="AX3670" s="43"/>
      <c r="AY3670" s="43"/>
      <c r="AZ3670" s="43"/>
      <c r="BA3670" s="43"/>
      <c r="BB3670" s="43"/>
      <c r="BC3670" s="229">
        <f t="shared" si="1584"/>
        <v>0</v>
      </c>
      <c r="BD3670" s="48">
        <f t="shared" si="1579"/>
        <v>0</v>
      </c>
      <c r="BE3670" s="19">
        <v>0</v>
      </c>
      <c r="BF3670" s="229">
        <f t="shared" si="1585"/>
        <v>0</v>
      </c>
      <c r="BG3670" s="210">
        <f t="shared" si="1581"/>
        <v>0</v>
      </c>
      <c r="BH3670" s="210">
        <f t="shared" si="1565"/>
        <v>50</v>
      </c>
      <c r="BI3670" s="213">
        <f t="shared" si="1586"/>
        <v>0</v>
      </c>
      <c r="BJ3670" s="270" t="s">
        <v>2857</v>
      </c>
      <c r="BK3670" s="201"/>
      <c r="BL3670" s="4"/>
      <c r="BM3670" s="4"/>
    </row>
    <row r="3671" spans="1:65" s="38" customFormat="1" ht="15.95" customHeight="1">
      <c r="A3671" s="148">
        <v>4</v>
      </c>
      <c r="B3671" s="118" t="s">
        <v>1228</v>
      </c>
      <c r="C3671" s="120" t="s">
        <v>1229</v>
      </c>
      <c r="D3671" s="42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O3671" s="42"/>
      <c r="P3671" s="42"/>
      <c r="Q3671" s="42"/>
      <c r="R3671" s="42"/>
      <c r="S3671" s="42"/>
      <c r="T3671" s="42"/>
      <c r="U3671" s="42"/>
      <c r="V3671" s="42"/>
      <c r="W3671" s="42"/>
      <c r="X3671" s="42"/>
      <c r="Y3671" s="42"/>
      <c r="Z3671" s="42"/>
      <c r="AA3671" s="42"/>
      <c r="AB3671" s="229">
        <f t="shared" si="1583"/>
        <v>0</v>
      </c>
      <c r="AC3671" s="228">
        <f t="shared" si="1577"/>
        <v>0</v>
      </c>
      <c r="AD3671" s="19">
        <v>60</v>
      </c>
      <c r="AE3671" s="43"/>
      <c r="AF3671" s="43"/>
      <c r="AG3671" s="43"/>
      <c r="AH3671" s="43"/>
      <c r="AI3671" s="43"/>
      <c r="AJ3671" s="43"/>
      <c r="AK3671" s="43"/>
      <c r="AL3671" s="43"/>
      <c r="AM3671" s="110"/>
      <c r="AN3671" s="43"/>
      <c r="AO3671" s="43"/>
      <c r="AP3671" s="43"/>
      <c r="AQ3671" s="110"/>
      <c r="AR3671" s="43"/>
      <c r="AS3671" s="43"/>
      <c r="AT3671" s="43"/>
      <c r="AU3671" s="43"/>
      <c r="AV3671" s="43"/>
      <c r="AW3671" s="43"/>
      <c r="AX3671" s="43"/>
      <c r="AY3671" s="43"/>
      <c r="AZ3671" s="43"/>
      <c r="BA3671" s="43"/>
      <c r="BB3671" s="43"/>
      <c r="BC3671" s="229">
        <f t="shared" si="1584"/>
        <v>0</v>
      </c>
      <c r="BD3671" s="48">
        <f t="shared" si="1579"/>
        <v>0</v>
      </c>
      <c r="BE3671" s="19">
        <v>0</v>
      </c>
      <c r="BF3671" s="229">
        <f t="shared" si="1585"/>
        <v>0</v>
      </c>
      <c r="BG3671" s="210">
        <f t="shared" si="1581"/>
        <v>0</v>
      </c>
      <c r="BH3671" s="210">
        <f t="shared" si="1565"/>
        <v>60</v>
      </c>
      <c r="BI3671" s="213">
        <f t="shared" si="1586"/>
        <v>0</v>
      </c>
      <c r="BJ3671" s="270" t="s">
        <v>2857</v>
      </c>
      <c r="BK3671" s="201"/>
      <c r="BL3671" s="4"/>
      <c r="BM3671" s="4"/>
    </row>
    <row r="3672" spans="1:65" s="38" customFormat="1" ht="15.95" customHeight="1">
      <c r="A3672" s="148">
        <v>5</v>
      </c>
      <c r="B3672" s="118" t="s">
        <v>1230</v>
      </c>
      <c r="C3672" s="120" t="s">
        <v>1231</v>
      </c>
      <c r="D3672" s="42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O3672" s="42"/>
      <c r="P3672" s="42"/>
      <c r="Q3672" s="42"/>
      <c r="R3672" s="42"/>
      <c r="S3672" s="42"/>
      <c r="T3672" s="42"/>
      <c r="U3672" s="42"/>
      <c r="V3672" s="42"/>
      <c r="W3672" s="42"/>
      <c r="X3672" s="42"/>
      <c r="Y3672" s="42"/>
      <c r="Z3672" s="42"/>
      <c r="AA3672" s="42"/>
      <c r="AB3672" s="229">
        <f t="shared" si="1583"/>
        <v>0</v>
      </c>
      <c r="AC3672" s="228">
        <f t="shared" si="1577"/>
        <v>0</v>
      </c>
      <c r="AD3672" s="19">
        <v>50</v>
      </c>
      <c r="AE3672" s="43"/>
      <c r="AF3672" s="43"/>
      <c r="AG3672" s="43"/>
      <c r="AH3672" s="43"/>
      <c r="AI3672" s="43"/>
      <c r="AJ3672" s="43"/>
      <c r="AK3672" s="43"/>
      <c r="AL3672" s="43"/>
      <c r="AM3672" s="110"/>
      <c r="AN3672" s="43"/>
      <c r="AO3672" s="43"/>
      <c r="AP3672" s="43"/>
      <c r="AQ3672" s="110"/>
      <c r="AR3672" s="43"/>
      <c r="AS3672" s="43"/>
      <c r="AT3672" s="43"/>
      <c r="AU3672" s="43"/>
      <c r="AV3672" s="43"/>
      <c r="AW3672" s="43"/>
      <c r="AX3672" s="43"/>
      <c r="AY3672" s="43"/>
      <c r="AZ3672" s="43"/>
      <c r="BA3672" s="43"/>
      <c r="BB3672" s="43"/>
      <c r="BC3672" s="229">
        <f t="shared" si="1584"/>
        <v>0</v>
      </c>
      <c r="BD3672" s="48">
        <f t="shared" si="1579"/>
        <v>0</v>
      </c>
      <c r="BE3672" s="19">
        <v>0</v>
      </c>
      <c r="BF3672" s="229">
        <f t="shared" si="1585"/>
        <v>0</v>
      </c>
      <c r="BG3672" s="210">
        <f t="shared" si="1581"/>
        <v>0</v>
      </c>
      <c r="BH3672" s="210">
        <f t="shared" si="1565"/>
        <v>50</v>
      </c>
      <c r="BI3672" s="213">
        <f t="shared" si="1586"/>
        <v>0</v>
      </c>
      <c r="BJ3672" s="270" t="s">
        <v>2857</v>
      </c>
      <c r="BK3672" s="201"/>
      <c r="BL3672" s="4"/>
      <c r="BM3672" s="4"/>
    </row>
    <row r="3673" spans="1:65" s="38" customFormat="1" ht="15.95" customHeight="1">
      <c r="A3673" s="148">
        <v>6</v>
      </c>
      <c r="B3673" s="118" t="s">
        <v>1264</v>
      </c>
      <c r="C3673" s="120" t="s">
        <v>1265</v>
      </c>
      <c r="D3673" s="42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O3673" s="42"/>
      <c r="P3673" s="42"/>
      <c r="Q3673" s="42"/>
      <c r="R3673" s="42"/>
      <c r="S3673" s="42"/>
      <c r="T3673" s="42"/>
      <c r="U3673" s="42"/>
      <c r="V3673" s="42"/>
      <c r="W3673" s="42"/>
      <c r="X3673" s="42"/>
      <c r="Y3673" s="42"/>
      <c r="Z3673" s="42"/>
      <c r="AA3673" s="42"/>
      <c r="AB3673" s="229">
        <f t="shared" si="1583"/>
        <v>0</v>
      </c>
      <c r="AC3673" s="228">
        <f t="shared" si="1577"/>
        <v>0</v>
      </c>
      <c r="AD3673" s="19">
        <v>30</v>
      </c>
      <c r="AE3673" s="43"/>
      <c r="AF3673" s="43"/>
      <c r="AG3673" s="43"/>
      <c r="AH3673" s="43"/>
      <c r="AI3673" s="43"/>
      <c r="AJ3673" s="43"/>
      <c r="AK3673" s="43"/>
      <c r="AL3673" s="43"/>
      <c r="AM3673" s="110"/>
      <c r="AN3673" s="43"/>
      <c r="AO3673" s="43"/>
      <c r="AP3673" s="43"/>
      <c r="AQ3673" s="110"/>
      <c r="AR3673" s="43"/>
      <c r="AS3673" s="43"/>
      <c r="AT3673" s="43"/>
      <c r="AU3673" s="43"/>
      <c r="AV3673" s="43"/>
      <c r="AW3673" s="43"/>
      <c r="AX3673" s="43"/>
      <c r="AY3673" s="43"/>
      <c r="AZ3673" s="43"/>
      <c r="BA3673" s="43"/>
      <c r="BB3673" s="43"/>
      <c r="BC3673" s="229">
        <f t="shared" si="1584"/>
        <v>0</v>
      </c>
      <c r="BD3673" s="48">
        <f t="shared" si="1579"/>
        <v>0</v>
      </c>
      <c r="BE3673" s="19">
        <v>0</v>
      </c>
      <c r="BF3673" s="229">
        <f t="shared" si="1585"/>
        <v>0</v>
      </c>
      <c r="BG3673" s="210">
        <f t="shared" si="1581"/>
        <v>0</v>
      </c>
      <c r="BH3673" s="210">
        <f t="shared" si="1565"/>
        <v>30</v>
      </c>
      <c r="BI3673" s="213">
        <f t="shared" si="1586"/>
        <v>0</v>
      </c>
      <c r="BJ3673" s="270" t="s">
        <v>2857</v>
      </c>
      <c r="BK3673" s="201"/>
      <c r="BL3673" s="4"/>
      <c r="BM3673" s="4"/>
    </row>
    <row r="3674" spans="1:65" s="38" customFormat="1" ht="15.95" customHeight="1">
      <c r="A3674" s="148">
        <v>7</v>
      </c>
      <c r="B3674" s="118" t="s">
        <v>1232</v>
      </c>
      <c r="C3674" s="120" t="s">
        <v>1233</v>
      </c>
      <c r="D3674" s="42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O3674" s="42"/>
      <c r="P3674" s="42"/>
      <c r="Q3674" s="42"/>
      <c r="R3674" s="42"/>
      <c r="S3674" s="42"/>
      <c r="T3674" s="42"/>
      <c r="U3674" s="42"/>
      <c r="V3674" s="42"/>
      <c r="W3674" s="42"/>
      <c r="X3674" s="42"/>
      <c r="Y3674" s="42"/>
      <c r="Z3674" s="42"/>
      <c r="AA3674" s="42"/>
      <c r="AB3674" s="229">
        <f t="shared" si="1583"/>
        <v>0</v>
      </c>
      <c r="AC3674" s="228">
        <f t="shared" si="1577"/>
        <v>0</v>
      </c>
      <c r="AD3674" s="19">
        <v>30</v>
      </c>
      <c r="AE3674" s="43"/>
      <c r="AF3674" s="43"/>
      <c r="AG3674" s="43"/>
      <c r="AH3674" s="43"/>
      <c r="AI3674" s="43"/>
      <c r="AJ3674" s="43"/>
      <c r="AK3674" s="43"/>
      <c r="AL3674" s="43"/>
      <c r="AM3674" s="110"/>
      <c r="AN3674" s="43"/>
      <c r="AO3674" s="43"/>
      <c r="AP3674" s="43"/>
      <c r="AQ3674" s="110"/>
      <c r="AR3674" s="43"/>
      <c r="AS3674" s="43"/>
      <c r="AT3674" s="43"/>
      <c r="AU3674" s="43"/>
      <c r="AV3674" s="43"/>
      <c r="AW3674" s="43"/>
      <c r="AX3674" s="43"/>
      <c r="AY3674" s="43"/>
      <c r="AZ3674" s="43"/>
      <c r="BA3674" s="43"/>
      <c r="BB3674" s="43"/>
      <c r="BC3674" s="229">
        <f t="shared" si="1584"/>
        <v>0</v>
      </c>
      <c r="BD3674" s="48">
        <f t="shared" si="1579"/>
        <v>0</v>
      </c>
      <c r="BE3674" s="19">
        <v>0</v>
      </c>
      <c r="BF3674" s="229">
        <f t="shared" si="1585"/>
        <v>0</v>
      </c>
      <c r="BG3674" s="210">
        <f t="shared" si="1581"/>
        <v>0</v>
      </c>
      <c r="BH3674" s="210">
        <f t="shared" si="1565"/>
        <v>30</v>
      </c>
      <c r="BI3674" s="213">
        <f t="shared" si="1586"/>
        <v>0</v>
      </c>
      <c r="BJ3674" s="270" t="s">
        <v>2857</v>
      </c>
      <c r="BK3674" s="201"/>
      <c r="BL3674" s="4"/>
      <c r="BM3674" s="4"/>
    </row>
    <row r="3675" spans="1:65" s="38" customFormat="1" ht="15.95" customHeight="1">
      <c r="A3675" s="148">
        <v>8</v>
      </c>
      <c r="B3675" s="118" t="s">
        <v>1234</v>
      </c>
      <c r="C3675" s="120" t="s">
        <v>1235</v>
      </c>
      <c r="D3675" s="42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O3675" s="42"/>
      <c r="P3675" s="42"/>
      <c r="Q3675" s="42"/>
      <c r="R3675" s="42"/>
      <c r="S3675" s="42"/>
      <c r="T3675" s="42"/>
      <c r="U3675" s="42"/>
      <c r="V3675" s="42"/>
      <c r="W3675" s="42"/>
      <c r="X3675" s="42"/>
      <c r="Y3675" s="42"/>
      <c r="Z3675" s="42"/>
      <c r="AA3675" s="42"/>
      <c r="AB3675" s="229">
        <f t="shared" si="1583"/>
        <v>0</v>
      </c>
      <c r="AC3675" s="228">
        <f t="shared" si="1577"/>
        <v>0</v>
      </c>
      <c r="AD3675" s="19">
        <v>50</v>
      </c>
      <c r="AE3675" s="43"/>
      <c r="AF3675" s="43"/>
      <c r="AG3675" s="43"/>
      <c r="AH3675" s="43"/>
      <c r="AI3675" s="43"/>
      <c r="AJ3675" s="43"/>
      <c r="AK3675" s="43"/>
      <c r="AL3675" s="43"/>
      <c r="AM3675" s="110"/>
      <c r="AN3675" s="43"/>
      <c r="AO3675" s="43"/>
      <c r="AP3675" s="43"/>
      <c r="AQ3675" s="110"/>
      <c r="AR3675" s="43"/>
      <c r="AS3675" s="43"/>
      <c r="AT3675" s="43"/>
      <c r="AU3675" s="43"/>
      <c r="AV3675" s="43"/>
      <c r="AW3675" s="43"/>
      <c r="AX3675" s="43"/>
      <c r="AY3675" s="43"/>
      <c r="AZ3675" s="43"/>
      <c r="BA3675" s="43"/>
      <c r="BB3675" s="43"/>
      <c r="BC3675" s="229">
        <f t="shared" si="1584"/>
        <v>0</v>
      </c>
      <c r="BD3675" s="48">
        <f t="shared" si="1579"/>
        <v>0</v>
      </c>
      <c r="BE3675" s="19">
        <v>0</v>
      </c>
      <c r="BF3675" s="229">
        <f t="shared" si="1585"/>
        <v>0</v>
      </c>
      <c r="BG3675" s="210">
        <f t="shared" si="1581"/>
        <v>0</v>
      </c>
      <c r="BH3675" s="210">
        <f t="shared" si="1565"/>
        <v>50</v>
      </c>
      <c r="BI3675" s="213">
        <f t="shared" si="1586"/>
        <v>0</v>
      </c>
      <c r="BJ3675" s="270" t="s">
        <v>2857</v>
      </c>
      <c r="BK3675" s="201"/>
      <c r="BL3675" s="4"/>
      <c r="BM3675" s="4"/>
    </row>
    <row r="3676" spans="1:65" s="38" customFormat="1" ht="21.95" customHeight="1">
      <c r="A3676" s="148">
        <v>9</v>
      </c>
      <c r="B3676" s="118" t="s">
        <v>1251</v>
      </c>
      <c r="C3676" s="150" t="s">
        <v>1364</v>
      </c>
      <c r="D3676" s="42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O3676" s="42"/>
      <c r="P3676" s="42"/>
      <c r="Q3676" s="42"/>
      <c r="R3676" s="42"/>
      <c r="S3676" s="42"/>
      <c r="T3676" s="42"/>
      <c r="U3676" s="42"/>
      <c r="V3676" s="42"/>
      <c r="W3676" s="42"/>
      <c r="X3676" s="42"/>
      <c r="Y3676" s="42"/>
      <c r="Z3676" s="42"/>
      <c r="AA3676" s="42"/>
      <c r="AB3676" s="229">
        <f t="shared" si="1583"/>
        <v>0</v>
      </c>
      <c r="AC3676" s="228">
        <f t="shared" si="1577"/>
        <v>0</v>
      </c>
      <c r="AD3676" s="19">
        <v>6</v>
      </c>
      <c r="AE3676" s="43"/>
      <c r="AF3676" s="43"/>
      <c r="AG3676" s="43"/>
      <c r="AH3676" s="43"/>
      <c r="AI3676" s="43"/>
      <c r="AJ3676" s="43"/>
      <c r="AK3676" s="43"/>
      <c r="AL3676" s="43"/>
      <c r="AM3676" s="110"/>
      <c r="AN3676" s="43"/>
      <c r="AO3676" s="43"/>
      <c r="AP3676" s="43"/>
      <c r="AQ3676" s="110"/>
      <c r="AR3676" s="43"/>
      <c r="AS3676" s="43"/>
      <c r="AT3676" s="43"/>
      <c r="AU3676" s="43"/>
      <c r="AV3676" s="43"/>
      <c r="AW3676" s="43"/>
      <c r="AX3676" s="43"/>
      <c r="AY3676" s="43"/>
      <c r="AZ3676" s="43"/>
      <c r="BA3676" s="43"/>
      <c r="BB3676" s="43"/>
      <c r="BC3676" s="229">
        <f t="shared" si="1584"/>
        <v>0</v>
      </c>
      <c r="BD3676" s="48">
        <f t="shared" si="1579"/>
        <v>0</v>
      </c>
      <c r="BE3676" s="19">
        <v>0</v>
      </c>
      <c r="BF3676" s="229">
        <f t="shared" si="1585"/>
        <v>0</v>
      </c>
      <c r="BG3676" s="210">
        <f t="shared" si="1581"/>
        <v>0</v>
      </c>
      <c r="BH3676" s="210">
        <f t="shared" si="1565"/>
        <v>6</v>
      </c>
      <c r="BI3676" s="213">
        <f t="shared" si="1586"/>
        <v>0</v>
      </c>
      <c r="BJ3676" s="270" t="s">
        <v>2857</v>
      </c>
      <c r="BK3676" s="201"/>
      <c r="BL3676" s="4"/>
      <c r="BM3676" s="4"/>
    </row>
    <row r="3677" spans="1:65" s="38" customFormat="1" ht="15.95" customHeight="1">
      <c r="A3677" s="148">
        <v>10</v>
      </c>
      <c r="B3677" s="118" t="s">
        <v>1236</v>
      </c>
      <c r="C3677" s="120" t="s">
        <v>1237</v>
      </c>
      <c r="D3677" s="42"/>
      <c r="E3677" s="42"/>
      <c r="F3677" s="42"/>
      <c r="G3677" s="42"/>
      <c r="H3677" s="42"/>
      <c r="I3677" s="42">
        <v>1887</v>
      </c>
      <c r="J3677" s="42"/>
      <c r="K3677" s="42"/>
      <c r="L3677" s="42"/>
      <c r="M3677" s="42"/>
      <c r="N3677" s="42"/>
      <c r="O3677" s="42">
        <v>1458</v>
      </c>
      <c r="P3677" s="42"/>
      <c r="Q3677" s="42"/>
      <c r="R3677" s="42"/>
      <c r="S3677" s="42"/>
      <c r="T3677" s="42"/>
      <c r="U3677" s="42">
        <v>1504</v>
      </c>
      <c r="V3677" s="42"/>
      <c r="W3677" s="42"/>
      <c r="X3677" s="42"/>
      <c r="Y3677" s="42"/>
      <c r="Z3677" s="42"/>
      <c r="AA3677" s="42">
        <v>1961</v>
      </c>
      <c r="AB3677" s="229">
        <f t="shared" si="1583"/>
        <v>0</v>
      </c>
      <c r="AC3677" s="228">
        <f t="shared" si="1577"/>
        <v>6810</v>
      </c>
      <c r="AD3677" s="19">
        <v>5895</v>
      </c>
      <c r="AE3677" s="43"/>
      <c r="AF3677" s="43"/>
      <c r="AG3677" s="43"/>
      <c r="AH3677" s="43"/>
      <c r="AI3677" s="43"/>
      <c r="AJ3677" s="43"/>
      <c r="AK3677" s="43"/>
      <c r="AL3677" s="43"/>
      <c r="AM3677" s="110"/>
      <c r="AN3677" s="43"/>
      <c r="AO3677" s="43"/>
      <c r="AP3677" s="43"/>
      <c r="AQ3677" s="110"/>
      <c r="AR3677" s="43"/>
      <c r="AS3677" s="43"/>
      <c r="AT3677" s="43"/>
      <c r="AU3677" s="43"/>
      <c r="AV3677" s="43"/>
      <c r="AW3677" s="43"/>
      <c r="AX3677" s="43"/>
      <c r="AY3677" s="43"/>
      <c r="AZ3677" s="43"/>
      <c r="BA3677" s="43"/>
      <c r="BB3677" s="43"/>
      <c r="BC3677" s="229">
        <f t="shared" si="1584"/>
        <v>0</v>
      </c>
      <c r="BD3677" s="48">
        <f t="shared" si="1579"/>
        <v>0</v>
      </c>
      <c r="BE3677" s="19">
        <v>0</v>
      </c>
      <c r="BF3677" s="229">
        <f t="shared" si="1585"/>
        <v>0</v>
      </c>
      <c r="BG3677" s="210">
        <f t="shared" si="1581"/>
        <v>6810</v>
      </c>
      <c r="BH3677" s="210">
        <f t="shared" si="1565"/>
        <v>5895</v>
      </c>
      <c r="BI3677" s="213">
        <f t="shared" si="1586"/>
        <v>115.52162849872774</v>
      </c>
      <c r="BJ3677" s="270" t="s">
        <v>2857</v>
      </c>
      <c r="BK3677" s="201"/>
      <c r="BL3677" s="4"/>
      <c r="BM3677" s="4"/>
    </row>
    <row r="3678" spans="1:65" s="38" customFormat="1" ht="15.95" customHeight="1">
      <c r="A3678" s="148">
        <v>11</v>
      </c>
      <c r="B3678" s="118" t="s">
        <v>1241</v>
      </c>
      <c r="C3678" s="151" t="s">
        <v>1242</v>
      </c>
      <c r="D3678" s="42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O3678" s="42"/>
      <c r="P3678" s="42"/>
      <c r="Q3678" s="42"/>
      <c r="R3678" s="42"/>
      <c r="S3678" s="42"/>
      <c r="T3678" s="42"/>
      <c r="U3678" s="42"/>
      <c r="V3678" s="42"/>
      <c r="W3678" s="42"/>
      <c r="X3678" s="42"/>
      <c r="Y3678" s="42"/>
      <c r="Z3678" s="42"/>
      <c r="AA3678" s="42"/>
      <c r="AB3678" s="229">
        <f t="shared" si="1583"/>
        <v>0</v>
      </c>
      <c r="AC3678" s="228">
        <f t="shared" si="1577"/>
        <v>0</v>
      </c>
      <c r="AD3678" s="19">
        <v>0</v>
      </c>
      <c r="AE3678" s="43"/>
      <c r="AF3678" s="43"/>
      <c r="AG3678" s="43"/>
      <c r="AH3678" s="43"/>
      <c r="AI3678" s="43"/>
      <c r="AJ3678" s="43"/>
      <c r="AK3678" s="43"/>
      <c r="AL3678" s="43"/>
      <c r="AM3678" s="110"/>
      <c r="AN3678" s="43"/>
      <c r="AO3678" s="43"/>
      <c r="AP3678" s="43"/>
      <c r="AQ3678" s="110"/>
      <c r="AR3678" s="43"/>
      <c r="AS3678" s="43"/>
      <c r="AT3678" s="43"/>
      <c r="AU3678" s="43"/>
      <c r="AV3678" s="43"/>
      <c r="AW3678" s="43"/>
      <c r="AX3678" s="43"/>
      <c r="AY3678" s="43"/>
      <c r="AZ3678" s="43"/>
      <c r="BA3678" s="43"/>
      <c r="BB3678" s="43"/>
      <c r="BC3678" s="229">
        <f t="shared" si="1584"/>
        <v>0</v>
      </c>
      <c r="BD3678" s="48">
        <f t="shared" si="1579"/>
        <v>0</v>
      </c>
      <c r="BE3678" s="19">
        <v>30</v>
      </c>
      <c r="BF3678" s="229">
        <f t="shared" si="1585"/>
        <v>0</v>
      </c>
      <c r="BG3678" s="210">
        <f t="shared" si="1581"/>
        <v>0</v>
      </c>
      <c r="BH3678" s="210">
        <f t="shared" si="1565"/>
        <v>30</v>
      </c>
      <c r="BI3678" s="213">
        <f t="shared" si="1586"/>
        <v>0</v>
      </c>
      <c r="BJ3678" s="141"/>
      <c r="BK3678" s="201"/>
      <c r="BL3678" s="4"/>
      <c r="BM3678" s="4"/>
    </row>
    <row r="3679" spans="1:65" s="38" customFormat="1" ht="15.95" customHeight="1">
      <c r="A3679" s="148">
        <v>12</v>
      </c>
      <c r="B3679" s="152" t="s">
        <v>840</v>
      </c>
      <c r="C3679" s="120" t="s">
        <v>841</v>
      </c>
      <c r="D3679" s="42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O3679" s="42"/>
      <c r="P3679" s="42"/>
      <c r="Q3679" s="42"/>
      <c r="R3679" s="42"/>
      <c r="S3679" s="42"/>
      <c r="T3679" s="42"/>
      <c r="U3679" s="42"/>
      <c r="V3679" s="42"/>
      <c r="W3679" s="42"/>
      <c r="X3679" s="42"/>
      <c r="Y3679" s="42"/>
      <c r="Z3679" s="42"/>
      <c r="AA3679" s="42"/>
      <c r="AB3679" s="229">
        <f t="shared" si="1583"/>
        <v>0</v>
      </c>
      <c r="AC3679" s="228">
        <f t="shared" si="1577"/>
        <v>0</v>
      </c>
      <c r="AD3679" s="19">
        <v>0</v>
      </c>
      <c r="AE3679" s="43"/>
      <c r="AF3679" s="43"/>
      <c r="AG3679" s="43"/>
      <c r="AH3679" s="43"/>
      <c r="AI3679" s="43"/>
      <c r="AJ3679" s="43"/>
      <c r="AK3679" s="43"/>
      <c r="AL3679" s="43"/>
      <c r="AM3679" s="110"/>
      <c r="AN3679" s="43"/>
      <c r="AO3679" s="43"/>
      <c r="AP3679" s="43"/>
      <c r="AQ3679" s="110"/>
      <c r="AR3679" s="43"/>
      <c r="AS3679" s="43"/>
      <c r="AT3679" s="43"/>
      <c r="AU3679" s="43"/>
      <c r="AV3679" s="43"/>
      <c r="AW3679" s="43"/>
      <c r="AX3679" s="43"/>
      <c r="AY3679" s="43"/>
      <c r="AZ3679" s="43"/>
      <c r="BA3679" s="43"/>
      <c r="BB3679" s="43"/>
      <c r="BC3679" s="229">
        <f t="shared" si="1584"/>
        <v>0</v>
      </c>
      <c r="BD3679" s="48">
        <f t="shared" si="1579"/>
        <v>0</v>
      </c>
      <c r="BE3679" s="19">
        <v>4</v>
      </c>
      <c r="BF3679" s="229">
        <f t="shared" si="1585"/>
        <v>0</v>
      </c>
      <c r="BG3679" s="210">
        <f t="shared" si="1581"/>
        <v>0</v>
      </c>
      <c r="BH3679" s="210">
        <f t="shared" si="1565"/>
        <v>4</v>
      </c>
      <c r="BI3679" s="213">
        <f t="shared" si="1586"/>
        <v>0</v>
      </c>
      <c r="BJ3679" s="141"/>
      <c r="BK3679" s="201"/>
      <c r="BL3679" s="4"/>
      <c r="BM3679" s="4"/>
    </row>
    <row r="3680" spans="1:65" s="38" customFormat="1" ht="15.95" customHeight="1">
      <c r="A3680" s="148">
        <v>13</v>
      </c>
      <c r="B3680" s="118" t="s">
        <v>1178</v>
      </c>
      <c r="C3680" s="120" t="s">
        <v>1179</v>
      </c>
      <c r="D3680" s="42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O3680" s="42"/>
      <c r="P3680" s="42"/>
      <c r="Q3680" s="42"/>
      <c r="R3680" s="42"/>
      <c r="S3680" s="42"/>
      <c r="T3680" s="42"/>
      <c r="U3680" s="42"/>
      <c r="V3680" s="42"/>
      <c r="W3680" s="42"/>
      <c r="X3680" s="42"/>
      <c r="Y3680" s="42"/>
      <c r="Z3680" s="42"/>
      <c r="AA3680" s="42"/>
      <c r="AB3680" s="229">
        <f t="shared" si="1583"/>
        <v>0</v>
      </c>
      <c r="AC3680" s="228">
        <f t="shared" si="1577"/>
        <v>0</v>
      </c>
      <c r="AD3680" s="19">
        <v>0</v>
      </c>
      <c r="AE3680" s="43"/>
      <c r="AF3680" s="43"/>
      <c r="AG3680" s="43"/>
      <c r="AH3680" s="43"/>
      <c r="AI3680" s="43"/>
      <c r="AJ3680" s="43"/>
      <c r="AK3680" s="43"/>
      <c r="AL3680" s="43"/>
      <c r="AM3680" s="110"/>
      <c r="AN3680" s="43"/>
      <c r="AO3680" s="43"/>
      <c r="AP3680" s="43"/>
      <c r="AQ3680" s="110"/>
      <c r="AR3680" s="43"/>
      <c r="AS3680" s="43"/>
      <c r="AT3680" s="43"/>
      <c r="AU3680" s="43"/>
      <c r="AV3680" s="43"/>
      <c r="AW3680" s="43"/>
      <c r="AX3680" s="43"/>
      <c r="AY3680" s="43"/>
      <c r="AZ3680" s="43"/>
      <c r="BA3680" s="43"/>
      <c r="BB3680" s="43"/>
      <c r="BC3680" s="229">
        <f t="shared" si="1584"/>
        <v>0</v>
      </c>
      <c r="BD3680" s="48">
        <f t="shared" si="1579"/>
        <v>0</v>
      </c>
      <c r="BE3680" s="19">
        <v>30</v>
      </c>
      <c r="BF3680" s="229">
        <f t="shared" si="1585"/>
        <v>0</v>
      </c>
      <c r="BG3680" s="210">
        <f t="shared" si="1581"/>
        <v>0</v>
      </c>
      <c r="BH3680" s="210">
        <f t="shared" si="1565"/>
        <v>30</v>
      </c>
      <c r="BI3680" s="213">
        <f t="shared" si="1586"/>
        <v>0</v>
      </c>
      <c r="BJ3680" s="141"/>
      <c r="BK3680" s="201"/>
      <c r="BL3680" s="4"/>
      <c r="BM3680" s="4"/>
    </row>
    <row r="3681" spans="1:65" s="38" customFormat="1" ht="21.95" customHeight="1">
      <c r="A3681" s="148">
        <v>14</v>
      </c>
      <c r="B3681" s="118" t="s">
        <v>1245</v>
      </c>
      <c r="C3681" s="119" t="s">
        <v>1246</v>
      </c>
      <c r="D3681" s="42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O3681" s="42"/>
      <c r="P3681" s="42"/>
      <c r="Q3681" s="42"/>
      <c r="R3681" s="42"/>
      <c r="S3681" s="42"/>
      <c r="T3681" s="42"/>
      <c r="U3681" s="42"/>
      <c r="V3681" s="42"/>
      <c r="W3681" s="42"/>
      <c r="X3681" s="42"/>
      <c r="Y3681" s="42"/>
      <c r="Z3681" s="42"/>
      <c r="AA3681" s="42"/>
      <c r="AB3681" s="229">
        <f t="shared" si="1583"/>
        <v>0</v>
      </c>
      <c r="AC3681" s="228">
        <f t="shared" si="1577"/>
        <v>0</v>
      </c>
      <c r="AD3681" s="19">
        <v>0</v>
      </c>
      <c r="AE3681" s="43"/>
      <c r="AF3681" s="43"/>
      <c r="AG3681" s="43"/>
      <c r="AH3681" s="43"/>
      <c r="AI3681" s="43"/>
      <c r="AJ3681" s="43"/>
      <c r="AK3681" s="43"/>
      <c r="AL3681" s="43"/>
      <c r="AM3681" s="110"/>
      <c r="AN3681" s="43"/>
      <c r="AO3681" s="43"/>
      <c r="AP3681" s="43"/>
      <c r="AQ3681" s="110"/>
      <c r="AR3681" s="43"/>
      <c r="AS3681" s="43"/>
      <c r="AT3681" s="43"/>
      <c r="AU3681" s="43"/>
      <c r="AV3681" s="43"/>
      <c r="AW3681" s="43"/>
      <c r="AX3681" s="43"/>
      <c r="AY3681" s="43"/>
      <c r="AZ3681" s="43"/>
      <c r="BA3681" s="43"/>
      <c r="BB3681" s="43"/>
      <c r="BC3681" s="229">
        <f t="shared" si="1584"/>
        <v>0</v>
      </c>
      <c r="BD3681" s="48">
        <f t="shared" si="1579"/>
        <v>0</v>
      </c>
      <c r="BE3681" s="19">
        <v>30</v>
      </c>
      <c r="BF3681" s="229">
        <f t="shared" si="1585"/>
        <v>0</v>
      </c>
      <c r="BG3681" s="210">
        <f t="shared" si="1581"/>
        <v>0</v>
      </c>
      <c r="BH3681" s="210">
        <f t="shared" si="1565"/>
        <v>30</v>
      </c>
      <c r="BI3681" s="213">
        <f t="shared" si="1586"/>
        <v>0</v>
      </c>
      <c r="BJ3681" s="141"/>
      <c r="BK3681" s="201"/>
      <c r="BL3681" s="4"/>
      <c r="BM3681" s="4"/>
    </row>
    <row r="3682" spans="1:65" s="38" customFormat="1" ht="15.95" customHeight="1">
      <c r="A3682" s="148">
        <v>15</v>
      </c>
      <c r="B3682" s="118" t="s">
        <v>1247</v>
      </c>
      <c r="C3682" s="195" t="s">
        <v>1248</v>
      </c>
      <c r="D3682" s="42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O3682" s="42"/>
      <c r="P3682" s="42"/>
      <c r="Q3682" s="42"/>
      <c r="R3682" s="42"/>
      <c r="S3682" s="42"/>
      <c r="T3682" s="42"/>
      <c r="U3682" s="42"/>
      <c r="V3682" s="42"/>
      <c r="W3682" s="42"/>
      <c r="X3682" s="42"/>
      <c r="Y3682" s="42"/>
      <c r="Z3682" s="42"/>
      <c r="AA3682" s="42"/>
      <c r="AB3682" s="229">
        <f t="shared" si="1583"/>
        <v>0</v>
      </c>
      <c r="AC3682" s="228">
        <f t="shared" si="1577"/>
        <v>0</v>
      </c>
      <c r="AD3682" s="19">
        <v>0</v>
      </c>
      <c r="AE3682" s="43"/>
      <c r="AF3682" s="43"/>
      <c r="AG3682" s="43"/>
      <c r="AH3682" s="43"/>
      <c r="AI3682" s="43"/>
      <c r="AJ3682" s="43"/>
      <c r="AK3682" s="43"/>
      <c r="AL3682" s="43"/>
      <c r="AM3682" s="110"/>
      <c r="AN3682" s="43"/>
      <c r="AO3682" s="43"/>
      <c r="AP3682" s="43"/>
      <c r="AQ3682" s="110"/>
      <c r="AR3682" s="43"/>
      <c r="AS3682" s="43"/>
      <c r="AT3682" s="43"/>
      <c r="AU3682" s="43"/>
      <c r="AV3682" s="43"/>
      <c r="AW3682" s="43"/>
      <c r="AX3682" s="43"/>
      <c r="AY3682" s="43"/>
      <c r="AZ3682" s="43"/>
      <c r="BA3682" s="43"/>
      <c r="BB3682" s="43"/>
      <c r="BC3682" s="229">
        <f t="shared" si="1584"/>
        <v>0</v>
      </c>
      <c r="BD3682" s="48">
        <f t="shared" si="1579"/>
        <v>0</v>
      </c>
      <c r="BE3682" s="19">
        <v>5</v>
      </c>
      <c r="BF3682" s="229">
        <f t="shared" si="1585"/>
        <v>0</v>
      </c>
      <c r="BG3682" s="210">
        <f t="shared" si="1581"/>
        <v>0</v>
      </c>
      <c r="BH3682" s="210">
        <f t="shared" si="1565"/>
        <v>5</v>
      </c>
      <c r="BI3682" s="213">
        <f t="shared" si="1586"/>
        <v>0</v>
      </c>
      <c r="BJ3682" s="141"/>
      <c r="BK3682" s="201"/>
      <c r="BL3682" s="4"/>
      <c r="BM3682" s="4"/>
    </row>
    <row r="3683" spans="1:65" s="38" customFormat="1" ht="15.95" customHeight="1">
      <c r="A3683" s="148">
        <v>16</v>
      </c>
      <c r="B3683" s="118" t="s">
        <v>1249</v>
      </c>
      <c r="C3683" s="120" t="s">
        <v>1668</v>
      </c>
      <c r="D3683" s="42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O3683" s="42"/>
      <c r="P3683" s="42"/>
      <c r="Q3683" s="42"/>
      <c r="R3683" s="42"/>
      <c r="S3683" s="42"/>
      <c r="T3683" s="42"/>
      <c r="U3683" s="42"/>
      <c r="V3683" s="42"/>
      <c r="W3683" s="42"/>
      <c r="X3683" s="42"/>
      <c r="Y3683" s="42"/>
      <c r="Z3683" s="42"/>
      <c r="AA3683" s="42"/>
      <c r="AB3683" s="229">
        <f t="shared" si="1583"/>
        <v>0</v>
      </c>
      <c r="AC3683" s="228">
        <f t="shared" si="1577"/>
        <v>0</v>
      </c>
      <c r="AD3683" s="19">
        <v>0</v>
      </c>
      <c r="AE3683" s="43"/>
      <c r="AF3683" s="43"/>
      <c r="AG3683" s="43"/>
      <c r="AH3683" s="43"/>
      <c r="AI3683" s="43"/>
      <c r="AJ3683" s="43"/>
      <c r="AK3683" s="43"/>
      <c r="AL3683" s="43"/>
      <c r="AM3683" s="110"/>
      <c r="AN3683" s="43"/>
      <c r="AO3683" s="43"/>
      <c r="AP3683" s="43"/>
      <c r="AQ3683" s="110"/>
      <c r="AR3683" s="43"/>
      <c r="AS3683" s="43"/>
      <c r="AT3683" s="43"/>
      <c r="AU3683" s="43"/>
      <c r="AV3683" s="43"/>
      <c r="AW3683" s="43"/>
      <c r="AX3683" s="43"/>
      <c r="AY3683" s="43"/>
      <c r="AZ3683" s="43"/>
      <c r="BA3683" s="43"/>
      <c r="BB3683" s="43"/>
      <c r="BC3683" s="229">
        <f t="shared" si="1584"/>
        <v>0</v>
      </c>
      <c r="BD3683" s="48">
        <f t="shared" si="1579"/>
        <v>0</v>
      </c>
      <c r="BE3683" s="19">
        <v>2</v>
      </c>
      <c r="BF3683" s="229">
        <f t="shared" si="1585"/>
        <v>0</v>
      </c>
      <c r="BG3683" s="210">
        <f t="shared" si="1581"/>
        <v>0</v>
      </c>
      <c r="BH3683" s="210">
        <f t="shared" si="1565"/>
        <v>2</v>
      </c>
      <c r="BI3683" s="213">
        <f t="shared" si="1586"/>
        <v>0</v>
      </c>
      <c r="BJ3683" s="141"/>
      <c r="BK3683" s="201"/>
      <c r="BL3683" s="4"/>
      <c r="BM3683" s="4"/>
    </row>
    <row r="3684" spans="1:65" s="38" customFormat="1" ht="15.95" customHeight="1">
      <c r="A3684" s="148">
        <v>17</v>
      </c>
      <c r="B3684" s="118" t="s">
        <v>1262</v>
      </c>
      <c r="C3684" s="120" t="s">
        <v>1263</v>
      </c>
      <c r="D3684" s="42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O3684" s="42"/>
      <c r="P3684" s="42"/>
      <c r="Q3684" s="42"/>
      <c r="R3684" s="42"/>
      <c r="S3684" s="42"/>
      <c r="T3684" s="42"/>
      <c r="U3684" s="42"/>
      <c r="V3684" s="42"/>
      <c r="W3684" s="42"/>
      <c r="X3684" s="42"/>
      <c r="Y3684" s="42"/>
      <c r="Z3684" s="42"/>
      <c r="AA3684" s="42"/>
      <c r="AB3684" s="229">
        <f t="shared" si="1583"/>
        <v>0</v>
      </c>
      <c r="AC3684" s="228">
        <f t="shared" si="1577"/>
        <v>0</v>
      </c>
      <c r="AD3684" s="19">
        <v>0</v>
      </c>
      <c r="AE3684" s="43"/>
      <c r="AF3684" s="43"/>
      <c r="AG3684" s="43"/>
      <c r="AH3684" s="43"/>
      <c r="AI3684" s="43"/>
      <c r="AJ3684" s="43"/>
      <c r="AK3684" s="43"/>
      <c r="AL3684" s="43"/>
      <c r="AM3684" s="110"/>
      <c r="AN3684" s="43"/>
      <c r="AO3684" s="43"/>
      <c r="AP3684" s="43"/>
      <c r="AQ3684" s="110"/>
      <c r="AR3684" s="43"/>
      <c r="AS3684" s="43"/>
      <c r="AT3684" s="43"/>
      <c r="AU3684" s="43"/>
      <c r="AV3684" s="43"/>
      <c r="AW3684" s="43"/>
      <c r="AX3684" s="43"/>
      <c r="AY3684" s="43"/>
      <c r="AZ3684" s="43"/>
      <c r="BA3684" s="43"/>
      <c r="BB3684" s="43"/>
      <c r="BC3684" s="229">
        <f t="shared" si="1584"/>
        <v>0</v>
      </c>
      <c r="BD3684" s="48">
        <f t="shared" si="1579"/>
        <v>0</v>
      </c>
      <c r="BE3684" s="19">
        <v>7</v>
      </c>
      <c r="BF3684" s="229">
        <f t="shared" si="1585"/>
        <v>0</v>
      </c>
      <c r="BG3684" s="210">
        <f t="shared" si="1581"/>
        <v>0</v>
      </c>
      <c r="BH3684" s="210">
        <f t="shared" si="1565"/>
        <v>7</v>
      </c>
      <c r="BI3684" s="213">
        <f t="shared" si="1586"/>
        <v>0</v>
      </c>
      <c r="BJ3684" s="141"/>
      <c r="BK3684" s="201"/>
      <c r="BL3684" s="4"/>
      <c r="BM3684" s="4"/>
    </row>
    <row r="3685" spans="1:65" s="38" customFormat="1" ht="21.95" customHeight="1">
      <c r="A3685" s="365" t="s">
        <v>2799</v>
      </c>
      <c r="B3685" s="365"/>
      <c r="C3685" s="365"/>
      <c r="D3685" s="39">
        <f t="shared" ref="D3685:BE3685" si="1587">SUM(D3686:D3711)</f>
        <v>0</v>
      </c>
      <c r="E3685" s="39">
        <f t="shared" si="1587"/>
        <v>0</v>
      </c>
      <c r="F3685" s="39">
        <f t="shared" si="1587"/>
        <v>0</v>
      </c>
      <c r="G3685" s="39">
        <f t="shared" si="1587"/>
        <v>0</v>
      </c>
      <c r="H3685" s="39">
        <f t="shared" si="1587"/>
        <v>0</v>
      </c>
      <c r="I3685" s="39">
        <f t="shared" si="1587"/>
        <v>48</v>
      </c>
      <c r="J3685" s="39">
        <f t="shared" si="1587"/>
        <v>0</v>
      </c>
      <c r="K3685" s="39">
        <f t="shared" si="1587"/>
        <v>0</v>
      </c>
      <c r="L3685" s="39">
        <f t="shared" si="1587"/>
        <v>0</v>
      </c>
      <c r="M3685" s="39">
        <f t="shared" si="1587"/>
        <v>0</v>
      </c>
      <c r="N3685" s="39">
        <f t="shared" si="1587"/>
        <v>0</v>
      </c>
      <c r="O3685" s="39">
        <f t="shared" si="1587"/>
        <v>76</v>
      </c>
      <c r="P3685" s="39">
        <f t="shared" si="1587"/>
        <v>0</v>
      </c>
      <c r="Q3685" s="39">
        <f t="shared" si="1587"/>
        <v>0</v>
      </c>
      <c r="R3685" s="39">
        <f t="shared" si="1587"/>
        <v>0</v>
      </c>
      <c r="S3685" s="39">
        <f t="shared" si="1587"/>
        <v>0</v>
      </c>
      <c r="T3685" s="39">
        <f t="shared" si="1587"/>
        <v>0</v>
      </c>
      <c r="U3685" s="39">
        <f t="shared" si="1587"/>
        <v>5</v>
      </c>
      <c r="V3685" s="39">
        <f t="shared" si="1587"/>
        <v>0</v>
      </c>
      <c r="W3685" s="39">
        <f t="shared" si="1587"/>
        <v>0</v>
      </c>
      <c r="X3685" s="39">
        <f t="shared" si="1587"/>
        <v>0</v>
      </c>
      <c r="Y3685" s="39">
        <f t="shared" si="1587"/>
        <v>0</v>
      </c>
      <c r="Z3685" s="39">
        <f t="shared" si="1587"/>
        <v>0</v>
      </c>
      <c r="AA3685" s="39">
        <f t="shared" si="1587"/>
        <v>54</v>
      </c>
      <c r="AB3685" s="39">
        <f t="shared" si="1576"/>
        <v>0</v>
      </c>
      <c r="AC3685" s="39">
        <f t="shared" si="1577"/>
        <v>183</v>
      </c>
      <c r="AD3685" s="39">
        <f t="shared" si="1587"/>
        <v>310</v>
      </c>
      <c r="AE3685" s="39">
        <f t="shared" si="1587"/>
        <v>0</v>
      </c>
      <c r="AF3685" s="39">
        <f t="shared" si="1587"/>
        <v>0</v>
      </c>
      <c r="AG3685" s="39">
        <f t="shared" si="1587"/>
        <v>0</v>
      </c>
      <c r="AH3685" s="39">
        <f t="shared" si="1587"/>
        <v>0</v>
      </c>
      <c r="AI3685" s="39">
        <f t="shared" si="1587"/>
        <v>0</v>
      </c>
      <c r="AJ3685" s="39">
        <f t="shared" si="1587"/>
        <v>0</v>
      </c>
      <c r="AK3685" s="39">
        <f t="shared" si="1587"/>
        <v>0</v>
      </c>
      <c r="AL3685" s="39">
        <f t="shared" si="1587"/>
        <v>0</v>
      </c>
      <c r="AM3685" s="39">
        <f t="shared" si="1587"/>
        <v>0</v>
      </c>
      <c r="AN3685" s="39">
        <f t="shared" si="1587"/>
        <v>0</v>
      </c>
      <c r="AO3685" s="39">
        <f t="shared" si="1587"/>
        <v>0</v>
      </c>
      <c r="AP3685" s="39">
        <f t="shared" si="1587"/>
        <v>0</v>
      </c>
      <c r="AQ3685" s="39">
        <f t="shared" si="1587"/>
        <v>0</v>
      </c>
      <c r="AR3685" s="39">
        <f t="shared" si="1587"/>
        <v>0</v>
      </c>
      <c r="AS3685" s="39">
        <f t="shared" si="1587"/>
        <v>0</v>
      </c>
      <c r="AT3685" s="39">
        <f t="shared" si="1587"/>
        <v>0</v>
      </c>
      <c r="AU3685" s="39">
        <f t="shared" si="1587"/>
        <v>0</v>
      </c>
      <c r="AV3685" s="39">
        <f t="shared" si="1587"/>
        <v>0</v>
      </c>
      <c r="AW3685" s="39">
        <f t="shared" si="1587"/>
        <v>0</v>
      </c>
      <c r="AX3685" s="39">
        <f t="shared" si="1587"/>
        <v>0</v>
      </c>
      <c r="AY3685" s="39">
        <f t="shared" si="1587"/>
        <v>0</v>
      </c>
      <c r="AZ3685" s="39">
        <f t="shared" si="1587"/>
        <v>0</v>
      </c>
      <c r="BA3685" s="39">
        <f t="shared" si="1587"/>
        <v>0</v>
      </c>
      <c r="BB3685" s="39">
        <f t="shared" si="1587"/>
        <v>0</v>
      </c>
      <c r="BC3685" s="39">
        <f t="shared" si="1578"/>
        <v>0</v>
      </c>
      <c r="BD3685" s="101">
        <f t="shared" si="1579"/>
        <v>0</v>
      </c>
      <c r="BE3685" s="39">
        <f t="shared" si="1587"/>
        <v>321</v>
      </c>
      <c r="BF3685" s="39">
        <f t="shared" si="1580"/>
        <v>0</v>
      </c>
      <c r="BG3685" s="101">
        <f t="shared" si="1581"/>
        <v>183</v>
      </c>
      <c r="BH3685" s="101">
        <f t="shared" si="1565"/>
        <v>631</v>
      </c>
      <c r="BI3685" s="280">
        <f t="shared" si="1582"/>
        <v>29.001584786053879</v>
      </c>
      <c r="BJ3685" s="142">
        <v>631</v>
      </c>
      <c r="BK3685" s="203">
        <f>BH3685-BJ3685</f>
        <v>0</v>
      </c>
      <c r="BL3685" s="4"/>
      <c r="BM3685" s="4"/>
    </row>
    <row r="3686" spans="1:65" s="38" customFormat="1" ht="15.95" customHeight="1">
      <c r="A3686" s="116">
        <v>1</v>
      </c>
      <c r="B3686" s="118" t="s">
        <v>1490</v>
      </c>
      <c r="C3686" s="120" t="s">
        <v>1491</v>
      </c>
      <c r="D3686" s="42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O3686" s="42"/>
      <c r="P3686" s="42"/>
      <c r="Q3686" s="42"/>
      <c r="R3686" s="42"/>
      <c r="S3686" s="42"/>
      <c r="T3686" s="42"/>
      <c r="U3686" s="42"/>
      <c r="V3686" s="42"/>
      <c r="W3686" s="42"/>
      <c r="X3686" s="42"/>
      <c r="Y3686" s="42"/>
      <c r="Z3686" s="42"/>
      <c r="AA3686" s="42"/>
      <c r="AB3686" s="229">
        <f t="shared" ref="AB3686:AB3711" si="1588">D3686+F3686+H3686+J3686+L3686+N3686+P3686+R3686+T3686+V3686+X3686+Z3686</f>
        <v>0</v>
      </c>
      <c r="AC3686" s="228">
        <f t="shared" si="1577"/>
        <v>0</v>
      </c>
      <c r="AD3686" s="19">
        <v>30</v>
      </c>
      <c r="AE3686" s="43"/>
      <c r="AF3686" s="43"/>
      <c r="AG3686" s="43"/>
      <c r="AH3686" s="43"/>
      <c r="AI3686" s="43"/>
      <c r="AJ3686" s="43"/>
      <c r="AK3686" s="43"/>
      <c r="AL3686" s="43"/>
      <c r="AM3686" s="43"/>
      <c r="AN3686" s="43"/>
      <c r="AO3686" s="43"/>
      <c r="AP3686" s="43"/>
      <c r="AQ3686" s="43"/>
      <c r="AR3686" s="43"/>
      <c r="AS3686" s="43"/>
      <c r="AT3686" s="43"/>
      <c r="AU3686" s="43"/>
      <c r="AV3686" s="43"/>
      <c r="AW3686" s="43"/>
      <c r="AX3686" s="43"/>
      <c r="AY3686" s="43"/>
      <c r="AZ3686" s="43"/>
      <c r="BA3686" s="43"/>
      <c r="BB3686" s="43"/>
      <c r="BC3686" s="229">
        <f t="shared" ref="BC3686:BC3711" si="1589">AE3686+AG3686+AI3686+AK3686+AM3686+AO3686+AQ3686+AS3686+AU3686+AW3686+AY3686+BA3686</f>
        <v>0</v>
      </c>
      <c r="BD3686" s="48">
        <f t="shared" si="1579"/>
        <v>0</v>
      </c>
      <c r="BE3686" s="19">
        <v>0</v>
      </c>
      <c r="BF3686" s="229">
        <f t="shared" ref="BF3686:BH3689" si="1590">AB3686+BC3686</f>
        <v>0</v>
      </c>
      <c r="BG3686" s="210">
        <f t="shared" si="1590"/>
        <v>0</v>
      </c>
      <c r="BH3686" s="210">
        <f t="shared" si="1590"/>
        <v>30</v>
      </c>
      <c r="BI3686" s="213">
        <f t="shared" ref="BI3686:BI3711" si="1591">BG3686/BH3686*100</f>
        <v>0</v>
      </c>
      <c r="BJ3686" s="270" t="s">
        <v>2857</v>
      </c>
      <c r="BK3686" s="201"/>
      <c r="BL3686" s="4"/>
      <c r="BM3686" s="4"/>
    </row>
    <row r="3687" spans="1:65" s="38" customFormat="1" ht="15.95" customHeight="1">
      <c r="A3687" s="148">
        <v>2</v>
      </c>
      <c r="B3687" s="118" t="s">
        <v>1881</v>
      </c>
      <c r="C3687" s="120" t="s">
        <v>1882</v>
      </c>
      <c r="D3687" s="42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O3687" s="42"/>
      <c r="P3687" s="42"/>
      <c r="Q3687" s="42"/>
      <c r="R3687" s="42"/>
      <c r="S3687" s="42"/>
      <c r="T3687" s="42"/>
      <c r="U3687" s="42"/>
      <c r="V3687" s="42"/>
      <c r="W3687" s="42"/>
      <c r="X3687" s="42"/>
      <c r="Y3687" s="42"/>
      <c r="Z3687" s="42"/>
      <c r="AA3687" s="42"/>
      <c r="AB3687" s="229">
        <f t="shared" si="1588"/>
        <v>0</v>
      </c>
      <c r="AC3687" s="228">
        <f t="shared" si="1577"/>
        <v>0</v>
      </c>
      <c r="AD3687" s="19">
        <v>35</v>
      </c>
      <c r="AE3687" s="43"/>
      <c r="AF3687" s="43"/>
      <c r="AG3687" s="43"/>
      <c r="AH3687" s="43"/>
      <c r="AI3687" s="43"/>
      <c r="AJ3687" s="43"/>
      <c r="AK3687" s="43"/>
      <c r="AL3687" s="43"/>
      <c r="AM3687" s="43"/>
      <c r="AN3687" s="43"/>
      <c r="AO3687" s="43"/>
      <c r="AP3687" s="43"/>
      <c r="AQ3687" s="43"/>
      <c r="AR3687" s="43"/>
      <c r="AS3687" s="43"/>
      <c r="AT3687" s="43"/>
      <c r="AU3687" s="43"/>
      <c r="AV3687" s="43"/>
      <c r="AW3687" s="43"/>
      <c r="AX3687" s="43"/>
      <c r="AY3687" s="43"/>
      <c r="AZ3687" s="43"/>
      <c r="BA3687" s="43"/>
      <c r="BB3687" s="43"/>
      <c r="BC3687" s="229">
        <f t="shared" si="1589"/>
        <v>0</v>
      </c>
      <c r="BD3687" s="48">
        <f t="shared" si="1579"/>
        <v>0</v>
      </c>
      <c r="BE3687" s="19">
        <v>0</v>
      </c>
      <c r="BF3687" s="229">
        <f t="shared" si="1590"/>
        <v>0</v>
      </c>
      <c r="BG3687" s="210">
        <f t="shared" si="1590"/>
        <v>0</v>
      </c>
      <c r="BH3687" s="210">
        <f t="shared" si="1590"/>
        <v>35</v>
      </c>
      <c r="BI3687" s="213">
        <f t="shared" si="1591"/>
        <v>0</v>
      </c>
      <c r="BJ3687" s="270" t="s">
        <v>2857</v>
      </c>
      <c r="BK3687" s="201"/>
      <c r="BL3687" s="4"/>
      <c r="BM3687" s="4"/>
    </row>
    <row r="3688" spans="1:65" s="38" customFormat="1" ht="15.95" customHeight="1">
      <c r="A3688" s="148">
        <v>3</v>
      </c>
      <c r="B3688" s="118" t="s">
        <v>1256</v>
      </c>
      <c r="C3688" s="120" t="s">
        <v>1257</v>
      </c>
      <c r="D3688" s="42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O3688" s="42"/>
      <c r="P3688" s="42"/>
      <c r="Q3688" s="42"/>
      <c r="R3688" s="42"/>
      <c r="S3688" s="42"/>
      <c r="T3688" s="42"/>
      <c r="U3688" s="42"/>
      <c r="V3688" s="42"/>
      <c r="W3688" s="42"/>
      <c r="X3688" s="42"/>
      <c r="Y3688" s="42"/>
      <c r="Z3688" s="42"/>
      <c r="AA3688" s="42"/>
      <c r="AB3688" s="229">
        <f t="shared" si="1588"/>
        <v>0</v>
      </c>
      <c r="AC3688" s="228">
        <f t="shared" si="1577"/>
        <v>0</v>
      </c>
      <c r="AD3688" s="19">
        <v>20</v>
      </c>
      <c r="AE3688" s="43"/>
      <c r="AF3688" s="43"/>
      <c r="AG3688" s="43"/>
      <c r="AH3688" s="43"/>
      <c r="AI3688" s="43"/>
      <c r="AJ3688" s="43"/>
      <c r="AK3688" s="43"/>
      <c r="AL3688" s="43"/>
      <c r="AM3688" s="43"/>
      <c r="AN3688" s="43"/>
      <c r="AO3688" s="43"/>
      <c r="AP3688" s="43"/>
      <c r="AQ3688" s="43"/>
      <c r="AR3688" s="43"/>
      <c r="AS3688" s="43"/>
      <c r="AT3688" s="43"/>
      <c r="AU3688" s="43"/>
      <c r="AV3688" s="43"/>
      <c r="AW3688" s="43"/>
      <c r="AX3688" s="43"/>
      <c r="AY3688" s="43"/>
      <c r="AZ3688" s="43"/>
      <c r="BA3688" s="43"/>
      <c r="BB3688" s="43"/>
      <c r="BC3688" s="229">
        <f t="shared" si="1589"/>
        <v>0</v>
      </c>
      <c r="BD3688" s="48">
        <f t="shared" si="1579"/>
        <v>0</v>
      </c>
      <c r="BE3688" s="19">
        <v>0</v>
      </c>
      <c r="BF3688" s="229">
        <f t="shared" si="1590"/>
        <v>0</v>
      </c>
      <c r="BG3688" s="210">
        <f t="shared" si="1590"/>
        <v>0</v>
      </c>
      <c r="BH3688" s="210">
        <f t="shared" si="1590"/>
        <v>20</v>
      </c>
      <c r="BI3688" s="213">
        <f t="shared" si="1591"/>
        <v>0</v>
      </c>
      <c r="BJ3688" s="270" t="s">
        <v>2857</v>
      </c>
      <c r="BK3688" s="201"/>
      <c r="BL3688" s="4"/>
      <c r="BM3688" s="4"/>
    </row>
    <row r="3689" spans="1:65" s="38" customFormat="1" ht="15.95" customHeight="1">
      <c r="A3689" s="116">
        <v>4</v>
      </c>
      <c r="B3689" s="118" t="s">
        <v>1224</v>
      </c>
      <c r="C3689" s="120" t="s">
        <v>1225</v>
      </c>
      <c r="D3689" s="42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O3689" s="42"/>
      <c r="P3689" s="42"/>
      <c r="Q3689" s="42"/>
      <c r="R3689" s="42"/>
      <c r="S3689" s="42"/>
      <c r="T3689" s="42"/>
      <c r="U3689" s="42"/>
      <c r="V3689" s="42"/>
      <c r="W3689" s="42"/>
      <c r="X3689" s="42"/>
      <c r="Y3689" s="42"/>
      <c r="Z3689" s="42"/>
      <c r="AA3689" s="42"/>
      <c r="AB3689" s="229">
        <f t="shared" si="1588"/>
        <v>0</v>
      </c>
      <c r="AC3689" s="228">
        <f t="shared" si="1577"/>
        <v>0</v>
      </c>
      <c r="AD3689" s="19">
        <v>30</v>
      </c>
      <c r="AE3689" s="43"/>
      <c r="AF3689" s="43"/>
      <c r="AG3689" s="43"/>
      <c r="AH3689" s="43"/>
      <c r="AI3689" s="43"/>
      <c r="AJ3689" s="43"/>
      <c r="AK3689" s="43"/>
      <c r="AL3689" s="43"/>
      <c r="AM3689" s="43"/>
      <c r="AN3689" s="43"/>
      <c r="AO3689" s="43"/>
      <c r="AP3689" s="43"/>
      <c r="AQ3689" s="43"/>
      <c r="AR3689" s="43"/>
      <c r="AS3689" s="43"/>
      <c r="AT3689" s="43"/>
      <c r="AU3689" s="43"/>
      <c r="AV3689" s="43"/>
      <c r="AW3689" s="43"/>
      <c r="AX3689" s="43"/>
      <c r="AY3689" s="43"/>
      <c r="AZ3689" s="43"/>
      <c r="BA3689" s="43"/>
      <c r="BB3689" s="43"/>
      <c r="BC3689" s="229">
        <f t="shared" si="1589"/>
        <v>0</v>
      </c>
      <c r="BD3689" s="48">
        <f t="shared" si="1579"/>
        <v>0</v>
      </c>
      <c r="BE3689" s="19">
        <v>0</v>
      </c>
      <c r="BF3689" s="229">
        <f t="shared" si="1590"/>
        <v>0</v>
      </c>
      <c r="BG3689" s="210">
        <f t="shared" si="1590"/>
        <v>0</v>
      </c>
      <c r="BH3689" s="210">
        <f t="shared" si="1590"/>
        <v>30</v>
      </c>
      <c r="BI3689" s="213">
        <f t="shared" si="1591"/>
        <v>0</v>
      </c>
      <c r="BJ3689" s="270" t="s">
        <v>2857</v>
      </c>
      <c r="BK3689" s="201"/>
      <c r="BL3689" s="4"/>
      <c r="BM3689" s="4"/>
    </row>
    <row r="3690" spans="1:65" s="38" customFormat="1" ht="15.95" customHeight="1">
      <c r="A3690" s="148">
        <v>5</v>
      </c>
      <c r="B3690" s="118" t="s">
        <v>1226</v>
      </c>
      <c r="C3690" s="120" t="s">
        <v>1227</v>
      </c>
      <c r="D3690" s="42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O3690" s="42">
        <v>1</v>
      </c>
      <c r="P3690" s="42"/>
      <c r="Q3690" s="42"/>
      <c r="R3690" s="42"/>
      <c r="S3690" s="42"/>
      <c r="T3690" s="42"/>
      <c r="U3690" s="42"/>
      <c r="V3690" s="42"/>
      <c r="W3690" s="42"/>
      <c r="X3690" s="42"/>
      <c r="Y3690" s="42"/>
      <c r="Z3690" s="42"/>
      <c r="AA3690" s="42">
        <v>1</v>
      </c>
      <c r="AB3690" s="229">
        <f t="shared" si="1588"/>
        <v>0</v>
      </c>
      <c r="AC3690" s="228">
        <f t="shared" si="1577"/>
        <v>2</v>
      </c>
      <c r="AD3690" s="19">
        <v>0</v>
      </c>
      <c r="AE3690" s="43"/>
      <c r="AF3690" s="43"/>
      <c r="AG3690" s="43"/>
      <c r="AH3690" s="43"/>
      <c r="AI3690" s="43"/>
      <c r="AJ3690" s="43"/>
      <c r="AK3690" s="43"/>
      <c r="AL3690" s="43"/>
      <c r="AM3690" s="43"/>
      <c r="AN3690" s="43"/>
      <c r="AO3690" s="43"/>
      <c r="AP3690" s="43"/>
      <c r="AQ3690" s="43"/>
      <c r="AR3690" s="43"/>
      <c r="AS3690" s="43"/>
      <c r="AT3690" s="43"/>
      <c r="AU3690" s="43"/>
      <c r="AV3690" s="43"/>
      <c r="AW3690" s="43"/>
      <c r="AX3690" s="43"/>
      <c r="AY3690" s="43"/>
      <c r="AZ3690" s="43"/>
      <c r="BA3690" s="43"/>
      <c r="BB3690" s="43"/>
      <c r="BC3690" s="229">
        <f t="shared" si="1589"/>
        <v>0</v>
      </c>
      <c r="BD3690" s="48">
        <f t="shared" si="1579"/>
        <v>0</v>
      </c>
      <c r="BE3690" s="19">
        <v>0</v>
      </c>
      <c r="BF3690" s="229"/>
      <c r="BG3690" s="210">
        <f t="shared" ref="BG3690:BG3711" si="1592">AC3690+BD3690</f>
        <v>2</v>
      </c>
      <c r="BH3690" s="210">
        <f t="shared" ref="BH3690:BH3711" si="1593">AD3690+BE3690</f>
        <v>0</v>
      </c>
      <c r="BI3690" s="213" t="e">
        <f t="shared" si="1591"/>
        <v>#DIV/0!</v>
      </c>
      <c r="BJ3690" s="270"/>
      <c r="BK3690" s="201"/>
      <c r="BL3690" s="4"/>
      <c r="BM3690" s="4"/>
    </row>
    <row r="3691" spans="1:65" s="38" customFormat="1" ht="15.95" customHeight="1">
      <c r="A3691" s="148">
        <v>6</v>
      </c>
      <c r="B3691" s="118" t="s">
        <v>1258</v>
      </c>
      <c r="C3691" s="120" t="s">
        <v>2459</v>
      </c>
      <c r="D3691" s="42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O3691" s="42"/>
      <c r="P3691" s="42"/>
      <c r="Q3691" s="42"/>
      <c r="R3691" s="42"/>
      <c r="S3691" s="42"/>
      <c r="T3691" s="42"/>
      <c r="U3691" s="42"/>
      <c r="V3691" s="42"/>
      <c r="W3691" s="42"/>
      <c r="X3691" s="42"/>
      <c r="Y3691" s="42"/>
      <c r="Z3691" s="42"/>
      <c r="AA3691" s="42"/>
      <c r="AB3691" s="229">
        <f t="shared" si="1588"/>
        <v>0</v>
      </c>
      <c r="AC3691" s="228">
        <f t="shared" si="1577"/>
        <v>0</v>
      </c>
      <c r="AD3691" s="19">
        <v>5</v>
      </c>
      <c r="AE3691" s="43"/>
      <c r="AF3691" s="43"/>
      <c r="AG3691" s="43"/>
      <c r="AH3691" s="43"/>
      <c r="AI3691" s="43"/>
      <c r="AJ3691" s="43"/>
      <c r="AK3691" s="43"/>
      <c r="AL3691" s="43"/>
      <c r="AM3691" s="43"/>
      <c r="AN3691" s="43"/>
      <c r="AO3691" s="43"/>
      <c r="AP3691" s="43"/>
      <c r="AQ3691" s="43"/>
      <c r="AR3691" s="43"/>
      <c r="AS3691" s="43"/>
      <c r="AT3691" s="43"/>
      <c r="AU3691" s="43"/>
      <c r="AV3691" s="43"/>
      <c r="AW3691" s="43"/>
      <c r="AX3691" s="43"/>
      <c r="AY3691" s="43"/>
      <c r="AZ3691" s="43"/>
      <c r="BA3691" s="43"/>
      <c r="BB3691" s="43"/>
      <c r="BC3691" s="229">
        <f t="shared" si="1589"/>
        <v>0</v>
      </c>
      <c r="BD3691" s="48">
        <f t="shared" si="1579"/>
        <v>0</v>
      </c>
      <c r="BE3691" s="19">
        <v>0</v>
      </c>
      <c r="BF3691" s="229">
        <f t="shared" ref="BF3691:BF3711" si="1594">AB3691+BC3691</f>
        <v>0</v>
      </c>
      <c r="BG3691" s="210">
        <f t="shared" si="1592"/>
        <v>0</v>
      </c>
      <c r="BH3691" s="210">
        <f t="shared" si="1593"/>
        <v>5</v>
      </c>
      <c r="BI3691" s="213">
        <f t="shared" si="1591"/>
        <v>0</v>
      </c>
      <c r="BJ3691" s="270" t="s">
        <v>2857</v>
      </c>
      <c r="BK3691" s="201"/>
      <c r="BL3691" s="4"/>
      <c r="BM3691" s="4"/>
    </row>
    <row r="3692" spans="1:65" s="38" customFormat="1" ht="15.95" customHeight="1">
      <c r="A3692" s="116">
        <v>7</v>
      </c>
      <c r="B3692" s="118" t="s">
        <v>1272</v>
      </c>
      <c r="C3692" s="120" t="s">
        <v>1502</v>
      </c>
      <c r="D3692" s="42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O3692" s="42"/>
      <c r="P3692" s="42"/>
      <c r="Q3692" s="42"/>
      <c r="R3692" s="42"/>
      <c r="S3692" s="42"/>
      <c r="T3692" s="42"/>
      <c r="U3692" s="42"/>
      <c r="V3692" s="42"/>
      <c r="W3692" s="42"/>
      <c r="X3692" s="42"/>
      <c r="Y3692" s="42"/>
      <c r="Z3692" s="42"/>
      <c r="AA3692" s="42"/>
      <c r="AB3692" s="229">
        <f t="shared" si="1588"/>
        <v>0</v>
      </c>
      <c r="AC3692" s="228">
        <f t="shared" si="1577"/>
        <v>0</v>
      </c>
      <c r="AD3692" s="19">
        <v>2</v>
      </c>
      <c r="AE3692" s="43"/>
      <c r="AF3692" s="43"/>
      <c r="AG3692" s="43"/>
      <c r="AH3692" s="43"/>
      <c r="AI3692" s="43"/>
      <c r="AJ3692" s="43"/>
      <c r="AK3692" s="43"/>
      <c r="AL3692" s="43"/>
      <c r="AM3692" s="43"/>
      <c r="AN3692" s="43"/>
      <c r="AO3692" s="43"/>
      <c r="AP3692" s="43"/>
      <c r="AQ3692" s="43"/>
      <c r="AR3692" s="43"/>
      <c r="AS3692" s="43"/>
      <c r="AT3692" s="43"/>
      <c r="AU3692" s="43"/>
      <c r="AV3692" s="43"/>
      <c r="AW3692" s="43"/>
      <c r="AX3692" s="43"/>
      <c r="AY3692" s="43"/>
      <c r="AZ3692" s="43"/>
      <c r="BA3692" s="43"/>
      <c r="BB3692" s="43"/>
      <c r="BC3692" s="229">
        <f t="shared" si="1589"/>
        <v>0</v>
      </c>
      <c r="BD3692" s="48">
        <f t="shared" si="1579"/>
        <v>0</v>
      </c>
      <c r="BE3692" s="19">
        <v>0</v>
      </c>
      <c r="BF3692" s="229">
        <f t="shared" si="1594"/>
        <v>0</v>
      </c>
      <c r="BG3692" s="210">
        <f t="shared" si="1592"/>
        <v>0</v>
      </c>
      <c r="BH3692" s="210">
        <f t="shared" si="1593"/>
        <v>2</v>
      </c>
      <c r="BI3692" s="213">
        <f t="shared" si="1591"/>
        <v>0</v>
      </c>
      <c r="BJ3692" s="270" t="s">
        <v>2857</v>
      </c>
      <c r="BK3692" s="201"/>
      <c r="BL3692" s="4"/>
      <c r="BM3692" s="4"/>
    </row>
    <row r="3693" spans="1:65" s="38" customFormat="1" ht="15.95" customHeight="1">
      <c r="A3693" s="148">
        <v>8</v>
      </c>
      <c r="B3693" s="118" t="s">
        <v>1228</v>
      </c>
      <c r="C3693" s="120" t="s">
        <v>1229</v>
      </c>
      <c r="D3693" s="42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O3693" s="42"/>
      <c r="P3693" s="42"/>
      <c r="Q3693" s="42"/>
      <c r="R3693" s="42"/>
      <c r="S3693" s="42"/>
      <c r="T3693" s="42"/>
      <c r="U3693" s="42"/>
      <c r="V3693" s="42"/>
      <c r="W3693" s="42"/>
      <c r="X3693" s="42"/>
      <c r="Y3693" s="42"/>
      <c r="Z3693" s="42"/>
      <c r="AA3693" s="42"/>
      <c r="AB3693" s="229">
        <f t="shared" si="1588"/>
        <v>0</v>
      </c>
      <c r="AC3693" s="228">
        <f t="shared" si="1577"/>
        <v>0</v>
      </c>
      <c r="AD3693" s="19">
        <v>40</v>
      </c>
      <c r="AE3693" s="43"/>
      <c r="AF3693" s="43"/>
      <c r="AG3693" s="43"/>
      <c r="AH3693" s="43"/>
      <c r="AI3693" s="43"/>
      <c r="AJ3693" s="43"/>
      <c r="AK3693" s="43"/>
      <c r="AL3693" s="43"/>
      <c r="AM3693" s="110"/>
      <c r="AN3693" s="43"/>
      <c r="AO3693" s="43"/>
      <c r="AP3693" s="43"/>
      <c r="AQ3693" s="110"/>
      <c r="AR3693" s="43"/>
      <c r="AS3693" s="43"/>
      <c r="AT3693" s="43"/>
      <c r="AU3693" s="43"/>
      <c r="AV3693" s="43"/>
      <c r="AW3693" s="43"/>
      <c r="AX3693" s="43"/>
      <c r="AY3693" s="43"/>
      <c r="AZ3693" s="43"/>
      <c r="BA3693" s="43"/>
      <c r="BB3693" s="43"/>
      <c r="BC3693" s="229">
        <f t="shared" si="1589"/>
        <v>0</v>
      </c>
      <c r="BD3693" s="48">
        <f t="shared" si="1579"/>
        <v>0</v>
      </c>
      <c r="BE3693" s="19">
        <v>0</v>
      </c>
      <c r="BF3693" s="229">
        <f t="shared" si="1594"/>
        <v>0</v>
      </c>
      <c r="BG3693" s="210">
        <f t="shared" si="1592"/>
        <v>0</v>
      </c>
      <c r="BH3693" s="210">
        <f t="shared" si="1593"/>
        <v>40</v>
      </c>
      <c r="BI3693" s="213">
        <f t="shared" si="1591"/>
        <v>0</v>
      </c>
      <c r="BJ3693" s="270" t="s">
        <v>2857</v>
      </c>
      <c r="BK3693" s="201"/>
      <c r="BL3693" s="4"/>
      <c r="BM3693" s="4"/>
    </row>
    <row r="3694" spans="1:65" s="38" customFormat="1" ht="15.95" customHeight="1">
      <c r="A3694" s="148">
        <v>9</v>
      </c>
      <c r="B3694" s="118" t="s">
        <v>1230</v>
      </c>
      <c r="C3694" s="120" t="s">
        <v>1231</v>
      </c>
      <c r="D3694" s="42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O3694" s="42"/>
      <c r="P3694" s="42"/>
      <c r="Q3694" s="42"/>
      <c r="R3694" s="42"/>
      <c r="S3694" s="42"/>
      <c r="T3694" s="42"/>
      <c r="U3694" s="42"/>
      <c r="V3694" s="42"/>
      <c r="W3694" s="42"/>
      <c r="X3694" s="42"/>
      <c r="Y3694" s="42"/>
      <c r="Z3694" s="42"/>
      <c r="AA3694" s="42"/>
      <c r="AB3694" s="229">
        <f t="shared" si="1588"/>
        <v>0</v>
      </c>
      <c r="AC3694" s="228">
        <f t="shared" si="1577"/>
        <v>0</v>
      </c>
      <c r="AD3694" s="19">
        <v>25</v>
      </c>
      <c r="AE3694" s="43"/>
      <c r="AF3694" s="43"/>
      <c r="AG3694" s="43"/>
      <c r="AH3694" s="43"/>
      <c r="AI3694" s="43"/>
      <c r="AJ3694" s="43"/>
      <c r="AK3694" s="43"/>
      <c r="AL3694" s="43"/>
      <c r="AM3694" s="43"/>
      <c r="AN3694" s="43"/>
      <c r="AO3694" s="43"/>
      <c r="AP3694" s="43"/>
      <c r="AQ3694" s="43"/>
      <c r="AR3694" s="43"/>
      <c r="AS3694" s="43"/>
      <c r="AT3694" s="43"/>
      <c r="AU3694" s="43"/>
      <c r="AV3694" s="43"/>
      <c r="AW3694" s="43"/>
      <c r="AX3694" s="43"/>
      <c r="AY3694" s="43"/>
      <c r="AZ3694" s="43"/>
      <c r="BA3694" s="43"/>
      <c r="BB3694" s="43"/>
      <c r="BC3694" s="229">
        <f t="shared" si="1589"/>
        <v>0</v>
      </c>
      <c r="BD3694" s="48">
        <f t="shared" si="1579"/>
        <v>0</v>
      </c>
      <c r="BE3694" s="19">
        <v>0</v>
      </c>
      <c r="BF3694" s="229">
        <f t="shared" si="1594"/>
        <v>0</v>
      </c>
      <c r="BG3694" s="210">
        <f t="shared" si="1592"/>
        <v>0</v>
      </c>
      <c r="BH3694" s="210">
        <f t="shared" si="1593"/>
        <v>25</v>
      </c>
      <c r="BI3694" s="213">
        <f t="shared" si="1591"/>
        <v>0</v>
      </c>
      <c r="BJ3694" s="270" t="s">
        <v>2857</v>
      </c>
      <c r="BK3694" s="201"/>
      <c r="BL3694" s="4"/>
      <c r="BM3694" s="4"/>
    </row>
    <row r="3695" spans="1:65" s="38" customFormat="1" ht="15.95" customHeight="1">
      <c r="A3695" s="116">
        <v>10</v>
      </c>
      <c r="B3695" s="118" t="s">
        <v>1644</v>
      </c>
      <c r="C3695" s="120" t="s">
        <v>1645</v>
      </c>
      <c r="D3695" s="42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O3695" s="42"/>
      <c r="P3695" s="42"/>
      <c r="Q3695" s="42"/>
      <c r="R3695" s="42"/>
      <c r="S3695" s="42"/>
      <c r="T3695" s="42"/>
      <c r="U3695" s="42"/>
      <c r="V3695" s="42"/>
      <c r="W3695" s="42"/>
      <c r="X3695" s="42"/>
      <c r="Y3695" s="42"/>
      <c r="Z3695" s="42"/>
      <c r="AA3695" s="42"/>
      <c r="AB3695" s="229">
        <f t="shared" si="1588"/>
        <v>0</v>
      </c>
      <c r="AC3695" s="228">
        <f t="shared" si="1577"/>
        <v>0</v>
      </c>
      <c r="AD3695" s="19">
        <v>2</v>
      </c>
      <c r="AE3695" s="43"/>
      <c r="AF3695" s="43"/>
      <c r="AG3695" s="43"/>
      <c r="AH3695" s="43"/>
      <c r="AI3695" s="43"/>
      <c r="AJ3695" s="43"/>
      <c r="AK3695" s="43"/>
      <c r="AL3695" s="43"/>
      <c r="AM3695" s="43"/>
      <c r="AN3695" s="43"/>
      <c r="AO3695" s="43"/>
      <c r="AP3695" s="43"/>
      <c r="AQ3695" s="43"/>
      <c r="AR3695" s="43"/>
      <c r="AS3695" s="43"/>
      <c r="AT3695" s="43"/>
      <c r="AU3695" s="43"/>
      <c r="AV3695" s="43"/>
      <c r="AW3695" s="43"/>
      <c r="AX3695" s="43"/>
      <c r="AY3695" s="43"/>
      <c r="AZ3695" s="43"/>
      <c r="BA3695" s="43"/>
      <c r="BB3695" s="43"/>
      <c r="BC3695" s="229">
        <f t="shared" si="1589"/>
        <v>0</v>
      </c>
      <c r="BD3695" s="48">
        <f t="shared" si="1579"/>
        <v>0</v>
      </c>
      <c r="BE3695" s="19">
        <v>0</v>
      </c>
      <c r="BF3695" s="229">
        <f t="shared" si="1594"/>
        <v>0</v>
      </c>
      <c r="BG3695" s="210">
        <f t="shared" si="1592"/>
        <v>0</v>
      </c>
      <c r="BH3695" s="210">
        <f t="shared" si="1593"/>
        <v>2</v>
      </c>
      <c r="BI3695" s="213">
        <f t="shared" si="1591"/>
        <v>0</v>
      </c>
      <c r="BJ3695" s="270" t="s">
        <v>2857</v>
      </c>
      <c r="BK3695" s="201"/>
      <c r="BL3695" s="4"/>
      <c r="BM3695" s="4"/>
    </row>
    <row r="3696" spans="1:65" s="38" customFormat="1" ht="15.95" customHeight="1">
      <c r="A3696" s="148">
        <v>11</v>
      </c>
      <c r="B3696" s="118" t="s">
        <v>1731</v>
      </c>
      <c r="C3696" s="120" t="s">
        <v>1732</v>
      </c>
      <c r="D3696" s="42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O3696" s="42"/>
      <c r="P3696" s="42"/>
      <c r="Q3696" s="42"/>
      <c r="R3696" s="42"/>
      <c r="S3696" s="42"/>
      <c r="T3696" s="42"/>
      <c r="U3696" s="42"/>
      <c r="V3696" s="42"/>
      <c r="W3696" s="42"/>
      <c r="X3696" s="42"/>
      <c r="Y3696" s="42"/>
      <c r="Z3696" s="42"/>
      <c r="AA3696" s="42"/>
      <c r="AB3696" s="229">
        <f t="shared" si="1588"/>
        <v>0</v>
      </c>
      <c r="AC3696" s="228">
        <f t="shared" si="1577"/>
        <v>0</v>
      </c>
      <c r="AD3696" s="19">
        <v>2</v>
      </c>
      <c r="AE3696" s="43"/>
      <c r="AF3696" s="43"/>
      <c r="AG3696" s="43"/>
      <c r="AH3696" s="43"/>
      <c r="AI3696" s="43"/>
      <c r="AJ3696" s="43"/>
      <c r="AK3696" s="43"/>
      <c r="AL3696" s="43"/>
      <c r="AM3696" s="43"/>
      <c r="AN3696" s="43"/>
      <c r="AO3696" s="43"/>
      <c r="AP3696" s="43"/>
      <c r="AQ3696" s="43"/>
      <c r="AR3696" s="43"/>
      <c r="AS3696" s="43"/>
      <c r="AT3696" s="43"/>
      <c r="AU3696" s="43"/>
      <c r="AV3696" s="43"/>
      <c r="AW3696" s="43"/>
      <c r="AX3696" s="43"/>
      <c r="AY3696" s="43"/>
      <c r="AZ3696" s="43"/>
      <c r="BA3696" s="43"/>
      <c r="BB3696" s="43"/>
      <c r="BC3696" s="229">
        <f t="shared" si="1589"/>
        <v>0</v>
      </c>
      <c r="BD3696" s="48">
        <f t="shared" si="1579"/>
        <v>0</v>
      </c>
      <c r="BE3696" s="19">
        <v>0</v>
      </c>
      <c r="BF3696" s="229">
        <f t="shared" si="1594"/>
        <v>0</v>
      </c>
      <c r="BG3696" s="210">
        <f t="shared" si="1592"/>
        <v>0</v>
      </c>
      <c r="BH3696" s="210">
        <f t="shared" si="1593"/>
        <v>2</v>
      </c>
      <c r="BI3696" s="213">
        <f t="shared" si="1591"/>
        <v>0</v>
      </c>
      <c r="BJ3696" s="270" t="s">
        <v>2857</v>
      </c>
      <c r="BK3696" s="201"/>
      <c r="BL3696" s="4"/>
      <c r="BM3696" s="4"/>
    </row>
    <row r="3697" spans="1:65" s="38" customFormat="1" ht="15.95" customHeight="1">
      <c r="A3697" s="148">
        <v>12</v>
      </c>
      <c r="B3697" s="118" t="s">
        <v>1264</v>
      </c>
      <c r="C3697" s="120" t="s">
        <v>1265</v>
      </c>
      <c r="D3697" s="42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O3697" s="42"/>
      <c r="P3697" s="42"/>
      <c r="Q3697" s="42"/>
      <c r="R3697" s="42"/>
      <c r="S3697" s="42"/>
      <c r="T3697" s="42"/>
      <c r="U3697" s="42"/>
      <c r="V3697" s="42"/>
      <c r="W3697" s="42"/>
      <c r="X3697" s="42"/>
      <c r="Y3697" s="42"/>
      <c r="Z3697" s="42"/>
      <c r="AA3697" s="42"/>
      <c r="AB3697" s="229">
        <f t="shared" si="1588"/>
        <v>0</v>
      </c>
      <c r="AC3697" s="228">
        <f t="shared" si="1577"/>
        <v>0</v>
      </c>
      <c r="AD3697" s="19">
        <v>25</v>
      </c>
      <c r="AE3697" s="43"/>
      <c r="AF3697" s="43"/>
      <c r="AG3697" s="43"/>
      <c r="AH3697" s="43"/>
      <c r="AI3697" s="43"/>
      <c r="AJ3697" s="43"/>
      <c r="AK3697" s="43"/>
      <c r="AL3697" s="43"/>
      <c r="AM3697" s="43"/>
      <c r="AN3697" s="43"/>
      <c r="AO3697" s="43"/>
      <c r="AP3697" s="43"/>
      <c r="AQ3697" s="43"/>
      <c r="AR3697" s="43"/>
      <c r="AS3697" s="43"/>
      <c r="AT3697" s="43"/>
      <c r="AU3697" s="43"/>
      <c r="AV3697" s="43"/>
      <c r="AW3697" s="43"/>
      <c r="AX3697" s="43"/>
      <c r="AY3697" s="43"/>
      <c r="AZ3697" s="43"/>
      <c r="BA3697" s="43"/>
      <c r="BB3697" s="43"/>
      <c r="BC3697" s="229">
        <f t="shared" si="1589"/>
        <v>0</v>
      </c>
      <c r="BD3697" s="48">
        <f t="shared" si="1579"/>
        <v>0</v>
      </c>
      <c r="BE3697" s="19">
        <v>0</v>
      </c>
      <c r="BF3697" s="229">
        <f t="shared" si="1594"/>
        <v>0</v>
      </c>
      <c r="BG3697" s="210">
        <f t="shared" si="1592"/>
        <v>0</v>
      </c>
      <c r="BH3697" s="210">
        <f t="shared" si="1593"/>
        <v>25</v>
      </c>
      <c r="BI3697" s="213">
        <f t="shared" si="1591"/>
        <v>0</v>
      </c>
      <c r="BJ3697" s="270" t="s">
        <v>2857</v>
      </c>
      <c r="BK3697" s="201"/>
      <c r="BL3697" s="4"/>
      <c r="BM3697" s="4"/>
    </row>
    <row r="3698" spans="1:65" s="38" customFormat="1" ht="15.95" customHeight="1">
      <c r="A3698" s="116">
        <v>13</v>
      </c>
      <c r="B3698" s="118" t="s">
        <v>1232</v>
      </c>
      <c r="C3698" s="120" t="s">
        <v>1233</v>
      </c>
      <c r="D3698" s="42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O3698" s="42"/>
      <c r="P3698" s="42"/>
      <c r="Q3698" s="42"/>
      <c r="R3698" s="42"/>
      <c r="S3698" s="42"/>
      <c r="T3698" s="42"/>
      <c r="U3698" s="42"/>
      <c r="V3698" s="42"/>
      <c r="W3698" s="42"/>
      <c r="X3698" s="42"/>
      <c r="Y3698" s="42"/>
      <c r="Z3698" s="42"/>
      <c r="AA3698" s="42"/>
      <c r="AB3698" s="229">
        <f t="shared" si="1588"/>
        <v>0</v>
      </c>
      <c r="AC3698" s="228">
        <f t="shared" si="1577"/>
        <v>0</v>
      </c>
      <c r="AD3698" s="19">
        <v>22</v>
      </c>
      <c r="AE3698" s="43"/>
      <c r="AF3698" s="43"/>
      <c r="AG3698" s="43"/>
      <c r="AH3698" s="43"/>
      <c r="AI3698" s="43"/>
      <c r="AJ3698" s="43"/>
      <c r="AK3698" s="43"/>
      <c r="AL3698" s="43"/>
      <c r="AM3698" s="43"/>
      <c r="AN3698" s="43"/>
      <c r="AO3698" s="43"/>
      <c r="AP3698" s="43"/>
      <c r="AQ3698" s="43"/>
      <c r="AR3698" s="43"/>
      <c r="AS3698" s="43"/>
      <c r="AT3698" s="43"/>
      <c r="AU3698" s="43"/>
      <c r="AV3698" s="43"/>
      <c r="AW3698" s="43"/>
      <c r="AX3698" s="43"/>
      <c r="AY3698" s="43"/>
      <c r="AZ3698" s="43"/>
      <c r="BA3698" s="43"/>
      <c r="BB3698" s="43"/>
      <c r="BC3698" s="229">
        <f t="shared" si="1589"/>
        <v>0</v>
      </c>
      <c r="BD3698" s="48">
        <f t="shared" si="1579"/>
        <v>0</v>
      </c>
      <c r="BE3698" s="19">
        <v>0</v>
      </c>
      <c r="BF3698" s="229">
        <f t="shared" si="1594"/>
        <v>0</v>
      </c>
      <c r="BG3698" s="210">
        <f t="shared" si="1592"/>
        <v>0</v>
      </c>
      <c r="BH3698" s="210">
        <f t="shared" si="1593"/>
        <v>22</v>
      </c>
      <c r="BI3698" s="213">
        <f t="shared" si="1591"/>
        <v>0</v>
      </c>
      <c r="BJ3698" s="270" t="s">
        <v>2857</v>
      </c>
      <c r="BK3698" s="201"/>
      <c r="BL3698" s="4"/>
      <c r="BM3698" s="4"/>
    </row>
    <row r="3699" spans="1:65" s="38" customFormat="1" ht="15.95" customHeight="1">
      <c r="A3699" s="148">
        <v>14</v>
      </c>
      <c r="B3699" s="118" t="s">
        <v>1234</v>
      </c>
      <c r="C3699" s="120" t="s">
        <v>1235</v>
      </c>
      <c r="D3699" s="42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O3699" s="42"/>
      <c r="P3699" s="42"/>
      <c r="Q3699" s="42"/>
      <c r="R3699" s="42"/>
      <c r="S3699" s="42"/>
      <c r="T3699" s="42"/>
      <c r="U3699" s="42"/>
      <c r="V3699" s="42"/>
      <c r="W3699" s="42"/>
      <c r="X3699" s="42"/>
      <c r="Y3699" s="42"/>
      <c r="Z3699" s="42"/>
      <c r="AA3699" s="42"/>
      <c r="AB3699" s="229">
        <f t="shared" si="1588"/>
        <v>0</v>
      </c>
      <c r="AC3699" s="228">
        <f t="shared" si="1577"/>
        <v>0</v>
      </c>
      <c r="AD3699" s="19">
        <v>40</v>
      </c>
      <c r="AE3699" s="43"/>
      <c r="AF3699" s="43"/>
      <c r="AG3699" s="43"/>
      <c r="AH3699" s="43"/>
      <c r="AI3699" s="43"/>
      <c r="AJ3699" s="43"/>
      <c r="AK3699" s="43"/>
      <c r="AL3699" s="43"/>
      <c r="AM3699" s="43"/>
      <c r="AN3699" s="43"/>
      <c r="AO3699" s="43"/>
      <c r="AP3699" s="43"/>
      <c r="AQ3699" s="43"/>
      <c r="AR3699" s="43"/>
      <c r="AS3699" s="43"/>
      <c r="AT3699" s="43"/>
      <c r="AU3699" s="43"/>
      <c r="AV3699" s="43"/>
      <c r="AW3699" s="43"/>
      <c r="AX3699" s="43"/>
      <c r="AY3699" s="43"/>
      <c r="AZ3699" s="43"/>
      <c r="BA3699" s="43"/>
      <c r="BB3699" s="43"/>
      <c r="BC3699" s="229">
        <f t="shared" si="1589"/>
        <v>0</v>
      </c>
      <c r="BD3699" s="48">
        <f t="shared" si="1579"/>
        <v>0</v>
      </c>
      <c r="BE3699" s="19">
        <v>0</v>
      </c>
      <c r="BF3699" s="229">
        <f t="shared" si="1594"/>
        <v>0</v>
      </c>
      <c r="BG3699" s="210">
        <f t="shared" si="1592"/>
        <v>0</v>
      </c>
      <c r="BH3699" s="210">
        <f t="shared" si="1593"/>
        <v>40</v>
      </c>
      <c r="BI3699" s="213">
        <f t="shared" si="1591"/>
        <v>0</v>
      </c>
      <c r="BJ3699" s="270" t="s">
        <v>2857</v>
      </c>
      <c r="BK3699" s="201"/>
      <c r="BL3699" s="4"/>
      <c r="BM3699" s="4"/>
    </row>
    <row r="3700" spans="1:65" s="38" customFormat="1" ht="21.95" customHeight="1">
      <c r="A3700" s="148">
        <v>15</v>
      </c>
      <c r="B3700" s="118" t="s">
        <v>1251</v>
      </c>
      <c r="C3700" s="150" t="s">
        <v>1364</v>
      </c>
      <c r="D3700" s="42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O3700" s="42"/>
      <c r="P3700" s="42"/>
      <c r="Q3700" s="42"/>
      <c r="R3700" s="42"/>
      <c r="S3700" s="42"/>
      <c r="T3700" s="42"/>
      <c r="U3700" s="42"/>
      <c r="V3700" s="42"/>
      <c r="W3700" s="42"/>
      <c r="X3700" s="42"/>
      <c r="Y3700" s="42"/>
      <c r="Z3700" s="42"/>
      <c r="AA3700" s="42"/>
      <c r="AB3700" s="229">
        <f t="shared" si="1588"/>
        <v>0</v>
      </c>
      <c r="AC3700" s="228">
        <f t="shared" si="1577"/>
        <v>0</v>
      </c>
      <c r="AD3700" s="19">
        <v>6</v>
      </c>
      <c r="AE3700" s="43"/>
      <c r="AF3700" s="43"/>
      <c r="AG3700" s="43"/>
      <c r="AH3700" s="43"/>
      <c r="AI3700" s="43"/>
      <c r="AJ3700" s="43"/>
      <c r="AK3700" s="43"/>
      <c r="AL3700" s="43"/>
      <c r="AM3700" s="43"/>
      <c r="AN3700" s="43"/>
      <c r="AO3700" s="43"/>
      <c r="AP3700" s="43"/>
      <c r="AQ3700" s="43"/>
      <c r="AR3700" s="43"/>
      <c r="AS3700" s="43"/>
      <c r="AT3700" s="43"/>
      <c r="AU3700" s="43"/>
      <c r="AV3700" s="43"/>
      <c r="AW3700" s="43"/>
      <c r="AX3700" s="43"/>
      <c r="AY3700" s="43"/>
      <c r="AZ3700" s="43"/>
      <c r="BA3700" s="43"/>
      <c r="BB3700" s="43"/>
      <c r="BC3700" s="229">
        <f t="shared" si="1589"/>
        <v>0</v>
      </c>
      <c r="BD3700" s="48">
        <f t="shared" si="1579"/>
        <v>0</v>
      </c>
      <c r="BE3700" s="19">
        <v>0</v>
      </c>
      <c r="BF3700" s="229">
        <f t="shared" si="1594"/>
        <v>0</v>
      </c>
      <c r="BG3700" s="210">
        <f t="shared" si="1592"/>
        <v>0</v>
      </c>
      <c r="BH3700" s="210">
        <f t="shared" si="1593"/>
        <v>6</v>
      </c>
      <c r="BI3700" s="213">
        <f t="shared" si="1591"/>
        <v>0</v>
      </c>
      <c r="BJ3700" s="270" t="s">
        <v>2857</v>
      </c>
      <c r="BK3700" s="201"/>
      <c r="BL3700" s="4"/>
      <c r="BM3700" s="4"/>
    </row>
    <row r="3701" spans="1:65" s="38" customFormat="1" ht="15.95" customHeight="1">
      <c r="A3701" s="116">
        <v>16</v>
      </c>
      <c r="B3701" s="118" t="s">
        <v>1236</v>
      </c>
      <c r="C3701" s="120" t="s">
        <v>1237</v>
      </c>
      <c r="D3701" s="42"/>
      <c r="E3701" s="42"/>
      <c r="F3701" s="42"/>
      <c r="G3701" s="42"/>
      <c r="H3701" s="42"/>
      <c r="I3701" s="42">
        <v>48</v>
      </c>
      <c r="J3701" s="42"/>
      <c r="K3701" s="42"/>
      <c r="L3701" s="42"/>
      <c r="M3701" s="42"/>
      <c r="N3701" s="42"/>
      <c r="O3701" s="42">
        <v>75</v>
      </c>
      <c r="P3701" s="42"/>
      <c r="Q3701" s="42"/>
      <c r="R3701" s="42"/>
      <c r="S3701" s="42"/>
      <c r="T3701" s="42"/>
      <c r="U3701" s="42">
        <v>5</v>
      </c>
      <c r="V3701" s="42"/>
      <c r="W3701" s="42"/>
      <c r="X3701" s="42"/>
      <c r="Y3701" s="42"/>
      <c r="Z3701" s="42"/>
      <c r="AA3701" s="42">
        <v>53</v>
      </c>
      <c r="AB3701" s="229">
        <f t="shared" si="1588"/>
        <v>0</v>
      </c>
      <c r="AC3701" s="228">
        <f t="shared" si="1577"/>
        <v>181</v>
      </c>
      <c r="AD3701" s="19">
        <v>24</v>
      </c>
      <c r="AE3701" s="110"/>
      <c r="AF3701" s="110"/>
      <c r="AG3701" s="110"/>
      <c r="AH3701" s="110"/>
      <c r="AI3701" s="110"/>
      <c r="AJ3701" s="110"/>
      <c r="AK3701" s="110"/>
      <c r="AL3701" s="110"/>
      <c r="AM3701" s="110"/>
      <c r="AN3701" s="110"/>
      <c r="AO3701" s="110"/>
      <c r="AP3701" s="110"/>
      <c r="AQ3701" s="110"/>
      <c r="AR3701" s="110"/>
      <c r="AS3701" s="110"/>
      <c r="AT3701" s="110"/>
      <c r="AU3701" s="110"/>
      <c r="AV3701" s="110"/>
      <c r="AW3701" s="110"/>
      <c r="AX3701" s="110"/>
      <c r="AY3701" s="110"/>
      <c r="AZ3701" s="110"/>
      <c r="BA3701" s="110"/>
      <c r="BB3701" s="110"/>
      <c r="BC3701" s="229">
        <f t="shared" si="1589"/>
        <v>0</v>
      </c>
      <c r="BD3701" s="48">
        <f t="shared" si="1579"/>
        <v>0</v>
      </c>
      <c r="BE3701" s="19">
        <v>0</v>
      </c>
      <c r="BF3701" s="229">
        <f t="shared" si="1594"/>
        <v>0</v>
      </c>
      <c r="BG3701" s="210">
        <f t="shared" si="1592"/>
        <v>181</v>
      </c>
      <c r="BH3701" s="210">
        <f t="shared" si="1593"/>
        <v>24</v>
      </c>
      <c r="BI3701" s="213">
        <f t="shared" si="1591"/>
        <v>754.16666666666674</v>
      </c>
      <c r="BJ3701" s="270" t="s">
        <v>2857</v>
      </c>
      <c r="BK3701" s="201"/>
      <c r="BL3701" s="4"/>
      <c r="BM3701" s="4"/>
    </row>
    <row r="3702" spans="1:65" s="38" customFormat="1" ht="15.95" customHeight="1">
      <c r="A3702" s="148">
        <v>17</v>
      </c>
      <c r="B3702" s="118" t="s">
        <v>1238</v>
      </c>
      <c r="C3702" s="120" t="s">
        <v>1283</v>
      </c>
      <c r="D3702" s="42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O3702" s="42"/>
      <c r="P3702" s="42"/>
      <c r="Q3702" s="42"/>
      <c r="R3702" s="42"/>
      <c r="S3702" s="42"/>
      <c r="T3702" s="42"/>
      <c r="U3702" s="42"/>
      <c r="V3702" s="42"/>
      <c r="W3702" s="42"/>
      <c r="X3702" s="42"/>
      <c r="Y3702" s="42"/>
      <c r="Z3702" s="42"/>
      <c r="AA3702" s="42"/>
      <c r="AB3702" s="229">
        <f t="shared" si="1588"/>
        <v>0</v>
      </c>
      <c r="AC3702" s="228">
        <f t="shared" si="1577"/>
        <v>0</v>
      </c>
      <c r="AD3702" s="19">
        <v>2</v>
      </c>
      <c r="AE3702" s="110"/>
      <c r="AF3702" s="110"/>
      <c r="AG3702" s="110"/>
      <c r="AH3702" s="110"/>
      <c r="AI3702" s="110"/>
      <c r="AJ3702" s="110"/>
      <c r="AK3702" s="110"/>
      <c r="AL3702" s="110"/>
      <c r="AM3702" s="110"/>
      <c r="AN3702" s="110"/>
      <c r="AO3702" s="110"/>
      <c r="AP3702" s="110"/>
      <c r="AQ3702" s="110"/>
      <c r="AR3702" s="110"/>
      <c r="AS3702" s="110"/>
      <c r="AT3702" s="110"/>
      <c r="AU3702" s="110"/>
      <c r="AV3702" s="110"/>
      <c r="AW3702" s="110"/>
      <c r="AX3702" s="110"/>
      <c r="AY3702" s="110"/>
      <c r="AZ3702" s="110"/>
      <c r="BA3702" s="110"/>
      <c r="BB3702" s="110"/>
      <c r="BC3702" s="229">
        <f t="shared" si="1589"/>
        <v>0</v>
      </c>
      <c r="BD3702" s="48">
        <f t="shared" si="1579"/>
        <v>0</v>
      </c>
      <c r="BE3702" s="19">
        <v>0</v>
      </c>
      <c r="BF3702" s="229">
        <f t="shared" si="1594"/>
        <v>0</v>
      </c>
      <c r="BG3702" s="210">
        <f t="shared" si="1592"/>
        <v>0</v>
      </c>
      <c r="BH3702" s="210">
        <f t="shared" si="1593"/>
        <v>2</v>
      </c>
      <c r="BI3702" s="213">
        <f t="shared" si="1591"/>
        <v>0</v>
      </c>
      <c r="BJ3702" s="141"/>
      <c r="BK3702" s="201"/>
      <c r="BL3702" s="4"/>
      <c r="BM3702" s="4"/>
    </row>
    <row r="3703" spans="1:65" s="38" customFormat="1" ht="15.95" customHeight="1">
      <c r="A3703" s="148">
        <v>18</v>
      </c>
      <c r="B3703" s="118" t="s">
        <v>1241</v>
      </c>
      <c r="C3703" s="120" t="s">
        <v>1242</v>
      </c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O3703" s="42"/>
      <c r="P3703" s="42"/>
      <c r="Q3703" s="42"/>
      <c r="R3703" s="42"/>
      <c r="S3703" s="42"/>
      <c r="T3703" s="42"/>
      <c r="U3703" s="42"/>
      <c r="V3703" s="42"/>
      <c r="W3703" s="42"/>
      <c r="X3703" s="42"/>
      <c r="Y3703" s="42"/>
      <c r="Z3703" s="42"/>
      <c r="AA3703" s="42"/>
      <c r="AB3703" s="229">
        <f t="shared" si="1588"/>
        <v>0</v>
      </c>
      <c r="AC3703" s="228">
        <f t="shared" si="1577"/>
        <v>0</v>
      </c>
      <c r="AD3703" s="19">
        <v>0</v>
      </c>
      <c r="AE3703" s="110"/>
      <c r="AF3703" s="110"/>
      <c r="AG3703" s="110"/>
      <c r="AH3703" s="110"/>
      <c r="AI3703" s="110"/>
      <c r="AJ3703" s="110"/>
      <c r="AK3703" s="110"/>
      <c r="AL3703" s="110"/>
      <c r="AM3703" s="110"/>
      <c r="AN3703" s="110"/>
      <c r="AO3703" s="110"/>
      <c r="AP3703" s="110"/>
      <c r="AQ3703" s="110"/>
      <c r="AR3703" s="110"/>
      <c r="AS3703" s="110"/>
      <c r="AT3703" s="110"/>
      <c r="AU3703" s="110"/>
      <c r="AV3703" s="110"/>
      <c r="AW3703" s="110"/>
      <c r="AX3703" s="110"/>
      <c r="AY3703" s="110"/>
      <c r="AZ3703" s="110"/>
      <c r="BA3703" s="110"/>
      <c r="BB3703" s="110"/>
      <c r="BC3703" s="229">
        <f t="shared" si="1589"/>
        <v>0</v>
      </c>
      <c r="BD3703" s="48">
        <f t="shared" si="1579"/>
        <v>0</v>
      </c>
      <c r="BE3703" s="19">
        <v>30</v>
      </c>
      <c r="BF3703" s="229">
        <f t="shared" si="1594"/>
        <v>0</v>
      </c>
      <c r="BG3703" s="210">
        <f t="shared" si="1592"/>
        <v>0</v>
      </c>
      <c r="BH3703" s="210">
        <f t="shared" si="1593"/>
        <v>30</v>
      </c>
      <c r="BI3703" s="213">
        <f t="shared" si="1591"/>
        <v>0</v>
      </c>
      <c r="BJ3703" s="141"/>
      <c r="BK3703" s="201"/>
      <c r="BL3703" s="4"/>
      <c r="BM3703" s="4"/>
    </row>
    <row r="3704" spans="1:65" s="38" customFormat="1" ht="15.95" customHeight="1">
      <c r="A3704" s="116">
        <v>19</v>
      </c>
      <c r="B3704" s="118" t="s">
        <v>1243</v>
      </c>
      <c r="C3704" s="120" t="s">
        <v>1244</v>
      </c>
      <c r="D3704" s="226"/>
      <c r="E3704" s="226"/>
      <c r="F3704" s="226"/>
      <c r="G3704" s="226"/>
      <c r="H3704" s="226"/>
      <c r="I3704" s="226"/>
      <c r="J3704" s="226"/>
      <c r="K3704" s="226"/>
      <c r="L3704" s="226"/>
      <c r="M3704" s="226"/>
      <c r="N3704" s="226"/>
      <c r="O3704" s="226"/>
      <c r="P3704" s="226"/>
      <c r="Q3704" s="226"/>
      <c r="R3704" s="226"/>
      <c r="S3704" s="226"/>
      <c r="T3704" s="226"/>
      <c r="U3704" s="226"/>
      <c r="V3704" s="226"/>
      <c r="W3704" s="226"/>
      <c r="X3704" s="226"/>
      <c r="Y3704" s="226"/>
      <c r="Z3704" s="226"/>
      <c r="AA3704" s="226"/>
      <c r="AB3704" s="229">
        <f t="shared" si="1588"/>
        <v>0</v>
      </c>
      <c r="AC3704" s="228">
        <f t="shared" si="1577"/>
        <v>0</v>
      </c>
      <c r="AD3704" s="19">
        <v>0</v>
      </c>
      <c r="AE3704" s="110"/>
      <c r="AF3704" s="110"/>
      <c r="AG3704" s="110"/>
      <c r="AH3704" s="110"/>
      <c r="AI3704" s="110"/>
      <c r="AJ3704" s="110"/>
      <c r="AK3704" s="110"/>
      <c r="AL3704" s="110"/>
      <c r="AM3704" s="110"/>
      <c r="AN3704" s="110"/>
      <c r="AO3704" s="110"/>
      <c r="AP3704" s="110"/>
      <c r="AQ3704" s="110"/>
      <c r="AR3704" s="110"/>
      <c r="AS3704" s="110"/>
      <c r="AT3704" s="110"/>
      <c r="AU3704" s="110"/>
      <c r="AV3704" s="110"/>
      <c r="AW3704" s="110"/>
      <c r="AX3704" s="110"/>
      <c r="AY3704" s="110"/>
      <c r="AZ3704" s="110"/>
      <c r="BA3704" s="110"/>
      <c r="BB3704" s="110"/>
      <c r="BC3704" s="229">
        <f t="shared" si="1589"/>
        <v>0</v>
      </c>
      <c r="BD3704" s="48">
        <f t="shared" si="1579"/>
        <v>0</v>
      </c>
      <c r="BE3704" s="19">
        <v>20</v>
      </c>
      <c r="BF3704" s="229">
        <f t="shared" si="1594"/>
        <v>0</v>
      </c>
      <c r="BG3704" s="210">
        <f t="shared" si="1592"/>
        <v>0</v>
      </c>
      <c r="BH3704" s="210">
        <f t="shared" si="1593"/>
        <v>20</v>
      </c>
      <c r="BI3704" s="213">
        <f t="shared" si="1591"/>
        <v>0</v>
      </c>
      <c r="BJ3704" s="141"/>
      <c r="BK3704" s="201"/>
      <c r="BL3704" s="4"/>
      <c r="BM3704" s="4"/>
    </row>
    <row r="3705" spans="1:65" s="38" customFormat="1" ht="15.95" customHeight="1">
      <c r="A3705" s="148">
        <v>20</v>
      </c>
      <c r="B3705" s="118" t="s">
        <v>840</v>
      </c>
      <c r="C3705" s="120" t="s">
        <v>841</v>
      </c>
      <c r="D3705" s="226"/>
      <c r="E3705" s="226"/>
      <c r="F3705" s="226"/>
      <c r="G3705" s="226"/>
      <c r="H3705" s="226"/>
      <c r="I3705" s="226"/>
      <c r="J3705" s="226"/>
      <c r="K3705" s="226"/>
      <c r="L3705" s="226"/>
      <c r="M3705" s="226"/>
      <c r="N3705" s="226"/>
      <c r="O3705" s="226"/>
      <c r="P3705" s="226"/>
      <c r="Q3705" s="226"/>
      <c r="R3705" s="226"/>
      <c r="S3705" s="226"/>
      <c r="T3705" s="226"/>
      <c r="U3705" s="226"/>
      <c r="V3705" s="226"/>
      <c r="W3705" s="226"/>
      <c r="X3705" s="226"/>
      <c r="Y3705" s="226"/>
      <c r="Z3705" s="226"/>
      <c r="AA3705" s="226"/>
      <c r="AB3705" s="229">
        <f t="shared" si="1588"/>
        <v>0</v>
      </c>
      <c r="AC3705" s="228">
        <f t="shared" si="1577"/>
        <v>0</v>
      </c>
      <c r="AD3705" s="19">
        <v>0</v>
      </c>
      <c r="AE3705" s="110"/>
      <c r="AF3705" s="110"/>
      <c r="AG3705" s="110"/>
      <c r="AH3705" s="110"/>
      <c r="AI3705" s="110"/>
      <c r="AJ3705" s="110"/>
      <c r="AK3705" s="110"/>
      <c r="AL3705" s="110"/>
      <c r="AM3705" s="110"/>
      <c r="AN3705" s="110"/>
      <c r="AO3705" s="110"/>
      <c r="AP3705" s="110"/>
      <c r="AQ3705" s="110"/>
      <c r="AR3705" s="110"/>
      <c r="AS3705" s="110"/>
      <c r="AT3705" s="110"/>
      <c r="AU3705" s="110"/>
      <c r="AV3705" s="110"/>
      <c r="AW3705" s="110"/>
      <c r="AX3705" s="110"/>
      <c r="AY3705" s="110"/>
      <c r="AZ3705" s="110"/>
      <c r="BA3705" s="110"/>
      <c r="BB3705" s="110"/>
      <c r="BC3705" s="229">
        <f t="shared" si="1589"/>
        <v>0</v>
      </c>
      <c r="BD3705" s="48">
        <f t="shared" si="1579"/>
        <v>0</v>
      </c>
      <c r="BE3705" s="19">
        <v>1</v>
      </c>
      <c r="BF3705" s="229">
        <f t="shared" si="1594"/>
        <v>0</v>
      </c>
      <c r="BG3705" s="210">
        <f t="shared" si="1592"/>
        <v>0</v>
      </c>
      <c r="BH3705" s="210">
        <f t="shared" si="1593"/>
        <v>1</v>
      </c>
      <c r="BI3705" s="213">
        <f t="shared" si="1591"/>
        <v>0</v>
      </c>
      <c r="BJ3705" s="141"/>
      <c r="BK3705" s="201"/>
      <c r="BL3705" s="4"/>
      <c r="BM3705" s="4"/>
    </row>
    <row r="3706" spans="1:65" s="38" customFormat="1" ht="15.95" customHeight="1">
      <c r="A3706" s="148">
        <v>21</v>
      </c>
      <c r="B3706" s="152" t="s">
        <v>840</v>
      </c>
      <c r="C3706" s="120" t="s">
        <v>841</v>
      </c>
      <c r="D3706" s="226"/>
      <c r="E3706" s="226"/>
      <c r="F3706" s="226"/>
      <c r="G3706" s="226"/>
      <c r="H3706" s="226"/>
      <c r="I3706" s="226"/>
      <c r="J3706" s="226"/>
      <c r="K3706" s="226"/>
      <c r="L3706" s="226"/>
      <c r="M3706" s="226"/>
      <c r="N3706" s="226"/>
      <c r="O3706" s="226"/>
      <c r="P3706" s="226"/>
      <c r="Q3706" s="226"/>
      <c r="R3706" s="226"/>
      <c r="S3706" s="226"/>
      <c r="T3706" s="226"/>
      <c r="U3706" s="226"/>
      <c r="V3706" s="226"/>
      <c r="W3706" s="226"/>
      <c r="X3706" s="226"/>
      <c r="Y3706" s="226"/>
      <c r="Z3706" s="226"/>
      <c r="AA3706" s="226"/>
      <c r="AB3706" s="229">
        <f t="shared" si="1588"/>
        <v>0</v>
      </c>
      <c r="AC3706" s="228">
        <f t="shared" si="1577"/>
        <v>0</v>
      </c>
      <c r="AD3706" s="19">
        <v>0</v>
      </c>
      <c r="AE3706" s="110"/>
      <c r="AF3706" s="110"/>
      <c r="AG3706" s="110"/>
      <c r="AH3706" s="110"/>
      <c r="AI3706" s="110"/>
      <c r="AJ3706" s="110"/>
      <c r="AK3706" s="110"/>
      <c r="AL3706" s="110"/>
      <c r="AM3706" s="110"/>
      <c r="AN3706" s="110"/>
      <c r="AO3706" s="110"/>
      <c r="AP3706" s="110"/>
      <c r="AQ3706" s="110"/>
      <c r="AR3706" s="110"/>
      <c r="AS3706" s="110"/>
      <c r="AT3706" s="110"/>
      <c r="AU3706" s="110"/>
      <c r="AV3706" s="110"/>
      <c r="AW3706" s="110"/>
      <c r="AX3706" s="110"/>
      <c r="AY3706" s="110"/>
      <c r="AZ3706" s="110"/>
      <c r="BA3706" s="110"/>
      <c r="BB3706" s="110"/>
      <c r="BC3706" s="229">
        <f t="shared" si="1589"/>
        <v>0</v>
      </c>
      <c r="BD3706" s="48">
        <f t="shared" si="1579"/>
        <v>0</v>
      </c>
      <c r="BE3706" s="19">
        <v>40</v>
      </c>
      <c r="BF3706" s="229">
        <f t="shared" si="1594"/>
        <v>0</v>
      </c>
      <c r="BG3706" s="210">
        <f t="shared" si="1592"/>
        <v>0</v>
      </c>
      <c r="BH3706" s="210">
        <f t="shared" si="1593"/>
        <v>40</v>
      </c>
      <c r="BI3706" s="213">
        <f t="shared" si="1591"/>
        <v>0</v>
      </c>
      <c r="BJ3706" s="141"/>
      <c r="BK3706" s="201"/>
      <c r="BL3706" s="4"/>
      <c r="BM3706" s="4"/>
    </row>
    <row r="3707" spans="1:65" s="38" customFormat="1" ht="15.95" customHeight="1">
      <c r="A3707" s="116">
        <v>22</v>
      </c>
      <c r="B3707" s="118" t="s">
        <v>1297</v>
      </c>
      <c r="C3707" s="120" t="s">
        <v>1298</v>
      </c>
      <c r="D3707" s="226"/>
      <c r="E3707" s="226"/>
      <c r="F3707" s="226"/>
      <c r="G3707" s="226"/>
      <c r="H3707" s="226"/>
      <c r="I3707" s="226"/>
      <c r="J3707" s="226"/>
      <c r="K3707" s="226"/>
      <c r="L3707" s="226"/>
      <c r="M3707" s="226"/>
      <c r="N3707" s="226"/>
      <c r="O3707" s="226"/>
      <c r="P3707" s="226"/>
      <c r="Q3707" s="226"/>
      <c r="R3707" s="226"/>
      <c r="S3707" s="226"/>
      <c r="T3707" s="226"/>
      <c r="U3707" s="226"/>
      <c r="V3707" s="226"/>
      <c r="W3707" s="226"/>
      <c r="X3707" s="226"/>
      <c r="Y3707" s="226"/>
      <c r="Z3707" s="226"/>
      <c r="AA3707" s="226"/>
      <c r="AB3707" s="229">
        <f t="shared" si="1588"/>
        <v>0</v>
      </c>
      <c r="AC3707" s="228">
        <f t="shared" si="1577"/>
        <v>0</v>
      </c>
      <c r="AD3707" s="19">
        <v>0</v>
      </c>
      <c r="AE3707" s="110"/>
      <c r="AF3707" s="110"/>
      <c r="AG3707" s="110"/>
      <c r="AH3707" s="110"/>
      <c r="AI3707" s="110"/>
      <c r="AJ3707" s="110"/>
      <c r="AK3707" s="110"/>
      <c r="AL3707" s="110"/>
      <c r="AM3707" s="110"/>
      <c r="AN3707" s="110"/>
      <c r="AO3707" s="110"/>
      <c r="AP3707" s="110"/>
      <c r="AQ3707" s="110"/>
      <c r="AR3707" s="110"/>
      <c r="AS3707" s="110"/>
      <c r="AT3707" s="110"/>
      <c r="AU3707" s="110"/>
      <c r="AV3707" s="110"/>
      <c r="AW3707" s="110"/>
      <c r="AX3707" s="110"/>
      <c r="AY3707" s="110"/>
      <c r="AZ3707" s="110"/>
      <c r="BA3707" s="110"/>
      <c r="BB3707" s="110"/>
      <c r="BC3707" s="229">
        <f t="shared" si="1589"/>
        <v>0</v>
      </c>
      <c r="BD3707" s="48">
        <f t="shared" si="1579"/>
        <v>0</v>
      </c>
      <c r="BE3707" s="19">
        <v>1</v>
      </c>
      <c r="BF3707" s="229">
        <f t="shared" si="1594"/>
        <v>0</v>
      </c>
      <c r="BG3707" s="210">
        <f t="shared" si="1592"/>
        <v>0</v>
      </c>
      <c r="BH3707" s="210">
        <f t="shared" si="1593"/>
        <v>1</v>
      </c>
      <c r="BI3707" s="213">
        <f t="shared" si="1591"/>
        <v>0</v>
      </c>
      <c r="BJ3707" s="141"/>
      <c r="BK3707" s="201"/>
      <c r="BL3707" s="4"/>
      <c r="BM3707" s="4"/>
    </row>
    <row r="3708" spans="1:65" s="38" customFormat="1" ht="15.95" customHeight="1">
      <c r="A3708" s="148">
        <v>23</v>
      </c>
      <c r="B3708" s="118" t="s">
        <v>1178</v>
      </c>
      <c r="C3708" s="120" t="s">
        <v>1179</v>
      </c>
      <c r="D3708" s="226"/>
      <c r="E3708" s="226"/>
      <c r="F3708" s="226"/>
      <c r="G3708" s="226"/>
      <c r="H3708" s="226"/>
      <c r="I3708" s="226"/>
      <c r="J3708" s="226"/>
      <c r="K3708" s="226"/>
      <c r="L3708" s="226"/>
      <c r="M3708" s="226"/>
      <c r="N3708" s="226"/>
      <c r="O3708" s="226"/>
      <c r="P3708" s="226"/>
      <c r="Q3708" s="226"/>
      <c r="R3708" s="226"/>
      <c r="S3708" s="226"/>
      <c r="T3708" s="226"/>
      <c r="U3708" s="226"/>
      <c r="V3708" s="226"/>
      <c r="W3708" s="226"/>
      <c r="X3708" s="226"/>
      <c r="Y3708" s="226"/>
      <c r="Z3708" s="226"/>
      <c r="AA3708" s="226"/>
      <c r="AB3708" s="229">
        <f t="shared" si="1588"/>
        <v>0</v>
      </c>
      <c r="AC3708" s="228">
        <f t="shared" si="1577"/>
        <v>0</v>
      </c>
      <c r="AD3708" s="19">
        <v>0</v>
      </c>
      <c r="AE3708" s="43"/>
      <c r="AF3708" s="43"/>
      <c r="AG3708" s="43"/>
      <c r="AH3708" s="43"/>
      <c r="AI3708" s="43"/>
      <c r="AJ3708" s="43"/>
      <c r="AK3708" s="43"/>
      <c r="AL3708" s="43"/>
      <c r="AM3708" s="110"/>
      <c r="AN3708" s="43"/>
      <c r="AO3708" s="43"/>
      <c r="AP3708" s="43"/>
      <c r="AQ3708" s="110"/>
      <c r="AR3708" s="43"/>
      <c r="AS3708" s="43"/>
      <c r="AT3708" s="43"/>
      <c r="AU3708" s="43"/>
      <c r="AV3708" s="43"/>
      <c r="AW3708" s="43"/>
      <c r="AX3708" s="43"/>
      <c r="AY3708" s="43"/>
      <c r="AZ3708" s="43"/>
      <c r="BA3708" s="43"/>
      <c r="BB3708" s="43"/>
      <c r="BC3708" s="229">
        <f t="shared" si="1589"/>
        <v>0</v>
      </c>
      <c r="BD3708" s="48">
        <f t="shared" si="1579"/>
        <v>0</v>
      </c>
      <c r="BE3708" s="19">
        <v>56</v>
      </c>
      <c r="BF3708" s="229">
        <f t="shared" si="1594"/>
        <v>0</v>
      </c>
      <c r="BG3708" s="210">
        <f t="shared" si="1592"/>
        <v>0</v>
      </c>
      <c r="BH3708" s="210">
        <f t="shared" si="1593"/>
        <v>56</v>
      </c>
      <c r="BI3708" s="213">
        <f t="shared" si="1591"/>
        <v>0</v>
      </c>
      <c r="BJ3708" s="141"/>
      <c r="BK3708" s="201"/>
      <c r="BL3708" s="4"/>
      <c r="BM3708" s="4"/>
    </row>
    <row r="3709" spans="1:65" s="38" customFormat="1" ht="21.95" customHeight="1">
      <c r="A3709" s="148">
        <v>24</v>
      </c>
      <c r="B3709" s="118" t="s">
        <v>1245</v>
      </c>
      <c r="C3709" s="119" t="s">
        <v>1246</v>
      </c>
      <c r="D3709" s="42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O3709" s="42"/>
      <c r="P3709" s="42"/>
      <c r="Q3709" s="42"/>
      <c r="R3709" s="42"/>
      <c r="S3709" s="42"/>
      <c r="T3709" s="42"/>
      <c r="U3709" s="42"/>
      <c r="V3709" s="42"/>
      <c r="W3709" s="42"/>
      <c r="X3709" s="42"/>
      <c r="Y3709" s="42"/>
      <c r="Z3709" s="42"/>
      <c r="AA3709" s="42"/>
      <c r="AB3709" s="229">
        <f t="shared" si="1588"/>
        <v>0</v>
      </c>
      <c r="AC3709" s="228">
        <f t="shared" si="1577"/>
        <v>0</v>
      </c>
      <c r="AD3709" s="19">
        <v>0</v>
      </c>
      <c r="AE3709" s="43"/>
      <c r="AF3709" s="43"/>
      <c r="AG3709" s="43"/>
      <c r="AH3709" s="43"/>
      <c r="AI3709" s="43"/>
      <c r="AJ3709" s="43"/>
      <c r="AK3709" s="43"/>
      <c r="AL3709" s="43"/>
      <c r="AM3709" s="110"/>
      <c r="AN3709" s="43"/>
      <c r="AO3709" s="43"/>
      <c r="AP3709" s="43"/>
      <c r="AQ3709" s="110"/>
      <c r="AR3709" s="43"/>
      <c r="AS3709" s="43"/>
      <c r="AT3709" s="43"/>
      <c r="AU3709" s="43"/>
      <c r="AV3709" s="43"/>
      <c r="AW3709" s="43"/>
      <c r="AX3709" s="43"/>
      <c r="AY3709" s="43"/>
      <c r="AZ3709" s="43"/>
      <c r="BA3709" s="43"/>
      <c r="BB3709" s="43"/>
      <c r="BC3709" s="229">
        <f t="shared" si="1589"/>
        <v>0</v>
      </c>
      <c r="BD3709" s="48">
        <f t="shared" si="1579"/>
        <v>0</v>
      </c>
      <c r="BE3709" s="19">
        <v>45</v>
      </c>
      <c r="BF3709" s="229">
        <f t="shared" si="1594"/>
        <v>0</v>
      </c>
      <c r="BG3709" s="210">
        <f t="shared" si="1592"/>
        <v>0</v>
      </c>
      <c r="BH3709" s="210">
        <f t="shared" si="1593"/>
        <v>45</v>
      </c>
      <c r="BI3709" s="213">
        <f t="shared" si="1591"/>
        <v>0</v>
      </c>
      <c r="BJ3709" s="141"/>
      <c r="BK3709" s="201"/>
      <c r="BL3709" s="4"/>
      <c r="BM3709" s="4"/>
    </row>
    <row r="3710" spans="1:65" s="38" customFormat="1" ht="15.95" customHeight="1">
      <c r="A3710" s="116">
        <v>25</v>
      </c>
      <c r="B3710" s="118" t="s">
        <v>1247</v>
      </c>
      <c r="C3710" s="195" t="s">
        <v>1248</v>
      </c>
      <c r="D3710" s="42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O3710" s="42"/>
      <c r="P3710" s="42"/>
      <c r="Q3710" s="42"/>
      <c r="R3710" s="42"/>
      <c r="S3710" s="42"/>
      <c r="T3710" s="42"/>
      <c r="U3710" s="42"/>
      <c r="V3710" s="42"/>
      <c r="W3710" s="42"/>
      <c r="X3710" s="42"/>
      <c r="Y3710" s="42"/>
      <c r="Z3710" s="42"/>
      <c r="AA3710" s="42"/>
      <c r="AB3710" s="229">
        <f t="shared" si="1588"/>
        <v>0</v>
      </c>
      <c r="AC3710" s="228">
        <f t="shared" si="1577"/>
        <v>0</v>
      </c>
      <c r="AD3710" s="19">
        <v>0</v>
      </c>
      <c r="AE3710" s="43"/>
      <c r="AF3710" s="43"/>
      <c r="AG3710" s="43"/>
      <c r="AH3710" s="43"/>
      <c r="AI3710" s="43"/>
      <c r="AJ3710" s="43"/>
      <c r="AK3710" s="43"/>
      <c r="AL3710" s="43"/>
      <c r="AM3710" s="110"/>
      <c r="AN3710" s="43"/>
      <c r="AO3710" s="43"/>
      <c r="AP3710" s="43"/>
      <c r="AQ3710" s="110"/>
      <c r="AR3710" s="43"/>
      <c r="AS3710" s="43"/>
      <c r="AT3710" s="43"/>
      <c r="AU3710" s="43"/>
      <c r="AV3710" s="43"/>
      <c r="AW3710" s="43"/>
      <c r="AX3710" s="43"/>
      <c r="AY3710" s="43"/>
      <c r="AZ3710" s="43"/>
      <c r="BA3710" s="43"/>
      <c r="BB3710" s="43"/>
      <c r="BC3710" s="229">
        <f t="shared" si="1589"/>
        <v>0</v>
      </c>
      <c r="BD3710" s="48">
        <f t="shared" si="1579"/>
        <v>0</v>
      </c>
      <c r="BE3710" s="19">
        <v>98</v>
      </c>
      <c r="BF3710" s="229">
        <f t="shared" si="1594"/>
        <v>0</v>
      </c>
      <c r="BG3710" s="210">
        <f t="shared" si="1592"/>
        <v>0</v>
      </c>
      <c r="BH3710" s="210">
        <f t="shared" si="1593"/>
        <v>98</v>
      </c>
      <c r="BI3710" s="213">
        <f t="shared" si="1591"/>
        <v>0</v>
      </c>
      <c r="BJ3710" s="141"/>
      <c r="BK3710" s="201"/>
      <c r="BL3710" s="4"/>
      <c r="BM3710" s="4"/>
    </row>
    <row r="3711" spans="1:65" s="38" customFormat="1" ht="15.95" customHeight="1">
      <c r="A3711" s="148">
        <v>26</v>
      </c>
      <c r="B3711" s="118" t="s">
        <v>1262</v>
      </c>
      <c r="C3711" s="120" t="s">
        <v>1263</v>
      </c>
      <c r="D3711" s="42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O3711" s="42"/>
      <c r="P3711" s="42"/>
      <c r="Q3711" s="42"/>
      <c r="R3711" s="42"/>
      <c r="S3711" s="42"/>
      <c r="T3711" s="42"/>
      <c r="U3711" s="42"/>
      <c r="V3711" s="42"/>
      <c r="W3711" s="42"/>
      <c r="X3711" s="42"/>
      <c r="Y3711" s="42"/>
      <c r="Z3711" s="42"/>
      <c r="AA3711" s="42"/>
      <c r="AB3711" s="229">
        <f t="shared" si="1588"/>
        <v>0</v>
      </c>
      <c r="AC3711" s="228">
        <f t="shared" si="1577"/>
        <v>0</v>
      </c>
      <c r="AD3711" s="19">
        <v>0</v>
      </c>
      <c r="AE3711" s="43"/>
      <c r="AF3711" s="43"/>
      <c r="AG3711" s="43"/>
      <c r="AH3711" s="43"/>
      <c r="AI3711" s="43"/>
      <c r="AJ3711" s="43"/>
      <c r="AK3711" s="43"/>
      <c r="AL3711" s="43"/>
      <c r="AM3711" s="110"/>
      <c r="AN3711" s="43"/>
      <c r="AO3711" s="43"/>
      <c r="AP3711" s="43"/>
      <c r="AQ3711" s="110"/>
      <c r="AR3711" s="43"/>
      <c r="AS3711" s="43"/>
      <c r="AT3711" s="43"/>
      <c r="AU3711" s="43"/>
      <c r="AV3711" s="43"/>
      <c r="AW3711" s="43"/>
      <c r="AX3711" s="43"/>
      <c r="AY3711" s="43"/>
      <c r="AZ3711" s="43"/>
      <c r="BA3711" s="43"/>
      <c r="BB3711" s="43"/>
      <c r="BC3711" s="229">
        <f t="shared" si="1589"/>
        <v>0</v>
      </c>
      <c r="BD3711" s="48">
        <f t="shared" si="1579"/>
        <v>0</v>
      </c>
      <c r="BE3711" s="19">
        <v>30</v>
      </c>
      <c r="BF3711" s="229">
        <f t="shared" si="1594"/>
        <v>0</v>
      </c>
      <c r="BG3711" s="210">
        <f t="shared" si="1592"/>
        <v>0</v>
      </c>
      <c r="BH3711" s="210">
        <f t="shared" si="1593"/>
        <v>30</v>
      </c>
      <c r="BI3711" s="213">
        <f t="shared" si="1591"/>
        <v>0</v>
      </c>
      <c r="BJ3711" s="141"/>
      <c r="BK3711" s="201"/>
      <c r="BL3711" s="4"/>
      <c r="BM3711" s="4"/>
    </row>
    <row r="3712" spans="1:65" s="38" customFormat="1" ht="21.95" customHeight="1">
      <c r="A3712" s="359" t="s">
        <v>2800</v>
      </c>
      <c r="B3712" s="359"/>
      <c r="C3712" s="359"/>
      <c r="D3712" s="39">
        <f t="shared" ref="D3712:BE3712" si="1595">SUM(D3713:D3723)</f>
        <v>0</v>
      </c>
      <c r="E3712" s="39">
        <f t="shared" si="1595"/>
        <v>0</v>
      </c>
      <c r="F3712" s="39">
        <f t="shared" si="1595"/>
        <v>0</v>
      </c>
      <c r="G3712" s="39">
        <f t="shared" si="1595"/>
        <v>0</v>
      </c>
      <c r="H3712" s="39">
        <f t="shared" si="1595"/>
        <v>0</v>
      </c>
      <c r="I3712" s="39">
        <f t="shared" si="1595"/>
        <v>0</v>
      </c>
      <c r="J3712" s="39">
        <f t="shared" si="1595"/>
        <v>0</v>
      </c>
      <c r="K3712" s="39">
        <f t="shared" si="1595"/>
        <v>0</v>
      </c>
      <c r="L3712" s="39">
        <f t="shared" si="1595"/>
        <v>0</v>
      </c>
      <c r="M3712" s="39">
        <f t="shared" si="1595"/>
        <v>0</v>
      </c>
      <c r="N3712" s="39">
        <f t="shared" si="1595"/>
        <v>0</v>
      </c>
      <c r="O3712" s="39">
        <f t="shared" si="1595"/>
        <v>0</v>
      </c>
      <c r="P3712" s="39">
        <f t="shared" si="1595"/>
        <v>0</v>
      </c>
      <c r="Q3712" s="39">
        <f t="shared" si="1595"/>
        <v>0</v>
      </c>
      <c r="R3712" s="39">
        <f t="shared" si="1595"/>
        <v>0</v>
      </c>
      <c r="S3712" s="39">
        <f t="shared" si="1595"/>
        <v>0</v>
      </c>
      <c r="T3712" s="39">
        <f t="shared" si="1595"/>
        <v>0</v>
      </c>
      <c r="U3712" s="39">
        <f t="shared" si="1595"/>
        <v>0</v>
      </c>
      <c r="V3712" s="39">
        <f t="shared" si="1595"/>
        <v>0</v>
      </c>
      <c r="W3712" s="39">
        <f t="shared" si="1595"/>
        <v>0</v>
      </c>
      <c r="X3712" s="39">
        <f t="shared" si="1595"/>
        <v>0</v>
      </c>
      <c r="Y3712" s="39">
        <f t="shared" si="1595"/>
        <v>0</v>
      </c>
      <c r="Z3712" s="39">
        <f t="shared" si="1595"/>
        <v>0</v>
      </c>
      <c r="AA3712" s="39">
        <f t="shared" si="1595"/>
        <v>0</v>
      </c>
      <c r="AB3712" s="39">
        <f t="shared" si="1576"/>
        <v>0</v>
      </c>
      <c r="AC3712" s="39">
        <f t="shared" si="1577"/>
        <v>0</v>
      </c>
      <c r="AD3712" s="39">
        <f t="shared" si="1595"/>
        <v>148</v>
      </c>
      <c r="AE3712" s="39">
        <f t="shared" si="1595"/>
        <v>0</v>
      </c>
      <c r="AF3712" s="39">
        <f t="shared" si="1595"/>
        <v>0</v>
      </c>
      <c r="AG3712" s="39">
        <f t="shared" si="1595"/>
        <v>0</v>
      </c>
      <c r="AH3712" s="39">
        <f t="shared" si="1595"/>
        <v>0</v>
      </c>
      <c r="AI3712" s="39">
        <f t="shared" si="1595"/>
        <v>0</v>
      </c>
      <c r="AJ3712" s="39">
        <f t="shared" si="1595"/>
        <v>0</v>
      </c>
      <c r="AK3712" s="39">
        <f t="shared" si="1595"/>
        <v>0</v>
      </c>
      <c r="AL3712" s="39">
        <f t="shared" si="1595"/>
        <v>0</v>
      </c>
      <c r="AM3712" s="39">
        <f t="shared" si="1595"/>
        <v>0</v>
      </c>
      <c r="AN3712" s="39">
        <f t="shared" si="1595"/>
        <v>0</v>
      </c>
      <c r="AO3712" s="39">
        <f t="shared" si="1595"/>
        <v>0</v>
      </c>
      <c r="AP3712" s="39">
        <f t="shared" si="1595"/>
        <v>0</v>
      </c>
      <c r="AQ3712" s="39">
        <f t="shared" si="1595"/>
        <v>0</v>
      </c>
      <c r="AR3712" s="39">
        <f t="shared" si="1595"/>
        <v>0</v>
      </c>
      <c r="AS3712" s="39">
        <f t="shared" si="1595"/>
        <v>0</v>
      </c>
      <c r="AT3712" s="39">
        <f t="shared" si="1595"/>
        <v>0</v>
      </c>
      <c r="AU3712" s="39">
        <f t="shared" si="1595"/>
        <v>0</v>
      </c>
      <c r="AV3712" s="39">
        <f t="shared" si="1595"/>
        <v>0</v>
      </c>
      <c r="AW3712" s="39">
        <f t="shared" si="1595"/>
        <v>0</v>
      </c>
      <c r="AX3712" s="39">
        <f t="shared" si="1595"/>
        <v>0</v>
      </c>
      <c r="AY3712" s="39">
        <f t="shared" si="1595"/>
        <v>0</v>
      </c>
      <c r="AZ3712" s="39">
        <f t="shared" si="1595"/>
        <v>0</v>
      </c>
      <c r="BA3712" s="39">
        <f t="shared" si="1595"/>
        <v>0</v>
      </c>
      <c r="BB3712" s="39">
        <f t="shared" si="1595"/>
        <v>0</v>
      </c>
      <c r="BC3712" s="39">
        <f t="shared" si="1578"/>
        <v>0</v>
      </c>
      <c r="BD3712" s="101">
        <f t="shared" si="1579"/>
        <v>0</v>
      </c>
      <c r="BE3712" s="39">
        <f t="shared" si="1595"/>
        <v>114</v>
      </c>
      <c r="BF3712" s="39">
        <f t="shared" si="1580"/>
        <v>0</v>
      </c>
      <c r="BG3712" s="101">
        <f t="shared" si="1581"/>
        <v>0</v>
      </c>
      <c r="BH3712" s="101">
        <f t="shared" ref="BH3712:BH3745" si="1596">AD3712+BE3712</f>
        <v>262</v>
      </c>
      <c r="BI3712" s="280">
        <f t="shared" si="1582"/>
        <v>0</v>
      </c>
      <c r="BJ3712" s="142">
        <v>262</v>
      </c>
      <c r="BK3712" s="203">
        <f>BH3712-BJ3712</f>
        <v>0</v>
      </c>
      <c r="BL3712" s="4"/>
      <c r="BM3712" s="4"/>
    </row>
    <row r="3713" spans="1:65" s="38" customFormat="1" ht="15.95" customHeight="1">
      <c r="A3713" s="148">
        <v>1</v>
      </c>
      <c r="B3713" s="118" t="s">
        <v>1224</v>
      </c>
      <c r="C3713" s="120" t="s">
        <v>1225</v>
      </c>
      <c r="D3713" s="42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O3713" s="42"/>
      <c r="P3713" s="42"/>
      <c r="Q3713" s="42"/>
      <c r="R3713" s="42"/>
      <c r="S3713" s="42"/>
      <c r="T3713" s="42"/>
      <c r="U3713" s="42"/>
      <c r="V3713" s="42"/>
      <c r="W3713" s="42"/>
      <c r="X3713" s="42"/>
      <c r="Y3713" s="42"/>
      <c r="Z3713" s="42"/>
      <c r="AA3713" s="42"/>
      <c r="AB3713" s="229">
        <f t="shared" ref="AB3713:AB3723" si="1597">D3713+F3713+H3713+J3713+L3713+N3713+P3713+R3713+T3713+V3713+X3713+Z3713</f>
        <v>0</v>
      </c>
      <c r="AC3713" s="228">
        <f t="shared" ref="AC3713:AC3723" si="1598">E3713+G3713+I3713+K3713+M3713+O3713+Q3713+S3713+U3713+W3713+Y3713+AA3713</f>
        <v>0</v>
      </c>
      <c r="AD3713" s="19">
        <v>5</v>
      </c>
      <c r="AE3713" s="43"/>
      <c r="AF3713" s="43"/>
      <c r="AG3713" s="43"/>
      <c r="AH3713" s="43"/>
      <c r="AI3713" s="43"/>
      <c r="AJ3713" s="43"/>
      <c r="AK3713" s="43"/>
      <c r="AL3713" s="43"/>
      <c r="AM3713" s="43"/>
      <c r="AN3713" s="43"/>
      <c r="AO3713" s="43"/>
      <c r="AP3713" s="43"/>
      <c r="AQ3713" s="43"/>
      <c r="AR3713" s="43"/>
      <c r="AS3713" s="43"/>
      <c r="AT3713" s="43"/>
      <c r="AU3713" s="43"/>
      <c r="AV3713" s="43"/>
      <c r="AW3713" s="43"/>
      <c r="AX3713" s="43"/>
      <c r="AY3713" s="43"/>
      <c r="AZ3713" s="43"/>
      <c r="BA3713" s="43"/>
      <c r="BB3713" s="43"/>
      <c r="BC3713" s="229">
        <f t="shared" ref="BC3713:BC3723" si="1599">AE3713+AG3713+AI3713+AK3713+AM3713+AO3713+AQ3713+AS3713+AU3713+AW3713+AY3713+BA3713</f>
        <v>0</v>
      </c>
      <c r="BD3713" s="48">
        <f t="shared" ref="BD3713:BD3723" si="1600">AF3713+AH3713+AJ3713+AL3713+AN3713+AP3713+AR3713+AT3713+AV3713+AX3713+AZ3713+BB3713</f>
        <v>0</v>
      </c>
      <c r="BE3713" s="19">
        <v>0</v>
      </c>
      <c r="BF3713" s="229">
        <f t="shared" ref="BF3713:BF3723" si="1601">AB3713+BC3713</f>
        <v>0</v>
      </c>
      <c r="BG3713" s="210">
        <f t="shared" ref="BG3713:BG3723" si="1602">AC3713+BD3713</f>
        <v>0</v>
      </c>
      <c r="BH3713" s="210">
        <f t="shared" si="1596"/>
        <v>5</v>
      </c>
      <c r="BI3713" s="213">
        <f t="shared" ref="BI3713:BI3723" si="1603">BG3713/BH3713*100</f>
        <v>0</v>
      </c>
      <c r="BJ3713" s="270" t="s">
        <v>2857</v>
      </c>
      <c r="BK3713" s="201"/>
      <c r="BL3713" s="4"/>
      <c r="BM3713" s="4"/>
    </row>
    <row r="3714" spans="1:65" s="38" customFormat="1" ht="15.95" customHeight="1">
      <c r="A3714" s="148">
        <v>2</v>
      </c>
      <c r="B3714" s="118" t="s">
        <v>1258</v>
      </c>
      <c r="C3714" s="120" t="s">
        <v>2459</v>
      </c>
      <c r="D3714" s="42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O3714" s="42"/>
      <c r="P3714" s="42"/>
      <c r="Q3714" s="42"/>
      <c r="R3714" s="42"/>
      <c r="S3714" s="42"/>
      <c r="T3714" s="42"/>
      <c r="U3714" s="42"/>
      <c r="V3714" s="42"/>
      <c r="W3714" s="42"/>
      <c r="X3714" s="42"/>
      <c r="Y3714" s="42"/>
      <c r="Z3714" s="42"/>
      <c r="AA3714" s="42"/>
      <c r="AB3714" s="229">
        <f t="shared" si="1597"/>
        <v>0</v>
      </c>
      <c r="AC3714" s="228">
        <f t="shared" si="1598"/>
        <v>0</v>
      </c>
      <c r="AD3714" s="19">
        <v>8</v>
      </c>
      <c r="AE3714" s="43"/>
      <c r="AF3714" s="43"/>
      <c r="AG3714" s="43"/>
      <c r="AH3714" s="43"/>
      <c r="AI3714" s="43"/>
      <c r="AJ3714" s="43"/>
      <c r="AK3714" s="43"/>
      <c r="AL3714" s="43"/>
      <c r="AM3714" s="43"/>
      <c r="AN3714" s="43"/>
      <c r="AO3714" s="43"/>
      <c r="AP3714" s="43"/>
      <c r="AQ3714" s="43"/>
      <c r="AR3714" s="43"/>
      <c r="AS3714" s="43"/>
      <c r="AT3714" s="43"/>
      <c r="AU3714" s="43"/>
      <c r="AV3714" s="43"/>
      <c r="AW3714" s="43"/>
      <c r="AX3714" s="43"/>
      <c r="AY3714" s="43"/>
      <c r="AZ3714" s="43"/>
      <c r="BA3714" s="43"/>
      <c r="BB3714" s="43"/>
      <c r="BC3714" s="229">
        <f t="shared" si="1599"/>
        <v>0</v>
      </c>
      <c r="BD3714" s="48">
        <f t="shared" si="1600"/>
        <v>0</v>
      </c>
      <c r="BE3714" s="19">
        <v>0</v>
      </c>
      <c r="BF3714" s="229">
        <f t="shared" si="1601"/>
        <v>0</v>
      </c>
      <c r="BG3714" s="210">
        <f t="shared" si="1602"/>
        <v>0</v>
      </c>
      <c r="BH3714" s="210">
        <f t="shared" si="1596"/>
        <v>8</v>
      </c>
      <c r="BI3714" s="213">
        <f t="shared" si="1603"/>
        <v>0</v>
      </c>
      <c r="BJ3714" s="270" t="s">
        <v>2857</v>
      </c>
      <c r="BK3714" s="201"/>
      <c r="BL3714" s="4"/>
      <c r="BM3714" s="4"/>
    </row>
    <row r="3715" spans="1:65" s="38" customFormat="1" ht="15.95" customHeight="1">
      <c r="A3715" s="148">
        <v>3</v>
      </c>
      <c r="B3715" s="118" t="s">
        <v>1228</v>
      </c>
      <c r="C3715" s="120" t="s">
        <v>1229</v>
      </c>
      <c r="D3715" s="42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O3715" s="42"/>
      <c r="P3715" s="42"/>
      <c r="Q3715" s="42"/>
      <c r="R3715" s="42"/>
      <c r="S3715" s="42"/>
      <c r="T3715" s="42"/>
      <c r="U3715" s="42"/>
      <c r="V3715" s="42"/>
      <c r="W3715" s="42"/>
      <c r="X3715" s="42"/>
      <c r="Y3715" s="42"/>
      <c r="Z3715" s="42"/>
      <c r="AA3715" s="42"/>
      <c r="AB3715" s="229">
        <f t="shared" si="1597"/>
        <v>0</v>
      </c>
      <c r="AC3715" s="228">
        <f t="shared" si="1598"/>
        <v>0</v>
      </c>
      <c r="AD3715" s="19">
        <v>65</v>
      </c>
      <c r="AE3715" s="43"/>
      <c r="AF3715" s="43"/>
      <c r="AG3715" s="43"/>
      <c r="AH3715" s="43"/>
      <c r="AI3715" s="43"/>
      <c r="AJ3715" s="43"/>
      <c r="AK3715" s="43"/>
      <c r="AL3715" s="43"/>
      <c r="AM3715" s="43"/>
      <c r="AN3715" s="43"/>
      <c r="AO3715" s="43"/>
      <c r="AP3715" s="43"/>
      <c r="AQ3715" s="43"/>
      <c r="AR3715" s="43"/>
      <c r="AS3715" s="43"/>
      <c r="AT3715" s="43"/>
      <c r="AU3715" s="43"/>
      <c r="AV3715" s="43"/>
      <c r="AW3715" s="43"/>
      <c r="AX3715" s="43"/>
      <c r="AY3715" s="43"/>
      <c r="AZ3715" s="43"/>
      <c r="BA3715" s="43"/>
      <c r="BB3715" s="43"/>
      <c r="BC3715" s="229">
        <f t="shared" si="1599"/>
        <v>0</v>
      </c>
      <c r="BD3715" s="48">
        <f t="shared" si="1600"/>
        <v>0</v>
      </c>
      <c r="BE3715" s="19">
        <v>0</v>
      </c>
      <c r="BF3715" s="229">
        <f t="shared" si="1601"/>
        <v>0</v>
      </c>
      <c r="BG3715" s="210">
        <f t="shared" si="1602"/>
        <v>0</v>
      </c>
      <c r="BH3715" s="210">
        <f t="shared" si="1596"/>
        <v>65</v>
      </c>
      <c r="BI3715" s="213">
        <f t="shared" si="1603"/>
        <v>0</v>
      </c>
      <c r="BJ3715" s="270" t="s">
        <v>2857</v>
      </c>
      <c r="BK3715" s="201"/>
      <c r="BL3715" s="4"/>
      <c r="BM3715" s="4"/>
    </row>
    <row r="3716" spans="1:65" s="38" customFormat="1" ht="15.95" customHeight="1">
      <c r="A3716" s="148">
        <v>4</v>
      </c>
      <c r="B3716" s="118" t="s">
        <v>1232</v>
      </c>
      <c r="C3716" s="120" t="s">
        <v>1233</v>
      </c>
      <c r="D3716" s="42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O3716" s="42"/>
      <c r="P3716" s="42"/>
      <c r="Q3716" s="42"/>
      <c r="R3716" s="42"/>
      <c r="S3716" s="42"/>
      <c r="T3716" s="42"/>
      <c r="U3716" s="42"/>
      <c r="V3716" s="42"/>
      <c r="W3716" s="42"/>
      <c r="X3716" s="42"/>
      <c r="Y3716" s="42"/>
      <c r="Z3716" s="42"/>
      <c r="AA3716" s="42"/>
      <c r="AB3716" s="229">
        <f t="shared" si="1597"/>
        <v>0</v>
      </c>
      <c r="AC3716" s="228">
        <f t="shared" si="1598"/>
        <v>0</v>
      </c>
      <c r="AD3716" s="19">
        <v>18</v>
      </c>
      <c r="AE3716" s="43"/>
      <c r="AF3716" s="43"/>
      <c r="AG3716" s="43"/>
      <c r="AH3716" s="43"/>
      <c r="AI3716" s="43"/>
      <c r="AJ3716" s="43"/>
      <c r="AK3716" s="43"/>
      <c r="AL3716" s="43"/>
      <c r="AM3716" s="43"/>
      <c r="AN3716" s="43"/>
      <c r="AO3716" s="43"/>
      <c r="AP3716" s="43"/>
      <c r="AQ3716" s="43"/>
      <c r="AR3716" s="43"/>
      <c r="AS3716" s="43"/>
      <c r="AT3716" s="43"/>
      <c r="AU3716" s="43"/>
      <c r="AV3716" s="43"/>
      <c r="AW3716" s="43"/>
      <c r="AX3716" s="43"/>
      <c r="AY3716" s="43"/>
      <c r="AZ3716" s="43"/>
      <c r="BA3716" s="43"/>
      <c r="BB3716" s="43"/>
      <c r="BC3716" s="229">
        <f t="shared" si="1599"/>
        <v>0</v>
      </c>
      <c r="BD3716" s="48">
        <f t="shared" si="1600"/>
        <v>0</v>
      </c>
      <c r="BE3716" s="19">
        <v>0</v>
      </c>
      <c r="BF3716" s="229">
        <f t="shared" si="1601"/>
        <v>0</v>
      </c>
      <c r="BG3716" s="210">
        <f t="shared" si="1602"/>
        <v>0</v>
      </c>
      <c r="BH3716" s="210">
        <f t="shared" si="1596"/>
        <v>18</v>
      </c>
      <c r="BI3716" s="213">
        <f t="shared" si="1603"/>
        <v>0</v>
      </c>
      <c r="BJ3716" s="270" t="s">
        <v>2857</v>
      </c>
      <c r="BK3716" s="201"/>
      <c r="BL3716" s="4"/>
      <c r="BM3716" s="4"/>
    </row>
    <row r="3717" spans="1:65" s="38" customFormat="1" ht="15.95" customHeight="1">
      <c r="A3717" s="148">
        <v>5</v>
      </c>
      <c r="B3717" s="118" t="s">
        <v>1234</v>
      </c>
      <c r="C3717" s="120" t="s">
        <v>1235</v>
      </c>
      <c r="D3717" s="42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O3717" s="42"/>
      <c r="P3717" s="42"/>
      <c r="Q3717" s="42"/>
      <c r="R3717" s="42"/>
      <c r="S3717" s="42"/>
      <c r="T3717" s="42"/>
      <c r="U3717" s="42"/>
      <c r="V3717" s="42"/>
      <c r="W3717" s="42"/>
      <c r="X3717" s="42"/>
      <c r="Y3717" s="42"/>
      <c r="Z3717" s="42"/>
      <c r="AA3717" s="42"/>
      <c r="AB3717" s="229">
        <f t="shared" si="1597"/>
        <v>0</v>
      </c>
      <c r="AC3717" s="228">
        <f t="shared" si="1598"/>
        <v>0</v>
      </c>
      <c r="AD3717" s="19">
        <v>42</v>
      </c>
      <c r="AE3717" s="43"/>
      <c r="AF3717" s="43"/>
      <c r="AG3717" s="43"/>
      <c r="AH3717" s="43"/>
      <c r="AI3717" s="43"/>
      <c r="AJ3717" s="43"/>
      <c r="AK3717" s="43"/>
      <c r="AL3717" s="43"/>
      <c r="AM3717" s="43"/>
      <c r="AN3717" s="43"/>
      <c r="AO3717" s="43"/>
      <c r="AP3717" s="43"/>
      <c r="AQ3717" s="43"/>
      <c r="AR3717" s="43"/>
      <c r="AS3717" s="43"/>
      <c r="AT3717" s="43"/>
      <c r="AU3717" s="43"/>
      <c r="AV3717" s="43"/>
      <c r="AW3717" s="43"/>
      <c r="AX3717" s="43"/>
      <c r="AY3717" s="43"/>
      <c r="AZ3717" s="43"/>
      <c r="BA3717" s="43"/>
      <c r="BB3717" s="43"/>
      <c r="BC3717" s="229">
        <f t="shared" si="1599"/>
        <v>0</v>
      </c>
      <c r="BD3717" s="48">
        <f t="shared" si="1600"/>
        <v>0</v>
      </c>
      <c r="BE3717" s="19">
        <v>0</v>
      </c>
      <c r="BF3717" s="229">
        <f t="shared" si="1601"/>
        <v>0</v>
      </c>
      <c r="BG3717" s="210">
        <f t="shared" si="1602"/>
        <v>0</v>
      </c>
      <c r="BH3717" s="210">
        <f t="shared" si="1596"/>
        <v>42</v>
      </c>
      <c r="BI3717" s="213">
        <f t="shared" si="1603"/>
        <v>0</v>
      </c>
      <c r="BJ3717" s="270" t="s">
        <v>2857</v>
      </c>
      <c r="BK3717" s="201"/>
      <c r="BL3717" s="4"/>
      <c r="BM3717" s="4"/>
    </row>
    <row r="3718" spans="1:65" s="38" customFormat="1" ht="15.95" customHeight="1">
      <c r="A3718" s="148">
        <v>6</v>
      </c>
      <c r="B3718" s="118" t="s">
        <v>1236</v>
      </c>
      <c r="C3718" s="120" t="s">
        <v>1237</v>
      </c>
      <c r="D3718" s="42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O3718" s="42"/>
      <c r="P3718" s="42"/>
      <c r="Q3718" s="42"/>
      <c r="R3718" s="42"/>
      <c r="S3718" s="42"/>
      <c r="T3718" s="42"/>
      <c r="U3718" s="42"/>
      <c r="V3718" s="42"/>
      <c r="W3718" s="42"/>
      <c r="X3718" s="42"/>
      <c r="Y3718" s="42"/>
      <c r="Z3718" s="42"/>
      <c r="AA3718" s="42"/>
      <c r="AB3718" s="229">
        <f t="shared" si="1597"/>
        <v>0</v>
      </c>
      <c r="AC3718" s="228">
        <f t="shared" si="1598"/>
        <v>0</v>
      </c>
      <c r="AD3718" s="19">
        <v>10</v>
      </c>
      <c r="AE3718" s="43"/>
      <c r="AF3718" s="43"/>
      <c r="AG3718" s="43"/>
      <c r="AH3718" s="43"/>
      <c r="AI3718" s="43"/>
      <c r="AJ3718" s="43"/>
      <c r="AK3718" s="43"/>
      <c r="AL3718" s="43"/>
      <c r="AM3718" s="43"/>
      <c r="AN3718" s="43"/>
      <c r="AO3718" s="43"/>
      <c r="AP3718" s="43"/>
      <c r="AQ3718" s="43"/>
      <c r="AR3718" s="43"/>
      <c r="AS3718" s="43"/>
      <c r="AT3718" s="43"/>
      <c r="AU3718" s="43"/>
      <c r="AV3718" s="43"/>
      <c r="AW3718" s="43"/>
      <c r="AX3718" s="43"/>
      <c r="AY3718" s="43"/>
      <c r="AZ3718" s="43"/>
      <c r="BA3718" s="43"/>
      <c r="BB3718" s="43"/>
      <c r="BC3718" s="229">
        <f t="shared" si="1599"/>
        <v>0</v>
      </c>
      <c r="BD3718" s="48">
        <f t="shared" si="1600"/>
        <v>0</v>
      </c>
      <c r="BE3718" s="19">
        <v>0</v>
      </c>
      <c r="BF3718" s="229">
        <f t="shared" si="1601"/>
        <v>0</v>
      </c>
      <c r="BG3718" s="210">
        <f t="shared" si="1602"/>
        <v>0</v>
      </c>
      <c r="BH3718" s="210">
        <f t="shared" si="1596"/>
        <v>10</v>
      </c>
      <c r="BI3718" s="213">
        <f t="shared" si="1603"/>
        <v>0</v>
      </c>
      <c r="BJ3718" s="270" t="s">
        <v>2857</v>
      </c>
      <c r="BK3718" s="201"/>
      <c r="BL3718" s="4"/>
      <c r="BM3718" s="4"/>
    </row>
    <row r="3719" spans="1:65" s="38" customFormat="1" ht="15.95" customHeight="1">
      <c r="A3719" s="148">
        <v>7</v>
      </c>
      <c r="B3719" s="118" t="s">
        <v>1241</v>
      </c>
      <c r="C3719" s="120" t="s">
        <v>1242</v>
      </c>
      <c r="D3719" s="42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O3719" s="42"/>
      <c r="P3719" s="42"/>
      <c r="Q3719" s="42"/>
      <c r="R3719" s="42"/>
      <c r="S3719" s="42"/>
      <c r="T3719" s="42"/>
      <c r="U3719" s="42"/>
      <c r="V3719" s="42"/>
      <c r="W3719" s="42"/>
      <c r="X3719" s="42"/>
      <c r="Y3719" s="42"/>
      <c r="Z3719" s="42"/>
      <c r="AA3719" s="42"/>
      <c r="AB3719" s="229">
        <f t="shared" si="1597"/>
        <v>0</v>
      </c>
      <c r="AC3719" s="228">
        <f t="shared" si="1598"/>
        <v>0</v>
      </c>
      <c r="AD3719" s="19">
        <v>0</v>
      </c>
      <c r="AE3719" s="43"/>
      <c r="AF3719" s="43"/>
      <c r="AG3719" s="43"/>
      <c r="AH3719" s="43"/>
      <c r="AI3719" s="43"/>
      <c r="AJ3719" s="43"/>
      <c r="AK3719" s="43"/>
      <c r="AL3719" s="43"/>
      <c r="AM3719" s="43"/>
      <c r="AN3719" s="43"/>
      <c r="AO3719" s="43"/>
      <c r="AP3719" s="43"/>
      <c r="AQ3719" s="43"/>
      <c r="AR3719" s="43"/>
      <c r="AS3719" s="43"/>
      <c r="AT3719" s="43"/>
      <c r="AU3719" s="43"/>
      <c r="AV3719" s="43"/>
      <c r="AW3719" s="43"/>
      <c r="AX3719" s="43"/>
      <c r="AY3719" s="43"/>
      <c r="AZ3719" s="43"/>
      <c r="BA3719" s="43"/>
      <c r="BB3719" s="43"/>
      <c r="BC3719" s="229">
        <f t="shared" si="1599"/>
        <v>0</v>
      </c>
      <c r="BD3719" s="48">
        <f t="shared" si="1600"/>
        <v>0</v>
      </c>
      <c r="BE3719" s="19">
        <v>20</v>
      </c>
      <c r="BF3719" s="229">
        <f t="shared" si="1601"/>
        <v>0</v>
      </c>
      <c r="BG3719" s="210">
        <f t="shared" si="1602"/>
        <v>0</v>
      </c>
      <c r="BH3719" s="210">
        <f t="shared" si="1596"/>
        <v>20</v>
      </c>
      <c r="BI3719" s="213">
        <f t="shared" si="1603"/>
        <v>0</v>
      </c>
      <c r="BJ3719" s="141"/>
      <c r="BK3719" s="201"/>
      <c r="BL3719" s="4"/>
      <c r="BM3719" s="4"/>
    </row>
    <row r="3720" spans="1:65" s="38" customFormat="1" ht="15.95" customHeight="1">
      <c r="A3720" s="148">
        <v>8</v>
      </c>
      <c r="B3720" s="152" t="s">
        <v>840</v>
      </c>
      <c r="C3720" s="120" t="s">
        <v>841</v>
      </c>
      <c r="D3720" s="42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O3720" s="42"/>
      <c r="P3720" s="42"/>
      <c r="Q3720" s="42"/>
      <c r="R3720" s="42"/>
      <c r="S3720" s="42"/>
      <c r="T3720" s="42"/>
      <c r="U3720" s="42"/>
      <c r="V3720" s="42"/>
      <c r="W3720" s="42"/>
      <c r="X3720" s="42"/>
      <c r="Y3720" s="42"/>
      <c r="Z3720" s="42"/>
      <c r="AA3720" s="42"/>
      <c r="AB3720" s="229">
        <f t="shared" si="1597"/>
        <v>0</v>
      </c>
      <c r="AC3720" s="228">
        <f t="shared" si="1598"/>
        <v>0</v>
      </c>
      <c r="AD3720" s="19">
        <v>0</v>
      </c>
      <c r="AE3720" s="43"/>
      <c r="AF3720" s="43"/>
      <c r="AG3720" s="43"/>
      <c r="AH3720" s="43"/>
      <c r="AI3720" s="43"/>
      <c r="AJ3720" s="43"/>
      <c r="AK3720" s="43"/>
      <c r="AL3720" s="43"/>
      <c r="AM3720" s="43"/>
      <c r="AN3720" s="43"/>
      <c r="AO3720" s="43"/>
      <c r="AP3720" s="43"/>
      <c r="AQ3720" s="43"/>
      <c r="AR3720" s="43"/>
      <c r="AS3720" s="43"/>
      <c r="AT3720" s="43"/>
      <c r="AU3720" s="43"/>
      <c r="AV3720" s="43"/>
      <c r="AW3720" s="43"/>
      <c r="AX3720" s="43"/>
      <c r="AY3720" s="43"/>
      <c r="AZ3720" s="43"/>
      <c r="BA3720" s="43"/>
      <c r="BB3720" s="43"/>
      <c r="BC3720" s="229">
        <f t="shared" si="1599"/>
        <v>0</v>
      </c>
      <c r="BD3720" s="48">
        <f t="shared" si="1600"/>
        <v>0</v>
      </c>
      <c r="BE3720" s="19">
        <v>10</v>
      </c>
      <c r="BF3720" s="229">
        <f t="shared" si="1601"/>
        <v>0</v>
      </c>
      <c r="BG3720" s="210">
        <f t="shared" si="1602"/>
        <v>0</v>
      </c>
      <c r="BH3720" s="210">
        <f t="shared" si="1596"/>
        <v>10</v>
      </c>
      <c r="BI3720" s="213">
        <f t="shared" si="1603"/>
        <v>0</v>
      </c>
      <c r="BJ3720" s="141"/>
      <c r="BK3720" s="201"/>
      <c r="BL3720" s="4"/>
      <c r="BM3720" s="4"/>
    </row>
    <row r="3721" spans="1:65" s="38" customFormat="1" ht="15.95" customHeight="1">
      <c r="A3721" s="148">
        <v>9</v>
      </c>
      <c r="B3721" s="118" t="s">
        <v>1178</v>
      </c>
      <c r="C3721" s="120" t="s">
        <v>1179</v>
      </c>
      <c r="D3721" s="42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O3721" s="42"/>
      <c r="P3721" s="42"/>
      <c r="Q3721" s="42"/>
      <c r="R3721" s="42"/>
      <c r="S3721" s="42"/>
      <c r="T3721" s="42"/>
      <c r="U3721" s="42"/>
      <c r="V3721" s="42"/>
      <c r="W3721" s="42"/>
      <c r="X3721" s="42"/>
      <c r="Y3721" s="42"/>
      <c r="Z3721" s="42"/>
      <c r="AA3721" s="42"/>
      <c r="AB3721" s="229">
        <f t="shared" si="1597"/>
        <v>0</v>
      </c>
      <c r="AC3721" s="228">
        <f t="shared" si="1598"/>
        <v>0</v>
      </c>
      <c r="AD3721" s="19">
        <v>0</v>
      </c>
      <c r="AE3721" s="43"/>
      <c r="AF3721" s="43"/>
      <c r="AG3721" s="43"/>
      <c r="AH3721" s="43"/>
      <c r="AI3721" s="43"/>
      <c r="AJ3721" s="43"/>
      <c r="AK3721" s="43"/>
      <c r="AL3721" s="43"/>
      <c r="AM3721" s="43"/>
      <c r="AN3721" s="43"/>
      <c r="AO3721" s="43"/>
      <c r="AP3721" s="43"/>
      <c r="AQ3721" s="43"/>
      <c r="AR3721" s="43"/>
      <c r="AS3721" s="43"/>
      <c r="AT3721" s="43"/>
      <c r="AU3721" s="43"/>
      <c r="AV3721" s="43"/>
      <c r="AW3721" s="43"/>
      <c r="AX3721" s="43"/>
      <c r="AY3721" s="43"/>
      <c r="AZ3721" s="43"/>
      <c r="BA3721" s="43"/>
      <c r="BB3721" s="43"/>
      <c r="BC3721" s="229">
        <f t="shared" si="1599"/>
        <v>0</v>
      </c>
      <c r="BD3721" s="48">
        <f t="shared" si="1600"/>
        <v>0</v>
      </c>
      <c r="BE3721" s="19">
        <v>32</v>
      </c>
      <c r="BF3721" s="229">
        <f t="shared" si="1601"/>
        <v>0</v>
      </c>
      <c r="BG3721" s="210">
        <f t="shared" si="1602"/>
        <v>0</v>
      </c>
      <c r="BH3721" s="210">
        <f t="shared" si="1596"/>
        <v>32</v>
      </c>
      <c r="BI3721" s="213">
        <f t="shared" si="1603"/>
        <v>0</v>
      </c>
      <c r="BJ3721" s="141"/>
      <c r="BK3721" s="201"/>
      <c r="BL3721" s="4"/>
      <c r="BM3721" s="4"/>
    </row>
    <row r="3722" spans="1:65" s="38" customFormat="1" ht="21.95" customHeight="1">
      <c r="A3722" s="148">
        <v>10</v>
      </c>
      <c r="B3722" s="118" t="s">
        <v>1245</v>
      </c>
      <c r="C3722" s="119" t="s">
        <v>1246</v>
      </c>
      <c r="D3722" s="42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O3722" s="42"/>
      <c r="P3722" s="42"/>
      <c r="Q3722" s="42"/>
      <c r="R3722" s="42"/>
      <c r="S3722" s="42"/>
      <c r="T3722" s="42"/>
      <c r="U3722" s="42"/>
      <c r="V3722" s="42"/>
      <c r="W3722" s="42"/>
      <c r="X3722" s="42"/>
      <c r="Y3722" s="42"/>
      <c r="Z3722" s="42"/>
      <c r="AA3722" s="42"/>
      <c r="AB3722" s="229">
        <f t="shared" si="1597"/>
        <v>0</v>
      </c>
      <c r="AC3722" s="228">
        <f t="shared" si="1598"/>
        <v>0</v>
      </c>
      <c r="AD3722" s="19">
        <v>0</v>
      </c>
      <c r="AE3722" s="43"/>
      <c r="AF3722" s="43"/>
      <c r="AG3722" s="43"/>
      <c r="AH3722" s="43"/>
      <c r="AI3722" s="43"/>
      <c r="AJ3722" s="43"/>
      <c r="AK3722" s="43"/>
      <c r="AL3722" s="43"/>
      <c r="AM3722" s="43"/>
      <c r="AN3722" s="43"/>
      <c r="AO3722" s="43"/>
      <c r="AP3722" s="43"/>
      <c r="AQ3722" s="43"/>
      <c r="AR3722" s="43"/>
      <c r="AS3722" s="43"/>
      <c r="AT3722" s="43"/>
      <c r="AU3722" s="43"/>
      <c r="AV3722" s="43"/>
      <c r="AW3722" s="43"/>
      <c r="AX3722" s="43"/>
      <c r="AY3722" s="43"/>
      <c r="AZ3722" s="43"/>
      <c r="BA3722" s="43"/>
      <c r="BB3722" s="43"/>
      <c r="BC3722" s="229">
        <f t="shared" si="1599"/>
        <v>0</v>
      </c>
      <c r="BD3722" s="48">
        <f t="shared" si="1600"/>
        <v>0</v>
      </c>
      <c r="BE3722" s="19">
        <v>42</v>
      </c>
      <c r="BF3722" s="229">
        <f t="shared" si="1601"/>
        <v>0</v>
      </c>
      <c r="BG3722" s="210">
        <f t="shared" si="1602"/>
        <v>0</v>
      </c>
      <c r="BH3722" s="210">
        <f t="shared" si="1596"/>
        <v>42</v>
      </c>
      <c r="BI3722" s="213">
        <f t="shared" si="1603"/>
        <v>0</v>
      </c>
      <c r="BJ3722" s="141"/>
      <c r="BK3722" s="201"/>
      <c r="BL3722" s="4"/>
      <c r="BM3722" s="4"/>
    </row>
    <row r="3723" spans="1:65" s="38" customFormat="1" ht="15.95" customHeight="1">
      <c r="A3723" s="148">
        <v>11</v>
      </c>
      <c r="B3723" s="118" t="s">
        <v>1262</v>
      </c>
      <c r="C3723" s="120" t="s">
        <v>1263</v>
      </c>
      <c r="D3723" s="42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O3723" s="42"/>
      <c r="P3723" s="42"/>
      <c r="Q3723" s="42"/>
      <c r="R3723" s="42"/>
      <c r="S3723" s="42"/>
      <c r="T3723" s="42"/>
      <c r="U3723" s="42"/>
      <c r="V3723" s="42"/>
      <c r="W3723" s="42"/>
      <c r="X3723" s="42"/>
      <c r="Y3723" s="42"/>
      <c r="Z3723" s="42"/>
      <c r="AA3723" s="42"/>
      <c r="AB3723" s="229">
        <f t="shared" si="1597"/>
        <v>0</v>
      </c>
      <c r="AC3723" s="228">
        <f t="shared" si="1598"/>
        <v>0</v>
      </c>
      <c r="AD3723" s="19">
        <v>0</v>
      </c>
      <c r="AE3723" s="43"/>
      <c r="AF3723" s="43"/>
      <c r="AG3723" s="43"/>
      <c r="AH3723" s="43"/>
      <c r="AI3723" s="43"/>
      <c r="AJ3723" s="43"/>
      <c r="AK3723" s="43"/>
      <c r="AL3723" s="43"/>
      <c r="AM3723" s="43"/>
      <c r="AN3723" s="43"/>
      <c r="AO3723" s="43"/>
      <c r="AP3723" s="43"/>
      <c r="AQ3723" s="43"/>
      <c r="AR3723" s="43"/>
      <c r="AS3723" s="43"/>
      <c r="AT3723" s="43"/>
      <c r="AU3723" s="43"/>
      <c r="AV3723" s="43"/>
      <c r="AW3723" s="43"/>
      <c r="AX3723" s="43"/>
      <c r="AY3723" s="43"/>
      <c r="AZ3723" s="43"/>
      <c r="BA3723" s="43"/>
      <c r="BB3723" s="43"/>
      <c r="BC3723" s="229">
        <f t="shared" si="1599"/>
        <v>0</v>
      </c>
      <c r="BD3723" s="48">
        <f t="shared" si="1600"/>
        <v>0</v>
      </c>
      <c r="BE3723" s="19">
        <v>10</v>
      </c>
      <c r="BF3723" s="229">
        <f t="shared" si="1601"/>
        <v>0</v>
      </c>
      <c r="BG3723" s="210">
        <f t="shared" si="1602"/>
        <v>0</v>
      </c>
      <c r="BH3723" s="210">
        <f t="shared" si="1596"/>
        <v>10</v>
      </c>
      <c r="BI3723" s="213">
        <f t="shared" si="1603"/>
        <v>0</v>
      </c>
      <c r="BJ3723" s="141"/>
      <c r="BK3723" s="201"/>
      <c r="BL3723" s="4"/>
      <c r="BM3723" s="4"/>
    </row>
    <row r="3724" spans="1:65" s="38" customFormat="1" ht="21.95" customHeight="1">
      <c r="A3724" s="368" t="s">
        <v>2801</v>
      </c>
      <c r="B3724" s="368"/>
      <c r="C3724" s="368"/>
      <c r="D3724" s="39">
        <f t="shared" ref="D3724:BE3724" si="1604">D3725</f>
        <v>0</v>
      </c>
      <c r="E3724" s="39">
        <f t="shared" si="1604"/>
        <v>0</v>
      </c>
      <c r="F3724" s="39">
        <f t="shared" si="1604"/>
        <v>0</v>
      </c>
      <c r="G3724" s="39">
        <f t="shared" si="1604"/>
        <v>0</v>
      </c>
      <c r="H3724" s="39">
        <f t="shared" si="1604"/>
        <v>0</v>
      </c>
      <c r="I3724" s="39">
        <f t="shared" si="1604"/>
        <v>0</v>
      </c>
      <c r="J3724" s="39">
        <f t="shared" si="1604"/>
        <v>0</v>
      </c>
      <c r="K3724" s="39">
        <f t="shared" si="1604"/>
        <v>0</v>
      </c>
      <c r="L3724" s="39">
        <f t="shared" si="1604"/>
        <v>0</v>
      </c>
      <c r="M3724" s="39">
        <f t="shared" si="1604"/>
        <v>0</v>
      </c>
      <c r="N3724" s="39">
        <f t="shared" si="1604"/>
        <v>0</v>
      </c>
      <c r="O3724" s="39">
        <f t="shared" si="1604"/>
        <v>0</v>
      </c>
      <c r="P3724" s="39">
        <f t="shared" si="1604"/>
        <v>0</v>
      </c>
      <c r="Q3724" s="39">
        <f t="shared" si="1604"/>
        <v>0</v>
      </c>
      <c r="R3724" s="39">
        <f t="shared" si="1604"/>
        <v>0</v>
      </c>
      <c r="S3724" s="39">
        <f t="shared" si="1604"/>
        <v>0</v>
      </c>
      <c r="T3724" s="39">
        <f t="shared" si="1604"/>
        <v>0</v>
      </c>
      <c r="U3724" s="39">
        <f t="shared" si="1604"/>
        <v>0</v>
      </c>
      <c r="V3724" s="39">
        <f t="shared" si="1604"/>
        <v>0</v>
      </c>
      <c r="W3724" s="39">
        <f t="shared" si="1604"/>
        <v>0</v>
      </c>
      <c r="X3724" s="39">
        <f t="shared" si="1604"/>
        <v>0</v>
      </c>
      <c r="Y3724" s="39">
        <f t="shared" si="1604"/>
        <v>0</v>
      </c>
      <c r="Z3724" s="39">
        <f t="shared" si="1604"/>
        <v>0</v>
      </c>
      <c r="AA3724" s="39">
        <f t="shared" si="1604"/>
        <v>0</v>
      </c>
      <c r="AB3724" s="229">
        <f t="shared" ref="AB3724:AB3745" si="1605">D3724+F3724+H3724+J3724+L3724+N3724+P3724+R3724+T3724+V3724+X3724+Z3724</f>
        <v>0</v>
      </c>
      <c r="AC3724" s="228">
        <f t="shared" ref="AC3724:AC3745" si="1606">E3724+G3724+I3724+K3724+M3724+O3724+Q3724+S3724+U3724+W3724+Y3724+AA3724</f>
        <v>0</v>
      </c>
      <c r="AD3724" s="74">
        <f t="shared" si="1604"/>
        <v>0</v>
      </c>
      <c r="AE3724" s="39">
        <f t="shared" si="1604"/>
        <v>0</v>
      </c>
      <c r="AF3724" s="39">
        <f t="shared" si="1604"/>
        <v>0</v>
      </c>
      <c r="AG3724" s="39">
        <f t="shared" si="1604"/>
        <v>0</v>
      </c>
      <c r="AH3724" s="39">
        <f t="shared" si="1604"/>
        <v>0</v>
      </c>
      <c r="AI3724" s="39">
        <f t="shared" si="1604"/>
        <v>0</v>
      </c>
      <c r="AJ3724" s="39">
        <f t="shared" si="1604"/>
        <v>0</v>
      </c>
      <c r="AK3724" s="39">
        <f t="shared" si="1604"/>
        <v>0</v>
      </c>
      <c r="AL3724" s="39">
        <f t="shared" si="1604"/>
        <v>0</v>
      </c>
      <c r="AM3724" s="39">
        <f t="shared" si="1604"/>
        <v>0</v>
      </c>
      <c r="AN3724" s="39">
        <f t="shared" si="1604"/>
        <v>0</v>
      </c>
      <c r="AO3724" s="39">
        <f t="shared" si="1604"/>
        <v>0</v>
      </c>
      <c r="AP3724" s="39">
        <f t="shared" si="1604"/>
        <v>0</v>
      </c>
      <c r="AQ3724" s="39">
        <f t="shared" si="1604"/>
        <v>0</v>
      </c>
      <c r="AR3724" s="39">
        <f t="shared" si="1604"/>
        <v>0</v>
      </c>
      <c r="AS3724" s="39">
        <f t="shared" si="1604"/>
        <v>0</v>
      </c>
      <c r="AT3724" s="39">
        <f t="shared" si="1604"/>
        <v>0</v>
      </c>
      <c r="AU3724" s="39">
        <f t="shared" si="1604"/>
        <v>0</v>
      </c>
      <c r="AV3724" s="39">
        <f t="shared" si="1604"/>
        <v>0</v>
      </c>
      <c r="AW3724" s="39">
        <f t="shared" si="1604"/>
        <v>0</v>
      </c>
      <c r="AX3724" s="39">
        <f t="shared" si="1604"/>
        <v>0</v>
      </c>
      <c r="AY3724" s="39">
        <f t="shared" si="1604"/>
        <v>0</v>
      </c>
      <c r="AZ3724" s="39">
        <f t="shared" si="1604"/>
        <v>0</v>
      </c>
      <c r="BA3724" s="39">
        <f t="shared" si="1604"/>
        <v>0</v>
      </c>
      <c r="BB3724" s="39">
        <f t="shared" si="1604"/>
        <v>0</v>
      </c>
      <c r="BC3724" s="229">
        <f t="shared" ref="BC3724:BC3745" si="1607">AE3724+AG3724+AI3724+AK3724+AM3724+AO3724+AQ3724+AS3724+AU3724+AW3724+AY3724+BA3724</f>
        <v>0</v>
      </c>
      <c r="BD3724" s="48">
        <f t="shared" ref="BD3724:BD3745" si="1608">AF3724+AH3724+AJ3724+AL3724+AN3724+AP3724+AR3724+AT3724+AV3724+AX3724+AZ3724+BB3724</f>
        <v>0</v>
      </c>
      <c r="BE3724" s="74">
        <f t="shared" si="1604"/>
        <v>0</v>
      </c>
      <c r="BF3724" s="229">
        <f t="shared" ref="BF3724:BF3745" si="1609">AB3724+BC3724</f>
        <v>0</v>
      </c>
      <c r="BG3724" s="210">
        <f t="shared" ref="BG3724:BG3745" si="1610">AC3724+BD3724</f>
        <v>0</v>
      </c>
      <c r="BH3724" s="210">
        <f t="shared" si="1596"/>
        <v>0</v>
      </c>
      <c r="BI3724" s="213" t="e">
        <f t="shared" ref="BI3724:BI3745" si="1611">BG3724/BH3724*100</f>
        <v>#DIV/0!</v>
      </c>
      <c r="BJ3724" s="142">
        <v>0</v>
      </c>
      <c r="BK3724" s="203">
        <f>BH3724-BJ3724</f>
        <v>0</v>
      </c>
      <c r="BL3724" s="4"/>
      <c r="BM3724" s="4"/>
    </row>
    <row r="3725" spans="1:65" s="38" customFormat="1" ht="16.5" customHeight="1">
      <c r="A3725" s="98"/>
      <c r="B3725" s="98"/>
      <c r="C3725" s="98"/>
      <c r="D3725" s="42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O3725" s="42"/>
      <c r="P3725" s="42"/>
      <c r="Q3725" s="42"/>
      <c r="R3725" s="42"/>
      <c r="S3725" s="42"/>
      <c r="T3725" s="42"/>
      <c r="U3725" s="42"/>
      <c r="V3725" s="42"/>
      <c r="W3725" s="42"/>
      <c r="X3725" s="42"/>
      <c r="Y3725" s="42"/>
      <c r="Z3725" s="42"/>
      <c r="AA3725" s="42"/>
      <c r="AB3725" s="229">
        <f t="shared" si="1605"/>
        <v>0</v>
      </c>
      <c r="AC3725" s="228">
        <f t="shared" si="1606"/>
        <v>0</v>
      </c>
      <c r="AD3725" s="19">
        <v>0</v>
      </c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229">
        <f t="shared" si="1607"/>
        <v>0</v>
      </c>
      <c r="BD3725" s="48">
        <f t="shared" si="1608"/>
        <v>0</v>
      </c>
      <c r="BE3725" s="19">
        <v>0</v>
      </c>
      <c r="BF3725" s="229">
        <f t="shared" si="1609"/>
        <v>0</v>
      </c>
      <c r="BG3725" s="210">
        <f t="shared" si="1610"/>
        <v>0</v>
      </c>
      <c r="BH3725" s="210">
        <f t="shared" si="1596"/>
        <v>0</v>
      </c>
      <c r="BI3725" s="213" t="e">
        <f t="shared" si="1611"/>
        <v>#DIV/0!</v>
      </c>
      <c r="BJ3725" s="141"/>
      <c r="BK3725" s="201"/>
      <c r="BL3725" s="4"/>
      <c r="BM3725" s="4"/>
    </row>
    <row r="3726" spans="1:65" s="38" customFormat="1" ht="27.75" customHeight="1">
      <c r="A3726" s="369" t="s">
        <v>2802</v>
      </c>
      <c r="B3726" s="370"/>
      <c r="C3726" s="371"/>
      <c r="D3726" s="39">
        <f t="shared" ref="D3726:BE3726" si="1612">SUM(D3727:D3732)</f>
        <v>0</v>
      </c>
      <c r="E3726" s="39">
        <f t="shared" si="1612"/>
        <v>0</v>
      </c>
      <c r="F3726" s="39">
        <f t="shared" si="1612"/>
        <v>0</v>
      </c>
      <c r="G3726" s="39">
        <f t="shared" si="1612"/>
        <v>0</v>
      </c>
      <c r="H3726" s="39">
        <f t="shared" si="1612"/>
        <v>0</v>
      </c>
      <c r="I3726" s="39">
        <f t="shared" si="1612"/>
        <v>62</v>
      </c>
      <c r="J3726" s="39">
        <f t="shared" si="1612"/>
        <v>0</v>
      </c>
      <c r="K3726" s="39">
        <f t="shared" si="1612"/>
        <v>0</v>
      </c>
      <c r="L3726" s="39">
        <f t="shared" si="1612"/>
        <v>0</v>
      </c>
      <c r="M3726" s="39">
        <f t="shared" si="1612"/>
        <v>0</v>
      </c>
      <c r="N3726" s="39">
        <f t="shared" si="1612"/>
        <v>0</v>
      </c>
      <c r="O3726" s="39">
        <f t="shared" si="1612"/>
        <v>44</v>
      </c>
      <c r="P3726" s="39">
        <f t="shared" si="1612"/>
        <v>0</v>
      </c>
      <c r="Q3726" s="39">
        <f t="shared" si="1612"/>
        <v>0</v>
      </c>
      <c r="R3726" s="39">
        <f t="shared" si="1612"/>
        <v>0</v>
      </c>
      <c r="S3726" s="39">
        <f t="shared" si="1612"/>
        <v>0</v>
      </c>
      <c r="T3726" s="39">
        <f t="shared" si="1612"/>
        <v>0</v>
      </c>
      <c r="U3726" s="39">
        <f t="shared" si="1612"/>
        <v>6</v>
      </c>
      <c r="V3726" s="39">
        <f t="shared" si="1612"/>
        <v>0</v>
      </c>
      <c r="W3726" s="39">
        <f t="shared" si="1612"/>
        <v>0</v>
      </c>
      <c r="X3726" s="39">
        <f t="shared" si="1612"/>
        <v>0</v>
      </c>
      <c r="Y3726" s="39">
        <f t="shared" si="1612"/>
        <v>0</v>
      </c>
      <c r="Z3726" s="39">
        <f t="shared" si="1612"/>
        <v>0</v>
      </c>
      <c r="AA3726" s="39">
        <f t="shared" si="1612"/>
        <v>37</v>
      </c>
      <c r="AB3726" s="39">
        <f t="shared" si="1605"/>
        <v>0</v>
      </c>
      <c r="AC3726" s="39">
        <f t="shared" si="1606"/>
        <v>149</v>
      </c>
      <c r="AD3726" s="39">
        <f t="shared" si="1612"/>
        <v>26</v>
      </c>
      <c r="AE3726" s="39">
        <f t="shared" si="1612"/>
        <v>0</v>
      </c>
      <c r="AF3726" s="39">
        <f t="shared" si="1612"/>
        <v>0</v>
      </c>
      <c r="AG3726" s="39">
        <f t="shared" si="1612"/>
        <v>0</v>
      </c>
      <c r="AH3726" s="39">
        <f t="shared" si="1612"/>
        <v>0</v>
      </c>
      <c r="AI3726" s="39">
        <f t="shared" si="1612"/>
        <v>0</v>
      </c>
      <c r="AJ3726" s="39">
        <f t="shared" si="1612"/>
        <v>0</v>
      </c>
      <c r="AK3726" s="39">
        <f t="shared" si="1612"/>
        <v>0</v>
      </c>
      <c r="AL3726" s="39">
        <f t="shared" si="1612"/>
        <v>0</v>
      </c>
      <c r="AM3726" s="39">
        <f t="shared" si="1612"/>
        <v>0</v>
      </c>
      <c r="AN3726" s="39">
        <f t="shared" si="1612"/>
        <v>0</v>
      </c>
      <c r="AO3726" s="39">
        <f t="shared" si="1612"/>
        <v>0</v>
      </c>
      <c r="AP3726" s="39">
        <f t="shared" si="1612"/>
        <v>0</v>
      </c>
      <c r="AQ3726" s="39">
        <f t="shared" si="1612"/>
        <v>0</v>
      </c>
      <c r="AR3726" s="39">
        <f t="shared" si="1612"/>
        <v>0</v>
      </c>
      <c r="AS3726" s="39">
        <f t="shared" si="1612"/>
        <v>0</v>
      </c>
      <c r="AT3726" s="39">
        <f t="shared" si="1612"/>
        <v>0</v>
      </c>
      <c r="AU3726" s="39">
        <f t="shared" ref="AU3726:AX3726" si="1613">SUM(AU3727:AU3732)</f>
        <v>0</v>
      </c>
      <c r="AV3726" s="39">
        <f t="shared" si="1613"/>
        <v>0</v>
      </c>
      <c r="AW3726" s="39">
        <f t="shared" si="1613"/>
        <v>0</v>
      </c>
      <c r="AX3726" s="39">
        <f t="shared" si="1613"/>
        <v>0</v>
      </c>
      <c r="AY3726" s="39">
        <f t="shared" si="1612"/>
        <v>0</v>
      </c>
      <c r="AZ3726" s="39">
        <f t="shared" si="1612"/>
        <v>0</v>
      </c>
      <c r="BA3726" s="39">
        <f t="shared" si="1612"/>
        <v>0</v>
      </c>
      <c r="BB3726" s="39">
        <f t="shared" si="1612"/>
        <v>0</v>
      </c>
      <c r="BC3726" s="39">
        <f t="shared" si="1607"/>
        <v>0</v>
      </c>
      <c r="BD3726" s="101">
        <f t="shared" si="1608"/>
        <v>0</v>
      </c>
      <c r="BE3726" s="39">
        <f t="shared" si="1612"/>
        <v>27</v>
      </c>
      <c r="BF3726" s="39">
        <f t="shared" si="1609"/>
        <v>0</v>
      </c>
      <c r="BG3726" s="101">
        <f t="shared" si="1610"/>
        <v>149</v>
      </c>
      <c r="BH3726" s="101">
        <f t="shared" si="1596"/>
        <v>53</v>
      </c>
      <c r="BI3726" s="280">
        <f t="shared" si="1611"/>
        <v>281.1320754716981</v>
      </c>
      <c r="BJ3726" s="142">
        <v>53</v>
      </c>
      <c r="BK3726" s="203">
        <f>BH3726-BJ3726</f>
        <v>0</v>
      </c>
      <c r="BL3726" s="4"/>
      <c r="BM3726" s="4"/>
    </row>
    <row r="3727" spans="1:65" s="38" customFormat="1" ht="15.95" customHeight="1">
      <c r="A3727" s="148">
        <v>1</v>
      </c>
      <c r="B3727" s="118" t="s">
        <v>1228</v>
      </c>
      <c r="C3727" s="120" t="s">
        <v>1229</v>
      </c>
      <c r="D3727" s="42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O3727" s="42"/>
      <c r="P3727" s="42"/>
      <c r="Q3727" s="42"/>
      <c r="R3727" s="42"/>
      <c r="S3727" s="42"/>
      <c r="T3727" s="42"/>
      <c r="U3727" s="42"/>
      <c r="V3727" s="42"/>
      <c r="W3727" s="42"/>
      <c r="X3727" s="42"/>
      <c r="Y3727" s="42"/>
      <c r="Z3727" s="42"/>
      <c r="AA3727" s="42"/>
      <c r="AB3727" s="229">
        <f t="shared" ref="AB3727:AC3732" si="1614">D3727+F3727+H3727+J3727+L3727+N3727+P3727+R3727+T3727+V3727+X3727+Z3727</f>
        <v>0</v>
      </c>
      <c r="AC3727" s="228">
        <f t="shared" si="1614"/>
        <v>0</v>
      </c>
      <c r="AD3727" s="19">
        <v>3</v>
      </c>
      <c r="AE3727" s="43"/>
      <c r="AF3727" s="43"/>
      <c r="AG3727" s="43"/>
      <c r="AH3727" s="43"/>
      <c r="AI3727" s="43"/>
      <c r="AJ3727" s="43"/>
      <c r="AK3727" s="43"/>
      <c r="AL3727" s="43"/>
      <c r="AM3727" s="43"/>
      <c r="AN3727" s="43"/>
      <c r="AO3727" s="43"/>
      <c r="AP3727" s="43"/>
      <c r="AQ3727" s="43"/>
      <c r="AR3727" s="43"/>
      <c r="AS3727" s="43"/>
      <c r="AT3727" s="43"/>
      <c r="AU3727" s="43"/>
      <c r="AV3727" s="43"/>
      <c r="AW3727" s="43"/>
      <c r="AX3727" s="43"/>
      <c r="AY3727" s="43"/>
      <c r="AZ3727" s="43"/>
      <c r="BA3727" s="43"/>
      <c r="BB3727" s="43"/>
      <c r="BC3727" s="229">
        <f t="shared" ref="BC3727:BD3732" si="1615">AE3727+AG3727+AI3727+AK3727+AM3727+AO3727+AQ3727+AS3727+AU3727+AW3727+AY3727+BA3727</f>
        <v>0</v>
      </c>
      <c r="BD3727" s="48">
        <f t="shared" si="1615"/>
        <v>0</v>
      </c>
      <c r="BE3727" s="19">
        <v>0</v>
      </c>
      <c r="BF3727" s="229">
        <f t="shared" ref="BF3727:BH3732" si="1616">AB3727+BC3727</f>
        <v>0</v>
      </c>
      <c r="BG3727" s="210">
        <f t="shared" si="1616"/>
        <v>0</v>
      </c>
      <c r="BH3727" s="210">
        <f t="shared" si="1616"/>
        <v>3</v>
      </c>
      <c r="BI3727" s="213">
        <f t="shared" ref="BI3727:BI3732" si="1617">BG3727/BH3727*100</f>
        <v>0</v>
      </c>
      <c r="BJ3727" s="270" t="s">
        <v>2857</v>
      </c>
      <c r="BK3727" s="201"/>
      <c r="BL3727" s="4"/>
      <c r="BM3727" s="4"/>
    </row>
    <row r="3728" spans="1:65" s="38" customFormat="1" ht="15.95" customHeight="1">
      <c r="A3728" s="148">
        <v>2</v>
      </c>
      <c r="B3728" s="118" t="s">
        <v>1234</v>
      </c>
      <c r="C3728" s="120" t="s">
        <v>1235</v>
      </c>
      <c r="D3728" s="42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O3728" s="42"/>
      <c r="P3728" s="42"/>
      <c r="Q3728" s="42"/>
      <c r="R3728" s="42"/>
      <c r="S3728" s="42"/>
      <c r="T3728" s="42"/>
      <c r="U3728" s="42"/>
      <c r="V3728" s="42"/>
      <c r="W3728" s="42"/>
      <c r="X3728" s="42"/>
      <c r="Y3728" s="42"/>
      <c r="Z3728" s="42"/>
      <c r="AA3728" s="42"/>
      <c r="AB3728" s="229">
        <f t="shared" si="1614"/>
        <v>0</v>
      </c>
      <c r="AC3728" s="228">
        <f t="shared" si="1614"/>
        <v>0</v>
      </c>
      <c r="AD3728" s="19">
        <v>1</v>
      </c>
      <c r="AE3728" s="43"/>
      <c r="AF3728" s="43"/>
      <c r="AG3728" s="43"/>
      <c r="AH3728" s="43"/>
      <c r="AI3728" s="43"/>
      <c r="AJ3728" s="43"/>
      <c r="AK3728" s="43"/>
      <c r="AL3728" s="43"/>
      <c r="AM3728" s="43"/>
      <c r="AN3728" s="43"/>
      <c r="AO3728" s="43"/>
      <c r="AP3728" s="43"/>
      <c r="AQ3728" s="43"/>
      <c r="AR3728" s="43"/>
      <c r="AS3728" s="43"/>
      <c r="AT3728" s="43"/>
      <c r="AU3728" s="43"/>
      <c r="AV3728" s="43"/>
      <c r="AW3728" s="43"/>
      <c r="AX3728" s="43"/>
      <c r="AY3728" s="43"/>
      <c r="AZ3728" s="43"/>
      <c r="BA3728" s="43"/>
      <c r="BB3728" s="43"/>
      <c r="BC3728" s="229">
        <f t="shared" si="1615"/>
        <v>0</v>
      </c>
      <c r="BD3728" s="48">
        <f t="shared" si="1615"/>
        <v>0</v>
      </c>
      <c r="BE3728" s="19">
        <v>0</v>
      </c>
      <c r="BF3728" s="229">
        <f t="shared" si="1616"/>
        <v>0</v>
      </c>
      <c r="BG3728" s="210">
        <f t="shared" si="1616"/>
        <v>0</v>
      </c>
      <c r="BH3728" s="210">
        <f t="shared" si="1616"/>
        <v>1</v>
      </c>
      <c r="BI3728" s="213">
        <f t="shared" si="1617"/>
        <v>0</v>
      </c>
      <c r="BJ3728" s="270" t="s">
        <v>2857</v>
      </c>
      <c r="BK3728" s="201"/>
      <c r="BL3728" s="4"/>
      <c r="BM3728" s="4"/>
    </row>
    <row r="3729" spans="1:65" s="38" customFormat="1" ht="15.95" customHeight="1">
      <c r="A3729" s="148">
        <v>3</v>
      </c>
      <c r="B3729" s="118" t="s">
        <v>1236</v>
      </c>
      <c r="C3729" s="120" t="s">
        <v>1237</v>
      </c>
      <c r="D3729" s="42"/>
      <c r="E3729" s="42"/>
      <c r="F3729" s="42"/>
      <c r="G3729" s="42"/>
      <c r="H3729" s="42"/>
      <c r="I3729" s="42">
        <v>62</v>
      </c>
      <c r="J3729" s="42"/>
      <c r="K3729" s="42"/>
      <c r="L3729" s="42"/>
      <c r="M3729" s="42"/>
      <c r="N3729" s="42"/>
      <c r="O3729" s="42">
        <v>44</v>
      </c>
      <c r="P3729" s="42"/>
      <c r="Q3729" s="42"/>
      <c r="R3729" s="42"/>
      <c r="S3729" s="42"/>
      <c r="T3729" s="42"/>
      <c r="U3729" s="42">
        <v>6</v>
      </c>
      <c r="V3729" s="42"/>
      <c r="W3729" s="42"/>
      <c r="X3729" s="42"/>
      <c r="Y3729" s="42"/>
      <c r="Z3729" s="42"/>
      <c r="AA3729" s="42">
        <v>37</v>
      </c>
      <c r="AB3729" s="229">
        <f t="shared" si="1614"/>
        <v>0</v>
      </c>
      <c r="AC3729" s="228">
        <f t="shared" si="1614"/>
        <v>149</v>
      </c>
      <c r="AD3729" s="19">
        <v>22</v>
      </c>
      <c r="AE3729" s="43"/>
      <c r="AF3729" s="43"/>
      <c r="AG3729" s="43"/>
      <c r="AH3729" s="43"/>
      <c r="AI3729" s="43"/>
      <c r="AJ3729" s="43"/>
      <c r="AK3729" s="43"/>
      <c r="AL3729" s="43"/>
      <c r="AM3729" s="43"/>
      <c r="AN3729" s="43"/>
      <c r="AO3729" s="43"/>
      <c r="AP3729" s="43"/>
      <c r="AQ3729" s="43"/>
      <c r="AR3729" s="43"/>
      <c r="AS3729" s="43"/>
      <c r="AT3729" s="43"/>
      <c r="AU3729" s="43"/>
      <c r="AV3729" s="43"/>
      <c r="AW3729" s="43"/>
      <c r="AX3729" s="43"/>
      <c r="AY3729" s="43"/>
      <c r="AZ3729" s="43"/>
      <c r="BA3729" s="43"/>
      <c r="BB3729" s="43"/>
      <c r="BC3729" s="229">
        <f t="shared" si="1615"/>
        <v>0</v>
      </c>
      <c r="BD3729" s="48">
        <f t="shared" si="1615"/>
        <v>0</v>
      </c>
      <c r="BE3729" s="19">
        <v>0</v>
      </c>
      <c r="BF3729" s="229">
        <f t="shared" si="1616"/>
        <v>0</v>
      </c>
      <c r="BG3729" s="210">
        <f t="shared" si="1616"/>
        <v>149</v>
      </c>
      <c r="BH3729" s="210">
        <f t="shared" si="1616"/>
        <v>22</v>
      </c>
      <c r="BI3729" s="213">
        <f t="shared" si="1617"/>
        <v>677.27272727272725</v>
      </c>
      <c r="BJ3729" s="270" t="s">
        <v>2857</v>
      </c>
      <c r="BK3729" s="201"/>
      <c r="BL3729" s="4"/>
      <c r="BM3729" s="4"/>
    </row>
    <row r="3730" spans="1:65" s="38" customFormat="1" ht="15.95" customHeight="1">
      <c r="A3730" s="148">
        <v>4</v>
      </c>
      <c r="B3730" s="118" t="s">
        <v>1241</v>
      </c>
      <c r="C3730" s="120" t="s">
        <v>1242</v>
      </c>
      <c r="D3730" s="42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O3730" s="42"/>
      <c r="P3730" s="42"/>
      <c r="Q3730" s="42"/>
      <c r="R3730" s="42"/>
      <c r="S3730" s="42"/>
      <c r="T3730" s="42"/>
      <c r="U3730" s="42"/>
      <c r="V3730" s="42"/>
      <c r="W3730" s="42"/>
      <c r="X3730" s="42"/>
      <c r="Y3730" s="42"/>
      <c r="Z3730" s="42"/>
      <c r="AA3730" s="42"/>
      <c r="AB3730" s="229">
        <f t="shared" si="1614"/>
        <v>0</v>
      </c>
      <c r="AC3730" s="228">
        <f t="shared" si="1614"/>
        <v>0</v>
      </c>
      <c r="AD3730" s="19">
        <v>0</v>
      </c>
      <c r="AE3730" s="43"/>
      <c r="AF3730" s="43"/>
      <c r="AG3730" s="43"/>
      <c r="AH3730" s="43"/>
      <c r="AI3730" s="43"/>
      <c r="AJ3730" s="43"/>
      <c r="AK3730" s="43"/>
      <c r="AL3730" s="43"/>
      <c r="AM3730" s="43"/>
      <c r="AN3730" s="43"/>
      <c r="AO3730" s="43"/>
      <c r="AP3730" s="43"/>
      <c r="AQ3730" s="43"/>
      <c r="AR3730" s="43"/>
      <c r="AS3730" s="43"/>
      <c r="AT3730" s="43"/>
      <c r="AU3730" s="43"/>
      <c r="AV3730" s="43"/>
      <c r="AW3730" s="43"/>
      <c r="AX3730" s="43"/>
      <c r="AY3730" s="43"/>
      <c r="AZ3730" s="43"/>
      <c r="BA3730" s="43"/>
      <c r="BB3730" s="43"/>
      <c r="BC3730" s="229">
        <f t="shared" si="1615"/>
        <v>0</v>
      </c>
      <c r="BD3730" s="48">
        <f t="shared" si="1615"/>
        <v>0</v>
      </c>
      <c r="BE3730" s="19">
        <v>25</v>
      </c>
      <c r="BF3730" s="229">
        <f t="shared" si="1616"/>
        <v>0</v>
      </c>
      <c r="BG3730" s="210">
        <f t="shared" si="1616"/>
        <v>0</v>
      </c>
      <c r="BH3730" s="210">
        <f t="shared" si="1616"/>
        <v>25</v>
      </c>
      <c r="BI3730" s="213">
        <f t="shared" si="1617"/>
        <v>0</v>
      </c>
      <c r="BJ3730" s="141"/>
      <c r="BK3730" s="201"/>
      <c r="BL3730" s="4"/>
      <c r="BM3730" s="4"/>
    </row>
    <row r="3731" spans="1:65" s="38" customFormat="1" ht="15.95" customHeight="1">
      <c r="A3731" s="148">
        <v>5</v>
      </c>
      <c r="B3731" s="118" t="s">
        <v>1178</v>
      </c>
      <c r="C3731" s="120" t="s">
        <v>1179</v>
      </c>
      <c r="D3731" s="42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O3731" s="42"/>
      <c r="P3731" s="42"/>
      <c r="Q3731" s="42"/>
      <c r="R3731" s="42"/>
      <c r="S3731" s="42"/>
      <c r="T3731" s="42"/>
      <c r="U3731" s="42"/>
      <c r="V3731" s="42"/>
      <c r="W3731" s="42"/>
      <c r="X3731" s="42"/>
      <c r="Y3731" s="42"/>
      <c r="Z3731" s="42"/>
      <c r="AA3731" s="42"/>
      <c r="AB3731" s="229">
        <f t="shared" si="1614"/>
        <v>0</v>
      </c>
      <c r="AC3731" s="228">
        <f t="shared" si="1614"/>
        <v>0</v>
      </c>
      <c r="AD3731" s="19">
        <v>0</v>
      </c>
      <c r="AE3731" s="43"/>
      <c r="AF3731" s="43"/>
      <c r="AG3731" s="43"/>
      <c r="AH3731" s="43"/>
      <c r="AI3731" s="43"/>
      <c r="AJ3731" s="43"/>
      <c r="AK3731" s="43"/>
      <c r="AL3731" s="43"/>
      <c r="AM3731" s="43"/>
      <c r="AN3731" s="43"/>
      <c r="AO3731" s="43"/>
      <c r="AP3731" s="43"/>
      <c r="AQ3731" s="43"/>
      <c r="AR3731" s="43"/>
      <c r="AS3731" s="43"/>
      <c r="AT3731" s="43"/>
      <c r="AU3731" s="43"/>
      <c r="AV3731" s="43"/>
      <c r="AW3731" s="43"/>
      <c r="AX3731" s="43"/>
      <c r="AY3731" s="43"/>
      <c r="AZ3731" s="43"/>
      <c r="BA3731" s="43"/>
      <c r="BB3731" s="43"/>
      <c r="BC3731" s="229">
        <f t="shared" si="1615"/>
        <v>0</v>
      </c>
      <c r="BD3731" s="48">
        <f t="shared" si="1615"/>
        <v>0</v>
      </c>
      <c r="BE3731" s="19">
        <v>1</v>
      </c>
      <c r="BF3731" s="229">
        <f t="shared" si="1616"/>
        <v>0</v>
      </c>
      <c r="BG3731" s="210">
        <f t="shared" si="1616"/>
        <v>0</v>
      </c>
      <c r="BH3731" s="210">
        <f t="shared" si="1616"/>
        <v>1</v>
      </c>
      <c r="BI3731" s="213">
        <f t="shared" si="1617"/>
        <v>0</v>
      </c>
      <c r="BJ3731" s="141"/>
      <c r="BK3731" s="201"/>
      <c r="BL3731" s="4"/>
      <c r="BM3731" s="4"/>
    </row>
    <row r="3732" spans="1:65" s="38" customFormat="1" ht="21.95" customHeight="1">
      <c r="A3732" s="148">
        <v>6</v>
      </c>
      <c r="B3732" s="118" t="s">
        <v>1245</v>
      </c>
      <c r="C3732" s="119" t="s">
        <v>1246</v>
      </c>
      <c r="D3732" s="42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O3732" s="42"/>
      <c r="P3732" s="42"/>
      <c r="Q3732" s="42"/>
      <c r="R3732" s="42"/>
      <c r="S3732" s="42"/>
      <c r="T3732" s="42"/>
      <c r="U3732" s="42"/>
      <c r="V3732" s="42"/>
      <c r="W3732" s="42"/>
      <c r="X3732" s="42"/>
      <c r="Y3732" s="42"/>
      <c r="Z3732" s="42"/>
      <c r="AA3732" s="42"/>
      <c r="AB3732" s="229">
        <f t="shared" si="1614"/>
        <v>0</v>
      </c>
      <c r="AC3732" s="228">
        <f t="shared" si="1614"/>
        <v>0</v>
      </c>
      <c r="AD3732" s="19">
        <v>0</v>
      </c>
      <c r="AE3732" s="43"/>
      <c r="AF3732" s="43"/>
      <c r="AG3732" s="43"/>
      <c r="AH3732" s="43"/>
      <c r="AI3732" s="43"/>
      <c r="AJ3732" s="43"/>
      <c r="AK3732" s="43"/>
      <c r="AL3732" s="43"/>
      <c r="AM3732" s="43"/>
      <c r="AN3732" s="43"/>
      <c r="AO3732" s="43"/>
      <c r="AP3732" s="43"/>
      <c r="AQ3732" s="43"/>
      <c r="AR3732" s="43"/>
      <c r="AS3732" s="43"/>
      <c r="AT3732" s="43"/>
      <c r="AU3732" s="43"/>
      <c r="AV3732" s="43"/>
      <c r="AW3732" s="43"/>
      <c r="AX3732" s="43"/>
      <c r="AY3732" s="43"/>
      <c r="AZ3732" s="43"/>
      <c r="BA3732" s="43"/>
      <c r="BB3732" s="43"/>
      <c r="BC3732" s="229">
        <f t="shared" si="1615"/>
        <v>0</v>
      </c>
      <c r="BD3732" s="48">
        <f t="shared" si="1615"/>
        <v>0</v>
      </c>
      <c r="BE3732" s="19">
        <v>1</v>
      </c>
      <c r="BF3732" s="229">
        <f t="shared" si="1616"/>
        <v>0</v>
      </c>
      <c r="BG3732" s="210">
        <f t="shared" si="1616"/>
        <v>0</v>
      </c>
      <c r="BH3732" s="210">
        <f t="shared" si="1616"/>
        <v>1</v>
      </c>
      <c r="BI3732" s="213">
        <f t="shared" si="1617"/>
        <v>0</v>
      </c>
      <c r="BJ3732" s="141"/>
      <c r="BK3732" s="201"/>
      <c r="BL3732" s="4"/>
      <c r="BM3732" s="4"/>
    </row>
    <row r="3733" spans="1:65" s="38" customFormat="1" ht="21.95" customHeight="1">
      <c r="A3733" s="359" t="s">
        <v>2803</v>
      </c>
      <c r="B3733" s="359"/>
      <c r="C3733" s="359"/>
      <c r="D3733" s="39">
        <f t="shared" ref="D3733:AJ3733" si="1618">SUM(D3734:D3744)</f>
        <v>0</v>
      </c>
      <c r="E3733" s="39">
        <f t="shared" si="1618"/>
        <v>0</v>
      </c>
      <c r="F3733" s="39">
        <f t="shared" si="1618"/>
        <v>0</v>
      </c>
      <c r="G3733" s="39">
        <f t="shared" si="1618"/>
        <v>0</v>
      </c>
      <c r="H3733" s="39">
        <f t="shared" si="1618"/>
        <v>0</v>
      </c>
      <c r="I3733" s="39">
        <f t="shared" si="1618"/>
        <v>893</v>
      </c>
      <c r="J3733" s="39">
        <f t="shared" si="1618"/>
        <v>0</v>
      </c>
      <c r="K3733" s="39">
        <f t="shared" si="1618"/>
        <v>0</v>
      </c>
      <c r="L3733" s="39">
        <f t="shared" si="1618"/>
        <v>0</v>
      </c>
      <c r="M3733" s="39">
        <f t="shared" si="1618"/>
        <v>0</v>
      </c>
      <c r="N3733" s="39">
        <f t="shared" si="1618"/>
        <v>0</v>
      </c>
      <c r="O3733" s="39">
        <f t="shared" si="1618"/>
        <v>709</v>
      </c>
      <c r="P3733" s="39">
        <f t="shared" si="1618"/>
        <v>0</v>
      </c>
      <c r="Q3733" s="39">
        <f t="shared" si="1618"/>
        <v>0</v>
      </c>
      <c r="R3733" s="39">
        <f t="shared" si="1618"/>
        <v>0</v>
      </c>
      <c r="S3733" s="39">
        <f t="shared" si="1618"/>
        <v>0</v>
      </c>
      <c r="T3733" s="39">
        <f t="shared" si="1618"/>
        <v>0</v>
      </c>
      <c r="U3733" s="39">
        <f t="shared" si="1618"/>
        <v>488</v>
      </c>
      <c r="V3733" s="39">
        <f t="shared" si="1618"/>
        <v>0</v>
      </c>
      <c r="W3733" s="39">
        <f t="shared" si="1618"/>
        <v>0</v>
      </c>
      <c r="X3733" s="39">
        <f t="shared" si="1618"/>
        <v>0</v>
      </c>
      <c r="Y3733" s="39">
        <f t="shared" si="1618"/>
        <v>0</v>
      </c>
      <c r="Z3733" s="39">
        <f t="shared" si="1618"/>
        <v>0</v>
      </c>
      <c r="AA3733" s="39">
        <f t="shared" si="1618"/>
        <v>630</v>
      </c>
      <c r="AB3733" s="39">
        <f t="shared" si="1605"/>
        <v>0</v>
      </c>
      <c r="AC3733" s="39">
        <f t="shared" si="1606"/>
        <v>2720</v>
      </c>
      <c r="AD3733" s="39">
        <f t="shared" si="1618"/>
        <v>2152</v>
      </c>
      <c r="AE3733" s="39">
        <f t="shared" si="1618"/>
        <v>0</v>
      </c>
      <c r="AF3733" s="39">
        <f t="shared" si="1618"/>
        <v>0</v>
      </c>
      <c r="AG3733" s="39">
        <f t="shared" si="1618"/>
        <v>0</v>
      </c>
      <c r="AH3733" s="39">
        <f t="shared" si="1618"/>
        <v>0</v>
      </c>
      <c r="AI3733" s="39">
        <f t="shared" si="1618"/>
        <v>0</v>
      </c>
      <c r="AJ3733" s="39">
        <f t="shared" si="1618"/>
        <v>0</v>
      </c>
      <c r="AK3733" s="39">
        <f t="shared" ref="AK3733:BE3733" si="1619">SUM(AK3734:AK3744)</f>
        <v>0</v>
      </c>
      <c r="AL3733" s="39">
        <f t="shared" si="1619"/>
        <v>0</v>
      </c>
      <c r="AM3733" s="39">
        <f t="shared" si="1619"/>
        <v>0</v>
      </c>
      <c r="AN3733" s="39">
        <f t="shared" si="1619"/>
        <v>0</v>
      </c>
      <c r="AO3733" s="39">
        <f t="shared" si="1619"/>
        <v>0</v>
      </c>
      <c r="AP3733" s="39">
        <f t="shared" si="1619"/>
        <v>0</v>
      </c>
      <c r="AQ3733" s="39">
        <f t="shared" si="1619"/>
        <v>0</v>
      </c>
      <c r="AR3733" s="39">
        <f t="shared" si="1619"/>
        <v>0</v>
      </c>
      <c r="AS3733" s="39">
        <f t="shared" si="1619"/>
        <v>0</v>
      </c>
      <c r="AT3733" s="39">
        <f t="shared" si="1619"/>
        <v>0</v>
      </c>
      <c r="AU3733" s="39">
        <f t="shared" si="1619"/>
        <v>0</v>
      </c>
      <c r="AV3733" s="39">
        <f t="shared" si="1619"/>
        <v>0</v>
      </c>
      <c r="AW3733" s="39">
        <f t="shared" si="1619"/>
        <v>0</v>
      </c>
      <c r="AX3733" s="39">
        <f t="shared" si="1619"/>
        <v>0</v>
      </c>
      <c r="AY3733" s="39">
        <f t="shared" si="1619"/>
        <v>0</v>
      </c>
      <c r="AZ3733" s="39">
        <f t="shared" si="1619"/>
        <v>0</v>
      </c>
      <c r="BA3733" s="39">
        <f t="shared" si="1619"/>
        <v>0</v>
      </c>
      <c r="BB3733" s="39">
        <f t="shared" si="1619"/>
        <v>0</v>
      </c>
      <c r="BC3733" s="39">
        <f t="shared" si="1607"/>
        <v>0</v>
      </c>
      <c r="BD3733" s="101">
        <f t="shared" si="1608"/>
        <v>0</v>
      </c>
      <c r="BE3733" s="39">
        <f t="shared" si="1619"/>
        <v>15</v>
      </c>
      <c r="BF3733" s="39">
        <f t="shared" si="1609"/>
        <v>0</v>
      </c>
      <c r="BG3733" s="101">
        <f t="shared" si="1610"/>
        <v>2720</v>
      </c>
      <c r="BH3733" s="101">
        <f t="shared" si="1596"/>
        <v>2167</v>
      </c>
      <c r="BI3733" s="280">
        <f t="shared" si="1611"/>
        <v>125.51915089986156</v>
      </c>
      <c r="BJ3733" s="142">
        <v>2167</v>
      </c>
      <c r="BK3733" s="203">
        <f>BH3733-BJ3733</f>
        <v>0</v>
      </c>
      <c r="BL3733" s="4"/>
      <c r="BM3733" s="4"/>
    </row>
    <row r="3734" spans="1:65" s="38" customFormat="1" ht="15.95" customHeight="1">
      <c r="A3734" s="148">
        <v>1</v>
      </c>
      <c r="B3734" s="118" t="s">
        <v>1224</v>
      </c>
      <c r="C3734" s="120" t="s">
        <v>1225</v>
      </c>
      <c r="D3734" s="42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O3734" s="42"/>
      <c r="P3734" s="42"/>
      <c r="Q3734" s="42"/>
      <c r="R3734" s="42"/>
      <c r="S3734" s="42"/>
      <c r="T3734" s="42"/>
      <c r="U3734" s="42"/>
      <c r="V3734" s="42"/>
      <c r="W3734" s="42"/>
      <c r="X3734" s="42"/>
      <c r="Y3734" s="42"/>
      <c r="Z3734" s="42"/>
      <c r="AA3734" s="42"/>
      <c r="AB3734" s="229">
        <f t="shared" ref="AB3734:AB3744" si="1620">D3734+F3734+H3734+J3734+L3734+N3734+P3734+R3734+T3734+V3734+X3734+Z3734</f>
        <v>0</v>
      </c>
      <c r="AC3734" s="228">
        <f t="shared" si="1606"/>
        <v>0</v>
      </c>
      <c r="AD3734" s="19">
        <v>10</v>
      </c>
      <c r="AE3734" s="43"/>
      <c r="AF3734" s="43"/>
      <c r="AG3734" s="43"/>
      <c r="AH3734" s="43"/>
      <c r="AI3734" s="43"/>
      <c r="AJ3734" s="43"/>
      <c r="AK3734" s="43"/>
      <c r="AL3734" s="43"/>
      <c r="AM3734" s="43"/>
      <c r="AN3734" s="43"/>
      <c r="AO3734" s="43"/>
      <c r="AP3734" s="43"/>
      <c r="AQ3734" s="43"/>
      <c r="AR3734" s="43"/>
      <c r="AS3734" s="43"/>
      <c r="AT3734" s="43"/>
      <c r="AU3734" s="43"/>
      <c r="AV3734" s="43"/>
      <c r="AW3734" s="43"/>
      <c r="AX3734" s="43"/>
      <c r="AY3734" s="43"/>
      <c r="AZ3734" s="43"/>
      <c r="BA3734" s="43"/>
      <c r="BB3734" s="43"/>
      <c r="BC3734" s="229">
        <f t="shared" ref="BC3734:BC3744" si="1621">AE3734+AG3734+AI3734+AK3734+AM3734+AO3734+AQ3734+AS3734+AU3734+AW3734+AY3734+BA3734</f>
        <v>0</v>
      </c>
      <c r="BD3734" s="48">
        <f t="shared" si="1608"/>
        <v>0</v>
      </c>
      <c r="BE3734" s="19">
        <v>0</v>
      </c>
      <c r="BF3734" s="229">
        <f t="shared" ref="BF3734:BF3744" si="1622">AB3734+BC3734</f>
        <v>0</v>
      </c>
      <c r="BG3734" s="210">
        <f t="shared" si="1610"/>
        <v>0</v>
      </c>
      <c r="BH3734" s="210">
        <f t="shared" si="1596"/>
        <v>10</v>
      </c>
      <c r="BI3734" s="213">
        <f t="shared" ref="BI3734:BI3744" si="1623">BG3734/BH3734*100</f>
        <v>0</v>
      </c>
      <c r="BJ3734" s="270" t="s">
        <v>2857</v>
      </c>
      <c r="BK3734" s="201"/>
      <c r="BL3734" s="4"/>
      <c r="BM3734" s="4"/>
    </row>
    <row r="3735" spans="1:65" s="38" customFormat="1" ht="15.95" customHeight="1">
      <c r="A3735" s="148">
        <v>2</v>
      </c>
      <c r="B3735" s="118" t="s">
        <v>1228</v>
      </c>
      <c r="C3735" s="120" t="s">
        <v>1229</v>
      </c>
      <c r="D3735" s="42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O3735" s="42"/>
      <c r="P3735" s="42"/>
      <c r="Q3735" s="42"/>
      <c r="R3735" s="42"/>
      <c r="S3735" s="42"/>
      <c r="T3735" s="42"/>
      <c r="U3735" s="42"/>
      <c r="V3735" s="42"/>
      <c r="W3735" s="42"/>
      <c r="X3735" s="42"/>
      <c r="Y3735" s="42"/>
      <c r="Z3735" s="42"/>
      <c r="AA3735" s="42"/>
      <c r="AB3735" s="229">
        <f t="shared" si="1620"/>
        <v>0</v>
      </c>
      <c r="AC3735" s="228">
        <f t="shared" si="1606"/>
        <v>0</v>
      </c>
      <c r="AD3735" s="19">
        <v>8</v>
      </c>
      <c r="AE3735" s="43"/>
      <c r="AF3735" s="43"/>
      <c r="AG3735" s="43"/>
      <c r="AH3735" s="43"/>
      <c r="AI3735" s="43"/>
      <c r="AJ3735" s="43"/>
      <c r="AK3735" s="43"/>
      <c r="AL3735" s="43"/>
      <c r="AM3735" s="43"/>
      <c r="AN3735" s="43"/>
      <c r="AO3735" s="43"/>
      <c r="AP3735" s="43"/>
      <c r="AQ3735" s="43"/>
      <c r="AR3735" s="43"/>
      <c r="AS3735" s="43"/>
      <c r="AT3735" s="43"/>
      <c r="AU3735" s="43"/>
      <c r="AV3735" s="43"/>
      <c r="AW3735" s="43"/>
      <c r="AX3735" s="43"/>
      <c r="AY3735" s="43"/>
      <c r="AZ3735" s="43"/>
      <c r="BA3735" s="43"/>
      <c r="BB3735" s="43"/>
      <c r="BC3735" s="229">
        <f t="shared" si="1621"/>
        <v>0</v>
      </c>
      <c r="BD3735" s="48">
        <f t="shared" si="1608"/>
        <v>0</v>
      </c>
      <c r="BE3735" s="19">
        <v>0</v>
      </c>
      <c r="BF3735" s="229">
        <f t="shared" si="1622"/>
        <v>0</v>
      </c>
      <c r="BG3735" s="210">
        <f t="shared" si="1610"/>
        <v>0</v>
      </c>
      <c r="BH3735" s="210">
        <f t="shared" si="1596"/>
        <v>8</v>
      </c>
      <c r="BI3735" s="213">
        <f t="shared" si="1623"/>
        <v>0</v>
      </c>
      <c r="BJ3735" s="270" t="s">
        <v>2857</v>
      </c>
      <c r="BK3735" s="201"/>
      <c r="BL3735" s="4"/>
      <c r="BM3735" s="4"/>
    </row>
    <row r="3736" spans="1:65" s="38" customFormat="1" ht="15.95" customHeight="1">
      <c r="A3736" s="148">
        <v>3</v>
      </c>
      <c r="B3736" s="118" t="s">
        <v>1230</v>
      </c>
      <c r="C3736" s="120" t="s">
        <v>1231</v>
      </c>
      <c r="D3736" s="42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O3736" s="42"/>
      <c r="P3736" s="42"/>
      <c r="Q3736" s="42"/>
      <c r="R3736" s="42"/>
      <c r="S3736" s="42"/>
      <c r="T3736" s="42"/>
      <c r="U3736" s="42"/>
      <c r="V3736" s="42"/>
      <c r="W3736" s="42"/>
      <c r="X3736" s="42"/>
      <c r="Y3736" s="42"/>
      <c r="Z3736" s="42"/>
      <c r="AA3736" s="42"/>
      <c r="AB3736" s="229">
        <f t="shared" si="1620"/>
        <v>0</v>
      </c>
      <c r="AC3736" s="228">
        <f t="shared" si="1606"/>
        <v>0</v>
      </c>
      <c r="AD3736" s="19">
        <v>3</v>
      </c>
      <c r="AE3736" s="43"/>
      <c r="AF3736" s="43"/>
      <c r="AG3736" s="43"/>
      <c r="AH3736" s="43"/>
      <c r="AI3736" s="43"/>
      <c r="AJ3736" s="43"/>
      <c r="AK3736" s="43"/>
      <c r="AL3736" s="43"/>
      <c r="AM3736" s="43"/>
      <c r="AN3736" s="43"/>
      <c r="AO3736" s="43"/>
      <c r="AP3736" s="43"/>
      <c r="AQ3736" s="43"/>
      <c r="AR3736" s="43"/>
      <c r="AS3736" s="43"/>
      <c r="AT3736" s="43"/>
      <c r="AU3736" s="43"/>
      <c r="AV3736" s="43"/>
      <c r="AW3736" s="43"/>
      <c r="AX3736" s="43"/>
      <c r="AY3736" s="43"/>
      <c r="AZ3736" s="43"/>
      <c r="BA3736" s="43"/>
      <c r="BB3736" s="43"/>
      <c r="BC3736" s="229">
        <f t="shared" si="1621"/>
        <v>0</v>
      </c>
      <c r="BD3736" s="48">
        <f t="shared" si="1608"/>
        <v>0</v>
      </c>
      <c r="BE3736" s="19">
        <v>0</v>
      </c>
      <c r="BF3736" s="229">
        <f t="shared" si="1622"/>
        <v>0</v>
      </c>
      <c r="BG3736" s="210">
        <f t="shared" si="1610"/>
        <v>0</v>
      </c>
      <c r="BH3736" s="210">
        <f t="shared" si="1596"/>
        <v>3</v>
      </c>
      <c r="BI3736" s="213">
        <f t="shared" si="1623"/>
        <v>0</v>
      </c>
      <c r="BJ3736" s="270" t="s">
        <v>2857</v>
      </c>
      <c r="BK3736" s="201"/>
      <c r="BL3736" s="4"/>
      <c r="BM3736" s="4"/>
    </row>
    <row r="3737" spans="1:65" s="38" customFormat="1" ht="15.95" customHeight="1">
      <c r="A3737" s="148">
        <v>4</v>
      </c>
      <c r="B3737" s="118" t="s">
        <v>1264</v>
      </c>
      <c r="C3737" s="120" t="s">
        <v>1265</v>
      </c>
      <c r="D3737" s="42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O3737" s="42"/>
      <c r="P3737" s="42"/>
      <c r="Q3737" s="42"/>
      <c r="R3737" s="42"/>
      <c r="S3737" s="42"/>
      <c r="T3737" s="42"/>
      <c r="U3737" s="42"/>
      <c r="V3737" s="42"/>
      <c r="W3737" s="42"/>
      <c r="X3737" s="42"/>
      <c r="Y3737" s="42"/>
      <c r="Z3737" s="42"/>
      <c r="AA3737" s="42"/>
      <c r="AB3737" s="229">
        <f t="shared" si="1620"/>
        <v>0</v>
      </c>
      <c r="AC3737" s="228">
        <f t="shared" si="1606"/>
        <v>0</v>
      </c>
      <c r="AD3737" s="19">
        <v>0</v>
      </c>
      <c r="AE3737" s="43"/>
      <c r="AF3737" s="43"/>
      <c r="AG3737" s="43"/>
      <c r="AH3737" s="43"/>
      <c r="AI3737" s="43"/>
      <c r="AJ3737" s="43"/>
      <c r="AK3737" s="43"/>
      <c r="AL3737" s="43"/>
      <c r="AM3737" s="43"/>
      <c r="AN3737" s="43"/>
      <c r="AO3737" s="43"/>
      <c r="AP3737" s="43"/>
      <c r="AQ3737" s="43"/>
      <c r="AR3737" s="43"/>
      <c r="AS3737" s="43"/>
      <c r="AT3737" s="43"/>
      <c r="AU3737" s="43"/>
      <c r="AV3737" s="43"/>
      <c r="AW3737" s="43"/>
      <c r="AX3737" s="43"/>
      <c r="AY3737" s="43"/>
      <c r="AZ3737" s="43"/>
      <c r="BA3737" s="43"/>
      <c r="BB3737" s="43"/>
      <c r="BC3737" s="229">
        <f t="shared" si="1621"/>
        <v>0</v>
      </c>
      <c r="BD3737" s="48">
        <f t="shared" si="1608"/>
        <v>0</v>
      </c>
      <c r="BE3737" s="19">
        <v>0</v>
      </c>
      <c r="BF3737" s="229">
        <f t="shared" si="1622"/>
        <v>0</v>
      </c>
      <c r="BG3737" s="210">
        <f t="shared" si="1610"/>
        <v>0</v>
      </c>
      <c r="BH3737" s="210">
        <f t="shared" si="1596"/>
        <v>0</v>
      </c>
      <c r="BI3737" s="213" t="e">
        <f t="shared" si="1623"/>
        <v>#DIV/0!</v>
      </c>
      <c r="BJ3737" s="270" t="s">
        <v>2857</v>
      </c>
      <c r="BK3737" s="201"/>
      <c r="BL3737" s="4"/>
      <c r="BM3737" s="4"/>
    </row>
    <row r="3738" spans="1:65" s="38" customFormat="1" ht="15.95" customHeight="1">
      <c r="A3738" s="148">
        <v>5</v>
      </c>
      <c r="B3738" s="118" t="s">
        <v>1234</v>
      </c>
      <c r="C3738" s="120" t="s">
        <v>1235</v>
      </c>
      <c r="D3738" s="42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O3738" s="42"/>
      <c r="P3738" s="42"/>
      <c r="Q3738" s="42"/>
      <c r="R3738" s="42"/>
      <c r="S3738" s="42"/>
      <c r="T3738" s="42"/>
      <c r="U3738" s="42"/>
      <c r="V3738" s="42"/>
      <c r="W3738" s="42"/>
      <c r="X3738" s="42"/>
      <c r="Y3738" s="42"/>
      <c r="Z3738" s="42"/>
      <c r="AA3738" s="42"/>
      <c r="AB3738" s="229">
        <f t="shared" si="1620"/>
        <v>0</v>
      </c>
      <c r="AC3738" s="228">
        <f t="shared" si="1606"/>
        <v>0</v>
      </c>
      <c r="AD3738" s="19">
        <v>1</v>
      </c>
      <c r="AE3738" s="43"/>
      <c r="AF3738" s="43"/>
      <c r="AG3738" s="43"/>
      <c r="AH3738" s="43"/>
      <c r="AI3738" s="43"/>
      <c r="AJ3738" s="43"/>
      <c r="AK3738" s="43"/>
      <c r="AL3738" s="43"/>
      <c r="AM3738" s="43"/>
      <c r="AN3738" s="43"/>
      <c r="AO3738" s="43"/>
      <c r="AP3738" s="43"/>
      <c r="AQ3738" s="43"/>
      <c r="AR3738" s="43"/>
      <c r="AS3738" s="43"/>
      <c r="AT3738" s="43"/>
      <c r="AU3738" s="43"/>
      <c r="AV3738" s="43"/>
      <c r="AW3738" s="43"/>
      <c r="AX3738" s="43"/>
      <c r="AY3738" s="43"/>
      <c r="AZ3738" s="43"/>
      <c r="BA3738" s="43"/>
      <c r="BB3738" s="43"/>
      <c r="BC3738" s="229">
        <f t="shared" si="1621"/>
        <v>0</v>
      </c>
      <c r="BD3738" s="48">
        <f t="shared" si="1608"/>
        <v>0</v>
      </c>
      <c r="BE3738" s="19">
        <v>0</v>
      </c>
      <c r="BF3738" s="229">
        <f t="shared" si="1622"/>
        <v>0</v>
      </c>
      <c r="BG3738" s="210">
        <f t="shared" si="1610"/>
        <v>0</v>
      </c>
      <c r="BH3738" s="210">
        <f t="shared" si="1596"/>
        <v>1</v>
      </c>
      <c r="BI3738" s="213">
        <f t="shared" si="1623"/>
        <v>0</v>
      </c>
      <c r="BJ3738" s="270" t="s">
        <v>2857</v>
      </c>
      <c r="BK3738" s="201"/>
      <c r="BL3738" s="4"/>
      <c r="BM3738" s="4"/>
    </row>
    <row r="3739" spans="1:65" s="38" customFormat="1" ht="20.100000000000001" customHeight="1">
      <c r="A3739" s="148">
        <v>6</v>
      </c>
      <c r="B3739" s="118" t="s">
        <v>1251</v>
      </c>
      <c r="C3739" s="150" t="s">
        <v>1364</v>
      </c>
      <c r="D3739" s="42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O3739" s="42"/>
      <c r="P3739" s="42"/>
      <c r="Q3739" s="42"/>
      <c r="R3739" s="42"/>
      <c r="S3739" s="42"/>
      <c r="T3739" s="42"/>
      <c r="U3739" s="42"/>
      <c r="V3739" s="42"/>
      <c r="W3739" s="42"/>
      <c r="X3739" s="42"/>
      <c r="Y3739" s="42"/>
      <c r="Z3739" s="42"/>
      <c r="AA3739" s="42"/>
      <c r="AB3739" s="229">
        <f t="shared" si="1620"/>
        <v>0</v>
      </c>
      <c r="AC3739" s="228">
        <f t="shared" si="1606"/>
        <v>0</v>
      </c>
      <c r="AD3739" s="19">
        <v>2</v>
      </c>
      <c r="AE3739" s="43"/>
      <c r="AF3739" s="43"/>
      <c r="AG3739" s="43"/>
      <c r="AH3739" s="43"/>
      <c r="AI3739" s="43"/>
      <c r="AJ3739" s="43"/>
      <c r="AK3739" s="43"/>
      <c r="AL3739" s="43"/>
      <c r="AM3739" s="43"/>
      <c r="AN3739" s="43"/>
      <c r="AO3739" s="43"/>
      <c r="AP3739" s="43"/>
      <c r="AQ3739" s="43"/>
      <c r="AR3739" s="43"/>
      <c r="AS3739" s="43"/>
      <c r="AT3739" s="43"/>
      <c r="AU3739" s="43"/>
      <c r="AV3739" s="43"/>
      <c r="AW3739" s="43"/>
      <c r="AX3739" s="43"/>
      <c r="AY3739" s="43"/>
      <c r="AZ3739" s="43"/>
      <c r="BA3739" s="43"/>
      <c r="BB3739" s="43"/>
      <c r="BC3739" s="229">
        <f t="shared" si="1621"/>
        <v>0</v>
      </c>
      <c r="BD3739" s="48">
        <f t="shared" si="1608"/>
        <v>0</v>
      </c>
      <c r="BE3739" s="19">
        <v>0</v>
      </c>
      <c r="BF3739" s="229">
        <f t="shared" si="1622"/>
        <v>0</v>
      </c>
      <c r="BG3739" s="210">
        <f t="shared" si="1610"/>
        <v>0</v>
      </c>
      <c r="BH3739" s="210">
        <f t="shared" si="1596"/>
        <v>2</v>
      </c>
      <c r="BI3739" s="213">
        <f t="shared" si="1623"/>
        <v>0</v>
      </c>
      <c r="BJ3739" s="270" t="s">
        <v>2857</v>
      </c>
      <c r="BK3739" s="201"/>
      <c r="BL3739" s="4"/>
      <c r="BM3739" s="4"/>
    </row>
    <row r="3740" spans="1:65" s="38" customFormat="1" ht="15.95" customHeight="1">
      <c r="A3740" s="148">
        <v>7</v>
      </c>
      <c r="B3740" s="118" t="s">
        <v>1236</v>
      </c>
      <c r="C3740" s="120" t="s">
        <v>1237</v>
      </c>
      <c r="D3740" s="42"/>
      <c r="E3740" s="42"/>
      <c r="F3740" s="42"/>
      <c r="G3740" s="42"/>
      <c r="H3740" s="42"/>
      <c r="I3740" s="42">
        <v>893</v>
      </c>
      <c r="J3740" s="42"/>
      <c r="K3740" s="42"/>
      <c r="L3740" s="42"/>
      <c r="M3740" s="42"/>
      <c r="N3740" s="42"/>
      <c r="O3740" s="42">
        <v>709</v>
      </c>
      <c r="P3740" s="42"/>
      <c r="Q3740" s="42"/>
      <c r="R3740" s="42"/>
      <c r="S3740" s="42"/>
      <c r="T3740" s="42"/>
      <c r="U3740" s="42">
        <v>488</v>
      </c>
      <c r="V3740" s="42"/>
      <c r="W3740" s="42"/>
      <c r="X3740" s="42"/>
      <c r="Y3740" s="42"/>
      <c r="Z3740" s="42"/>
      <c r="AA3740" s="42">
        <v>630</v>
      </c>
      <c r="AB3740" s="229">
        <f t="shared" si="1620"/>
        <v>0</v>
      </c>
      <c r="AC3740" s="228">
        <f t="shared" si="1606"/>
        <v>2720</v>
      </c>
      <c r="AD3740" s="19">
        <v>2128</v>
      </c>
      <c r="AE3740" s="43"/>
      <c r="AF3740" s="43"/>
      <c r="AG3740" s="43"/>
      <c r="AH3740" s="43"/>
      <c r="AI3740" s="43"/>
      <c r="AJ3740" s="43"/>
      <c r="AK3740" s="43"/>
      <c r="AL3740" s="43"/>
      <c r="AM3740" s="43"/>
      <c r="AN3740" s="43"/>
      <c r="AO3740" s="43"/>
      <c r="AP3740" s="43"/>
      <c r="AQ3740" s="43"/>
      <c r="AR3740" s="43"/>
      <c r="AS3740" s="43"/>
      <c r="AT3740" s="43"/>
      <c r="AU3740" s="43"/>
      <c r="AV3740" s="43"/>
      <c r="AW3740" s="43"/>
      <c r="AX3740" s="43"/>
      <c r="AY3740" s="43"/>
      <c r="AZ3740" s="43"/>
      <c r="BA3740" s="43"/>
      <c r="BB3740" s="43"/>
      <c r="BC3740" s="229">
        <f t="shared" si="1621"/>
        <v>0</v>
      </c>
      <c r="BD3740" s="48">
        <f t="shared" si="1608"/>
        <v>0</v>
      </c>
      <c r="BE3740" s="19">
        <v>0</v>
      </c>
      <c r="BF3740" s="229">
        <f t="shared" si="1622"/>
        <v>0</v>
      </c>
      <c r="BG3740" s="210">
        <f t="shared" si="1610"/>
        <v>2720</v>
      </c>
      <c r="BH3740" s="210">
        <f t="shared" si="1596"/>
        <v>2128</v>
      </c>
      <c r="BI3740" s="213">
        <f t="shared" si="1623"/>
        <v>127.81954887218046</v>
      </c>
      <c r="BJ3740" s="270" t="s">
        <v>2857</v>
      </c>
      <c r="BK3740" s="201"/>
      <c r="BL3740" s="4"/>
      <c r="BM3740" s="4"/>
    </row>
    <row r="3741" spans="1:65" s="38" customFormat="1" ht="15.95" customHeight="1">
      <c r="A3741" s="148">
        <v>8</v>
      </c>
      <c r="B3741" s="118" t="s">
        <v>1241</v>
      </c>
      <c r="C3741" s="120" t="s">
        <v>1242</v>
      </c>
      <c r="D3741" s="42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O3741" s="42"/>
      <c r="P3741" s="42"/>
      <c r="Q3741" s="42"/>
      <c r="R3741" s="42"/>
      <c r="S3741" s="42"/>
      <c r="T3741" s="42"/>
      <c r="U3741" s="42"/>
      <c r="V3741" s="42"/>
      <c r="W3741" s="42"/>
      <c r="X3741" s="42"/>
      <c r="Y3741" s="42"/>
      <c r="Z3741" s="42"/>
      <c r="AA3741" s="42"/>
      <c r="AB3741" s="229">
        <f t="shared" si="1620"/>
        <v>0</v>
      </c>
      <c r="AC3741" s="228">
        <f t="shared" si="1606"/>
        <v>0</v>
      </c>
      <c r="AD3741" s="19">
        <v>0</v>
      </c>
      <c r="AE3741" s="43"/>
      <c r="AF3741" s="43"/>
      <c r="AG3741" s="43"/>
      <c r="AH3741" s="43"/>
      <c r="AI3741" s="43"/>
      <c r="AJ3741" s="43"/>
      <c r="AK3741" s="43"/>
      <c r="AL3741" s="43"/>
      <c r="AM3741" s="43"/>
      <c r="AN3741" s="43"/>
      <c r="AO3741" s="43"/>
      <c r="AP3741" s="43"/>
      <c r="AQ3741" s="43"/>
      <c r="AR3741" s="43"/>
      <c r="AS3741" s="43"/>
      <c r="AT3741" s="43"/>
      <c r="AU3741" s="43"/>
      <c r="AV3741" s="43"/>
      <c r="AW3741" s="43"/>
      <c r="AX3741" s="43"/>
      <c r="AY3741" s="43"/>
      <c r="AZ3741" s="43"/>
      <c r="BA3741" s="43"/>
      <c r="BB3741" s="43"/>
      <c r="BC3741" s="229">
        <f t="shared" si="1621"/>
        <v>0</v>
      </c>
      <c r="BD3741" s="48">
        <f t="shared" si="1608"/>
        <v>0</v>
      </c>
      <c r="BE3741" s="19">
        <v>6</v>
      </c>
      <c r="BF3741" s="229">
        <f t="shared" si="1622"/>
        <v>0</v>
      </c>
      <c r="BG3741" s="210">
        <f t="shared" si="1610"/>
        <v>0</v>
      </c>
      <c r="BH3741" s="210">
        <f t="shared" si="1596"/>
        <v>6</v>
      </c>
      <c r="BI3741" s="213">
        <f t="shared" si="1623"/>
        <v>0</v>
      </c>
      <c r="BJ3741" s="141"/>
      <c r="BK3741" s="201"/>
      <c r="BL3741" s="4"/>
      <c r="BM3741" s="4"/>
    </row>
    <row r="3742" spans="1:65" s="38" customFormat="1" ht="15.95" customHeight="1">
      <c r="A3742" s="148">
        <v>9</v>
      </c>
      <c r="B3742" s="118" t="s">
        <v>1178</v>
      </c>
      <c r="C3742" s="120" t="s">
        <v>1179</v>
      </c>
      <c r="D3742" s="42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O3742" s="42"/>
      <c r="P3742" s="42"/>
      <c r="Q3742" s="42"/>
      <c r="R3742" s="42"/>
      <c r="S3742" s="42"/>
      <c r="T3742" s="42"/>
      <c r="U3742" s="42"/>
      <c r="V3742" s="42"/>
      <c r="W3742" s="42"/>
      <c r="X3742" s="42"/>
      <c r="Y3742" s="42"/>
      <c r="Z3742" s="42"/>
      <c r="AA3742" s="42"/>
      <c r="AB3742" s="229">
        <f t="shared" si="1620"/>
        <v>0</v>
      </c>
      <c r="AC3742" s="228">
        <f t="shared" si="1606"/>
        <v>0</v>
      </c>
      <c r="AD3742" s="19">
        <v>0</v>
      </c>
      <c r="AE3742" s="43"/>
      <c r="AF3742" s="43"/>
      <c r="AG3742" s="43"/>
      <c r="AH3742" s="43"/>
      <c r="AI3742" s="43"/>
      <c r="AJ3742" s="43"/>
      <c r="AK3742" s="43"/>
      <c r="AL3742" s="43"/>
      <c r="AM3742" s="110"/>
      <c r="AN3742" s="43"/>
      <c r="AO3742" s="43"/>
      <c r="AP3742" s="43"/>
      <c r="AQ3742" s="110"/>
      <c r="AR3742" s="43"/>
      <c r="AS3742" s="43"/>
      <c r="AT3742" s="43"/>
      <c r="AU3742" s="43"/>
      <c r="AV3742" s="43"/>
      <c r="AW3742" s="43"/>
      <c r="AX3742" s="43"/>
      <c r="AY3742" s="43"/>
      <c r="AZ3742" s="43"/>
      <c r="BA3742" s="43"/>
      <c r="BB3742" s="43"/>
      <c r="BC3742" s="229">
        <f t="shared" si="1621"/>
        <v>0</v>
      </c>
      <c r="BD3742" s="48">
        <f t="shared" si="1608"/>
        <v>0</v>
      </c>
      <c r="BE3742" s="19">
        <v>3</v>
      </c>
      <c r="BF3742" s="229">
        <f t="shared" si="1622"/>
        <v>0</v>
      </c>
      <c r="BG3742" s="210">
        <f t="shared" si="1610"/>
        <v>0</v>
      </c>
      <c r="BH3742" s="210">
        <f t="shared" si="1596"/>
        <v>3</v>
      </c>
      <c r="BI3742" s="213">
        <f t="shared" si="1623"/>
        <v>0</v>
      </c>
      <c r="BJ3742" s="141"/>
      <c r="BK3742" s="201"/>
      <c r="BL3742" s="4"/>
      <c r="BM3742" s="4"/>
    </row>
    <row r="3743" spans="1:65" s="38" customFormat="1" ht="25.5" customHeight="1">
      <c r="A3743" s="148">
        <v>10</v>
      </c>
      <c r="B3743" s="40" t="s">
        <v>1245</v>
      </c>
      <c r="C3743" s="119" t="s">
        <v>1246</v>
      </c>
      <c r="D3743" s="42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O3743" s="42"/>
      <c r="P3743" s="42"/>
      <c r="Q3743" s="42"/>
      <c r="R3743" s="42"/>
      <c r="S3743" s="42"/>
      <c r="T3743" s="42"/>
      <c r="U3743" s="42"/>
      <c r="V3743" s="42"/>
      <c r="W3743" s="42"/>
      <c r="X3743" s="42"/>
      <c r="Y3743" s="42"/>
      <c r="Z3743" s="42"/>
      <c r="AA3743" s="42"/>
      <c r="AB3743" s="229">
        <f t="shared" si="1620"/>
        <v>0</v>
      </c>
      <c r="AC3743" s="228">
        <f t="shared" si="1606"/>
        <v>0</v>
      </c>
      <c r="AD3743" s="19">
        <v>0</v>
      </c>
      <c r="AE3743" s="43"/>
      <c r="AF3743" s="43"/>
      <c r="AG3743" s="43"/>
      <c r="AH3743" s="43"/>
      <c r="AI3743" s="43"/>
      <c r="AJ3743" s="43"/>
      <c r="AK3743" s="43"/>
      <c r="AL3743" s="43"/>
      <c r="AM3743" s="43"/>
      <c r="AN3743" s="43"/>
      <c r="AO3743" s="43"/>
      <c r="AP3743" s="43"/>
      <c r="AQ3743" s="43"/>
      <c r="AR3743" s="43"/>
      <c r="AS3743" s="43"/>
      <c r="AT3743" s="43"/>
      <c r="AU3743" s="43"/>
      <c r="AV3743" s="43"/>
      <c r="AW3743" s="43"/>
      <c r="AX3743" s="43"/>
      <c r="AY3743" s="43"/>
      <c r="AZ3743" s="43"/>
      <c r="BA3743" s="43"/>
      <c r="BB3743" s="43"/>
      <c r="BC3743" s="229">
        <f t="shared" si="1621"/>
        <v>0</v>
      </c>
      <c r="BD3743" s="48">
        <f t="shared" si="1608"/>
        <v>0</v>
      </c>
      <c r="BE3743" s="19">
        <v>4</v>
      </c>
      <c r="BF3743" s="229">
        <f t="shared" si="1622"/>
        <v>0</v>
      </c>
      <c r="BG3743" s="210">
        <f t="shared" si="1610"/>
        <v>0</v>
      </c>
      <c r="BH3743" s="210">
        <f t="shared" si="1596"/>
        <v>4</v>
      </c>
      <c r="BI3743" s="213">
        <f t="shared" si="1623"/>
        <v>0</v>
      </c>
      <c r="BJ3743" s="141"/>
      <c r="BK3743" s="201"/>
      <c r="BL3743" s="4"/>
      <c r="BM3743" s="4"/>
    </row>
    <row r="3744" spans="1:65" s="38" customFormat="1" ht="15.95" customHeight="1">
      <c r="A3744" s="148">
        <v>11</v>
      </c>
      <c r="B3744" s="40" t="s">
        <v>1262</v>
      </c>
      <c r="C3744" s="120" t="s">
        <v>1263</v>
      </c>
      <c r="D3744" s="42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O3744" s="42"/>
      <c r="P3744" s="42"/>
      <c r="Q3744" s="42"/>
      <c r="R3744" s="42"/>
      <c r="S3744" s="42"/>
      <c r="T3744" s="42"/>
      <c r="U3744" s="42"/>
      <c r="V3744" s="42"/>
      <c r="W3744" s="42"/>
      <c r="X3744" s="42"/>
      <c r="Y3744" s="42"/>
      <c r="Z3744" s="42"/>
      <c r="AA3744" s="42"/>
      <c r="AB3744" s="229">
        <f t="shared" si="1620"/>
        <v>0</v>
      </c>
      <c r="AC3744" s="228">
        <f t="shared" si="1606"/>
        <v>0</v>
      </c>
      <c r="AD3744" s="19">
        <v>0</v>
      </c>
      <c r="AE3744" s="43"/>
      <c r="AF3744" s="43"/>
      <c r="AG3744" s="43"/>
      <c r="AH3744" s="43"/>
      <c r="AI3744" s="43"/>
      <c r="AJ3744" s="43"/>
      <c r="AK3744" s="43"/>
      <c r="AL3744" s="43"/>
      <c r="AM3744" s="43"/>
      <c r="AN3744" s="43"/>
      <c r="AO3744" s="43"/>
      <c r="AP3744" s="43"/>
      <c r="AQ3744" s="43"/>
      <c r="AR3744" s="43"/>
      <c r="AS3744" s="43"/>
      <c r="AT3744" s="43"/>
      <c r="AU3744" s="43"/>
      <c r="AV3744" s="43"/>
      <c r="AW3744" s="43"/>
      <c r="AX3744" s="43"/>
      <c r="AY3744" s="43"/>
      <c r="AZ3744" s="43"/>
      <c r="BA3744" s="43"/>
      <c r="BB3744" s="43"/>
      <c r="BC3744" s="229">
        <f t="shared" si="1621"/>
        <v>0</v>
      </c>
      <c r="BD3744" s="48">
        <f t="shared" si="1608"/>
        <v>0</v>
      </c>
      <c r="BE3744" s="19">
        <v>2</v>
      </c>
      <c r="BF3744" s="229">
        <f t="shared" si="1622"/>
        <v>0</v>
      </c>
      <c r="BG3744" s="210">
        <f t="shared" si="1610"/>
        <v>0</v>
      </c>
      <c r="BH3744" s="210">
        <f t="shared" si="1596"/>
        <v>2</v>
      </c>
      <c r="BI3744" s="213">
        <f t="shared" si="1623"/>
        <v>0</v>
      </c>
      <c r="BJ3744" s="155"/>
      <c r="BK3744" s="136"/>
      <c r="BL3744" s="4"/>
      <c r="BM3744" s="4"/>
    </row>
    <row r="3745" spans="1:65" s="38" customFormat="1" ht="21.95" customHeight="1">
      <c r="A3745" s="364" t="s">
        <v>2804</v>
      </c>
      <c r="B3745" s="364"/>
      <c r="C3745" s="364"/>
      <c r="D3745" s="39">
        <f t="shared" ref="D3745:AA3745" si="1624">SUM(D3746:D3795)</f>
        <v>0</v>
      </c>
      <c r="E3745" s="39">
        <f t="shared" si="1624"/>
        <v>0</v>
      </c>
      <c r="F3745" s="39">
        <f t="shared" si="1624"/>
        <v>0</v>
      </c>
      <c r="G3745" s="39">
        <f t="shared" si="1624"/>
        <v>0</v>
      </c>
      <c r="H3745" s="39">
        <f t="shared" si="1624"/>
        <v>0</v>
      </c>
      <c r="I3745" s="39">
        <f t="shared" si="1624"/>
        <v>25371</v>
      </c>
      <c r="J3745" s="39">
        <f t="shared" si="1624"/>
        <v>0</v>
      </c>
      <c r="K3745" s="39">
        <f t="shared" si="1624"/>
        <v>0</v>
      </c>
      <c r="L3745" s="39">
        <f t="shared" si="1624"/>
        <v>0</v>
      </c>
      <c r="M3745" s="39">
        <f t="shared" si="1624"/>
        <v>0</v>
      </c>
      <c r="N3745" s="39">
        <f t="shared" si="1624"/>
        <v>0</v>
      </c>
      <c r="O3745" s="39">
        <f t="shared" si="1624"/>
        <v>27359</v>
      </c>
      <c r="P3745" s="39">
        <f t="shared" si="1624"/>
        <v>0</v>
      </c>
      <c r="Q3745" s="39">
        <f t="shared" si="1624"/>
        <v>0</v>
      </c>
      <c r="R3745" s="39">
        <f t="shared" si="1624"/>
        <v>0</v>
      </c>
      <c r="S3745" s="39">
        <f t="shared" si="1624"/>
        <v>0</v>
      </c>
      <c r="T3745" s="39">
        <f t="shared" si="1624"/>
        <v>0</v>
      </c>
      <c r="U3745" s="39">
        <f t="shared" si="1624"/>
        <v>26486</v>
      </c>
      <c r="V3745" s="39">
        <f t="shared" si="1624"/>
        <v>0</v>
      </c>
      <c r="W3745" s="39">
        <f t="shared" si="1624"/>
        <v>0</v>
      </c>
      <c r="X3745" s="39">
        <f t="shared" si="1624"/>
        <v>0</v>
      </c>
      <c r="Y3745" s="39">
        <f t="shared" si="1624"/>
        <v>0</v>
      </c>
      <c r="Z3745" s="39">
        <f t="shared" si="1624"/>
        <v>0</v>
      </c>
      <c r="AA3745" s="39">
        <f t="shared" si="1624"/>
        <v>27803</v>
      </c>
      <c r="AB3745" s="39">
        <f t="shared" si="1605"/>
        <v>0</v>
      </c>
      <c r="AC3745" s="39">
        <f t="shared" si="1606"/>
        <v>107019</v>
      </c>
      <c r="AD3745" s="39">
        <f t="shared" ref="AD3745:BB3745" si="1625">SUM(AD3746:AD3795)</f>
        <v>93458</v>
      </c>
      <c r="AE3745" s="39">
        <f t="shared" si="1625"/>
        <v>0</v>
      </c>
      <c r="AF3745" s="39">
        <f t="shared" si="1625"/>
        <v>0</v>
      </c>
      <c r="AG3745" s="39">
        <f t="shared" si="1625"/>
        <v>0</v>
      </c>
      <c r="AH3745" s="39">
        <f t="shared" si="1625"/>
        <v>0</v>
      </c>
      <c r="AI3745" s="39">
        <f t="shared" si="1625"/>
        <v>0</v>
      </c>
      <c r="AJ3745" s="39">
        <f t="shared" si="1625"/>
        <v>11725</v>
      </c>
      <c r="AK3745" s="39">
        <f t="shared" si="1625"/>
        <v>0</v>
      </c>
      <c r="AL3745" s="39">
        <f t="shared" si="1625"/>
        <v>0</v>
      </c>
      <c r="AM3745" s="39">
        <f t="shared" si="1625"/>
        <v>0</v>
      </c>
      <c r="AN3745" s="39">
        <f t="shared" si="1625"/>
        <v>0</v>
      </c>
      <c r="AO3745" s="39">
        <f t="shared" si="1625"/>
        <v>0</v>
      </c>
      <c r="AP3745" s="39">
        <f t="shared" si="1625"/>
        <v>13128</v>
      </c>
      <c r="AQ3745" s="39">
        <f t="shared" si="1625"/>
        <v>0</v>
      </c>
      <c r="AR3745" s="39">
        <f t="shared" si="1625"/>
        <v>0</v>
      </c>
      <c r="AS3745" s="39">
        <f t="shared" si="1625"/>
        <v>0</v>
      </c>
      <c r="AT3745" s="39">
        <f t="shared" si="1625"/>
        <v>0</v>
      </c>
      <c r="AU3745" s="39">
        <f t="shared" si="1625"/>
        <v>0</v>
      </c>
      <c r="AV3745" s="39">
        <f t="shared" si="1625"/>
        <v>11273</v>
      </c>
      <c r="AW3745" s="39">
        <f t="shared" si="1625"/>
        <v>0</v>
      </c>
      <c r="AX3745" s="39">
        <f t="shared" si="1625"/>
        <v>0</v>
      </c>
      <c r="AY3745" s="39">
        <f t="shared" si="1625"/>
        <v>0</v>
      </c>
      <c r="AZ3745" s="39">
        <f t="shared" si="1625"/>
        <v>0</v>
      </c>
      <c r="BA3745" s="39">
        <f t="shared" si="1625"/>
        <v>0</v>
      </c>
      <c r="BB3745" s="39">
        <f t="shared" si="1625"/>
        <v>14575</v>
      </c>
      <c r="BC3745" s="39">
        <f t="shared" si="1607"/>
        <v>0</v>
      </c>
      <c r="BD3745" s="101">
        <f t="shared" si="1608"/>
        <v>50701</v>
      </c>
      <c r="BE3745" s="39">
        <f>SUM(BE3746:BE3795)</f>
        <v>45403</v>
      </c>
      <c r="BF3745" s="39">
        <f t="shared" si="1609"/>
        <v>0</v>
      </c>
      <c r="BG3745" s="101">
        <f t="shared" si="1610"/>
        <v>157720</v>
      </c>
      <c r="BH3745" s="101">
        <f t="shared" si="1596"/>
        <v>138861</v>
      </c>
      <c r="BI3745" s="280">
        <f t="shared" si="1611"/>
        <v>113.58120710638697</v>
      </c>
      <c r="BJ3745" s="142">
        <v>138861</v>
      </c>
      <c r="BK3745" s="203">
        <f>BH3745-BJ3745</f>
        <v>0</v>
      </c>
      <c r="BL3745" s="4"/>
      <c r="BM3745" s="4"/>
    </row>
    <row r="3746" spans="1:65" s="38" customFormat="1" ht="15.95" customHeight="1">
      <c r="A3746" s="148">
        <v>1</v>
      </c>
      <c r="B3746" s="118" t="s">
        <v>1490</v>
      </c>
      <c r="C3746" s="120" t="s">
        <v>1491</v>
      </c>
      <c r="D3746" s="43"/>
      <c r="E3746" s="42"/>
      <c r="F3746" s="42"/>
      <c r="G3746" s="42"/>
      <c r="H3746" s="42"/>
      <c r="I3746" s="42">
        <f>3+788</f>
        <v>791</v>
      </c>
      <c r="J3746" s="42"/>
      <c r="K3746" s="42"/>
      <c r="L3746" s="42"/>
      <c r="M3746" s="42"/>
      <c r="N3746" s="42"/>
      <c r="O3746" s="42">
        <f>4+840</f>
        <v>844</v>
      </c>
      <c r="P3746" s="42"/>
      <c r="Q3746" s="42"/>
      <c r="R3746" s="42"/>
      <c r="S3746" s="42"/>
      <c r="T3746" s="42"/>
      <c r="U3746" s="42">
        <v>786</v>
      </c>
      <c r="V3746" s="42"/>
      <c r="W3746" s="42"/>
      <c r="X3746" s="42"/>
      <c r="Y3746" s="42"/>
      <c r="Z3746" s="42"/>
      <c r="AA3746" s="42">
        <f>10+936</f>
        <v>946</v>
      </c>
      <c r="AB3746" s="229">
        <f t="shared" ref="AB3746:AB3777" si="1626">D3746+F3746+H3746+J3746+L3746+N3746+P3746+R3746+T3746+V3746+X3746+Z3746</f>
        <v>0</v>
      </c>
      <c r="AC3746" s="228">
        <f t="shared" ref="AC3746:AC3777" si="1627">E3746+G3746+I3746+K3746+M3746+O3746+Q3746+S3746+U3746+W3746+Y3746+AA3746</f>
        <v>3367</v>
      </c>
      <c r="AD3746" s="19">
        <v>3472</v>
      </c>
      <c r="AE3746" s="43"/>
      <c r="AF3746" s="43"/>
      <c r="AG3746" s="43"/>
      <c r="AH3746" s="43"/>
      <c r="AI3746" s="43"/>
      <c r="AJ3746" s="43"/>
      <c r="AK3746" s="43"/>
      <c r="AL3746" s="43"/>
      <c r="AM3746" s="43"/>
      <c r="AN3746" s="43"/>
      <c r="AO3746" s="43"/>
      <c r="AP3746" s="43"/>
      <c r="AQ3746" s="43"/>
      <c r="AR3746" s="43"/>
      <c r="AS3746" s="43"/>
      <c r="AT3746" s="43"/>
      <c r="AU3746" s="43"/>
      <c r="AV3746" s="43"/>
      <c r="AW3746" s="43"/>
      <c r="AX3746" s="43"/>
      <c r="AY3746" s="43"/>
      <c r="AZ3746" s="43"/>
      <c r="BA3746" s="43"/>
      <c r="BB3746" s="43"/>
      <c r="BC3746" s="229">
        <f t="shared" ref="BC3746:BC3777" si="1628">AE3746+AG3746+AI3746+AK3746+AM3746+AO3746+AQ3746+AS3746+AU3746+AW3746+AY3746+BA3746</f>
        <v>0</v>
      </c>
      <c r="BD3746" s="48">
        <f t="shared" ref="BD3746:BD3777" si="1629">AF3746+AH3746+AJ3746+AL3746+AN3746+AP3746+AR3746+AT3746+AV3746+AX3746+AZ3746+BB3746</f>
        <v>0</v>
      </c>
      <c r="BE3746" s="19">
        <v>0</v>
      </c>
      <c r="BF3746" s="229">
        <f t="shared" ref="BF3746:BF3777" si="1630">AB3746+BC3746</f>
        <v>0</v>
      </c>
      <c r="BG3746" s="210">
        <f t="shared" ref="BG3746:BG3777" si="1631">AC3746+BD3746</f>
        <v>3367</v>
      </c>
      <c r="BH3746" s="210">
        <f t="shared" ref="BH3746:BH3777" si="1632">AD3746+BE3746</f>
        <v>3472</v>
      </c>
      <c r="BI3746" s="213">
        <f t="shared" ref="BI3746:BI3777" si="1633">BG3746/BH3746*100</f>
        <v>96.975806451612897</v>
      </c>
      <c r="BJ3746" s="270" t="s">
        <v>2857</v>
      </c>
      <c r="BK3746" s="201"/>
      <c r="BL3746" s="4"/>
      <c r="BM3746" s="4"/>
    </row>
    <row r="3747" spans="1:65" s="38" customFormat="1" ht="15.95" customHeight="1">
      <c r="A3747" s="148">
        <v>2</v>
      </c>
      <c r="B3747" s="118" t="s">
        <v>1881</v>
      </c>
      <c r="C3747" s="120" t="s">
        <v>1882</v>
      </c>
      <c r="D3747" s="43"/>
      <c r="E3747" s="42"/>
      <c r="F3747" s="42"/>
      <c r="G3747" s="42"/>
      <c r="H3747" s="42"/>
      <c r="I3747" s="42">
        <v>49</v>
      </c>
      <c r="J3747" s="42"/>
      <c r="K3747" s="42"/>
      <c r="L3747" s="42"/>
      <c r="M3747" s="42"/>
      <c r="N3747" s="42"/>
      <c r="O3747" s="42">
        <v>27</v>
      </c>
      <c r="P3747" s="42"/>
      <c r="Q3747" s="42"/>
      <c r="R3747" s="42"/>
      <c r="S3747" s="42"/>
      <c r="T3747" s="42"/>
      <c r="U3747" s="42">
        <v>26</v>
      </c>
      <c r="V3747" s="42"/>
      <c r="W3747" s="42"/>
      <c r="X3747" s="42"/>
      <c r="Y3747" s="42"/>
      <c r="Z3747" s="42"/>
      <c r="AA3747" s="42">
        <v>23</v>
      </c>
      <c r="AB3747" s="229">
        <f t="shared" si="1626"/>
        <v>0</v>
      </c>
      <c r="AC3747" s="228">
        <f t="shared" si="1627"/>
        <v>125</v>
      </c>
      <c r="AD3747" s="19">
        <v>105</v>
      </c>
      <c r="AE3747" s="43"/>
      <c r="AF3747" s="43"/>
      <c r="AG3747" s="43"/>
      <c r="AH3747" s="43"/>
      <c r="AI3747" s="43"/>
      <c r="AJ3747" s="43"/>
      <c r="AK3747" s="43"/>
      <c r="AL3747" s="43"/>
      <c r="AM3747" s="43"/>
      <c r="AN3747" s="43"/>
      <c r="AO3747" s="43"/>
      <c r="AP3747" s="43"/>
      <c r="AQ3747" s="43"/>
      <c r="AR3747" s="43"/>
      <c r="AS3747" s="43"/>
      <c r="AT3747" s="43"/>
      <c r="AU3747" s="43"/>
      <c r="AV3747" s="43"/>
      <c r="AW3747" s="43"/>
      <c r="AX3747" s="43"/>
      <c r="AY3747" s="43"/>
      <c r="AZ3747" s="43"/>
      <c r="BA3747" s="43"/>
      <c r="BB3747" s="43"/>
      <c r="BC3747" s="229">
        <f t="shared" si="1628"/>
        <v>0</v>
      </c>
      <c r="BD3747" s="48">
        <f t="shared" si="1629"/>
        <v>0</v>
      </c>
      <c r="BE3747" s="19">
        <v>0</v>
      </c>
      <c r="BF3747" s="229">
        <f t="shared" si="1630"/>
        <v>0</v>
      </c>
      <c r="BG3747" s="210">
        <f t="shared" si="1631"/>
        <v>125</v>
      </c>
      <c r="BH3747" s="210">
        <f t="shared" si="1632"/>
        <v>105</v>
      </c>
      <c r="BI3747" s="213">
        <f t="shared" si="1633"/>
        <v>119.04761904761905</v>
      </c>
      <c r="BJ3747" s="270" t="s">
        <v>2857</v>
      </c>
      <c r="BK3747" s="201"/>
      <c r="BL3747" s="4"/>
      <c r="BM3747" s="4"/>
    </row>
    <row r="3748" spans="1:65" s="38" customFormat="1" ht="15.95" customHeight="1">
      <c r="A3748" s="148">
        <v>3</v>
      </c>
      <c r="B3748" s="118" t="s">
        <v>1256</v>
      </c>
      <c r="C3748" s="120" t="s">
        <v>1257</v>
      </c>
      <c r="D3748" s="43"/>
      <c r="E3748" s="42"/>
      <c r="F3748" s="42"/>
      <c r="G3748" s="42"/>
      <c r="H3748" s="42"/>
      <c r="I3748" s="42">
        <f>82+2+23</f>
        <v>107</v>
      </c>
      <c r="J3748" s="42"/>
      <c r="K3748" s="42"/>
      <c r="L3748" s="42"/>
      <c r="M3748" s="42"/>
      <c r="N3748" s="42"/>
      <c r="O3748" s="42">
        <f>116+1+40</f>
        <v>157</v>
      </c>
      <c r="P3748" s="42"/>
      <c r="Q3748" s="42"/>
      <c r="R3748" s="42"/>
      <c r="S3748" s="42"/>
      <c r="T3748" s="42"/>
      <c r="U3748" s="42">
        <f>116+1+42</f>
        <v>159</v>
      </c>
      <c r="V3748" s="42"/>
      <c r="W3748" s="42"/>
      <c r="X3748" s="42"/>
      <c r="Y3748" s="42"/>
      <c r="Z3748" s="42"/>
      <c r="AA3748" s="42">
        <f>52+27</f>
        <v>79</v>
      </c>
      <c r="AB3748" s="229">
        <f t="shared" si="1626"/>
        <v>0</v>
      </c>
      <c r="AC3748" s="228">
        <f t="shared" si="1627"/>
        <v>502</v>
      </c>
      <c r="AD3748" s="19">
        <v>352</v>
      </c>
      <c r="AE3748" s="43"/>
      <c r="AF3748" s="43"/>
      <c r="AG3748" s="43"/>
      <c r="AH3748" s="43"/>
      <c r="AI3748" s="43"/>
      <c r="AJ3748" s="43"/>
      <c r="AK3748" s="43"/>
      <c r="AL3748" s="43"/>
      <c r="AM3748" s="43"/>
      <c r="AN3748" s="43"/>
      <c r="AO3748" s="43"/>
      <c r="AP3748" s="43"/>
      <c r="AQ3748" s="43"/>
      <c r="AR3748" s="43"/>
      <c r="AS3748" s="43"/>
      <c r="AT3748" s="43"/>
      <c r="AU3748" s="43"/>
      <c r="AV3748" s="43"/>
      <c r="AW3748" s="43"/>
      <c r="AX3748" s="43"/>
      <c r="AY3748" s="43"/>
      <c r="AZ3748" s="43"/>
      <c r="BA3748" s="43"/>
      <c r="BB3748" s="43"/>
      <c r="BC3748" s="229">
        <f t="shared" si="1628"/>
        <v>0</v>
      </c>
      <c r="BD3748" s="48">
        <f t="shared" si="1629"/>
        <v>0</v>
      </c>
      <c r="BE3748" s="19">
        <v>0</v>
      </c>
      <c r="BF3748" s="229">
        <f t="shared" si="1630"/>
        <v>0</v>
      </c>
      <c r="BG3748" s="210">
        <f t="shared" si="1631"/>
        <v>502</v>
      </c>
      <c r="BH3748" s="210">
        <f t="shared" si="1632"/>
        <v>352</v>
      </c>
      <c r="BI3748" s="213">
        <f t="shared" si="1633"/>
        <v>142.61363636363635</v>
      </c>
      <c r="BJ3748" s="270" t="s">
        <v>2857</v>
      </c>
      <c r="BK3748" s="201"/>
      <c r="BL3748" s="4"/>
      <c r="BM3748" s="4"/>
    </row>
    <row r="3749" spans="1:65" s="38" customFormat="1" ht="15.95" customHeight="1">
      <c r="A3749" s="148">
        <v>4</v>
      </c>
      <c r="B3749" s="118" t="s">
        <v>1289</v>
      </c>
      <c r="C3749" s="120" t="s">
        <v>1290</v>
      </c>
      <c r="D3749" s="43"/>
      <c r="E3749" s="42"/>
      <c r="F3749" s="42"/>
      <c r="G3749" s="42"/>
      <c r="H3749" s="42"/>
      <c r="I3749" s="42">
        <f>503+4</f>
        <v>507</v>
      </c>
      <c r="J3749" s="42"/>
      <c r="K3749" s="42"/>
      <c r="L3749" s="42"/>
      <c r="M3749" s="42"/>
      <c r="N3749" s="42"/>
      <c r="O3749" s="42">
        <v>608</v>
      </c>
      <c r="P3749" s="42"/>
      <c r="Q3749" s="42"/>
      <c r="R3749" s="42"/>
      <c r="S3749" s="42"/>
      <c r="T3749" s="42"/>
      <c r="U3749" s="42">
        <f>688+15</f>
        <v>703</v>
      </c>
      <c r="V3749" s="42"/>
      <c r="W3749" s="42"/>
      <c r="X3749" s="42"/>
      <c r="Y3749" s="42"/>
      <c r="Z3749" s="42"/>
      <c r="AA3749" s="42">
        <v>718</v>
      </c>
      <c r="AB3749" s="229">
        <f t="shared" si="1626"/>
        <v>0</v>
      </c>
      <c r="AC3749" s="228">
        <f t="shared" si="1627"/>
        <v>2536</v>
      </c>
      <c r="AD3749" s="19">
        <v>2270</v>
      </c>
      <c r="AE3749" s="43"/>
      <c r="AF3749" s="43"/>
      <c r="AG3749" s="43"/>
      <c r="AH3749" s="43"/>
      <c r="AI3749" s="43"/>
      <c r="AJ3749" s="43"/>
      <c r="AK3749" s="43"/>
      <c r="AL3749" s="43"/>
      <c r="AM3749" s="43"/>
      <c r="AN3749" s="43"/>
      <c r="AO3749" s="43"/>
      <c r="AP3749" s="43"/>
      <c r="AQ3749" s="43"/>
      <c r="AR3749" s="43"/>
      <c r="AS3749" s="43"/>
      <c r="AT3749" s="43"/>
      <c r="AU3749" s="43"/>
      <c r="AV3749" s="43"/>
      <c r="AW3749" s="43"/>
      <c r="AX3749" s="43"/>
      <c r="AY3749" s="43"/>
      <c r="AZ3749" s="43"/>
      <c r="BA3749" s="43"/>
      <c r="BB3749" s="43"/>
      <c r="BC3749" s="229">
        <f t="shared" si="1628"/>
        <v>0</v>
      </c>
      <c r="BD3749" s="48">
        <f t="shared" si="1629"/>
        <v>0</v>
      </c>
      <c r="BE3749" s="19">
        <v>0</v>
      </c>
      <c r="BF3749" s="229">
        <f t="shared" si="1630"/>
        <v>0</v>
      </c>
      <c r="BG3749" s="210">
        <f t="shared" si="1631"/>
        <v>2536</v>
      </c>
      <c r="BH3749" s="210">
        <f t="shared" si="1632"/>
        <v>2270</v>
      </c>
      <c r="BI3749" s="213">
        <f t="shared" si="1633"/>
        <v>111.71806167400882</v>
      </c>
      <c r="BJ3749" s="270" t="s">
        <v>2857</v>
      </c>
      <c r="BK3749" s="201"/>
      <c r="BL3749" s="4"/>
      <c r="BM3749" s="4"/>
    </row>
    <row r="3750" spans="1:65" s="38" customFormat="1" ht="15.95" customHeight="1">
      <c r="A3750" s="148">
        <v>5</v>
      </c>
      <c r="B3750" s="118" t="s">
        <v>1646</v>
      </c>
      <c r="C3750" s="120" t="s">
        <v>1647</v>
      </c>
      <c r="D3750" s="43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O3750" s="42"/>
      <c r="P3750" s="42"/>
      <c r="Q3750" s="42"/>
      <c r="R3750" s="42"/>
      <c r="S3750" s="42"/>
      <c r="T3750" s="42"/>
      <c r="U3750" s="42"/>
      <c r="V3750" s="42"/>
      <c r="W3750" s="42"/>
      <c r="X3750" s="42"/>
      <c r="Y3750" s="42"/>
      <c r="Z3750" s="42"/>
      <c r="AA3750" s="42"/>
      <c r="AB3750" s="229">
        <f t="shared" si="1626"/>
        <v>0</v>
      </c>
      <c r="AC3750" s="228">
        <f t="shared" si="1627"/>
        <v>0</v>
      </c>
      <c r="AD3750" s="19">
        <v>2</v>
      </c>
      <c r="AE3750" s="43"/>
      <c r="AF3750" s="43"/>
      <c r="AG3750" s="43"/>
      <c r="AH3750" s="43"/>
      <c r="AI3750" s="43"/>
      <c r="AJ3750" s="43"/>
      <c r="AK3750" s="43"/>
      <c r="AL3750" s="43"/>
      <c r="AM3750" s="43"/>
      <c r="AN3750" s="43"/>
      <c r="AO3750" s="43"/>
      <c r="AP3750" s="43"/>
      <c r="AQ3750" s="43"/>
      <c r="AR3750" s="43"/>
      <c r="AS3750" s="43"/>
      <c r="AT3750" s="43"/>
      <c r="AU3750" s="43"/>
      <c r="AV3750" s="43"/>
      <c r="AW3750" s="43"/>
      <c r="AX3750" s="43"/>
      <c r="AY3750" s="43"/>
      <c r="AZ3750" s="43"/>
      <c r="BA3750" s="43"/>
      <c r="BB3750" s="43"/>
      <c r="BC3750" s="229">
        <f t="shared" si="1628"/>
        <v>0</v>
      </c>
      <c r="BD3750" s="48">
        <f t="shared" si="1629"/>
        <v>0</v>
      </c>
      <c r="BE3750" s="19">
        <v>0</v>
      </c>
      <c r="BF3750" s="229">
        <f t="shared" si="1630"/>
        <v>0</v>
      </c>
      <c r="BG3750" s="210">
        <f t="shared" si="1631"/>
        <v>0</v>
      </c>
      <c r="BH3750" s="210">
        <f t="shared" si="1632"/>
        <v>2</v>
      </c>
      <c r="BI3750" s="213">
        <f t="shared" si="1633"/>
        <v>0</v>
      </c>
      <c r="BJ3750" s="270" t="s">
        <v>2857</v>
      </c>
      <c r="BK3750" s="201"/>
      <c r="BL3750" s="4"/>
      <c r="BM3750" s="4"/>
    </row>
    <row r="3751" spans="1:65" s="38" customFormat="1" ht="15.95" customHeight="1">
      <c r="A3751" s="148">
        <v>6</v>
      </c>
      <c r="B3751" s="118" t="s">
        <v>1291</v>
      </c>
      <c r="C3751" s="120" t="s">
        <v>1292</v>
      </c>
      <c r="D3751" s="43"/>
      <c r="E3751" s="42"/>
      <c r="F3751" s="42"/>
      <c r="G3751" s="42"/>
      <c r="H3751" s="42"/>
      <c r="I3751" s="42">
        <v>10</v>
      </c>
      <c r="J3751" s="42"/>
      <c r="K3751" s="42"/>
      <c r="L3751" s="42"/>
      <c r="M3751" s="42"/>
      <c r="N3751" s="42"/>
      <c r="O3751" s="42">
        <f>7+1</f>
        <v>8</v>
      </c>
      <c r="P3751" s="42"/>
      <c r="Q3751" s="42"/>
      <c r="R3751" s="42"/>
      <c r="S3751" s="42"/>
      <c r="T3751" s="42"/>
      <c r="U3751" s="42">
        <f>64+2+3</f>
        <v>69</v>
      </c>
      <c r="V3751" s="42"/>
      <c r="W3751" s="42"/>
      <c r="X3751" s="42"/>
      <c r="Y3751" s="42"/>
      <c r="Z3751" s="42"/>
      <c r="AA3751" s="42">
        <f>4+1</f>
        <v>5</v>
      </c>
      <c r="AB3751" s="229">
        <f t="shared" si="1626"/>
        <v>0</v>
      </c>
      <c r="AC3751" s="228">
        <f t="shared" si="1627"/>
        <v>92</v>
      </c>
      <c r="AD3751" s="19">
        <v>110</v>
      </c>
      <c r="AE3751" s="43"/>
      <c r="AF3751" s="43"/>
      <c r="AG3751" s="43"/>
      <c r="AH3751" s="43"/>
      <c r="AI3751" s="43"/>
      <c r="AJ3751" s="43"/>
      <c r="AK3751" s="43"/>
      <c r="AL3751" s="43"/>
      <c r="AM3751" s="43"/>
      <c r="AN3751" s="43"/>
      <c r="AO3751" s="43"/>
      <c r="AP3751" s="43"/>
      <c r="AQ3751" s="43"/>
      <c r="AR3751" s="43"/>
      <c r="AS3751" s="43"/>
      <c r="AT3751" s="43"/>
      <c r="AU3751" s="43"/>
      <c r="AV3751" s="43"/>
      <c r="AW3751" s="43"/>
      <c r="AX3751" s="43"/>
      <c r="AY3751" s="43"/>
      <c r="AZ3751" s="43"/>
      <c r="BA3751" s="43"/>
      <c r="BB3751" s="43"/>
      <c r="BC3751" s="229">
        <f t="shared" si="1628"/>
        <v>0</v>
      </c>
      <c r="BD3751" s="48">
        <f t="shared" si="1629"/>
        <v>0</v>
      </c>
      <c r="BE3751" s="19">
        <v>0</v>
      </c>
      <c r="BF3751" s="229">
        <f t="shared" si="1630"/>
        <v>0</v>
      </c>
      <c r="BG3751" s="210">
        <f t="shared" si="1631"/>
        <v>92</v>
      </c>
      <c r="BH3751" s="210">
        <f t="shared" si="1632"/>
        <v>110</v>
      </c>
      <c r="BI3751" s="213">
        <f t="shared" si="1633"/>
        <v>83.636363636363626</v>
      </c>
      <c r="BJ3751" s="270" t="s">
        <v>2857</v>
      </c>
      <c r="BK3751" s="201"/>
      <c r="BL3751" s="4"/>
      <c r="BM3751" s="4"/>
    </row>
    <row r="3752" spans="1:65" s="38" customFormat="1" ht="15.95" customHeight="1">
      <c r="A3752" s="148">
        <v>7</v>
      </c>
      <c r="B3752" s="40" t="s">
        <v>1284</v>
      </c>
      <c r="C3752" s="150" t="s">
        <v>1606</v>
      </c>
      <c r="D3752" s="43"/>
      <c r="E3752" s="42"/>
      <c r="F3752" s="42"/>
      <c r="G3752" s="42"/>
      <c r="H3752" s="42"/>
      <c r="I3752" s="42">
        <f>257+4</f>
        <v>261</v>
      </c>
      <c r="J3752" s="42"/>
      <c r="K3752" s="42"/>
      <c r="L3752" s="42"/>
      <c r="M3752" s="42"/>
      <c r="N3752" s="42"/>
      <c r="O3752" s="42">
        <v>364</v>
      </c>
      <c r="P3752" s="42"/>
      <c r="Q3752" s="42"/>
      <c r="R3752" s="42"/>
      <c r="S3752" s="42"/>
      <c r="T3752" s="42"/>
      <c r="U3752" s="42">
        <f>252+8</f>
        <v>260</v>
      </c>
      <c r="V3752" s="42"/>
      <c r="W3752" s="42"/>
      <c r="X3752" s="42"/>
      <c r="Y3752" s="42"/>
      <c r="Z3752" s="42"/>
      <c r="AA3752" s="42">
        <v>249</v>
      </c>
      <c r="AB3752" s="229">
        <f t="shared" si="1626"/>
        <v>0</v>
      </c>
      <c r="AC3752" s="228">
        <f t="shared" si="1627"/>
        <v>1134</v>
      </c>
      <c r="AD3752" s="19">
        <v>1275</v>
      </c>
      <c r="AE3752" s="43"/>
      <c r="AF3752" s="43"/>
      <c r="AG3752" s="43"/>
      <c r="AH3752" s="43"/>
      <c r="AI3752" s="43"/>
      <c r="AJ3752" s="43"/>
      <c r="AK3752" s="43"/>
      <c r="AL3752" s="43"/>
      <c r="AM3752" s="43"/>
      <c r="AN3752" s="43"/>
      <c r="AO3752" s="43"/>
      <c r="AP3752" s="43"/>
      <c r="AQ3752" s="43"/>
      <c r="AR3752" s="43"/>
      <c r="AS3752" s="43"/>
      <c r="AT3752" s="43"/>
      <c r="AU3752" s="43"/>
      <c r="AV3752" s="43"/>
      <c r="AW3752" s="43"/>
      <c r="AX3752" s="43"/>
      <c r="AY3752" s="43"/>
      <c r="AZ3752" s="43"/>
      <c r="BA3752" s="43"/>
      <c r="BB3752" s="43"/>
      <c r="BC3752" s="229">
        <f t="shared" si="1628"/>
        <v>0</v>
      </c>
      <c r="BD3752" s="48">
        <f t="shared" si="1629"/>
        <v>0</v>
      </c>
      <c r="BE3752" s="19">
        <v>0</v>
      </c>
      <c r="BF3752" s="229">
        <f t="shared" si="1630"/>
        <v>0</v>
      </c>
      <c r="BG3752" s="210">
        <f t="shared" si="1631"/>
        <v>1134</v>
      </c>
      <c r="BH3752" s="210">
        <f t="shared" si="1632"/>
        <v>1275</v>
      </c>
      <c r="BI3752" s="213">
        <f t="shared" si="1633"/>
        <v>88.941176470588232</v>
      </c>
      <c r="BJ3752" s="270" t="s">
        <v>2857</v>
      </c>
      <c r="BK3752" s="201"/>
      <c r="BL3752" s="4"/>
      <c r="BM3752" s="4"/>
    </row>
    <row r="3753" spans="1:65" s="38" customFormat="1" ht="15.95" customHeight="1">
      <c r="A3753" s="148">
        <v>8</v>
      </c>
      <c r="B3753" s="40" t="s">
        <v>1883</v>
      </c>
      <c r="C3753" s="41" t="s">
        <v>1884</v>
      </c>
      <c r="D3753" s="43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O3753" s="42">
        <v>3</v>
      </c>
      <c r="P3753" s="42"/>
      <c r="Q3753" s="42"/>
      <c r="R3753" s="42"/>
      <c r="S3753" s="42"/>
      <c r="T3753" s="42"/>
      <c r="U3753" s="42"/>
      <c r="V3753" s="42"/>
      <c r="W3753" s="42"/>
      <c r="X3753" s="42"/>
      <c r="Y3753" s="42"/>
      <c r="Z3753" s="42"/>
      <c r="AA3753" s="42">
        <v>5</v>
      </c>
      <c r="AB3753" s="229">
        <f t="shared" si="1626"/>
        <v>0</v>
      </c>
      <c r="AC3753" s="228">
        <f t="shared" si="1627"/>
        <v>8</v>
      </c>
      <c r="AD3753" s="19">
        <v>2</v>
      </c>
      <c r="AE3753" s="43"/>
      <c r="AF3753" s="43"/>
      <c r="AG3753" s="43"/>
      <c r="AH3753" s="43"/>
      <c r="AI3753" s="43"/>
      <c r="AJ3753" s="43"/>
      <c r="AK3753" s="43"/>
      <c r="AL3753" s="43"/>
      <c r="AM3753" s="43"/>
      <c r="AN3753" s="43"/>
      <c r="AO3753" s="43"/>
      <c r="AP3753" s="43"/>
      <c r="AQ3753" s="43"/>
      <c r="AR3753" s="43"/>
      <c r="AS3753" s="43"/>
      <c r="AT3753" s="43"/>
      <c r="AU3753" s="43"/>
      <c r="AV3753" s="43"/>
      <c r="AW3753" s="43"/>
      <c r="AX3753" s="43"/>
      <c r="AY3753" s="43"/>
      <c r="AZ3753" s="43"/>
      <c r="BA3753" s="43"/>
      <c r="BB3753" s="43"/>
      <c r="BC3753" s="229">
        <f t="shared" si="1628"/>
        <v>0</v>
      </c>
      <c r="BD3753" s="48">
        <f t="shared" si="1629"/>
        <v>0</v>
      </c>
      <c r="BE3753" s="19">
        <v>0</v>
      </c>
      <c r="BF3753" s="229">
        <f t="shared" si="1630"/>
        <v>0</v>
      </c>
      <c r="BG3753" s="210">
        <f t="shared" si="1631"/>
        <v>8</v>
      </c>
      <c r="BH3753" s="210">
        <f t="shared" si="1632"/>
        <v>2</v>
      </c>
      <c r="BI3753" s="213">
        <f t="shared" si="1633"/>
        <v>400</v>
      </c>
      <c r="BJ3753" s="270" t="s">
        <v>2857</v>
      </c>
      <c r="BK3753" s="201"/>
      <c r="BL3753" s="4"/>
      <c r="BM3753" s="4"/>
    </row>
    <row r="3754" spans="1:65" s="38" customFormat="1" ht="15.95" customHeight="1">
      <c r="A3754" s="148">
        <v>9</v>
      </c>
      <c r="B3754" s="118" t="s">
        <v>2216</v>
      </c>
      <c r="C3754" s="120" t="s">
        <v>2217</v>
      </c>
      <c r="D3754" s="43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O3754" s="42">
        <f>5+2</f>
        <v>7</v>
      </c>
      <c r="P3754" s="42"/>
      <c r="Q3754" s="42"/>
      <c r="R3754" s="42"/>
      <c r="S3754" s="42"/>
      <c r="T3754" s="42"/>
      <c r="U3754" s="42"/>
      <c r="V3754" s="42"/>
      <c r="W3754" s="42"/>
      <c r="X3754" s="42"/>
      <c r="Y3754" s="42"/>
      <c r="Z3754" s="42"/>
      <c r="AA3754" s="42"/>
      <c r="AB3754" s="229">
        <f t="shared" si="1626"/>
        <v>0</v>
      </c>
      <c r="AC3754" s="228">
        <f t="shared" si="1627"/>
        <v>7</v>
      </c>
      <c r="AD3754" s="19">
        <v>6</v>
      </c>
      <c r="AE3754" s="43"/>
      <c r="AF3754" s="43"/>
      <c r="AG3754" s="43"/>
      <c r="AH3754" s="43"/>
      <c r="AI3754" s="43"/>
      <c r="AJ3754" s="43"/>
      <c r="AK3754" s="43"/>
      <c r="AL3754" s="43"/>
      <c r="AM3754" s="43"/>
      <c r="AN3754" s="43"/>
      <c r="AO3754" s="43"/>
      <c r="AP3754" s="43"/>
      <c r="AQ3754" s="43"/>
      <c r="AR3754" s="43"/>
      <c r="AS3754" s="43"/>
      <c r="AT3754" s="43"/>
      <c r="AU3754" s="43"/>
      <c r="AV3754" s="43"/>
      <c r="AW3754" s="43"/>
      <c r="AX3754" s="43"/>
      <c r="AY3754" s="43"/>
      <c r="AZ3754" s="43"/>
      <c r="BA3754" s="43"/>
      <c r="BB3754" s="43"/>
      <c r="BC3754" s="229">
        <f t="shared" si="1628"/>
        <v>0</v>
      </c>
      <c r="BD3754" s="48">
        <f t="shared" si="1629"/>
        <v>0</v>
      </c>
      <c r="BE3754" s="19">
        <v>0</v>
      </c>
      <c r="BF3754" s="229">
        <f t="shared" si="1630"/>
        <v>0</v>
      </c>
      <c r="BG3754" s="210">
        <f t="shared" si="1631"/>
        <v>7</v>
      </c>
      <c r="BH3754" s="210">
        <f t="shared" si="1632"/>
        <v>6</v>
      </c>
      <c r="BI3754" s="213">
        <f t="shared" si="1633"/>
        <v>116.66666666666667</v>
      </c>
      <c r="BJ3754" s="270" t="s">
        <v>2857</v>
      </c>
      <c r="BK3754" s="201"/>
      <c r="BL3754" s="4"/>
      <c r="BM3754" s="4"/>
    </row>
    <row r="3755" spans="1:65" s="38" customFormat="1" ht="15.95" customHeight="1">
      <c r="A3755" s="148">
        <v>10</v>
      </c>
      <c r="B3755" s="118" t="s">
        <v>1285</v>
      </c>
      <c r="C3755" s="120" t="s">
        <v>1286</v>
      </c>
      <c r="D3755" s="43"/>
      <c r="E3755" s="42"/>
      <c r="F3755" s="42"/>
      <c r="G3755" s="42"/>
      <c r="H3755" s="42"/>
      <c r="I3755" s="42">
        <f>566+6</f>
        <v>572</v>
      </c>
      <c r="J3755" s="42"/>
      <c r="K3755" s="42"/>
      <c r="L3755" s="42"/>
      <c r="M3755" s="42"/>
      <c r="N3755" s="42"/>
      <c r="O3755" s="42">
        <v>554</v>
      </c>
      <c r="P3755" s="42"/>
      <c r="Q3755" s="42"/>
      <c r="R3755" s="42"/>
      <c r="S3755" s="42"/>
      <c r="T3755" s="42"/>
      <c r="U3755" s="42">
        <f>635+12+2</f>
        <v>649</v>
      </c>
      <c r="V3755" s="42"/>
      <c r="W3755" s="42"/>
      <c r="X3755" s="42"/>
      <c r="Y3755" s="42"/>
      <c r="Z3755" s="42"/>
      <c r="AA3755" s="42">
        <v>707</v>
      </c>
      <c r="AB3755" s="229">
        <f t="shared" si="1626"/>
        <v>0</v>
      </c>
      <c r="AC3755" s="228">
        <f t="shared" si="1627"/>
        <v>2482</v>
      </c>
      <c r="AD3755" s="19">
        <v>3258</v>
      </c>
      <c r="AE3755" s="43"/>
      <c r="AF3755" s="43"/>
      <c r="AG3755" s="43"/>
      <c r="AH3755" s="43"/>
      <c r="AI3755" s="43"/>
      <c r="AJ3755" s="43"/>
      <c r="AK3755" s="43"/>
      <c r="AL3755" s="43"/>
      <c r="AM3755" s="43"/>
      <c r="AN3755" s="43"/>
      <c r="AO3755" s="43"/>
      <c r="AP3755" s="43"/>
      <c r="AQ3755" s="43"/>
      <c r="AR3755" s="43"/>
      <c r="AS3755" s="43"/>
      <c r="AT3755" s="43"/>
      <c r="AU3755" s="43"/>
      <c r="AV3755" s="43"/>
      <c r="AW3755" s="43"/>
      <c r="AX3755" s="43"/>
      <c r="AY3755" s="43"/>
      <c r="AZ3755" s="43"/>
      <c r="BA3755" s="43"/>
      <c r="BB3755" s="43"/>
      <c r="BC3755" s="229">
        <f t="shared" si="1628"/>
        <v>0</v>
      </c>
      <c r="BD3755" s="48">
        <f t="shared" si="1629"/>
        <v>0</v>
      </c>
      <c r="BE3755" s="19">
        <v>0</v>
      </c>
      <c r="BF3755" s="229">
        <f t="shared" si="1630"/>
        <v>0</v>
      </c>
      <c r="BG3755" s="210">
        <f t="shared" si="1631"/>
        <v>2482</v>
      </c>
      <c r="BH3755" s="210">
        <f t="shared" si="1632"/>
        <v>3258</v>
      </c>
      <c r="BI3755" s="213">
        <f t="shared" si="1633"/>
        <v>76.181706568446899</v>
      </c>
      <c r="BJ3755" s="270" t="s">
        <v>2857</v>
      </c>
      <c r="BK3755" s="201"/>
      <c r="BL3755" s="4"/>
      <c r="BM3755" s="4"/>
    </row>
    <row r="3756" spans="1:65" s="38" customFormat="1" ht="15.95" customHeight="1">
      <c r="A3756" s="148">
        <v>11</v>
      </c>
      <c r="B3756" s="118" t="s">
        <v>1669</v>
      </c>
      <c r="C3756" s="120" t="s">
        <v>1670</v>
      </c>
      <c r="D3756" s="43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O3756" s="42"/>
      <c r="P3756" s="42"/>
      <c r="Q3756" s="42"/>
      <c r="R3756" s="42"/>
      <c r="S3756" s="42"/>
      <c r="T3756" s="42"/>
      <c r="U3756" s="42"/>
      <c r="V3756" s="42"/>
      <c r="W3756" s="42"/>
      <c r="X3756" s="42"/>
      <c r="Y3756" s="42"/>
      <c r="Z3756" s="42"/>
      <c r="AA3756" s="42"/>
      <c r="AB3756" s="229">
        <f t="shared" si="1626"/>
        <v>0</v>
      </c>
      <c r="AC3756" s="228">
        <f t="shared" si="1627"/>
        <v>0</v>
      </c>
      <c r="AD3756" s="19">
        <v>1</v>
      </c>
      <c r="AE3756" s="43"/>
      <c r="AF3756" s="43"/>
      <c r="AG3756" s="43"/>
      <c r="AH3756" s="43"/>
      <c r="AI3756" s="43"/>
      <c r="AJ3756" s="43"/>
      <c r="AK3756" s="43"/>
      <c r="AL3756" s="43"/>
      <c r="AM3756" s="43"/>
      <c r="AN3756" s="43"/>
      <c r="AO3756" s="43"/>
      <c r="AP3756" s="43"/>
      <c r="AQ3756" s="43"/>
      <c r="AR3756" s="43"/>
      <c r="AS3756" s="43"/>
      <c r="AT3756" s="43"/>
      <c r="AU3756" s="43"/>
      <c r="AV3756" s="43"/>
      <c r="AW3756" s="43"/>
      <c r="AX3756" s="43"/>
      <c r="AY3756" s="43"/>
      <c r="AZ3756" s="43"/>
      <c r="BA3756" s="43"/>
      <c r="BB3756" s="43"/>
      <c r="BC3756" s="229">
        <f t="shared" si="1628"/>
        <v>0</v>
      </c>
      <c r="BD3756" s="48">
        <f t="shared" si="1629"/>
        <v>0</v>
      </c>
      <c r="BE3756" s="19">
        <v>0</v>
      </c>
      <c r="BF3756" s="229">
        <f t="shared" si="1630"/>
        <v>0</v>
      </c>
      <c r="BG3756" s="210">
        <f t="shared" si="1631"/>
        <v>0</v>
      </c>
      <c r="BH3756" s="210">
        <f t="shared" si="1632"/>
        <v>1</v>
      </c>
      <c r="BI3756" s="213">
        <f t="shared" si="1633"/>
        <v>0</v>
      </c>
      <c r="BJ3756" s="270" t="s">
        <v>2857</v>
      </c>
      <c r="BK3756" s="201"/>
      <c r="BL3756" s="4"/>
      <c r="BM3756" s="4"/>
    </row>
    <row r="3757" spans="1:65" s="38" customFormat="1" ht="15.95" customHeight="1">
      <c r="A3757" s="148">
        <v>12</v>
      </c>
      <c r="B3757" s="118" t="s">
        <v>1436</v>
      </c>
      <c r="C3757" s="120" t="s">
        <v>1437</v>
      </c>
      <c r="D3757" s="43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O3757" s="42"/>
      <c r="P3757" s="42"/>
      <c r="Q3757" s="42"/>
      <c r="R3757" s="42"/>
      <c r="S3757" s="42"/>
      <c r="T3757" s="42"/>
      <c r="U3757" s="42"/>
      <c r="V3757" s="42"/>
      <c r="W3757" s="42"/>
      <c r="X3757" s="42"/>
      <c r="Y3757" s="42"/>
      <c r="Z3757" s="42"/>
      <c r="AA3757" s="42"/>
      <c r="AB3757" s="229">
        <f t="shared" si="1626"/>
        <v>0</v>
      </c>
      <c r="AC3757" s="228">
        <f t="shared" si="1627"/>
        <v>0</v>
      </c>
      <c r="AD3757" s="19">
        <v>3</v>
      </c>
      <c r="AE3757" s="43"/>
      <c r="AF3757" s="43"/>
      <c r="AG3757" s="43"/>
      <c r="AH3757" s="43"/>
      <c r="AI3757" s="43"/>
      <c r="AJ3757" s="43"/>
      <c r="AK3757" s="43"/>
      <c r="AL3757" s="43"/>
      <c r="AM3757" s="43"/>
      <c r="AN3757" s="43"/>
      <c r="AO3757" s="43"/>
      <c r="AP3757" s="43"/>
      <c r="AQ3757" s="43"/>
      <c r="AR3757" s="43"/>
      <c r="AS3757" s="43"/>
      <c r="AT3757" s="43"/>
      <c r="AU3757" s="43"/>
      <c r="AV3757" s="43"/>
      <c r="AW3757" s="43"/>
      <c r="AX3757" s="43"/>
      <c r="AY3757" s="43"/>
      <c r="AZ3757" s="43"/>
      <c r="BA3757" s="43"/>
      <c r="BB3757" s="43"/>
      <c r="BC3757" s="229">
        <f t="shared" si="1628"/>
        <v>0</v>
      </c>
      <c r="BD3757" s="48">
        <f t="shared" si="1629"/>
        <v>0</v>
      </c>
      <c r="BE3757" s="19">
        <v>0</v>
      </c>
      <c r="BF3757" s="229">
        <f t="shared" si="1630"/>
        <v>0</v>
      </c>
      <c r="BG3757" s="210">
        <f t="shared" si="1631"/>
        <v>0</v>
      </c>
      <c r="BH3757" s="210">
        <f t="shared" si="1632"/>
        <v>3</v>
      </c>
      <c r="BI3757" s="213">
        <f t="shared" si="1633"/>
        <v>0</v>
      </c>
      <c r="BJ3757" s="270" t="s">
        <v>2857</v>
      </c>
      <c r="BK3757" s="201"/>
      <c r="BL3757" s="4"/>
      <c r="BM3757" s="4"/>
    </row>
    <row r="3758" spans="1:65" s="38" customFormat="1" ht="15.95" customHeight="1">
      <c r="A3758" s="148">
        <v>13</v>
      </c>
      <c r="B3758" s="118" t="s">
        <v>2679</v>
      </c>
      <c r="C3758" s="120" t="s">
        <v>2680</v>
      </c>
      <c r="D3758" s="43"/>
      <c r="E3758" s="42"/>
      <c r="F3758" s="42"/>
      <c r="G3758" s="42"/>
      <c r="H3758" s="42"/>
      <c r="I3758" s="42">
        <v>1</v>
      </c>
      <c r="J3758" s="42"/>
      <c r="K3758" s="42"/>
      <c r="L3758" s="42"/>
      <c r="M3758" s="42"/>
      <c r="N3758" s="42"/>
      <c r="O3758" s="42">
        <v>2</v>
      </c>
      <c r="P3758" s="42"/>
      <c r="Q3758" s="42"/>
      <c r="R3758" s="42"/>
      <c r="S3758" s="42"/>
      <c r="T3758" s="42"/>
      <c r="U3758" s="42">
        <v>1</v>
      </c>
      <c r="V3758" s="42"/>
      <c r="W3758" s="42"/>
      <c r="X3758" s="42"/>
      <c r="Y3758" s="42"/>
      <c r="Z3758" s="42"/>
      <c r="AA3758" s="42"/>
      <c r="AB3758" s="229">
        <f t="shared" si="1626"/>
        <v>0</v>
      </c>
      <c r="AC3758" s="228">
        <f t="shared" si="1627"/>
        <v>4</v>
      </c>
      <c r="AD3758" s="19">
        <v>5</v>
      </c>
      <c r="AE3758" s="43"/>
      <c r="AF3758" s="43"/>
      <c r="AG3758" s="43"/>
      <c r="AH3758" s="43"/>
      <c r="AI3758" s="43"/>
      <c r="AJ3758" s="43"/>
      <c r="AK3758" s="43"/>
      <c r="AL3758" s="43"/>
      <c r="AM3758" s="43"/>
      <c r="AN3758" s="43"/>
      <c r="AO3758" s="43"/>
      <c r="AP3758" s="43"/>
      <c r="AQ3758" s="43"/>
      <c r="AR3758" s="43"/>
      <c r="AS3758" s="43"/>
      <c r="AT3758" s="43"/>
      <c r="AU3758" s="43"/>
      <c r="AV3758" s="43"/>
      <c r="AW3758" s="43"/>
      <c r="AX3758" s="43"/>
      <c r="AY3758" s="43"/>
      <c r="AZ3758" s="43"/>
      <c r="BA3758" s="43"/>
      <c r="BB3758" s="43"/>
      <c r="BC3758" s="229">
        <f t="shared" si="1628"/>
        <v>0</v>
      </c>
      <c r="BD3758" s="48">
        <f t="shared" si="1629"/>
        <v>0</v>
      </c>
      <c r="BE3758" s="19">
        <v>0</v>
      </c>
      <c r="BF3758" s="229">
        <f t="shared" si="1630"/>
        <v>0</v>
      </c>
      <c r="BG3758" s="210">
        <f t="shared" si="1631"/>
        <v>4</v>
      </c>
      <c r="BH3758" s="210">
        <f t="shared" si="1632"/>
        <v>5</v>
      </c>
      <c r="BI3758" s="213">
        <f t="shared" si="1633"/>
        <v>80</v>
      </c>
      <c r="BJ3758" s="270" t="s">
        <v>2857</v>
      </c>
      <c r="BK3758" s="201"/>
      <c r="BL3758" s="4"/>
      <c r="BM3758" s="4"/>
    </row>
    <row r="3759" spans="1:65" s="38" customFormat="1" ht="15.95" customHeight="1">
      <c r="A3759" s="148">
        <v>14</v>
      </c>
      <c r="B3759" s="118" t="s">
        <v>1224</v>
      </c>
      <c r="C3759" s="120" t="s">
        <v>1225</v>
      </c>
      <c r="D3759" s="43"/>
      <c r="E3759" s="42"/>
      <c r="F3759" s="42"/>
      <c r="G3759" s="42"/>
      <c r="H3759" s="42"/>
      <c r="I3759" s="42">
        <f>1+20+2452</f>
        <v>2473</v>
      </c>
      <c r="J3759" s="42"/>
      <c r="K3759" s="42"/>
      <c r="L3759" s="42"/>
      <c r="M3759" s="42"/>
      <c r="N3759" s="42"/>
      <c r="O3759" s="42">
        <f>44+2245</f>
        <v>2289</v>
      </c>
      <c r="P3759" s="42"/>
      <c r="Q3759" s="42"/>
      <c r="R3759" s="42"/>
      <c r="S3759" s="42"/>
      <c r="T3759" s="42"/>
      <c r="U3759" s="42">
        <f>84+2372</f>
        <v>2456</v>
      </c>
      <c r="V3759" s="42"/>
      <c r="W3759" s="42"/>
      <c r="X3759" s="42"/>
      <c r="Y3759" s="42"/>
      <c r="Z3759" s="42"/>
      <c r="AA3759" s="42">
        <f>49+2745</f>
        <v>2794</v>
      </c>
      <c r="AB3759" s="229">
        <f t="shared" si="1626"/>
        <v>0</v>
      </c>
      <c r="AC3759" s="228">
        <f t="shared" si="1627"/>
        <v>10012</v>
      </c>
      <c r="AD3759" s="19">
        <v>7688</v>
      </c>
      <c r="AE3759" s="43"/>
      <c r="AF3759" s="43"/>
      <c r="AG3759" s="43"/>
      <c r="AH3759" s="43"/>
      <c r="AI3759" s="43"/>
      <c r="AJ3759" s="43"/>
      <c r="AK3759" s="43"/>
      <c r="AL3759" s="43"/>
      <c r="AM3759" s="43"/>
      <c r="AN3759" s="43"/>
      <c r="AO3759" s="43"/>
      <c r="AP3759" s="43"/>
      <c r="AQ3759" s="43"/>
      <c r="AR3759" s="43"/>
      <c r="AS3759" s="43"/>
      <c r="AT3759" s="43"/>
      <c r="AU3759" s="43"/>
      <c r="AV3759" s="43"/>
      <c r="AW3759" s="43"/>
      <c r="AX3759" s="43"/>
      <c r="AY3759" s="43"/>
      <c r="AZ3759" s="43"/>
      <c r="BA3759" s="43"/>
      <c r="BB3759" s="43"/>
      <c r="BC3759" s="229">
        <f t="shared" si="1628"/>
        <v>0</v>
      </c>
      <c r="BD3759" s="48">
        <f t="shared" si="1629"/>
        <v>0</v>
      </c>
      <c r="BE3759" s="19">
        <v>0</v>
      </c>
      <c r="BF3759" s="229">
        <f t="shared" si="1630"/>
        <v>0</v>
      </c>
      <c r="BG3759" s="210">
        <f t="shared" si="1631"/>
        <v>10012</v>
      </c>
      <c r="BH3759" s="210">
        <f t="shared" si="1632"/>
        <v>7688</v>
      </c>
      <c r="BI3759" s="213">
        <f t="shared" si="1633"/>
        <v>130.22892819979188</v>
      </c>
      <c r="BJ3759" s="270" t="s">
        <v>2857</v>
      </c>
      <c r="BK3759" s="201"/>
      <c r="BL3759" s="4"/>
      <c r="BM3759" s="4"/>
    </row>
    <row r="3760" spans="1:65" s="38" customFormat="1" ht="15.95" customHeight="1">
      <c r="A3760" s="148">
        <v>15</v>
      </c>
      <c r="B3760" s="40" t="s">
        <v>1268</v>
      </c>
      <c r="C3760" s="41" t="s">
        <v>1269</v>
      </c>
      <c r="D3760" s="43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O3760" s="42"/>
      <c r="P3760" s="42"/>
      <c r="Q3760" s="42"/>
      <c r="R3760" s="42"/>
      <c r="S3760" s="42"/>
      <c r="T3760" s="42"/>
      <c r="U3760" s="42"/>
      <c r="V3760" s="42"/>
      <c r="W3760" s="42"/>
      <c r="X3760" s="42"/>
      <c r="Y3760" s="42"/>
      <c r="Z3760" s="42"/>
      <c r="AA3760" s="42"/>
      <c r="AB3760" s="229">
        <f t="shared" si="1626"/>
        <v>0</v>
      </c>
      <c r="AC3760" s="228">
        <f t="shared" si="1627"/>
        <v>0</v>
      </c>
      <c r="AD3760" s="19">
        <v>7</v>
      </c>
      <c r="AE3760" s="43"/>
      <c r="AF3760" s="43"/>
      <c r="AG3760" s="43"/>
      <c r="AH3760" s="43"/>
      <c r="AI3760" s="43"/>
      <c r="AJ3760" s="43"/>
      <c r="AK3760" s="43"/>
      <c r="AL3760" s="43"/>
      <c r="AM3760" s="43"/>
      <c r="AN3760" s="43"/>
      <c r="AO3760" s="43"/>
      <c r="AP3760" s="43"/>
      <c r="AQ3760" s="43"/>
      <c r="AR3760" s="43"/>
      <c r="AS3760" s="43"/>
      <c r="AT3760" s="43"/>
      <c r="AU3760" s="43"/>
      <c r="AV3760" s="43"/>
      <c r="AW3760" s="43"/>
      <c r="AX3760" s="43"/>
      <c r="AY3760" s="43"/>
      <c r="AZ3760" s="43"/>
      <c r="BA3760" s="43"/>
      <c r="BB3760" s="43"/>
      <c r="BC3760" s="229">
        <f t="shared" si="1628"/>
        <v>0</v>
      </c>
      <c r="BD3760" s="48">
        <f t="shared" si="1629"/>
        <v>0</v>
      </c>
      <c r="BE3760" s="19">
        <v>0</v>
      </c>
      <c r="BF3760" s="229">
        <f t="shared" si="1630"/>
        <v>0</v>
      </c>
      <c r="BG3760" s="210">
        <f t="shared" si="1631"/>
        <v>0</v>
      </c>
      <c r="BH3760" s="210">
        <f t="shared" si="1632"/>
        <v>7</v>
      </c>
      <c r="BI3760" s="213">
        <f t="shared" si="1633"/>
        <v>0</v>
      </c>
      <c r="BJ3760" s="270" t="s">
        <v>2857</v>
      </c>
      <c r="BK3760" s="201"/>
      <c r="BL3760" s="4"/>
      <c r="BM3760" s="4"/>
    </row>
    <row r="3761" spans="1:65" s="38" customFormat="1" ht="15.95" customHeight="1">
      <c r="A3761" s="148">
        <v>16</v>
      </c>
      <c r="B3761" s="40" t="s">
        <v>1226</v>
      </c>
      <c r="C3761" s="41" t="s">
        <v>1293</v>
      </c>
      <c r="D3761" s="43"/>
      <c r="E3761" s="42"/>
      <c r="F3761" s="42"/>
      <c r="G3761" s="42"/>
      <c r="H3761" s="42"/>
      <c r="I3761" s="42">
        <f>382+2+8</f>
        <v>392</v>
      </c>
      <c r="J3761" s="42"/>
      <c r="K3761" s="42"/>
      <c r="L3761" s="42"/>
      <c r="M3761" s="42"/>
      <c r="N3761" s="42"/>
      <c r="O3761" s="42">
        <f>404+10</f>
        <v>414</v>
      </c>
      <c r="P3761" s="42"/>
      <c r="Q3761" s="42"/>
      <c r="R3761" s="42"/>
      <c r="S3761" s="42"/>
      <c r="T3761" s="42"/>
      <c r="U3761" s="42">
        <f>506+8+4</f>
        <v>518</v>
      </c>
      <c r="V3761" s="42"/>
      <c r="W3761" s="42"/>
      <c r="X3761" s="42"/>
      <c r="Y3761" s="42"/>
      <c r="Z3761" s="42"/>
      <c r="AA3761" s="42">
        <f>469+4</f>
        <v>473</v>
      </c>
      <c r="AB3761" s="229">
        <f t="shared" si="1626"/>
        <v>0</v>
      </c>
      <c r="AC3761" s="228">
        <f t="shared" si="1627"/>
        <v>1797</v>
      </c>
      <c r="AD3761" s="19">
        <v>1425</v>
      </c>
      <c r="AE3761" s="43"/>
      <c r="AF3761" s="43"/>
      <c r="AG3761" s="43"/>
      <c r="AH3761" s="43"/>
      <c r="AI3761" s="43"/>
      <c r="AJ3761" s="43"/>
      <c r="AK3761" s="43"/>
      <c r="AL3761" s="43"/>
      <c r="AM3761" s="43"/>
      <c r="AN3761" s="43"/>
      <c r="AO3761" s="43"/>
      <c r="AP3761" s="43"/>
      <c r="AQ3761" s="43"/>
      <c r="AR3761" s="43"/>
      <c r="AS3761" s="43"/>
      <c r="AT3761" s="43"/>
      <c r="AU3761" s="43"/>
      <c r="AV3761" s="43"/>
      <c r="AW3761" s="43"/>
      <c r="AX3761" s="43"/>
      <c r="AY3761" s="43"/>
      <c r="AZ3761" s="43"/>
      <c r="BA3761" s="43"/>
      <c r="BB3761" s="43"/>
      <c r="BC3761" s="229">
        <f t="shared" si="1628"/>
        <v>0</v>
      </c>
      <c r="BD3761" s="48">
        <f t="shared" si="1629"/>
        <v>0</v>
      </c>
      <c r="BE3761" s="19">
        <v>0</v>
      </c>
      <c r="BF3761" s="229">
        <f t="shared" si="1630"/>
        <v>0</v>
      </c>
      <c r="BG3761" s="210">
        <f t="shared" si="1631"/>
        <v>1797</v>
      </c>
      <c r="BH3761" s="210">
        <f t="shared" si="1632"/>
        <v>1425</v>
      </c>
      <c r="BI3761" s="213">
        <f t="shared" si="1633"/>
        <v>126.10526315789474</v>
      </c>
      <c r="BJ3761" s="270" t="s">
        <v>2857</v>
      </c>
      <c r="BK3761" s="201"/>
      <c r="BL3761" s="4"/>
      <c r="BM3761" s="4"/>
    </row>
    <row r="3762" spans="1:65" s="38" customFormat="1" ht="15.95" customHeight="1">
      <c r="A3762" s="148">
        <v>17</v>
      </c>
      <c r="B3762" s="40" t="s">
        <v>1258</v>
      </c>
      <c r="C3762" s="120" t="s">
        <v>2459</v>
      </c>
      <c r="D3762" s="43"/>
      <c r="E3762" s="42"/>
      <c r="F3762" s="42"/>
      <c r="G3762" s="42"/>
      <c r="H3762" s="42"/>
      <c r="I3762" s="42">
        <f>3+16</f>
        <v>19</v>
      </c>
      <c r="J3762" s="42"/>
      <c r="K3762" s="42"/>
      <c r="L3762" s="42"/>
      <c r="M3762" s="42"/>
      <c r="N3762" s="42"/>
      <c r="O3762" s="42">
        <f>2+3+31</f>
        <v>36</v>
      </c>
      <c r="P3762" s="42"/>
      <c r="Q3762" s="42"/>
      <c r="R3762" s="42"/>
      <c r="S3762" s="42"/>
      <c r="T3762" s="42"/>
      <c r="U3762" s="42">
        <v>1</v>
      </c>
      <c r="V3762" s="42"/>
      <c r="W3762" s="42"/>
      <c r="X3762" s="42"/>
      <c r="Y3762" s="42"/>
      <c r="Z3762" s="42"/>
      <c r="AA3762" s="42">
        <v>8</v>
      </c>
      <c r="AB3762" s="229">
        <f t="shared" si="1626"/>
        <v>0</v>
      </c>
      <c r="AC3762" s="228">
        <f t="shared" si="1627"/>
        <v>64</v>
      </c>
      <c r="AD3762" s="19">
        <v>358</v>
      </c>
      <c r="AE3762" s="43"/>
      <c r="AF3762" s="43"/>
      <c r="AG3762" s="43"/>
      <c r="AH3762" s="43"/>
      <c r="AI3762" s="43"/>
      <c r="AJ3762" s="43"/>
      <c r="AK3762" s="43"/>
      <c r="AL3762" s="43"/>
      <c r="AM3762" s="43"/>
      <c r="AN3762" s="43"/>
      <c r="AO3762" s="43"/>
      <c r="AP3762" s="43"/>
      <c r="AQ3762" s="43"/>
      <c r="AR3762" s="43"/>
      <c r="AS3762" s="43"/>
      <c r="AT3762" s="43"/>
      <c r="AU3762" s="43"/>
      <c r="AV3762" s="43"/>
      <c r="AW3762" s="43"/>
      <c r="AX3762" s="43"/>
      <c r="AY3762" s="43"/>
      <c r="AZ3762" s="43"/>
      <c r="BA3762" s="43"/>
      <c r="BB3762" s="43"/>
      <c r="BC3762" s="229">
        <f t="shared" si="1628"/>
        <v>0</v>
      </c>
      <c r="BD3762" s="48">
        <f t="shared" si="1629"/>
        <v>0</v>
      </c>
      <c r="BE3762" s="19">
        <v>0</v>
      </c>
      <c r="BF3762" s="229">
        <f t="shared" si="1630"/>
        <v>0</v>
      </c>
      <c r="BG3762" s="210">
        <f t="shared" si="1631"/>
        <v>64</v>
      </c>
      <c r="BH3762" s="210">
        <f t="shared" si="1632"/>
        <v>358</v>
      </c>
      <c r="BI3762" s="213">
        <f t="shared" si="1633"/>
        <v>17.877094972067038</v>
      </c>
      <c r="BJ3762" s="270" t="s">
        <v>2857</v>
      </c>
      <c r="BK3762" s="201"/>
      <c r="BL3762" s="4"/>
      <c r="BM3762" s="4"/>
    </row>
    <row r="3763" spans="1:65" s="38" customFormat="1" ht="15.95" customHeight="1">
      <c r="A3763" s="148">
        <v>18</v>
      </c>
      <c r="B3763" s="40" t="s">
        <v>1270</v>
      </c>
      <c r="C3763" s="41" t="s">
        <v>1271</v>
      </c>
      <c r="D3763" s="43"/>
      <c r="E3763" s="42"/>
      <c r="F3763" s="42"/>
      <c r="G3763" s="42"/>
      <c r="H3763" s="42"/>
      <c r="I3763" s="42">
        <v>19</v>
      </c>
      <c r="J3763" s="42"/>
      <c r="K3763" s="42"/>
      <c r="L3763" s="42"/>
      <c r="M3763" s="42"/>
      <c r="N3763" s="42"/>
      <c r="O3763" s="42">
        <f>45+2</f>
        <v>47</v>
      </c>
      <c r="P3763" s="42"/>
      <c r="Q3763" s="42"/>
      <c r="R3763" s="42"/>
      <c r="S3763" s="42"/>
      <c r="T3763" s="42"/>
      <c r="U3763" s="42">
        <f>40+1</f>
        <v>41</v>
      </c>
      <c r="V3763" s="42"/>
      <c r="W3763" s="42"/>
      <c r="X3763" s="42"/>
      <c r="Y3763" s="42"/>
      <c r="Z3763" s="42"/>
      <c r="AA3763" s="42">
        <f>12+4</f>
        <v>16</v>
      </c>
      <c r="AB3763" s="229">
        <f t="shared" si="1626"/>
        <v>0</v>
      </c>
      <c r="AC3763" s="228">
        <f t="shared" si="1627"/>
        <v>123</v>
      </c>
      <c r="AD3763" s="19">
        <v>82</v>
      </c>
      <c r="AE3763" s="43"/>
      <c r="AF3763" s="43"/>
      <c r="AG3763" s="43"/>
      <c r="AH3763" s="43"/>
      <c r="AI3763" s="43"/>
      <c r="AJ3763" s="43"/>
      <c r="AK3763" s="43"/>
      <c r="AL3763" s="43"/>
      <c r="AM3763" s="43"/>
      <c r="AN3763" s="43"/>
      <c r="AO3763" s="43"/>
      <c r="AP3763" s="43"/>
      <c r="AQ3763" s="43"/>
      <c r="AR3763" s="43"/>
      <c r="AS3763" s="43"/>
      <c r="AT3763" s="43"/>
      <c r="AU3763" s="43"/>
      <c r="AV3763" s="43"/>
      <c r="AW3763" s="43"/>
      <c r="AX3763" s="43"/>
      <c r="AY3763" s="43"/>
      <c r="AZ3763" s="43"/>
      <c r="BA3763" s="43"/>
      <c r="BB3763" s="43"/>
      <c r="BC3763" s="229">
        <f t="shared" si="1628"/>
        <v>0</v>
      </c>
      <c r="BD3763" s="48">
        <f t="shared" si="1629"/>
        <v>0</v>
      </c>
      <c r="BE3763" s="19">
        <v>0</v>
      </c>
      <c r="BF3763" s="229">
        <f t="shared" si="1630"/>
        <v>0</v>
      </c>
      <c r="BG3763" s="210">
        <f t="shared" si="1631"/>
        <v>123</v>
      </c>
      <c r="BH3763" s="210">
        <f t="shared" si="1632"/>
        <v>82</v>
      </c>
      <c r="BI3763" s="213">
        <f t="shared" si="1633"/>
        <v>150</v>
      </c>
      <c r="BJ3763" s="270" t="s">
        <v>2857</v>
      </c>
      <c r="BK3763" s="201"/>
      <c r="BL3763" s="4"/>
      <c r="BM3763" s="4"/>
    </row>
    <row r="3764" spans="1:65" s="38" customFormat="1" ht="15.95" customHeight="1">
      <c r="A3764" s="148">
        <v>19</v>
      </c>
      <c r="B3764" s="40" t="s">
        <v>1272</v>
      </c>
      <c r="C3764" s="120" t="s">
        <v>1502</v>
      </c>
      <c r="D3764" s="43"/>
      <c r="E3764" s="42"/>
      <c r="F3764" s="42"/>
      <c r="G3764" s="42"/>
      <c r="H3764" s="42"/>
      <c r="I3764" s="42">
        <f>494+10+429</f>
        <v>933</v>
      </c>
      <c r="J3764" s="42"/>
      <c r="K3764" s="42"/>
      <c r="L3764" s="42"/>
      <c r="M3764" s="42"/>
      <c r="N3764" s="42"/>
      <c r="O3764" s="42">
        <f>555+16+415</f>
        <v>986</v>
      </c>
      <c r="P3764" s="42"/>
      <c r="Q3764" s="42"/>
      <c r="R3764" s="42"/>
      <c r="S3764" s="42"/>
      <c r="T3764" s="42"/>
      <c r="U3764" s="42">
        <f>433+30+297</f>
        <v>760</v>
      </c>
      <c r="V3764" s="42"/>
      <c r="W3764" s="42"/>
      <c r="X3764" s="42"/>
      <c r="Y3764" s="42"/>
      <c r="Z3764" s="42"/>
      <c r="AA3764" s="42">
        <f>324+30+426</f>
        <v>780</v>
      </c>
      <c r="AB3764" s="229">
        <f t="shared" si="1626"/>
        <v>0</v>
      </c>
      <c r="AC3764" s="228">
        <f t="shared" si="1627"/>
        <v>3459</v>
      </c>
      <c r="AD3764" s="19">
        <v>2594</v>
      </c>
      <c r="AE3764" s="43"/>
      <c r="AF3764" s="43"/>
      <c r="AG3764" s="43"/>
      <c r="AH3764" s="43"/>
      <c r="AI3764" s="43"/>
      <c r="AJ3764" s="43"/>
      <c r="AK3764" s="43"/>
      <c r="AL3764" s="43"/>
      <c r="AM3764" s="43"/>
      <c r="AN3764" s="43"/>
      <c r="AO3764" s="43"/>
      <c r="AP3764" s="43"/>
      <c r="AQ3764" s="43"/>
      <c r="AR3764" s="43"/>
      <c r="AS3764" s="43"/>
      <c r="AT3764" s="43"/>
      <c r="AU3764" s="43"/>
      <c r="AV3764" s="43"/>
      <c r="AW3764" s="43"/>
      <c r="AX3764" s="43"/>
      <c r="AY3764" s="43"/>
      <c r="AZ3764" s="43"/>
      <c r="BA3764" s="43"/>
      <c r="BB3764" s="43"/>
      <c r="BC3764" s="229">
        <f t="shared" si="1628"/>
        <v>0</v>
      </c>
      <c r="BD3764" s="48">
        <f t="shared" si="1629"/>
        <v>0</v>
      </c>
      <c r="BE3764" s="19">
        <v>0</v>
      </c>
      <c r="BF3764" s="229">
        <f t="shared" si="1630"/>
        <v>0</v>
      </c>
      <c r="BG3764" s="210">
        <f t="shared" si="1631"/>
        <v>3459</v>
      </c>
      <c r="BH3764" s="210">
        <f t="shared" si="1632"/>
        <v>2594</v>
      </c>
      <c r="BI3764" s="213">
        <f t="shared" si="1633"/>
        <v>133.34618350038551</v>
      </c>
      <c r="BJ3764" s="270" t="s">
        <v>2857</v>
      </c>
      <c r="BK3764" s="201"/>
      <c r="BL3764" s="4"/>
      <c r="BM3764" s="4"/>
    </row>
    <row r="3765" spans="1:65" s="38" customFormat="1" ht="15.95" customHeight="1">
      <c r="A3765" s="148">
        <v>20</v>
      </c>
      <c r="B3765" s="40" t="s">
        <v>1273</v>
      </c>
      <c r="C3765" s="41" t="s">
        <v>1294</v>
      </c>
      <c r="D3765" s="43"/>
      <c r="E3765" s="42"/>
      <c r="F3765" s="42"/>
      <c r="G3765" s="42"/>
      <c r="H3765" s="42"/>
      <c r="I3765" s="42">
        <v>6</v>
      </c>
      <c r="J3765" s="42"/>
      <c r="K3765" s="42"/>
      <c r="L3765" s="42"/>
      <c r="M3765" s="42"/>
      <c r="N3765" s="42"/>
      <c r="O3765" s="42">
        <v>4</v>
      </c>
      <c r="P3765" s="42"/>
      <c r="Q3765" s="42"/>
      <c r="R3765" s="42"/>
      <c r="S3765" s="42"/>
      <c r="T3765" s="42"/>
      <c r="U3765" s="42">
        <v>3</v>
      </c>
      <c r="V3765" s="42"/>
      <c r="W3765" s="42"/>
      <c r="X3765" s="42"/>
      <c r="Y3765" s="42"/>
      <c r="Z3765" s="42"/>
      <c r="AA3765" s="42">
        <v>5</v>
      </c>
      <c r="AB3765" s="229">
        <f t="shared" si="1626"/>
        <v>0</v>
      </c>
      <c r="AC3765" s="228">
        <f t="shared" si="1627"/>
        <v>18</v>
      </c>
      <c r="AD3765" s="19">
        <v>18</v>
      </c>
      <c r="AE3765" s="43"/>
      <c r="AF3765" s="43"/>
      <c r="AG3765" s="43"/>
      <c r="AH3765" s="43"/>
      <c r="AI3765" s="43"/>
      <c r="AJ3765" s="43"/>
      <c r="AK3765" s="43"/>
      <c r="AL3765" s="43"/>
      <c r="AM3765" s="43"/>
      <c r="AN3765" s="43"/>
      <c r="AO3765" s="43"/>
      <c r="AP3765" s="43"/>
      <c r="AQ3765" s="43"/>
      <c r="AR3765" s="43"/>
      <c r="AS3765" s="43"/>
      <c r="AT3765" s="43"/>
      <c r="AU3765" s="43"/>
      <c r="AV3765" s="43"/>
      <c r="AW3765" s="43"/>
      <c r="AX3765" s="43"/>
      <c r="AY3765" s="43"/>
      <c r="AZ3765" s="43"/>
      <c r="BA3765" s="43"/>
      <c r="BB3765" s="43"/>
      <c r="BC3765" s="229">
        <f t="shared" si="1628"/>
        <v>0</v>
      </c>
      <c r="BD3765" s="48">
        <f t="shared" si="1629"/>
        <v>0</v>
      </c>
      <c r="BE3765" s="19">
        <v>0</v>
      </c>
      <c r="BF3765" s="229">
        <f t="shared" si="1630"/>
        <v>0</v>
      </c>
      <c r="BG3765" s="210">
        <f t="shared" si="1631"/>
        <v>18</v>
      </c>
      <c r="BH3765" s="210">
        <f t="shared" si="1632"/>
        <v>18</v>
      </c>
      <c r="BI3765" s="213">
        <f t="shared" si="1633"/>
        <v>100</v>
      </c>
      <c r="BJ3765" s="270" t="s">
        <v>2857</v>
      </c>
      <c r="BK3765" s="201"/>
      <c r="BL3765" s="4"/>
      <c r="BM3765" s="4"/>
    </row>
    <row r="3766" spans="1:65" s="38" customFormat="1" ht="15.95" customHeight="1">
      <c r="A3766" s="148">
        <v>21</v>
      </c>
      <c r="B3766" s="40" t="s">
        <v>1287</v>
      </c>
      <c r="C3766" s="41" t="s">
        <v>1295</v>
      </c>
      <c r="D3766" s="43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O3766" s="42">
        <v>1</v>
      </c>
      <c r="P3766" s="42"/>
      <c r="Q3766" s="42"/>
      <c r="R3766" s="42"/>
      <c r="S3766" s="42"/>
      <c r="T3766" s="42"/>
      <c r="U3766" s="42">
        <v>2</v>
      </c>
      <c r="V3766" s="42"/>
      <c r="W3766" s="42"/>
      <c r="X3766" s="42"/>
      <c r="Y3766" s="42"/>
      <c r="Z3766" s="42"/>
      <c r="AA3766" s="42">
        <v>16</v>
      </c>
      <c r="AB3766" s="229">
        <f t="shared" si="1626"/>
        <v>0</v>
      </c>
      <c r="AC3766" s="228">
        <f t="shared" si="1627"/>
        <v>19</v>
      </c>
      <c r="AD3766" s="19">
        <v>5</v>
      </c>
      <c r="AE3766" s="43"/>
      <c r="AF3766" s="43"/>
      <c r="AG3766" s="43"/>
      <c r="AH3766" s="43"/>
      <c r="AI3766" s="43"/>
      <c r="AJ3766" s="43"/>
      <c r="AK3766" s="43"/>
      <c r="AL3766" s="43"/>
      <c r="AM3766" s="43"/>
      <c r="AN3766" s="43"/>
      <c r="AO3766" s="43"/>
      <c r="AP3766" s="43"/>
      <c r="AQ3766" s="43"/>
      <c r="AR3766" s="43"/>
      <c r="AS3766" s="43"/>
      <c r="AT3766" s="43"/>
      <c r="AU3766" s="43"/>
      <c r="AV3766" s="43"/>
      <c r="AW3766" s="43"/>
      <c r="AX3766" s="43"/>
      <c r="AY3766" s="43"/>
      <c r="AZ3766" s="43"/>
      <c r="BA3766" s="43"/>
      <c r="BB3766" s="43"/>
      <c r="BC3766" s="229">
        <f t="shared" si="1628"/>
        <v>0</v>
      </c>
      <c r="BD3766" s="48">
        <f t="shared" si="1629"/>
        <v>0</v>
      </c>
      <c r="BE3766" s="19">
        <v>0</v>
      </c>
      <c r="BF3766" s="229">
        <f t="shared" si="1630"/>
        <v>0</v>
      </c>
      <c r="BG3766" s="210">
        <f t="shared" si="1631"/>
        <v>19</v>
      </c>
      <c r="BH3766" s="210">
        <f t="shared" si="1632"/>
        <v>5</v>
      </c>
      <c r="BI3766" s="213">
        <f t="shared" si="1633"/>
        <v>380</v>
      </c>
      <c r="BJ3766" s="270" t="s">
        <v>2857</v>
      </c>
      <c r="BK3766" s="201"/>
      <c r="BL3766" s="4"/>
      <c r="BM3766" s="4"/>
    </row>
    <row r="3767" spans="1:65" s="38" customFormat="1" ht="15.95" customHeight="1">
      <c r="A3767" s="148">
        <v>22</v>
      </c>
      <c r="B3767" s="40" t="s">
        <v>1228</v>
      </c>
      <c r="C3767" s="120" t="s">
        <v>1229</v>
      </c>
      <c r="D3767" s="43"/>
      <c r="E3767" s="42"/>
      <c r="F3767" s="42"/>
      <c r="G3767" s="42"/>
      <c r="H3767" s="42"/>
      <c r="I3767" s="42">
        <f>849+205+5352</f>
        <v>6406</v>
      </c>
      <c r="J3767" s="42"/>
      <c r="K3767" s="42"/>
      <c r="L3767" s="42"/>
      <c r="M3767" s="42"/>
      <c r="N3767" s="42"/>
      <c r="O3767" s="42">
        <f>791+238+6293</f>
        <v>7322</v>
      </c>
      <c r="P3767" s="42"/>
      <c r="Q3767" s="42"/>
      <c r="R3767" s="42"/>
      <c r="S3767" s="42"/>
      <c r="T3767" s="42"/>
      <c r="U3767" s="42">
        <f>905+309+5561</f>
        <v>6775</v>
      </c>
      <c r="V3767" s="42"/>
      <c r="W3767" s="42"/>
      <c r="X3767" s="42"/>
      <c r="Y3767" s="42"/>
      <c r="Z3767" s="42"/>
      <c r="AA3767" s="42">
        <f>848+264+6451</f>
        <v>7563</v>
      </c>
      <c r="AB3767" s="229">
        <f t="shared" si="1626"/>
        <v>0</v>
      </c>
      <c r="AC3767" s="228">
        <f t="shared" si="1627"/>
        <v>28066</v>
      </c>
      <c r="AD3767" s="19">
        <v>25180</v>
      </c>
      <c r="AE3767" s="43"/>
      <c r="AF3767" s="43"/>
      <c r="AG3767" s="43"/>
      <c r="AH3767" s="43"/>
      <c r="AI3767" s="43"/>
      <c r="AJ3767" s="43"/>
      <c r="AK3767" s="43"/>
      <c r="AL3767" s="43"/>
      <c r="AM3767" s="43"/>
      <c r="AN3767" s="43"/>
      <c r="AO3767" s="43"/>
      <c r="AP3767" s="43"/>
      <c r="AQ3767" s="43"/>
      <c r="AR3767" s="43"/>
      <c r="AS3767" s="43"/>
      <c r="AT3767" s="43"/>
      <c r="AU3767" s="43"/>
      <c r="AV3767" s="43"/>
      <c r="AW3767" s="43"/>
      <c r="AX3767" s="43"/>
      <c r="AY3767" s="43"/>
      <c r="AZ3767" s="43"/>
      <c r="BA3767" s="43"/>
      <c r="BB3767" s="43"/>
      <c r="BC3767" s="229">
        <f t="shared" si="1628"/>
        <v>0</v>
      </c>
      <c r="BD3767" s="48">
        <f t="shared" si="1629"/>
        <v>0</v>
      </c>
      <c r="BE3767" s="19">
        <v>0</v>
      </c>
      <c r="BF3767" s="229">
        <f t="shared" si="1630"/>
        <v>0</v>
      </c>
      <c r="BG3767" s="210">
        <f t="shared" si="1631"/>
        <v>28066</v>
      </c>
      <c r="BH3767" s="210">
        <f t="shared" si="1632"/>
        <v>25180</v>
      </c>
      <c r="BI3767" s="213">
        <f t="shared" si="1633"/>
        <v>111.4614773629865</v>
      </c>
      <c r="BJ3767" s="270" t="s">
        <v>2857</v>
      </c>
      <c r="BK3767" s="201"/>
      <c r="BL3767" s="4"/>
      <c r="BM3767" s="4"/>
    </row>
    <row r="3768" spans="1:65" s="38" customFormat="1" ht="15.95" customHeight="1">
      <c r="A3768" s="148">
        <v>23</v>
      </c>
      <c r="B3768" s="40" t="s">
        <v>1230</v>
      </c>
      <c r="C3768" s="41" t="s">
        <v>1231</v>
      </c>
      <c r="D3768" s="43"/>
      <c r="E3768" s="42"/>
      <c r="F3768" s="42"/>
      <c r="G3768" s="42"/>
      <c r="H3768" s="42"/>
      <c r="I3768" s="42">
        <f>46+31+1398</f>
        <v>1475</v>
      </c>
      <c r="J3768" s="42"/>
      <c r="K3768" s="42"/>
      <c r="L3768" s="42"/>
      <c r="M3768" s="42"/>
      <c r="N3768" s="42"/>
      <c r="O3768" s="42">
        <f>10+25+1299</f>
        <v>1334</v>
      </c>
      <c r="P3768" s="42"/>
      <c r="Q3768" s="42"/>
      <c r="R3768" s="42"/>
      <c r="S3768" s="42"/>
      <c r="T3768" s="42"/>
      <c r="U3768" s="42">
        <f>42+56+1530</f>
        <v>1628</v>
      </c>
      <c r="V3768" s="42"/>
      <c r="W3768" s="42"/>
      <c r="X3768" s="42"/>
      <c r="Y3768" s="42"/>
      <c r="Z3768" s="42"/>
      <c r="AA3768" s="42">
        <f>11+23+1311</f>
        <v>1345</v>
      </c>
      <c r="AB3768" s="229">
        <f t="shared" si="1626"/>
        <v>0</v>
      </c>
      <c r="AC3768" s="228">
        <f t="shared" si="1627"/>
        <v>5782</v>
      </c>
      <c r="AD3768" s="19">
        <v>4357</v>
      </c>
      <c r="AE3768" s="43"/>
      <c r="AF3768" s="43"/>
      <c r="AG3768" s="43"/>
      <c r="AH3768" s="43"/>
      <c r="AI3768" s="43"/>
      <c r="AJ3768" s="43"/>
      <c r="AK3768" s="43"/>
      <c r="AL3768" s="43"/>
      <c r="AM3768" s="43"/>
      <c r="AN3768" s="43"/>
      <c r="AO3768" s="43"/>
      <c r="AP3768" s="43"/>
      <c r="AQ3768" s="43"/>
      <c r="AR3768" s="43"/>
      <c r="AS3768" s="43"/>
      <c r="AT3768" s="43"/>
      <c r="AU3768" s="43"/>
      <c r="AV3768" s="43"/>
      <c r="AW3768" s="43"/>
      <c r="AX3768" s="43"/>
      <c r="AY3768" s="43"/>
      <c r="AZ3768" s="43"/>
      <c r="BA3768" s="43"/>
      <c r="BB3768" s="43"/>
      <c r="BC3768" s="229">
        <f t="shared" si="1628"/>
        <v>0</v>
      </c>
      <c r="BD3768" s="48">
        <f t="shared" si="1629"/>
        <v>0</v>
      </c>
      <c r="BE3768" s="19">
        <v>0</v>
      </c>
      <c r="BF3768" s="229">
        <f t="shared" si="1630"/>
        <v>0</v>
      </c>
      <c r="BG3768" s="210">
        <f t="shared" si="1631"/>
        <v>5782</v>
      </c>
      <c r="BH3768" s="210">
        <f t="shared" si="1632"/>
        <v>4357</v>
      </c>
      <c r="BI3768" s="213">
        <f t="shared" si="1633"/>
        <v>132.70599036033968</v>
      </c>
      <c r="BJ3768" s="270" t="s">
        <v>2857</v>
      </c>
      <c r="BK3768" s="201"/>
      <c r="BL3768" s="4"/>
      <c r="BM3768" s="4"/>
    </row>
    <row r="3769" spans="1:65" s="38" customFormat="1" ht="15.95" customHeight="1">
      <c r="A3769" s="148">
        <v>24</v>
      </c>
      <c r="B3769" s="40" t="s">
        <v>1733</v>
      </c>
      <c r="C3769" s="41" t="s">
        <v>2458</v>
      </c>
      <c r="D3769" s="43"/>
      <c r="E3769" s="42"/>
      <c r="F3769" s="42"/>
      <c r="G3769" s="42"/>
      <c r="H3769" s="42"/>
      <c r="I3769" s="42">
        <v>5</v>
      </c>
      <c r="J3769" s="42"/>
      <c r="K3769" s="42"/>
      <c r="L3769" s="42"/>
      <c r="M3769" s="42"/>
      <c r="N3769" s="42"/>
      <c r="O3769" s="42"/>
      <c r="P3769" s="42"/>
      <c r="Q3769" s="42"/>
      <c r="R3769" s="42"/>
      <c r="S3769" s="42"/>
      <c r="T3769" s="42"/>
      <c r="U3769" s="42">
        <v>1</v>
      </c>
      <c r="V3769" s="42"/>
      <c r="W3769" s="42"/>
      <c r="X3769" s="42"/>
      <c r="Y3769" s="42"/>
      <c r="Z3769" s="42"/>
      <c r="AA3769" s="42"/>
      <c r="AB3769" s="229">
        <f t="shared" si="1626"/>
        <v>0</v>
      </c>
      <c r="AC3769" s="228">
        <f t="shared" si="1627"/>
        <v>6</v>
      </c>
      <c r="AD3769" s="19">
        <v>32</v>
      </c>
      <c r="AE3769" s="43"/>
      <c r="AF3769" s="43"/>
      <c r="AG3769" s="43"/>
      <c r="AH3769" s="43"/>
      <c r="AI3769" s="43"/>
      <c r="AJ3769" s="43"/>
      <c r="AK3769" s="43"/>
      <c r="AL3769" s="43"/>
      <c r="AM3769" s="43"/>
      <c r="AN3769" s="43"/>
      <c r="AO3769" s="43"/>
      <c r="AP3769" s="43"/>
      <c r="AQ3769" s="43"/>
      <c r="AR3769" s="43"/>
      <c r="AS3769" s="43"/>
      <c r="AT3769" s="43"/>
      <c r="AU3769" s="43"/>
      <c r="AV3769" s="43"/>
      <c r="AW3769" s="43"/>
      <c r="AX3769" s="43"/>
      <c r="AY3769" s="43"/>
      <c r="AZ3769" s="43"/>
      <c r="BA3769" s="43"/>
      <c r="BB3769" s="43"/>
      <c r="BC3769" s="229">
        <f t="shared" si="1628"/>
        <v>0</v>
      </c>
      <c r="BD3769" s="48">
        <f t="shared" si="1629"/>
        <v>0</v>
      </c>
      <c r="BE3769" s="19">
        <v>0</v>
      </c>
      <c r="BF3769" s="229">
        <f t="shared" si="1630"/>
        <v>0</v>
      </c>
      <c r="BG3769" s="210">
        <f t="shared" si="1631"/>
        <v>6</v>
      </c>
      <c r="BH3769" s="210">
        <f t="shared" si="1632"/>
        <v>32</v>
      </c>
      <c r="BI3769" s="213">
        <f t="shared" si="1633"/>
        <v>18.75</v>
      </c>
      <c r="BJ3769" s="270" t="s">
        <v>2857</v>
      </c>
      <c r="BK3769" s="201"/>
      <c r="BL3769" s="4"/>
      <c r="BM3769" s="4"/>
    </row>
    <row r="3770" spans="1:65" s="38" customFormat="1" ht="15.95" customHeight="1">
      <c r="A3770" s="148">
        <v>25</v>
      </c>
      <c r="B3770" s="40" t="s">
        <v>2615</v>
      </c>
      <c r="C3770" s="41" t="s">
        <v>2616</v>
      </c>
      <c r="D3770" s="43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O3770" s="42"/>
      <c r="P3770" s="42"/>
      <c r="Q3770" s="42"/>
      <c r="R3770" s="42"/>
      <c r="S3770" s="42"/>
      <c r="T3770" s="42"/>
      <c r="U3770" s="42"/>
      <c r="V3770" s="42"/>
      <c r="W3770" s="42"/>
      <c r="X3770" s="42"/>
      <c r="Y3770" s="42"/>
      <c r="Z3770" s="42"/>
      <c r="AA3770" s="42"/>
      <c r="AB3770" s="229">
        <f t="shared" si="1626"/>
        <v>0</v>
      </c>
      <c r="AC3770" s="228">
        <f t="shared" si="1627"/>
        <v>0</v>
      </c>
      <c r="AD3770" s="19">
        <v>8</v>
      </c>
      <c r="AE3770" s="43"/>
      <c r="AF3770" s="43"/>
      <c r="AG3770" s="43"/>
      <c r="AH3770" s="43"/>
      <c r="AI3770" s="43"/>
      <c r="AJ3770" s="43"/>
      <c r="AK3770" s="43"/>
      <c r="AL3770" s="43"/>
      <c r="AM3770" s="43"/>
      <c r="AN3770" s="43"/>
      <c r="AO3770" s="43"/>
      <c r="AP3770" s="43"/>
      <c r="AQ3770" s="43"/>
      <c r="AR3770" s="43"/>
      <c r="AS3770" s="43"/>
      <c r="AT3770" s="43"/>
      <c r="AU3770" s="43"/>
      <c r="AV3770" s="43"/>
      <c r="AW3770" s="43"/>
      <c r="AX3770" s="43"/>
      <c r="AY3770" s="43"/>
      <c r="AZ3770" s="43"/>
      <c r="BA3770" s="43"/>
      <c r="BB3770" s="43"/>
      <c r="BC3770" s="229">
        <f t="shared" si="1628"/>
        <v>0</v>
      </c>
      <c r="BD3770" s="48">
        <f t="shared" si="1629"/>
        <v>0</v>
      </c>
      <c r="BE3770" s="19">
        <v>0</v>
      </c>
      <c r="BF3770" s="229">
        <f t="shared" si="1630"/>
        <v>0</v>
      </c>
      <c r="BG3770" s="210">
        <f t="shared" si="1631"/>
        <v>0</v>
      </c>
      <c r="BH3770" s="210">
        <f t="shared" si="1632"/>
        <v>8</v>
      </c>
      <c r="BI3770" s="213">
        <f t="shared" si="1633"/>
        <v>0</v>
      </c>
      <c r="BJ3770" s="270" t="s">
        <v>2857</v>
      </c>
      <c r="BK3770" s="201"/>
      <c r="BL3770" s="4"/>
      <c r="BM3770" s="4"/>
    </row>
    <row r="3771" spans="1:65" s="38" customFormat="1" ht="15.95" customHeight="1">
      <c r="A3771" s="148">
        <v>26</v>
      </c>
      <c r="B3771" s="40" t="s">
        <v>1264</v>
      </c>
      <c r="C3771" s="120" t="s">
        <v>1265</v>
      </c>
      <c r="D3771" s="43"/>
      <c r="E3771" s="42"/>
      <c r="F3771" s="42"/>
      <c r="G3771" s="42"/>
      <c r="H3771" s="42"/>
      <c r="I3771" s="42">
        <f>21+761</f>
        <v>782</v>
      </c>
      <c r="J3771" s="42"/>
      <c r="K3771" s="42"/>
      <c r="L3771" s="42"/>
      <c r="M3771" s="42"/>
      <c r="N3771" s="42"/>
      <c r="O3771" s="42">
        <f>3+10+354</f>
        <v>367</v>
      </c>
      <c r="P3771" s="42"/>
      <c r="Q3771" s="42"/>
      <c r="R3771" s="42"/>
      <c r="S3771" s="42"/>
      <c r="T3771" s="42"/>
      <c r="U3771" s="42">
        <f>6+3+205</f>
        <v>214</v>
      </c>
      <c r="V3771" s="42"/>
      <c r="W3771" s="42"/>
      <c r="X3771" s="42"/>
      <c r="Y3771" s="42"/>
      <c r="Z3771" s="42"/>
      <c r="AA3771" s="42">
        <f>20+860</f>
        <v>880</v>
      </c>
      <c r="AB3771" s="229">
        <f t="shared" si="1626"/>
        <v>0</v>
      </c>
      <c r="AC3771" s="228">
        <f t="shared" si="1627"/>
        <v>2243</v>
      </c>
      <c r="AD3771" s="19">
        <v>1454</v>
      </c>
      <c r="AE3771" s="43"/>
      <c r="AF3771" s="43"/>
      <c r="AG3771" s="43"/>
      <c r="AH3771" s="43"/>
      <c r="AI3771" s="43"/>
      <c r="AJ3771" s="43"/>
      <c r="AK3771" s="43"/>
      <c r="AL3771" s="43"/>
      <c r="AM3771" s="43"/>
      <c r="AN3771" s="43"/>
      <c r="AO3771" s="43"/>
      <c r="AP3771" s="43"/>
      <c r="AQ3771" s="43"/>
      <c r="AR3771" s="43"/>
      <c r="AS3771" s="43"/>
      <c r="AT3771" s="43"/>
      <c r="AU3771" s="43"/>
      <c r="AV3771" s="43"/>
      <c r="AW3771" s="43"/>
      <c r="AX3771" s="43"/>
      <c r="AY3771" s="43"/>
      <c r="AZ3771" s="43"/>
      <c r="BA3771" s="43"/>
      <c r="BB3771" s="43"/>
      <c r="BC3771" s="229">
        <f t="shared" si="1628"/>
        <v>0</v>
      </c>
      <c r="BD3771" s="48">
        <f t="shared" si="1629"/>
        <v>0</v>
      </c>
      <c r="BE3771" s="19">
        <v>0</v>
      </c>
      <c r="BF3771" s="229">
        <f t="shared" si="1630"/>
        <v>0</v>
      </c>
      <c r="BG3771" s="210">
        <f t="shared" si="1631"/>
        <v>2243</v>
      </c>
      <c r="BH3771" s="210">
        <f t="shared" si="1632"/>
        <v>1454</v>
      </c>
      <c r="BI3771" s="213">
        <f t="shared" si="1633"/>
        <v>154.26409903713895</v>
      </c>
      <c r="BJ3771" s="270" t="s">
        <v>2857</v>
      </c>
      <c r="BK3771" s="201"/>
      <c r="BL3771" s="4"/>
      <c r="BM3771" s="4"/>
    </row>
    <row r="3772" spans="1:65" s="38" customFormat="1" ht="15.95" customHeight="1">
      <c r="A3772" s="148">
        <v>27</v>
      </c>
      <c r="B3772" s="40" t="s">
        <v>1232</v>
      </c>
      <c r="C3772" s="41" t="s">
        <v>1296</v>
      </c>
      <c r="D3772" s="43"/>
      <c r="E3772" s="42"/>
      <c r="F3772" s="42"/>
      <c r="G3772" s="42"/>
      <c r="H3772" s="42"/>
      <c r="I3772" s="42">
        <f>5+5+66</f>
        <v>76</v>
      </c>
      <c r="J3772" s="42"/>
      <c r="K3772" s="42"/>
      <c r="L3772" s="42"/>
      <c r="M3772" s="42"/>
      <c r="N3772" s="42"/>
      <c r="O3772" s="42">
        <f>7+6+273</f>
        <v>286</v>
      </c>
      <c r="P3772" s="42"/>
      <c r="Q3772" s="42"/>
      <c r="R3772" s="42"/>
      <c r="S3772" s="42"/>
      <c r="T3772" s="42"/>
      <c r="U3772" s="42">
        <f>15+15+177</f>
        <v>207</v>
      </c>
      <c r="V3772" s="42"/>
      <c r="W3772" s="42"/>
      <c r="X3772" s="42"/>
      <c r="Y3772" s="42"/>
      <c r="Z3772" s="42"/>
      <c r="AA3772" s="42">
        <f>11+133</f>
        <v>144</v>
      </c>
      <c r="AB3772" s="229">
        <f t="shared" si="1626"/>
        <v>0</v>
      </c>
      <c r="AC3772" s="228">
        <f t="shared" si="1627"/>
        <v>713</v>
      </c>
      <c r="AD3772" s="19">
        <v>1010</v>
      </c>
      <c r="AE3772" s="43"/>
      <c r="AF3772" s="43"/>
      <c r="AG3772" s="43"/>
      <c r="AH3772" s="43"/>
      <c r="AI3772" s="43"/>
      <c r="AJ3772" s="43"/>
      <c r="AK3772" s="43"/>
      <c r="AL3772" s="43"/>
      <c r="AM3772" s="43"/>
      <c r="AN3772" s="43"/>
      <c r="AO3772" s="43"/>
      <c r="AP3772" s="43"/>
      <c r="AQ3772" s="43"/>
      <c r="AR3772" s="43"/>
      <c r="AS3772" s="43"/>
      <c r="AT3772" s="43"/>
      <c r="AU3772" s="43"/>
      <c r="AV3772" s="43"/>
      <c r="AW3772" s="43"/>
      <c r="AX3772" s="43"/>
      <c r="AY3772" s="43"/>
      <c r="AZ3772" s="43"/>
      <c r="BA3772" s="43"/>
      <c r="BB3772" s="43"/>
      <c r="BC3772" s="229">
        <f t="shared" si="1628"/>
        <v>0</v>
      </c>
      <c r="BD3772" s="48">
        <f t="shared" si="1629"/>
        <v>0</v>
      </c>
      <c r="BE3772" s="19">
        <v>0</v>
      </c>
      <c r="BF3772" s="229">
        <f t="shared" si="1630"/>
        <v>0</v>
      </c>
      <c r="BG3772" s="210">
        <f t="shared" si="1631"/>
        <v>713</v>
      </c>
      <c r="BH3772" s="210">
        <f t="shared" si="1632"/>
        <v>1010</v>
      </c>
      <c r="BI3772" s="213">
        <f t="shared" si="1633"/>
        <v>70.594059405940584</v>
      </c>
      <c r="BJ3772" s="270" t="s">
        <v>2857</v>
      </c>
      <c r="BK3772" s="201"/>
      <c r="BL3772" s="4"/>
      <c r="BM3772" s="4"/>
    </row>
    <row r="3773" spans="1:65" s="38" customFormat="1" ht="15.95" customHeight="1">
      <c r="A3773" s="148">
        <v>28</v>
      </c>
      <c r="B3773" s="40" t="s">
        <v>1234</v>
      </c>
      <c r="C3773" s="41" t="s">
        <v>1235</v>
      </c>
      <c r="D3773" s="43"/>
      <c r="E3773" s="42"/>
      <c r="F3773" s="42"/>
      <c r="G3773" s="42"/>
      <c r="H3773" s="42"/>
      <c r="I3773" s="42">
        <f>3+130+3185</f>
        <v>3318</v>
      </c>
      <c r="J3773" s="42"/>
      <c r="K3773" s="42"/>
      <c r="L3773" s="42"/>
      <c r="M3773" s="42"/>
      <c r="N3773" s="42"/>
      <c r="O3773" s="42">
        <f>156+3609</f>
        <v>3765</v>
      </c>
      <c r="P3773" s="42"/>
      <c r="Q3773" s="42"/>
      <c r="R3773" s="42"/>
      <c r="S3773" s="42"/>
      <c r="T3773" s="42"/>
      <c r="U3773" s="42">
        <f>216+3361</f>
        <v>3577</v>
      </c>
      <c r="V3773" s="42"/>
      <c r="W3773" s="42"/>
      <c r="X3773" s="42"/>
      <c r="Y3773" s="42"/>
      <c r="Z3773" s="42"/>
      <c r="AA3773" s="42">
        <f>195+3986</f>
        <v>4181</v>
      </c>
      <c r="AB3773" s="229">
        <f t="shared" si="1626"/>
        <v>0</v>
      </c>
      <c r="AC3773" s="228">
        <f t="shared" si="1627"/>
        <v>14841</v>
      </c>
      <c r="AD3773" s="19">
        <v>12794</v>
      </c>
      <c r="AE3773" s="43"/>
      <c r="AF3773" s="43"/>
      <c r="AG3773" s="43"/>
      <c r="AH3773" s="43"/>
      <c r="AI3773" s="43"/>
      <c r="AJ3773" s="43"/>
      <c r="AK3773" s="43"/>
      <c r="AL3773" s="43"/>
      <c r="AM3773" s="43"/>
      <c r="AN3773" s="43"/>
      <c r="AO3773" s="43"/>
      <c r="AP3773" s="43"/>
      <c r="AQ3773" s="43"/>
      <c r="AR3773" s="43"/>
      <c r="AS3773" s="43"/>
      <c r="AT3773" s="43"/>
      <c r="AU3773" s="43"/>
      <c r="AV3773" s="43"/>
      <c r="AW3773" s="43"/>
      <c r="AX3773" s="43"/>
      <c r="AY3773" s="43"/>
      <c r="AZ3773" s="43"/>
      <c r="BA3773" s="43"/>
      <c r="BB3773" s="43"/>
      <c r="BC3773" s="229">
        <f t="shared" si="1628"/>
        <v>0</v>
      </c>
      <c r="BD3773" s="48">
        <f t="shared" si="1629"/>
        <v>0</v>
      </c>
      <c r="BE3773" s="19">
        <v>0</v>
      </c>
      <c r="BF3773" s="229">
        <f t="shared" si="1630"/>
        <v>0</v>
      </c>
      <c r="BG3773" s="210">
        <f t="shared" si="1631"/>
        <v>14841</v>
      </c>
      <c r="BH3773" s="210">
        <f t="shared" si="1632"/>
        <v>12794</v>
      </c>
      <c r="BI3773" s="213">
        <f t="shared" si="1633"/>
        <v>115.99968735344692</v>
      </c>
      <c r="BJ3773" s="270" t="s">
        <v>2857</v>
      </c>
      <c r="BK3773" s="201"/>
      <c r="BL3773" s="4"/>
      <c r="BM3773" s="4"/>
    </row>
    <row r="3774" spans="1:65" s="38" customFormat="1" ht="20.100000000000001" customHeight="1">
      <c r="A3774" s="148">
        <v>29</v>
      </c>
      <c r="B3774" s="118" t="s">
        <v>1251</v>
      </c>
      <c r="C3774" s="150" t="s">
        <v>1364</v>
      </c>
      <c r="D3774" s="43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O3774" s="42">
        <v>2</v>
      </c>
      <c r="P3774" s="42"/>
      <c r="Q3774" s="42"/>
      <c r="R3774" s="42"/>
      <c r="S3774" s="42"/>
      <c r="T3774" s="42"/>
      <c r="U3774" s="42"/>
      <c r="V3774" s="42"/>
      <c r="W3774" s="42"/>
      <c r="X3774" s="42"/>
      <c r="Y3774" s="42"/>
      <c r="Z3774" s="42"/>
      <c r="AA3774" s="42"/>
      <c r="AB3774" s="229">
        <f t="shared" si="1626"/>
        <v>0</v>
      </c>
      <c r="AC3774" s="228">
        <f t="shared" si="1627"/>
        <v>2</v>
      </c>
      <c r="AD3774" s="19">
        <v>15</v>
      </c>
      <c r="AE3774" s="43"/>
      <c r="AF3774" s="43"/>
      <c r="AG3774" s="43"/>
      <c r="AH3774" s="43"/>
      <c r="AI3774" s="43"/>
      <c r="AJ3774" s="43"/>
      <c r="AK3774" s="43"/>
      <c r="AL3774" s="43"/>
      <c r="AM3774" s="43"/>
      <c r="AN3774" s="43"/>
      <c r="AO3774" s="43"/>
      <c r="AP3774" s="43"/>
      <c r="AQ3774" s="43"/>
      <c r="AR3774" s="43"/>
      <c r="AS3774" s="43"/>
      <c r="AT3774" s="43"/>
      <c r="AU3774" s="43"/>
      <c r="AV3774" s="43"/>
      <c r="AW3774" s="43"/>
      <c r="AX3774" s="43"/>
      <c r="AY3774" s="43"/>
      <c r="AZ3774" s="43"/>
      <c r="BA3774" s="43"/>
      <c r="BB3774" s="43"/>
      <c r="BC3774" s="229">
        <f t="shared" si="1628"/>
        <v>0</v>
      </c>
      <c r="BD3774" s="48">
        <f t="shared" si="1629"/>
        <v>0</v>
      </c>
      <c r="BE3774" s="19">
        <v>0</v>
      </c>
      <c r="BF3774" s="229">
        <f t="shared" si="1630"/>
        <v>0</v>
      </c>
      <c r="BG3774" s="210">
        <f t="shared" si="1631"/>
        <v>2</v>
      </c>
      <c r="BH3774" s="210">
        <f t="shared" si="1632"/>
        <v>15</v>
      </c>
      <c r="BI3774" s="213">
        <f t="shared" si="1633"/>
        <v>13.333333333333334</v>
      </c>
      <c r="BJ3774" s="270" t="s">
        <v>2857</v>
      </c>
      <c r="BK3774" s="201"/>
      <c r="BL3774" s="4"/>
      <c r="BM3774" s="4"/>
    </row>
    <row r="3775" spans="1:65" ht="15.95" customHeight="1">
      <c r="A3775" s="148">
        <v>30</v>
      </c>
      <c r="B3775" s="40" t="s">
        <v>2862</v>
      </c>
      <c r="C3775" s="41" t="s">
        <v>2863</v>
      </c>
      <c r="D3775" s="43"/>
      <c r="E3775" s="42"/>
      <c r="F3775" s="42"/>
      <c r="G3775" s="42"/>
      <c r="H3775" s="42"/>
      <c r="I3775" s="42">
        <v>3</v>
      </c>
      <c r="J3775" s="42"/>
      <c r="K3775" s="42"/>
      <c r="L3775" s="42"/>
      <c r="M3775" s="42"/>
      <c r="N3775" s="42"/>
      <c r="O3775" s="42">
        <v>3</v>
      </c>
      <c r="P3775" s="42"/>
      <c r="Q3775" s="42"/>
      <c r="R3775" s="42"/>
      <c r="S3775" s="42"/>
      <c r="T3775" s="42"/>
      <c r="U3775" s="42"/>
      <c r="V3775" s="42"/>
      <c r="W3775" s="42"/>
      <c r="X3775" s="42"/>
      <c r="Y3775" s="42"/>
      <c r="Z3775" s="42"/>
      <c r="AA3775" s="42"/>
      <c r="AB3775" s="229">
        <f t="shared" si="1626"/>
        <v>0</v>
      </c>
      <c r="AC3775" s="228">
        <f t="shared" si="1627"/>
        <v>6</v>
      </c>
      <c r="AD3775" s="19">
        <v>0</v>
      </c>
      <c r="AE3775" s="43"/>
      <c r="AF3775" s="43"/>
      <c r="AG3775" s="43"/>
      <c r="AH3775" s="43"/>
      <c r="AI3775" s="43"/>
      <c r="AJ3775" s="43"/>
      <c r="AK3775" s="43"/>
      <c r="AL3775" s="43"/>
      <c r="AM3775" s="43"/>
      <c r="AN3775" s="43"/>
      <c r="AO3775" s="43"/>
      <c r="AP3775" s="43"/>
      <c r="AQ3775" s="43"/>
      <c r="AR3775" s="43"/>
      <c r="AS3775" s="43"/>
      <c r="AT3775" s="43"/>
      <c r="AU3775" s="43"/>
      <c r="AV3775" s="43"/>
      <c r="AW3775" s="43"/>
      <c r="AX3775" s="43"/>
      <c r="AY3775" s="43"/>
      <c r="AZ3775" s="43"/>
      <c r="BA3775" s="43"/>
      <c r="BB3775" s="43"/>
      <c r="BC3775" s="229">
        <f t="shared" si="1628"/>
        <v>0</v>
      </c>
      <c r="BD3775" s="48">
        <f t="shared" si="1629"/>
        <v>0</v>
      </c>
      <c r="BE3775" s="19">
        <v>0</v>
      </c>
      <c r="BF3775" s="229">
        <f t="shared" si="1630"/>
        <v>0</v>
      </c>
      <c r="BG3775" s="210">
        <f t="shared" si="1631"/>
        <v>6</v>
      </c>
      <c r="BH3775" s="210">
        <f t="shared" si="1632"/>
        <v>0</v>
      </c>
      <c r="BI3775" s="213" t="e">
        <f t="shared" si="1633"/>
        <v>#DIV/0!</v>
      </c>
      <c r="BJ3775" s="270" t="s">
        <v>2857</v>
      </c>
      <c r="BK3775" s="201"/>
    </row>
    <row r="3776" spans="1:65" ht="15.95" customHeight="1">
      <c r="A3776" s="148">
        <v>31</v>
      </c>
      <c r="B3776" s="40" t="s">
        <v>1259</v>
      </c>
      <c r="C3776" s="41" t="s">
        <v>1288</v>
      </c>
      <c r="D3776" s="43"/>
      <c r="E3776" s="42"/>
      <c r="F3776" s="42"/>
      <c r="G3776" s="42"/>
      <c r="H3776" s="42"/>
      <c r="I3776" s="42">
        <f>1382+4</f>
        <v>1386</v>
      </c>
      <c r="J3776" s="42"/>
      <c r="K3776" s="42"/>
      <c r="L3776" s="42"/>
      <c r="M3776" s="42"/>
      <c r="N3776" s="42"/>
      <c r="O3776" s="42">
        <v>1206</v>
      </c>
      <c r="P3776" s="42"/>
      <c r="Q3776" s="42"/>
      <c r="R3776" s="42"/>
      <c r="S3776" s="42"/>
      <c r="T3776" s="42"/>
      <c r="U3776" s="42">
        <f>1136+27+1</f>
        <v>1164</v>
      </c>
      <c r="V3776" s="42"/>
      <c r="W3776" s="42"/>
      <c r="X3776" s="42"/>
      <c r="Y3776" s="42"/>
      <c r="Z3776" s="42"/>
      <c r="AA3776" s="42">
        <f>1388+3</f>
        <v>1391</v>
      </c>
      <c r="AB3776" s="229">
        <f t="shared" si="1626"/>
        <v>0</v>
      </c>
      <c r="AC3776" s="228">
        <f t="shared" si="1627"/>
        <v>5147</v>
      </c>
      <c r="AD3776" s="19">
        <v>4678</v>
      </c>
      <c r="AE3776" s="43"/>
      <c r="AF3776" s="43"/>
      <c r="AG3776" s="43"/>
      <c r="AH3776" s="43"/>
      <c r="AI3776" s="43"/>
      <c r="AJ3776" s="43"/>
      <c r="AK3776" s="43"/>
      <c r="AL3776" s="43"/>
      <c r="AM3776" s="43"/>
      <c r="AN3776" s="43"/>
      <c r="AO3776" s="43"/>
      <c r="AP3776" s="43"/>
      <c r="AQ3776" s="43"/>
      <c r="AR3776" s="43"/>
      <c r="AS3776" s="43"/>
      <c r="AT3776" s="43"/>
      <c r="AU3776" s="43"/>
      <c r="AV3776" s="43"/>
      <c r="AW3776" s="43"/>
      <c r="AX3776" s="43"/>
      <c r="AY3776" s="43"/>
      <c r="AZ3776" s="43"/>
      <c r="BA3776" s="43"/>
      <c r="BB3776" s="43"/>
      <c r="BC3776" s="229">
        <f t="shared" si="1628"/>
        <v>0</v>
      </c>
      <c r="BD3776" s="48">
        <f t="shared" si="1629"/>
        <v>0</v>
      </c>
      <c r="BE3776" s="19">
        <v>0</v>
      </c>
      <c r="BF3776" s="229">
        <f t="shared" si="1630"/>
        <v>0</v>
      </c>
      <c r="BG3776" s="210">
        <f t="shared" si="1631"/>
        <v>5147</v>
      </c>
      <c r="BH3776" s="210">
        <f t="shared" si="1632"/>
        <v>4678</v>
      </c>
      <c r="BI3776" s="213">
        <f t="shared" si="1633"/>
        <v>110.02565198802907</v>
      </c>
      <c r="BJ3776" s="270" t="s">
        <v>2857</v>
      </c>
      <c r="BK3776" s="201"/>
    </row>
    <row r="3777" spans="1:65" ht="15.95" customHeight="1">
      <c r="A3777" s="148">
        <v>32</v>
      </c>
      <c r="B3777" s="40" t="s">
        <v>1236</v>
      </c>
      <c r="C3777" s="41" t="s">
        <v>1237</v>
      </c>
      <c r="D3777" s="43"/>
      <c r="E3777" s="42"/>
      <c r="F3777" s="42"/>
      <c r="G3777" s="42"/>
      <c r="H3777" s="42"/>
      <c r="I3777" s="42">
        <f>1+25+2632</f>
        <v>2658</v>
      </c>
      <c r="J3777" s="42"/>
      <c r="K3777" s="42"/>
      <c r="L3777" s="42"/>
      <c r="M3777" s="42"/>
      <c r="N3777" s="42"/>
      <c r="O3777" s="42">
        <f>66+1+3488</f>
        <v>3555</v>
      </c>
      <c r="P3777" s="42"/>
      <c r="Q3777" s="42"/>
      <c r="R3777" s="42"/>
      <c r="S3777" s="42"/>
      <c r="T3777" s="42"/>
      <c r="U3777" s="42">
        <f>82+3449</f>
        <v>3531</v>
      </c>
      <c r="V3777" s="42"/>
      <c r="W3777" s="42"/>
      <c r="X3777" s="42"/>
      <c r="Y3777" s="42"/>
      <c r="Z3777" s="42"/>
      <c r="AA3777" s="42">
        <f>37+2446</f>
        <v>2483</v>
      </c>
      <c r="AB3777" s="229">
        <f t="shared" si="1626"/>
        <v>0</v>
      </c>
      <c r="AC3777" s="228">
        <f t="shared" si="1627"/>
        <v>12227</v>
      </c>
      <c r="AD3777" s="19">
        <v>8487</v>
      </c>
      <c r="AE3777" s="43"/>
      <c r="AF3777" s="43"/>
      <c r="AG3777" s="43"/>
      <c r="AH3777" s="43"/>
      <c r="AI3777" s="43"/>
      <c r="AJ3777" s="43"/>
      <c r="AK3777" s="43"/>
      <c r="AL3777" s="43"/>
      <c r="AM3777" s="43"/>
      <c r="AN3777" s="43"/>
      <c r="AO3777" s="43"/>
      <c r="AP3777" s="43"/>
      <c r="AQ3777" s="43"/>
      <c r="AR3777" s="43"/>
      <c r="AS3777" s="43"/>
      <c r="AT3777" s="43"/>
      <c r="AU3777" s="43"/>
      <c r="AV3777" s="43"/>
      <c r="AW3777" s="43"/>
      <c r="AX3777" s="43"/>
      <c r="AY3777" s="43"/>
      <c r="AZ3777" s="43"/>
      <c r="BA3777" s="43"/>
      <c r="BB3777" s="43"/>
      <c r="BC3777" s="229">
        <f t="shared" si="1628"/>
        <v>0</v>
      </c>
      <c r="BD3777" s="48">
        <f t="shared" si="1629"/>
        <v>0</v>
      </c>
      <c r="BE3777" s="19">
        <v>0</v>
      </c>
      <c r="BF3777" s="229">
        <f t="shared" si="1630"/>
        <v>0</v>
      </c>
      <c r="BG3777" s="210">
        <f t="shared" si="1631"/>
        <v>12227</v>
      </c>
      <c r="BH3777" s="210">
        <f t="shared" si="1632"/>
        <v>8487</v>
      </c>
      <c r="BI3777" s="213">
        <f t="shared" si="1633"/>
        <v>144.0673971957111</v>
      </c>
      <c r="BJ3777" s="270" t="s">
        <v>2857</v>
      </c>
      <c r="BK3777" s="201"/>
    </row>
    <row r="3778" spans="1:65" ht="15.95" customHeight="1">
      <c r="A3778" s="148">
        <v>33</v>
      </c>
      <c r="B3778" s="40" t="s">
        <v>1266</v>
      </c>
      <c r="C3778" s="41" t="s">
        <v>1267</v>
      </c>
      <c r="D3778" s="43"/>
      <c r="E3778" s="42"/>
      <c r="F3778" s="42"/>
      <c r="G3778" s="42"/>
      <c r="H3778" s="42"/>
      <c r="I3778" s="42">
        <v>2</v>
      </c>
      <c r="J3778" s="42"/>
      <c r="K3778" s="42"/>
      <c r="L3778" s="42"/>
      <c r="M3778" s="42"/>
      <c r="N3778" s="42"/>
      <c r="O3778" s="42">
        <f>12+1</f>
        <v>13</v>
      </c>
      <c r="P3778" s="42"/>
      <c r="Q3778" s="42"/>
      <c r="R3778" s="42"/>
      <c r="S3778" s="42"/>
      <c r="T3778" s="42"/>
      <c r="U3778" s="42"/>
      <c r="V3778" s="42"/>
      <c r="W3778" s="42"/>
      <c r="X3778" s="42"/>
      <c r="Y3778" s="42"/>
      <c r="Z3778" s="42"/>
      <c r="AA3778" s="42">
        <v>2</v>
      </c>
      <c r="AB3778" s="229">
        <f t="shared" ref="AB3778:AB3795" si="1634">D3778+F3778+H3778+J3778+L3778+N3778+P3778+R3778+T3778+V3778+X3778+Z3778</f>
        <v>0</v>
      </c>
      <c r="AC3778" s="228">
        <f t="shared" ref="AC3778:AC3795" si="1635">E3778+G3778+I3778+K3778+M3778+O3778+Q3778+S3778+U3778+W3778+Y3778+AA3778</f>
        <v>17</v>
      </c>
      <c r="AD3778" s="19">
        <v>19</v>
      </c>
      <c r="AE3778" s="43"/>
      <c r="AF3778" s="43"/>
      <c r="AG3778" s="43"/>
      <c r="AH3778" s="43"/>
      <c r="AI3778" s="43"/>
      <c r="AJ3778" s="43"/>
      <c r="AK3778" s="43"/>
      <c r="AL3778" s="43"/>
      <c r="AM3778" s="43"/>
      <c r="AN3778" s="43"/>
      <c r="AO3778" s="43"/>
      <c r="AP3778" s="43"/>
      <c r="AQ3778" s="43"/>
      <c r="AR3778" s="43"/>
      <c r="AS3778" s="43"/>
      <c r="AT3778" s="43"/>
      <c r="AU3778" s="43"/>
      <c r="AV3778" s="43"/>
      <c r="AW3778" s="43"/>
      <c r="AX3778" s="43"/>
      <c r="AY3778" s="43"/>
      <c r="AZ3778" s="43"/>
      <c r="BA3778" s="43"/>
      <c r="BB3778" s="43"/>
      <c r="BC3778" s="229">
        <f t="shared" ref="BC3778:BC3795" si="1636">AE3778+AG3778+AI3778+AK3778+AM3778+AO3778+AQ3778+AS3778+AU3778+AW3778+AY3778+BA3778</f>
        <v>0</v>
      </c>
      <c r="BD3778" s="48">
        <f t="shared" ref="BD3778:BD3795" si="1637">AF3778+AH3778+AJ3778+AL3778+AN3778+AP3778+AR3778+AT3778+AV3778+AX3778+AZ3778+BB3778</f>
        <v>0</v>
      </c>
      <c r="BE3778" s="19">
        <v>0</v>
      </c>
      <c r="BF3778" s="229">
        <f t="shared" ref="BF3778:BF3795" si="1638">AB3778+BC3778</f>
        <v>0</v>
      </c>
      <c r="BG3778" s="210">
        <f t="shared" ref="BG3778:BG3795" si="1639">AC3778+BD3778</f>
        <v>17</v>
      </c>
      <c r="BH3778" s="210">
        <f t="shared" ref="BH3778:BH3795" si="1640">AD3778+BE3778</f>
        <v>19</v>
      </c>
      <c r="BI3778" s="213">
        <f t="shared" ref="BI3778:BI3795" si="1641">BG3778/BH3778*100</f>
        <v>89.473684210526315</v>
      </c>
      <c r="BJ3778" s="141"/>
      <c r="BK3778" s="201"/>
    </row>
    <row r="3779" spans="1:65" ht="15.95" customHeight="1">
      <c r="A3779" s="148">
        <v>34</v>
      </c>
      <c r="B3779" s="40" t="s">
        <v>1239</v>
      </c>
      <c r="C3779" s="41" t="s">
        <v>1240</v>
      </c>
      <c r="D3779" s="43"/>
      <c r="E3779" s="42"/>
      <c r="F3779" s="42"/>
      <c r="G3779" s="42"/>
      <c r="H3779" s="42"/>
      <c r="I3779" s="42">
        <f>235+4</f>
        <v>239</v>
      </c>
      <c r="J3779" s="42"/>
      <c r="K3779" s="42"/>
      <c r="L3779" s="42"/>
      <c r="M3779" s="42"/>
      <c r="N3779" s="42"/>
      <c r="O3779" s="42">
        <v>227</v>
      </c>
      <c r="P3779" s="42"/>
      <c r="Q3779" s="42"/>
      <c r="R3779" s="42"/>
      <c r="S3779" s="42"/>
      <c r="T3779" s="42"/>
      <c r="U3779" s="42">
        <v>100</v>
      </c>
      <c r="V3779" s="42"/>
      <c r="W3779" s="42"/>
      <c r="X3779" s="42"/>
      <c r="Y3779" s="42"/>
      <c r="Z3779" s="42"/>
      <c r="AA3779" s="42">
        <v>200</v>
      </c>
      <c r="AB3779" s="229">
        <f t="shared" si="1634"/>
        <v>0</v>
      </c>
      <c r="AC3779" s="228">
        <f t="shared" si="1635"/>
        <v>766</v>
      </c>
      <c r="AD3779" s="19">
        <v>780</v>
      </c>
      <c r="AE3779" s="43"/>
      <c r="AF3779" s="43"/>
      <c r="AG3779" s="43"/>
      <c r="AH3779" s="43"/>
      <c r="AI3779" s="43"/>
      <c r="AJ3779" s="43">
        <v>1</v>
      </c>
      <c r="AK3779" s="43"/>
      <c r="AL3779" s="43"/>
      <c r="AM3779" s="43"/>
      <c r="AN3779" s="43"/>
      <c r="AO3779" s="43"/>
      <c r="AP3779" s="43">
        <v>2</v>
      </c>
      <c r="AQ3779" s="43"/>
      <c r="AR3779" s="43"/>
      <c r="AS3779" s="43"/>
      <c r="AT3779" s="43"/>
      <c r="AU3779" s="43"/>
      <c r="AV3779" s="43">
        <v>1</v>
      </c>
      <c r="AW3779" s="43"/>
      <c r="AX3779" s="43"/>
      <c r="AY3779" s="43"/>
      <c r="AZ3779" s="43"/>
      <c r="BA3779" s="43"/>
      <c r="BB3779" s="43">
        <v>1</v>
      </c>
      <c r="BC3779" s="229">
        <f t="shared" si="1636"/>
        <v>0</v>
      </c>
      <c r="BD3779" s="48">
        <f t="shared" si="1637"/>
        <v>5</v>
      </c>
      <c r="BE3779" s="19">
        <v>8</v>
      </c>
      <c r="BF3779" s="229">
        <f t="shared" si="1638"/>
        <v>0</v>
      </c>
      <c r="BG3779" s="210">
        <f t="shared" si="1639"/>
        <v>771</v>
      </c>
      <c r="BH3779" s="210">
        <f t="shared" si="1640"/>
        <v>788</v>
      </c>
      <c r="BI3779" s="213">
        <f t="shared" si="1641"/>
        <v>97.842639593908629</v>
      </c>
      <c r="BJ3779" s="141"/>
      <c r="BK3779" s="201"/>
    </row>
    <row r="3780" spans="1:65" ht="15.95" customHeight="1">
      <c r="A3780" s="148">
        <v>35</v>
      </c>
      <c r="B3780" s="40" t="s">
        <v>1241</v>
      </c>
      <c r="C3780" s="41" t="s">
        <v>1242</v>
      </c>
      <c r="D3780" s="43"/>
      <c r="E3780" s="42"/>
      <c r="F3780" s="42"/>
      <c r="G3780" s="42"/>
      <c r="H3780" s="42"/>
      <c r="I3780" s="42">
        <f>6+152</f>
        <v>158</v>
      </c>
      <c r="J3780" s="42"/>
      <c r="K3780" s="42"/>
      <c r="L3780" s="42"/>
      <c r="M3780" s="42"/>
      <c r="N3780" s="42"/>
      <c r="O3780" s="42">
        <f>13+168</f>
        <v>181</v>
      </c>
      <c r="P3780" s="42"/>
      <c r="Q3780" s="42"/>
      <c r="R3780" s="42"/>
      <c r="S3780" s="42"/>
      <c r="T3780" s="42"/>
      <c r="U3780" s="42">
        <f>4+202</f>
        <v>206</v>
      </c>
      <c r="V3780" s="42"/>
      <c r="W3780" s="42"/>
      <c r="X3780" s="42"/>
      <c r="Y3780" s="42"/>
      <c r="Z3780" s="42"/>
      <c r="AA3780" s="42">
        <f>2+207</f>
        <v>209</v>
      </c>
      <c r="AB3780" s="229">
        <f t="shared" si="1634"/>
        <v>0</v>
      </c>
      <c r="AC3780" s="228">
        <f t="shared" si="1635"/>
        <v>754</v>
      </c>
      <c r="AD3780" s="19">
        <v>1187</v>
      </c>
      <c r="AE3780" s="43"/>
      <c r="AF3780" s="43"/>
      <c r="AG3780" s="43"/>
      <c r="AH3780" s="43"/>
      <c r="AI3780" s="43"/>
      <c r="AJ3780" s="43">
        <f>21+3911</f>
        <v>3932</v>
      </c>
      <c r="AK3780" s="43"/>
      <c r="AL3780" s="43"/>
      <c r="AM3780" s="43"/>
      <c r="AN3780" s="43"/>
      <c r="AO3780" s="43"/>
      <c r="AP3780" s="43">
        <f>10+4203</f>
        <v>4213</v>
      </c>
      <c r="AQ3780" s="43"/>
      <c r="AR3780" s="43"/>
      <c r="AS3780" s="43"/>
      <c r="AT3780" s="43"/>
      <c r="AU3780" s="43"/>
      <c r="AV3780" s="43">
        <v>3788</v>
      </c>
      <c r="AW3780" s="43"/>
      <c r="AX3780" s="43"/>
      <c r="AY3780" s="43"/>
      <c r="AZ3780" s="43"/>
      <c r="BA3780" s="43"/>
      <c r="BB3780" s="43">
        <f>1+5023</f>
        <v>5024</v>
      </c>
      <c r="BC3780" s="229">
        <f t="shared" si="1636"/>
        <v>0</v>
      </c>
      <c r="BD3780" s="48">
        <f t="shared" si="1637"/>
        <v>16957</v>
      </c>
      <c r="BE3780" s="19">
        <v>16930</v>
      </c>
      <c r="BF3780" s="229">
        <f t="shared" si="1638"/>
        <v>0</v>
      </c>
      <c r="BG3780" s="210">
        <f t="shared" si="1639"/>
        <v>17711</v>
      </c>
      <c r="BH3780" s="210">
        <f t="shared" si="1640"/>
        <v>18117</v>
      </c>
      <c r="BI3780" s="213">
        <f t="shared" si="1641"/>
        <v>97.759010873764979</v>
      </c>
      <c r="BJ3780" s="141"/>
      <c r="BK3780" s="201"/>
    </row>
    <row r="3781" spans="1:65" ht="15.95" customHeight="1">
      <c r="A3781" s="148">
        <v>36</v>
      </c>
      <c r="B3781" s="40" t="s">
        <v>1243</v>
      </c>
      <c r="C3781" s="41" t="s">
        <v>1244</v>
      </c>
      <c r="D3781" s="43"/>
      <c r="E3781" s="42"/>
      <c r="F3781" s="42"/>
      <c r="G3781" s="42"/>
      <c r="H3781" s="42"/>
      <c r="I3781" s="42">
        <v>607</v>
      </c>
      <c r="J3781" s="42"/>
      <c r="K3781" s="42"/>
      <c r="L3781" s="42"/>
      <c r="M3781" s="42"/>
      <c r="N3781" s="42"/>
      <c r="O3781" s="42">
        <f>675+1</f>
        <v>676</v>
      </c>
      <c r="P3781" s="42"/>
      <c r="Q3781" s="42"/>
      <c r="R3781" s="42"/>
      <c r="S3781" s="42"/>
      <c r="T3781" s="42"/>
      <c r="U3781" s="42">
        <f>623+5</f>
        <v>628</v>
      </c>
      <c r="V3781" s="42"/>
      <c r="W3781" s="42"/>
      <c r="X3781" s="42"/>
      <c r="Y3781" s="42"/>
      <c r="Z3781" s="42"/>
      <c r="AA3781" s="42">
        <v>524</v>
      </c>
      <c r="AB3781" s="229">
        <f t="shared" si="1634"/>
        <v>0</v>
      </c>
      <c r="AC3781" s="228">
        <f t="shared" si="1635"/>
        <v>2435</v>
      </c>
      <c r="AD3781" s="19">
        <v>2582</v>
      </c>
      <c r="AE3781" s="43"/>
      <c r="AF3781" s="43"/>
      <c r="AG3781" s="43"/>
      <c r="AH3781" s="43"/>
      <c r="AI3781" s="43"/>
      <c r="AJ3781" s="43">
        <v>12</v>
      </c>
      <c r="AK3781" s="43"/>
      <c r="AL3781" s="43"/>
      <c r="AM3781" s="43"/>
      <c r="AN3781" s="43"/>
      <c r="AO3781" s="43"/>
      <c r="AP3781" s="43">
        <v>24</v>
      </c>
      <c r="AQ3781" s="43"/>
      <c r="AR3781" s="43"/>
      <c r="AS3781" s="43"/>
      <c r="AT3781" s="43"/>
      <c r="AU3781" s="43"/>
      <c r="AV3781" s="43">
        <v>18</v>
      </c>
      <c r="AW3781" s="43"/>
      <c r="AX3781" s="43"/>
      <c r="AY3781" s="43"/>
      <c r="AZ3781" s="43"/>
      <c r="BA3781" s="43"/>
      <c r="BB3781" s="43">
        <v>10</v>
      </c>
      <c r="BC3781" s="229">
        <f t="shared" si="1636"/>
        <v>0</v>
      </c>
      <c r="BD3781" s="48">
        <f t="shared" si="1637"/>
        <v>64</v>
      </c>
      <c r="BE3781" s="19">
        <v>62</v>
      </c>
      <c r="BF3781" s="229">
        <f t="shared" si="1638"/>
        <v>0</v>
      </c>
      <c r="BG3781" s="210">
        <f t="shared" si="1639"/>
        <v>2499</v>
      </c>
      <c r="BH3781" s="210">
        <f t="shared" si="1640"/>
        <v>2644</v>
      </c>
      <c r="BI3781" s="213">
        <f t="shared" si="1641"/>
        <v>94.515885022692885</v>
      </c>
      <c r="BJ3781" s="141"/>
      <c r="BK3781" s="201"/>
    </row>
    <row r="3782" spans="1:65" ht="15.95" customHeight="1">
      <c r="A3782" s="148">
        <v>37</v>
      </c>
      <c r="B3782" s="40" t="s">
        <v>1276</v>
      </c>
      <c r="C3782" s="41" t="s">
        <v>1277</v>
      </c>
      <c r="D3782" s="43"/>
      <c r="E3782" s="42"/>
      <c r="F3782" s="42"/>
      <c r="G3782" s="42"/>
      <c r="H3782" s="42"/>
      <c r="I3782" s="42">
        <v>29</v>
      </c>
      <c r="J3782" s="42"/>
      <c r="K3782" s="42"/>
      <c r="L3782" s="42"/>
      <c r="M3782" s="42"/>
      <c r="N3782" s="42"/>
      <c r="O3782" s="42">
        <v>56</v>
      </c>
      <c r="P3782" s="42"/>
      <c r="Q3782" s="42"/>
      <c r="R3782" s="42"/>
      <c r="S3782" s="42"/>
      <c r="T3782" s="42"/>
      <c r="U3782" s="42"/>
      <c r="V3782" s="42"/>
      <c r="W3782" s="42"/>
      <c r="X3782" s="42"/>
      <c r="Y3782" s="42"/>
      <c r="Z3782" s="42"/>
      <c r="AA3782" s="42">
        <v>12</v>
      </c>
      <c r="AB3782" s="229">
        <f t="shared" si="1634"/>
        <v>0</v>
      </c>
      <c r="AC3782" s="228">
        <f t="shared" si="1635"/>
        <v>97</v>
      </c>
      <c r="AD3782" s="19">
        <v>92</v>
      </c>
      <c r="AE3782" s="43"/>
      <c r="AF3782" s="43"/>
      <c r="AG3782" s="43"/>
      <c r="AH3782" s="43"/>
      <c r="AI3782" s="43"/>
      <c r="AJ3782" s="43">
        <v>1</v>
      </c>
      <c r="AK3782" s="43"/>
      <c r="AL3782" s="43"/>
      <c r="AM3782" s="43"/>
      <c r="AN3782" s="43"/>
      <c r="AO3782" s="43"/>
      <c r="AP3782" s="43">
        <v>1</v>
      </c>
      <c r="AQ3782" s="43"/>
      <c r="AR3782" s="43"/>
      <c r="AS3782" s="43"/>
      <c r="AT3782" s="43"/>
      <c r="AU3782" s="43"/>
      <c r="AV3782" s="43"/>
      <c r="AW3782" s="43"/>
      <c r="AX3782" s="43"/>
      <c r="AY3782" s="43"/>
      <c r="AZ3782" s="43"/>
      <c r="BA3782" s="43"/>
      <c r="BB3782" s="43"/>
      <c r="BC3782" s="229">
        <f t="shared" si="1636"/>
        <v>0</v>
      </c>
      <c r="BD3782" s="48">
        <f t="shared" si="1637"/>
        <v>2</v>
      </c>
      <c r="BE3782" s="19">
        <v>6</v>
      </c>
      <c r="BF3782" s="229">
        <f t="shared" si="1638"/>
        <v>0</v>
      </c>
      <c r="BG3782" s="210">
        <f t="shared" si="1639"/>
        <v>99</v>
      </c>
      <c r="BH3782" s="210">
        <f t="shared" si="1640"/>
        <v>98</v>
      </c>
      <c r="BI3782" s="213">
        <f t="shared" si="1641"/>
        <v>101.0204081632653</v>
      </c>
      <c r="BJ3782" s="141"/>
      <c r="BK3782" s="201"/>
    </row>
    <row r="3783" spans="1:65" ht="15.95" customHeight="1">
      <c r="A3783" s="148">
        <v>38</v>
      </c>
      <c r="B3783" s="40" t="s">
        <v>1278</v>
      </c>
      <c r="C3783" s="41" t="s">
        <v>1282</v>
      </c>
      <c r="D3783" s="42"/>
      <c r="E3783" s="42"/>
      <c r="F3783" s="42"/>
      <c r="G3783" s="42"/>
      <c r="H3783" s="42"/>
      <c r="I3783" s="42">
        <v>15</v>
      </c>
      <c r="J3783" s="42"/>
      <c r="K3783" s="42"/>
      <c r="L3783" s="42"/>
      <c r="M3783" s="42"/>
      <c r="N3783" s="42"/>
      <c r="O3783" s="42">
        <v>24</v>
      </c>
      <c r="P3783" s="42"/>
      <c r="Q3783" s="42"/>
      <c r="R3783" s="42"/>
      <c r="S3783" s="42"/>
      <c r="T3783" s="42"/>
      <c r="U3783" s="42">
        <v>12</v>
      </c>
      <c r="V3783" s="42"/>
      <c r="W3783" s="42"/>
      <c r="X3783" s="42"/>
      <c r="Y3783" s="42"/>
      <c r="Z3783" s="42"/>
      <c r="AA3783" s="42"/>
      <c r="AB3783" s="229">
        <f t="shared" si="1634"/>
        <v>0</v>
      </c>
      <c r="AC3783" s="228">
        <f t="shared" si="1635"/>
        <v>51</v>
      </c>
      <c r="AD3783" s="19">
        <v>135</v>
      </c>
      <c r="AE3783" s="43"/>
      <c r="AF3783" s="43"/>
      <c r="AG3783" s="43"/>
      <c r="AH3783" s="43"/>
      <c r="AI3783" s="43"/>
      <c r="AJ3783" s="43">
        <v>2</v>
      </c>
      <c r="AK3783" s="43"/>
      <c r="AL3783" s="43"/>
      <c r="AM3783" s="43"/>
      <c r="AN3783" s="43"/>
      <c r="AO3783" s="43"/>
      <c r="AP3783" s="43">
        <v>2</v>
      </c>
      <c r="AQ3783" s="43"/>
      <c r="AR3783" s="43"/>
      <c r="AS3783" s="43"/>
      <c r="AT3783" s="43"/>
      <c r="AU3783" s="43"/>
      <c r="AV3783" s="43">
        <v>6</v>
      </c>
      <c r="AW3783" s="43"/>
      <c r="AX3783" s="43"/>
      <c r="AY3783" s="43"/>
      <c r="AZ3783" s="43"/>
      <c r="BA3783" s="43"/>
      <c r="BB3783" s="43">
        <v>2</v>
      </c>
      <c r="BC3783" s="229">
        <f t="shared" si="1636"/>
        <v>0</v>
      </c>
      <c r="BD3783" s="48">
        <f t="shared" si="1637"/>
        <v>12</v>
      </c>
      <c r="BE3783" s="19">
        <v>15</v>
      </c>
      <c r="BF3783" s="229">
        <f t="shared" si="1638"/>
        <v>0</v>
      </c>
      <c r="BG3783" s="210">
        <f t="shared" si="1639"/>
        <v>63</v>
      </c>
      <c r="BH3783" s="210">
        <f t="shared" si="1640"/>
        <v>150</v>
      </c>
      <c r="BI3783" s="213">
        <f t="shared" si="1641"/>
        <v>42</v>
      </c>
      <c r="BJ3783" s="141"/>
      <c r="BK3783" s="201"/>
    </row>
    <row r="3784" spans="1:65" ht="15.95" customHeight="1">
      <c r="A3784" s="148">
        <v>39</v>
      </c>
      <c r="B3784" s="118" t="s">
        <v>1095</v>
      </c>
      <c r="C3784" s="120" t="s">
        <v>1713</v>
      </c>
      <c r="D3784" s="42"/>
      <c r="E3784" s="42"/>
      <c r="F3784" s="42"/>
      <c r="G3784" s="42"/>
      <c r="H3784" s="42"/>
      <c r="I3784" s="42">
        <v>226</v>
      </c>
      <c r="J3784" s="42"/>
      <c r="K3784" s="42"/>
      <c r="L3784" s="42"/>
      <c r="M3784" s="42"/>
      <c r="N3784" s="42"/>
      <c r="O3784" s="42">
        <v>167</v>
      </c>
      <c r="P3784" s="42"/>
      <c r="Q3784" s="42"/>
      <c r="R3784" s="42"/>
      <c r="S3784" s="42"/>
      <c r="T3784" s="42"/>
      <c r="U3784" s="42">
        <f>148+1</f>
        <v>149</v>
      </c>
      <c r="V3784" s="42"/>
      <c r="W3784" s="42"/>
      <c r="X3784" s="42"/>
      <c r="Y3784" s="42"/>
      <c r="Z3784" s="42"/>
      <c r="AA3784" s="42">
        <v>189</v>
      </c>
      <c r="AB3784" s="229">
        <f t="shared" si="1634"/>
        <v>0</v>
      </c>
      <c r="AC3784" s="228">
        <f t="shared" si="1635"/>
        <v>731</v>
      </c>
      <c r="AD3784" s="19">
        <v>365</v>
      </c>
      <c r="AE3784" s="43"/>
      <c r="AF3784" s="43"/>
      <c r="AG3784" s="43"/>
      <c r="AH3784" s="43"/>
      <c r="AI3784" s="43"/>
      <c r="AJ3784" s="43"/>
      <c r="AK3784" s="43"/>
      <c r="AL3784" s="43"/>
      <c r="AM3784" s="43"/>
      <c r="AN3784" s="43"/>
      <c r="AO3784" s="43"/>
      <c r="AP3784" s="43"/>
      <c r="AQ3784" s="43"/>
      <c r="AR3784" s="43"/>
      <c r="AS3784" s="43"/>
      <c r="AT3784" s="43"/>
      <c r="AU3784" s="43"/>
      <c r="AV3784" s="43"/>
      <c r="AW3784" s="43"/>
      <c r="AX3784" s="43"/>
      <c r="AY3784" s="43"/>
      <c r="AZ3784" s="43"/>
      <c r="BA3784" s="43"/>
      <c r="BB3784" s="43"/>
      <c r="BC3784" s="229">
        <f t="shared" si="1636"/>
        <v>0</v>
      </c>
      <c r="BD3784" s="48">
        <f t="shared" si="1637"/>
        <v>0</v>
      </c>
      <c r="BE3784" s="19">
        <v>0</v>
      </c>
      <c r="BF3784" s="229">
        <f t="shared" si="1638"/>
        <v>0</v>
      </c>
      <c r="BG3784" s="210">
        <f t="shared" si="1639"/>
        <v>731</v>
      </c>
      <c r="BH3784" s="210">
        <f t="shared" si="1640"/>
        <v>365</v>
      </c>
      <c r="BI3784" s="213">
        <f t="shared" si="1641"/>
        <v>200.27397260273975</v>
      </c>
      <c r="BJ3784" s="141"/>
      <c r="BK3784" s="201"/>
    </row>
    <row r="3785" spans="1:65" ht="15.95" customHeight="1">
      <c r="A3785" s="148">
        <v>40</v>
      </c>
      <c r="B3785" s="118" t="s">
        <v>840</v>
      </c>
      <c r="C3785" s="120" t="s">
        <v>841</v>
      </c>
      <c r="D3785" s="42"/>
      <c r="E3785" s="42"/>
      <c r="F3785" s="42"/>
      <c r="G3785" s="42"/>
      <c r="H3785" s="42"/>
      <c r="I3785" s="42">
        <v>117</v>
      </c>
      <c r="J3785" s="42"/>
      <c r="K3785" s="42"/>
      <c r="L3785" s="42"/>
      <c r="M3785" s="42"/>
      <c r="N3785" s="42"/>
      <c r="O3785" s="42">
        <v>139</v>
      </c>
      <c r="P3785" s="42"/>
      <c r="Q3785" s="42"/>
      <c r="R3785" s="42"/>
      <c r="S3785" s="42"/>
      <c r="T3785" s="42"/>
      <c r="U3785" s="42">
        <f>77+3</f>
        <v>80</v>
      </c>
      <c r="V3785" s="42"/>
      <c r="W3785" s="42"/>
      <c r="X3785" s="42"/>
      <c r="Y3785" s="42"/>
      <c r="Z3785" s="42"/>
      <c r="AA3785" s="42">
        <v>97</v>
      </c>
      <c r="AB3785" s="229">
        <f t="shared" si="1634"/>
        <v>0</v>
      </c>
      <c r="AC3785" s="228">
        <f t="shared" si="1635"/>
        <v>433</v>
      </c>
      <c r="AD3785" s="19">
        <v>357</v>
      </c>
      <c r="AE3785" s="43"/>
      <c r="AF3785" s="43"/>
      <c r="AG3785" s="43"/>
      <c r="AH3785" s="43"/>
      <c r="AI3785" s="43"/>
      <c r="AJ3785" s="43"/>
      <c r="AK3785" s="43"/>
      <c r="AL3785" s="43"/>
      <c r="AM3785" s="43"/>
      <c r="AN3785" s="43"/>
      <c r="AO3785" s="43"/>
      <c r="AP3785" s="43"/>
      <c r="AQ3785" s="43"/>
      <c r="AR3785" s="43"/>
      <c r="AS3785" s="43"/>
      <c r="AT3785" s="43"/>
      <c r="AU3785" s="43"/>
      <c r="AV3785" s="43"/>
      <c r="AW3785" s="43"/>
      <c r="AX3785" s="43"/>
      <c r="AY3785" s="43"/>
      <c r="AZ3785" s="43"/>
      <c r="BA3785" s="43"/>
      <c r="BB3785" s="43"/>
      <c r="BC3785" s="229">
        <f t="shared" si="1636"/>
        <v>0</v>
      </c>
      <c r="BD3785" s="48">
        <f t="shared" si="1637"/>
        <v>0</v>
      </c>
      <c r="BE3785" s="19">
        <v>6</v>
      </c>
      <c r="BF3785" s="229">
        <f t="shared" si="1638"/>
        <v>0</v>
      </c>
      <c r="BG3785" s="210">
        <f t="shared" si="1639"/>
        <v>433</v>
      </c>
      <c r="BH3785" s="210">
        <f t="shared" si="1640"/>
        <v>363</v>
      </c>
      <c r="BI3785" s="213">
        <f t="shared" si="1641"/>
        <v>119.28374655647383</v>
      </c>
      <c r="BJ3785" s="141"/>
      <c r="BK3785" s="201"/>
    </row>
    <row r="3786" spans="1:65" ht="15.95" customHeight="1">
      <c r="A3786" s="148">
        <v>41</v>
      </c>
      <c r="B3786" s="40" t="s">
        <v>1252</v>
      </c>
      <c r="C3786" s="41" t="s">
        <v>1253</v>
      </c>
      <c r="D3786" s="42"/>
      <c r="E3786" s="42"/>
      <c r="F3786" s="42"/>
      <c r="G3786" s="42"/>
      <c r="H3786" s="42"/>
      <c r="I3786" s="42">
        <v>7</v>
      </c>
      <c r="J3786" s="42"/>
      <c r="K3786" s="42"/>
      <c r="L3786" s="42"/>
      <c r="M3786" s="42"/>
      <c r="N3786" s="42"/>
      <c r="O3786" s="42">
        <v>5</v>
      </c>
      <c r="P3786" s="42"/>
      <c r="Q3786" s="42"/>
      <c r="R3786" s="42"/>
      <c r="S3786" s="42"/>
      <c r="T3786" s="42"/>
      <c r="U3786" s="42">
        <f>53+1</f>
        <v>54</v>
      </c>
      <c r="V3786" s="42"/>
      <c r="W3786" s="42"/>
      <c r="X3786" s="42"/>
      <c r="Y3786" s="42"/>
      <c r="Z3786" s="42"/>
      <c r="AA3786" s="42">
        <v>36</v>
      </c>
      <c r="AB3786" s="229">
        <f t="shared" si="1634"/>
        <v>0</v>
      </c>
      <c r="AC3786" s="228">
        <f t="shared" si="1635"/>
        <v>102</v>
      </c>
      <c r="AD3786" s="19">
        <v>25</v>
      </c>
      <c r="AE3786" s="43"/>
      <c r="AF3786" s="43"/>
      <c r="AG3786" s="43"/>
      <c r="AH3786" s="43"/>
      <c r="AI3786" s="43"/>
      <c r="AJ3786" s="43"/>
      <c r="AK3786" s="43"/>
      <c r="AL3786" s="43"/>
      <c r="AM3786" s="43"/>
      <c r="AN3786" s="43"/>
      <c r="AO3786" s="43"/>
      <c r="AP3786" s="43">
        <v>2</v>
      </c>
      <c r="AQ3786" s="43"/>
      <c r="AR3786" s="43"/>
      <c r="AS3786" s="43"/>
      <c r="AT3786" s="43"/>
      <c r="AU3786" s="43"/>
      <c r="AV3786" s="43">
        <v>1</v>
      </c>
      <c r="AW3786" s="43"/>
      <c r="AX3786" s="43"/>
      <c r="AY3786" s="43"/>
      <c r="AZ3786" s="43"/>
      <c r="BA3786" s="43"/>
      <c r="BB3786" s="43"/>
      <c r="BC3786" s="229">
        <f t="shared" si="1636"/>
        <v>0</v>
      </c>
      <c r="BD3786" s="48">
        <f t="shared" si="1637"/>
        <v>3</v>
      </c>
      <c r="BE3786" s="19">
        <v>4</v>
      </c>
      <c r="BF3786" s="229">
        <f t="shared" si="1638"/>
        <v>0</v>
      </c>
      <c r="BG3786" s="210">
        <f t="shared" si="1639"/>
        <v>105</v>
      </c>
      <c r="BH3786" s="210">
        <f t="shared" si="1640"/>
        <v>29</v>
      </c>
      <c r="BI3786" s="213">
        <f t="shared" si="1641"/>
        <v>362.06896551724139</v>
      </c>
      <c r="BJ3786" s="141"/>
      <c r="BK3786" s="201"/>
    </row>
    <row r="3787" spans="1:65" ht="15.95" customHeight="1">
      <c r="A3787" s="148">
        <v>42</v>
      </c>
      <c r="B3787" s="118" t="s">
        <v>1297</v>
      </c>
      <c r="C3787" s="120" t="s">
        <v>1298</v>
      </c>
      <c r="D3787" s="42"/>
      <c r="E3787" s="42"/>
      <c r="F3787" s="42"/>
      <c r="G3787" s="42"/>
      <c r="H3787" s="42"/>
      <c r="I3787" s="42">
        <v>249</v>
      </c>
      <c r="J3787" s="42"/>
      <c r="K3787" s="42"/>
      <c r="L3787" s="42"/>
      <c r="M3787" s="42"/>
      <c r="N3787" s="42"/>
      <c r="O3787" s="42">
        <f>286+1</f>
        <v>287</v>
      </c>
      <c r="P3787" s="42"/>
      <c r="Q3787" s="42"/>
      <c r="R3787" s="42"/>
      <c r="S3787" s="42"/>
      <c r="T3787" s="42"/>
      <c r="U3787" s="42">
        <f>273+3</f>
        <v>276</v>
      </c>
      <c r="V3787" s="42"/>
      <c r="W3787" s="42"/>
      <c r="X3787" s="42"/>
      <c r="Y3787" s="42"/>
      <c r="Z3787" s="42"/>
      <c r="AA3787" s="42">
        <v>235</v>
      </c>
      <c r="AB3787" s="229">
        <f t="shared" si="1634"/>
        <v>0</v>
      </c>
      <c r="AC3787" s="228">
        <f t="shared" si="1635"/>
        <v>1047</v>
      </c>
      <c r="AD3787" s="19">
        <v>1197</v>
      </c>
      <c r="AE3787" s="43"/>
      <c r="AF3787" s="43"/>
      <c r="AG3787" s="43"/>
      <c r="AH3787" s="43"/>
      <c r="AI3787" s="43"/>
      <c r="AJ3787" s="43"/>
      <c r="AK3787" s="43"/>
      <c r="AL3787" s="43"/>
      <c r="AM3787" s="43"/>
      <c r="AN3787" s="43"/>
      <c r="AO3787" s="43"/>
      <c r="AP3787" s="43"/>
      <c r="AQ3787" s="43"/>
      <c r="AR3787" s="43"/>
      <c r="AS3787" s="43"/>
      <c r="AT3787" s="43"/>
      <c r="AU3787" s="43"/>
      <c r="AV3787" s="43"/>
      <c r="AW3787" s="43"/>
      <c r="AX3787" s="43"/>
      <c r="AY3787" s="43"/>
      <c r="AZ3787" s="43"/>
      <c r="BA3787" s="43"/>
      <c r="BB3787" s="43"/>
      <c r="BC3787" s="229">
        <f t="shared" si="1636"/>
        <v>0</v>
      </c>
      <c r="BD3787" s="48">
        <f t="shared" si="1637"/>
        <v>0</v>
      </c>
      <c r="BE3787" s="19">
        <v>0</v>
      </c>
      <c r="BF3787" s="229">
        <f t="shared" si="1638"/>
        <v>0</v>
      </c>
      <c r="BG3787" s="210">
        <f t="shared" si="1639"/>
        <v>1047</v>
      </c>
      <c r="BH3787" s="210">
        <f t="shared" si="1640"/>
        <v>1197</v>
      </c>
      <c r="BI3787" s="213">
        <f t="shared" si="1641"/>
        <v>87.468671679197996</v>
      </c>
      <c r="BJ3787" s="141"/>
      <c r="BK3787" s="201"/>
    </row>
    <row r="3788" spans="1:65" ht="15.95" customHeight="1">
      <c r="A3788" s="148">
        <v>43</v>
      </c>
      <c r="B3788" s="40" t="s">
        <v>1260</v>
      </c>
      <c r="C3788" s="120" t="s">
        <v>1261</v>
      </c>
      <c r="D3788" s="42"/>
      <c r="E3788" s="42"/>
      <c r="F3788" s="42"/>
      <c r="G3788" s="42"/>
      <c r="H3788" s="42"/>
      <c r="I3788" s="42">
        <v>26</v>
      </c>
      <c r="J3788" s="42"/>
      <c r="K3788" s="42"/>
      <c r="L3788" s="42"/>
      <c r="M3788" s="42"/>
      <c r="N3788" s="42"/>
      <c r="O3788" s="42">
        <v>83</v>
      </c>
      <c r="P3788" s="42"/>
      <c r="Q3788" s="42"/>
      <c r="R3788" s="42"/>
      <c r="S3788" s="42"/>
      <c r="T3788" s="42"/>
      <c r="U3788" s="42">
        <v>53</v>
      </c>
      <c r="V3788" s="42"/>
      <c r="W3788" s="42"/>
      <c r="X3788" s="42"/>
      <c r="Y3788" s="42"/>
      <c r="Z3788" s="42"/>
      <c r="AA3788" s="42">
        <v>89</v>
      </c>
      <c r="AB3788" s="229">
        <f t="shared" si="1634"/>
        <v>0</v>
      </c>
      <c r="AC3788" s="228">
        <f t="shared" si="1635"/>
        <v>251</v>
      </c>
      <c r="AD3788" s="19">
        <v>157</v>
      </c>
      <c r="AE3788" s="43"/>
      <c r="AF3788" s="43"/>
      <c r="AG3788" s="43"/>
      <c r="AH3788" s="43"/>
      <c r="AI3788" s="43"/>
      <c r="AJ3788" s="43"/>
      <c r="AK3788" s="43"/>
      <c r="AL3788" s="43"/>
      <c r="AM3788" s="43"/>
      <c r="AN3788" s="43"/>
      <c r="AO3788" s="43"/>
      <c r="AP3788" s="43">
        <v>1</v>
      </c>
      <c r="AQ3788" s="43"/>
      <c r="AR3788" s="43"/>
      <c r="AS3788" s="43"/>
      <c r="AT3788" s="43"/>
      <c r="AU3788" s="43"/>
      <c r="AV3788" s="43">
        <v>2</v>
      </c>
      <c r="AW3788" s="43"/>
      <c r="AX3788" s="43"/>
      <c r="AY3788" s="43"/>
      <c r="AZ3788" s="43"/>
      <c r="BA3788" s="43"/>
      <c r="BB3788" s="43"/>
      <c r="BC3788" s="229">
        <f t="shared" si="1636"/>
        <v>0</v>
      </c>
      <c r="BD3788" s="48">
        <f t="shared" si="1637"/>
        <v>3</v>
      </c>
      <c r="BE3788" s="19">
        <v>6</v>
      </c>
      <c r="BF3788" s="229">
        <f t="shared" si="1638"/>
        <v>0</v>
      </c>
      <c r="BG3788" s="210">
        <f t="shared" si="1639"/>
        <v>254</v>
      </c>
      <c r="BH3788" s="210">
        <f t="shared" si="1640"/>
        <v>163</v>
      </c>
      <c r="BI3788" s="213">
        <f t="shared" si="1641"/>
        <v>155.82822085889572</v>
      </c>
      <c r="BJ3788" s="141"/>
      <c r="BK3788" s="201"/>
    </row>
    <row r="3789" spans="1:65" ht="15.95" customHeight="1">
      <c r="A3789" s="148">
        <v>44</v>
      </c>
      <c r="B3789" s="118" t="s">
        <v>1178</v>
      </c>
      <c r="C3789" s="120" t="s">
        <v>1179</v>
      </c>
      <c r="D3789" s="42"/>
      <c r="E3789" s="42"/>
      <c r="F3789" s="42"/>
      <c r="G3789" s="42"/>
      <c r="H3789" s="42"/>
      <c r="I3789" s="42">
        <f>14+106</f>
        <v>120</v>
      </c>
      <c r="J3789" s="42"/>
      <c r="K3789" s="42"/>
      <c r="L3789" s="42"/>
      <c r="M3789" s="42"/>
      <c r="N3789" s="42"/>
      <c r="O3789" s="42">
        <f>52+81</f>
        <v>133</v>
      </c>
      <c r="P3789" s="42"/>
      <c r="Q3789" s="42"/>
      <c r="R3789" s="42"/>
      <c r="S3789" s="42"/>
      <c r="T3789" s="42"/>
      <c r="U3789" s="42">
        <f>18+90</f>
        <v>108</v>
      </c>
      <c r="V3789" s="42"/>
      <c r="W3789" s="42"/>
      <c r="X3789" s="42"/>
      <c r="Y3789" s="42"/>
      <c r="Z3789" s="42"/>
      <c r="AA3789" s="42">
        <f>38+119</f>
        <v>157</v>
      </c>
      <c r="AB3789" s="229">
        <f t="shared" si="1634"/>
        <v>0</v>
      </c>
      <c r="AC3789" s="228">
        <f t="shared" si="1635"/>
        <v>518</v>
      </c>
      <c r="AD3789" s="19">
        <v>554</v>
      </c>
      <c r="AE3789" s="43"/>
      <c r="AF3789" s="43"/>
      <c r="AG3789" s="43"/>
      <c r="AH3789" s="43"/>
      <c r="AI3789" s="43"/>
      <c r="AJ3789" s="43">
        <f>13+2255</f>
        <v>2268</v>
      </c>
      <c r="AK3789" s="43"/>
      <c r="AL3789" s="43"/>
      <c r="AM3789" s="43"/>
      <c r="AN3789" s="43"/>
      <c r="AO3789" s="43"/>
      <c r="AP3789" s="43">
        <f>6+2384</f>
        <v>2390</v>
      </c>
      <c r="AQ3789" s="43"/>
      <c r="AR3789" s="43"/>
      <c r="AS3789" s="43"/>
      <c r="AT3789" s="43"/>
      <c r="AU3789" s="43"/>
      <c r="AV3789" s="43">
        <v>1643</v>
      </c>
      <c r="AW3789" s="43"/>
      <c r="AX3789" s="43"/>
      <c r="AY3789" s="43"/>
      <c r="AZ3789" s="43"/>
      <c r="BA3789" s="43"/>
      <c r="BB3789" s="43">
        <v>2678</v>
      </c>
      <c r="BC3789" s="229">
        <f t="shared" si="1636"/>
        <v>0</v>
      </c>
      <c r="BD3789" s="48">
        <f t="shared" si="1637"/>
        <v>8979</v>
      </c>
      <c r="BE3789" s="19">
        <v>7197</v>
      </c>
      <c r="BF3789" s="229">
        <f t="shared" si="1638"/>
        <v>0</v>
      </c>
      <c r="BG3789" s="210">
        <f t="shared" si="1639"/>
        <v>9497</v>
      </c>
      <c r="BH3789" s="210">
        <f t="shared" si="1640"/>
        <v>7751</v>
      </c>
      <c r="BI3789" s="213">
        <f t="shared" si="1641"/>
        <v>122.526125661205</v>
      </c>
      <c r="BJ3789" s="141"/>
      <c r="BK3789" s="201"/>
    </row>
    <row r="3790" spans="1:65" s="38" customFormat="1" ht="22.5" customHeight="1">
      <c r="A3790" s="148">
        <v>45</v>
      </c>
      <c r="B3790" s="118" t="s">
        <v>1245</v>
      </c>
      <c r="C3790" s="119" t="s">
        <v>1246</v>
      </c>
      <c r="D3790" s="42"/>
      <c r="E3790" s="42"/>
      <c r="F3790" s="42"/>
      <c r="G3790" s="42"/>
      <c r="H3790" s="42"/>
      <c r="I3790" s="42">
        <f>4+197</f>
        <v>201</v>
      </c>
      <c r="J3790" s="42"/>
      <c r="K3790" s="42"/>
      <c r="L3790" s="42"/>
      <c r="M3790" s="42"/>
      <c r="N3790" s="42"/>
      <c r="O3790" s="42">
        <f>3+222</f>
        <v>225</v>
      </c>
      <c r="P3790" s="42"/>
      <c r="Q3790" s="42"/>
      <c r="R3790" s="42"/>
      <c r="S3790" s="42"/>
      <c r="T3790" s="42"/>
      <c r="U3790" s="42">
        <f>4+292</f>
        <v>296</v>
      </c>
      <c r="V3790" s="42"/>
      <c r="W3790" s="42"/>
      <c r="X3790" s="42"/>
      <c r="Y3790" s="42"/>
      <c r="Z3790" s="42"/>
      <c r="AA3790" s="42">
        <v>248</v>
      </c>
      <c r="AB3790" s="229">
        <f t="shared" si="1634"/>
        <v>0</v>
      </c>
      <c r="AC3790" s="228">
        <f t="shared" si="1635"/>
        <v>970</v>
      </c>
      <c r="AD3790" s="19">
        <v>1255</v>
      </c>
      <c r="AE3790" s="43"/>
      <c r="AF3790" s="43"/>
      <c r="AG3790" s="43"/>
      <c r="AH3790" s="43"/>
      <c r="AI3790" s="43"/>
      <c r="AJ3790" s="43">
        <f>20+4891</f>
        <v>4911</v>
      </c>
      <c r="AK3790" s="43"/>
      <c r="AL3790" s="43"/>
      <c r="AM3790" s="43"/>
      <c r="AN3790" s="43"/>
      <c r="AO3790" s="43"/>
      <c r="AP3790" s="43">
        <f>11+5697</f>
        <v>5708</v>
      </c>
      <c r="AQ3790" s="43"/>
      <c r="AR3790" s="43"/>
      <c r="AS3790" s="43"/>
      <c r="AT3790" s="43"/>
      <c r="AU3790" s="43"/>
      <c r="AV3790" s="43">
        <v>5122</v>
      </c>
      <c r="AW3790" s="43"/>
      <c r="AX3790" s="43"/>
      <c r="AY3790" s="43"/>
      <c r="AZ3790" s="43"/>
      <c r="BA3790" s="43"/>
      <c r="BB3790" s="43">
        <v>5966</v>
      </c>
      <c r="BC3790" s="229">
        <f t="shared" si="1636"/>
        <v>0</v>
      </c>
      <c r="BD3790" s="48">
        <f t="shared" si="1637"/>
        <v>21707</v>
      </c>
      <c r="BE3790" s="19">
        <v>18422</v>
      </c>
      <c r="BF3790" s="229">
        <f t="shared" si="1638"/>
        <v>0</v>
      </c>
      <c r="BG3790" s="210">
        <f t="shared" si="1639"/>
        <v>22677</v>
      </c>
      <c r="BH3790" s="210">
        <f t="shared" si="1640"/>
        <v>19677</v>
      </c>
      <c r="BI3790" s="213">
        <f t="shared" si="1641"/>
        <v>115.24622655892667</v>
      </c>
      <c r="BJ3790" s="141"/>
      <c r="BK3790" s="201"/>
      <c r="BL3790" s="4"/>
      <c r="BM3790" s="4"/>
    </row>
    <row r="3791" spans="1:65" s="38" customFormat="1" ht="15.95" customHeight="1">
      <c r="A3791" s="148">
        <v>46</v>
      </c>
      <c r="B3791" s="118" t="s">
        <v>1247</v>
      </c>
      <c r="C3791" s="195" t="s">
        <v>1248</v>
      </c>
      <c r="D3791" s="42"/>
      <c r="E3791" s="42"/>
      <c r="F3791" s="42"/>
      <c r="G3791" s="42"/>
      <c r="H3791" s="42"/>
      <c r="I3791" s="42">
        <f>9+2</f>
        <v>11</v>
      </c>
      <c r="J3791" s="42"/>
      <c r="K3791" s="42"/>
      <c r="L3791" s="42"/>
      <c r="M3791" s="42"/>
      <c r="N3791" s="42"/>
      <c r="O3791" s="42"/>
      <c r="P3791" s="42"/>
      <c r="Q3791" s="42"/>
      <c r="R3791" s="42"/>
      <c r="S3791" s="42"/>
      <c r="T3791" s="42"/>
      <c r="U3791" s="42"/>
      <c r="V3791" s="42"/>
      <c r="W3791" s="42"/>
      <c r="X3791" s="42"/>
      <c r="Y3791" s="42"/>
      <c r="Z3791" s="42"/>
      <c r="AA3791" s="42">
        <v>3</v>
      </c>
      <c r="AB3791" s="229">
        <f t="shared" si="1634"/>
        <v>0</v>
      </c>
      <c r="AC3791" s="228">
        <f t="shared" si="1635"/>
        <v>14</v>
      </c>
      <c r="AD3791" s="19">
        <v>10</v>
      </c>
      <c r="AE3791" s="43"/>
      <c r="AF3791" s="43"/>
      <c r="AG3791" s="43"/>
      <c r="AH3791" s="43"/>
      <c r="AI3791" s="43"/>
      <c r="AJ3791" s="43">
        <v>32</v>
      </c>
      <c r="AK3791" s="43"/>
      <c r="AL3791" s="43"/>
      <c r="AM3791" s="43"/>
      <c r="AN3791" s="43"/>
      <c r="AO3791" s="43"/>
      <c r="AP3791" s="43">
        <v>5</v>
      </c>
      <c r="AQ3791" s="43"/>
      <c r="AR3791" s="43"/>
      <c r="AS3791" s="43"/>
      <c r="AT3791" s="43"/>
      <c r="AU3791" s="43"/>
      <c r="AV3791" s="43">
        <v>2</v>
      </c>
      <c r="AW3791" s="43"/>
      <c r="AX3791" s="43"/>
      <c r="AY3791" s="43"/>
      <c r="AZ3791" s="43"/>
      <c r="BA3791" s="43"/>
      <c r="BB3791" s="43">
        <v>19</v>
      </c>
      <c r="BC3791" s="229">
        <f t="shared" si="1636"/>
        <v>0</v>
      </c>
      <c r="BD3791" s="48">
        <f t="shared" si="1637"/>
        <v>58</v>
      </c>
      <c r="BE3791" s="19">
        <v>74</v>
      </c>
      <c r="BF3791" s="229">
        <f t="shared" si="1638"/>
        <v>0</v>
      </c>
      <c r="BG3791" s="210">
        <f t="shared" si="1639"/>
        <v>72</v>
      </c>
      <c r="BH3791" s="210">
        <f t="shared" si="1640"/>
        <v>84</v>
      </c>
      <c r="BI3791" s="213">
        <f t="shared" si="1641"/>
        <v>85.714285714285708</v>
      </c>
      <c r="BJ3791" s="141"/>
      <c r="BK3791" s="201"/>
      <c r="BL3791" s="4"/>
      <c r="BM3791" s="4"/>
    </row>
    <row r="3792" spans="1:65" s="38" customFormat="1" ht="15.95" customHeight="1">
      <c r="A3792" s="148">
        <v>47</v>
      </c>
      <c r="B3792" s="40" t="s">
        <v>1249</v>
      </c>
      <c r="C3792" s="120" t="s">
        <v>1668</v>
      </c>
      <c r="D3792" s="42"/>
      <c r="E3792" s="42"/>
      <c r="F3792" s="42"/>
      <c r="G3792" s="42"/>
      <c r="H3792" s="42"/>
      <c r="I3792" s="42">
        <f>2+1</f>
        <v>3</v>
      </c>
      <c r="J3792" s="42"/>
      <c r="K3792" s="42"/>
      <c r="L3792" s="42"/>
      <c r="M3792" s="42"/>
      <c r="N3792" s="42"/>
      <c r="O3792" s="42">
        <v>1</v>
      </c>
      <c r="P3792" s="42"/>
      <c r="Q3792" s="42"/>
      <c r="R3792" s="42"/>
      <c r="S3792" s="42"/>
      <c r="T3792" s="42"/>
      <c r="U3792" s="42">
        <v>1</v>
      </c>
      <c r="V3792" s="42"/>
      <c r="W3792" s="42"/>
      <c r="X3792" s="42"/>
      <c r="Y3792" s="42"/>
      <c r="Z3792" s="42"/>
      <c r="AA3792" s="42"/>
      <c r="AB3792" s="229">
        <f t="shared" si="1634"/>
        <v>0</v>
      </c>
      <c r="AC3792" s="228">
        <f t="shared" si="1635"/>
        <v>5</v>
      </c>
      <c r="AD3792" s="19">
        <v>20</v>
      </c>
      <c r="AE3792" s="43"/>
      <c r="AF3792" s="43"/>
      <c r="AG3792" s="43"/>
      <c r="AH3792" s="43"/>
      <c r="AI3792" s="43"/>
      <c r="AJ3792" s="43">
        <v>46</v>
      </c>
      <c r="AK3792" s="43"/>
      <c r="AL3792" s="43"/>
      <c r="AM3792" s="43"/>
      <c r="AN3792" s="43"/>
      <c r="AO3792" s="43"/>
      <c r="AP3792" s="43">
        <v>2</v>
      </c>
      <c r="AQ3792" s="43"/>
      <c r="AR3792" s="43"/>
      <c r="AS3792" s="43"/>
      <c r="AT3792" s="43"/>
      <c r="AU3792" s="43"/>
      <c r="AV3792" s="43">
        <v>10</v>
      </c>
      <c r="AW3792" s="43"/>
      <c r="AX3792" s="43"/>
      <c r="AY3792" s="43"/>
      <c r="AZ3792" s="43"/>
      <c r="BA3792" s="43"/>
      <c r="BB3792" s="43">
        <v>6</v>
      </c>
      <c r="BC3792" s="229">
        <f t="shared" si="1636"/>
        <v>0</v>
      </c>
      <c r="BD3792" s="48">
        <f t="shared" si="1637"/>
        <v>64</v>
      </c>
      <c r="BE3792" s="19">
        <v>520</v>
      </c>
      <c r="BF3792" s="229">
        <f t="shared" si="1638"/>
        <v>0</v>
      </c>
      <c r="BG3792" s="210">
        <f t="shared" si="1639"/>
        <v>69</v>
      </c>
      <c r="BH3792" s="210">
        <f t="shared" si="1640"/>
        <v>540</v>
      </c>
      <c r="BI3792" s="213">
        <f t="shared" si="1641"/>
        <v>12.777777777777777</v>
      </c>
      <c r="BJ3792" s="141"/>
      <c r="BK3792" s="201"/>
      <c r="BL3792" s="4"/>
      <c r="BM3792" s="4"/>
    </row>
    <row r="3793" spans="1:67" s="38" customFormat="1" ht="15.95" customHeight="1">
      <c r="A3793" s="148">
        <v>48</v>
      </c>
      <c r="B3793" s="40" t="s">
        <v>1262</v>
      </c>
      <c r="C3793" s="120" t="s">
        <v>1263</v>
      </c>
      <c r="D3793" s="42"/>
      <c r="E3793" s="42"/>
      <c r="F3793" s="42"/>
      <c r="G3793" s="42"/>
      <c r="H3793" s="42"/>
      <c r="I3793" s="42">
        <f>12+15</f>
        <v>27</v>
      </c>
      <c r="J3793" s="42"/>
      <c r="K3793" s="42"/>
      <c r="L3793" s="42"/>
      <c r="M3793" s="42"/>
      <c r="N3793" s="42"/>
      <c r="O3793" s="42">
        <f>3+26</f>
        <v>29</v>
      </c>
      <c r="P3793" s="42"/>
      <c r="Q3793" s="42"/>
      <c r="R3793" s="42"/>
      <c r="S3793" s="42"/>
      <c r="T3793" s="42"/>
      <c r="U3793" s="42">
        <v>44</v>
      </c>
      <c r="V3793" s="42"/>
      <c r="W3793" s="42"/>
      <c r="X3793" s="42"/>
      <c r="Y3793" s="42"/>
      <c r="Z3793" s="42"/>
      <c r="AA3793" s="42">
        <v>22</v>
      </c>
      <c r="AB3793" s="229">
        <f t="shared" si="1634"/>
        <v>0</v>
      </c>
      <c r="AC3793" s="228">
        <f t="shared" si="1635"/>
        <v>122</v>
      </c>
      <c r="AD3793" s="19">
        <v>145</v>
      </c>
      <c r="AE3793" s="43"/>
      <c r="AF3793" s="43"/>
      <c r="AG3793" s="43"/>
      <c r="AH3793" s="43"/>
      <c r="AI3793" s="43"/>
      <c r="AJ3793" s="43">
        <f>15+505</f>
        <v>520</v>
      </c>
      <c r="AK3793" s="43"/>
      <c r="AL3793" s="43"/>
      <c r="AM3793" s="43"/>
      <c r="AN3793" s="43"/>
      <c r="AO3793" s="43"/>
      <c r="AP3793" s="43">
        <v>777</v>
      </c>
      <c r="AQ3793" s="43"/>
      <c r="AR3793" s="43"/>
      <c r="AS3793" s="43"/>
      <c r="AT3793" s="43"/>
      <c r="AU3793" s="43"/>
      <c r="AV3793" s="43">
        <v>680</v>
      </c>
      <c r="AW3793" s="43"/>
      <c r="AX3793" s="43"/>
      <c r="AY3793" s="43"/>
      <c r="AZ3793" s="43"/>
      <c r="BA3793" s="43"/>
      <c r="BB3793" s="43">
        <v>869</v>
      </c>
      <c r="BC3793" s="229">
        <f t="shared" si="1636"/>
        <v>0</v>
      </c>
      <c r="BD3793" s="48">
        <f t="shared" si="1637"/>
        <v>2846</v>
      </c>
      <c r="BE3793" s="19">
        <v>2147</v>
      </c>
      <c r="BF3793" s="229">
        <f t="shared" si="1638"/>
        <v>0</v>
      </c>
      <c r="BG3793" s="210">
        <f t="shared" si="1639"/>
        <v>2968</v>
      </c>
      <c r="BH3793" s="210">
        <f t="shared" si="1640"/>
        <v>2292</v>
      </c>
      <c r="BI3793" s="213">
        <f t="shared" si="1641"/>
        <v>129.49389179755673</v>
      </c>
      <c r="BJ3793" s="141"/>
      <c r="BK3793" s="201"/>
      <c r="BL3793" s="4"/>
      <c r="BM3793" s="4"/>
    </row>
    <row r="3794" spans="1:67" s="38" customFormat="1" ht="15.95" customHeight="1">
      <c r="A3794" s="148">
        <v>49</v>
      </c>
      <c r="B3794" s="40" t="s">
        <v>1255</v>
      </c>
      <c r="C3794" s="41" t="s">
        <v>1299</v>
      </c>
      <c r="D3794" s="42"/>
      <c r="E3794" s="42"/>
      <c r="F3794" s="42"/>
      <c r="G3794" s="42"/>
      <c r="H3794" s="42"/>
      <c r="I3794" s="42">
        <f>899+2</f>
        <v>901</v>
      </c>
      <c r="J3794" s="42"/>
      <c r="K3794" s="42"/>
      <c r="L3794" s="42"/>
      <c r="M3794" s="42"/>
      <c r="N3794" s="42"/>
      <c r="O3794" s="42">
        <v>914</v>
      </c>
      <c r="P3794" s="42"/>
      <c r="Q3794" s="42"/>
      <c r="R3794" s="42"/>
      <c r="S3794" s="42"/>
      <c r="T3794" s="42"/>
      <c r="U3794" s="42">
        <f>829+21</f>
        <v>850</v>
      </c>
      <c r="V3794" s="42"/>
      <c r="W3794" s="42"/>
      <c r="X3794" s="42"/>
      <c r="Y3794" s="42"/>
      <c r="Z3794" s="42"/>
      <c r="AA3794" s="42">
        <v>870</v>
      </c>
      <c r="AB3794" s="229">
        <f t="shared" si="1634"/>
        <v>0</v>
      </c>
      <c r="AC3794" s="228">
        <f t="shared" si="1635"/>
        <v>3535</v>
      </c>
      <c r="AD3794" s="19">
        <v>3390</v>
      </c>
      <c r="AE3794" s="43"/>
      <c r="AF3794" s="43"/>
      <c r="AG3794" s="43"/>
      <c r="AH3794" s="43"/>
      <c r="AI3794" s="43"/>
      <c r="AJ3794" s="43"/>
      <c r="AK3794" s="43"/>
      <c r="AL3794" s="43"/>
      <c r="AM3794" s="43"/>
      <c r="AN3794" s="43"/>
      <c r="AO3794" s="43"/>
      <c r="AP3794" s="43"/>
      <c r="AQ3794" s="43"/>
      <c r="AR3794" s="43"/>
      <c r="AS3794" s="43"/>
      <c r="AT3794" s="43"/>
      <c r="AU3794" s="43"/>
      <c r="AV3794" s="43"/>
      <c r="AW3794" s="43"/>
      <c r="AX3794" s="43"/>
      <c r="AY3794" s="43"/>
      <c r="AZ3794" s="43"/>
      <c r="BA3794" s="43"/>
      <c r="BB3794" s="43"/>
      <c r="BC3794" s="229">
        <f t="shared" si="1636"/>
        <v>0</v>
      </c>
      <c r="BD3794" s="48">
        <f t="shared" si="1637"/>
        <v>0</v>
      </c>
      <c r="BE3794" s="19">
        <v>6</v>
      </c>
      <c r="BF3794" s="229">
        <f t="shared" si="1638"/>
        <v>0</v>
      </c>
      <c r="BG3794" s="210">
        <f t="shared" si="1639"/>
        <v>3535</v>
      </c>
      <c r="BH3794" s="210">
        <f t="shared" si="1640"/>
        <v>3396</v>
      </c>
      <c r="BI3794" s="213">
        <f t="shared" si="1641"/>
        <v>104.09305064782097</v>
      </c>
      <c r="BJ3794" s="141"/>
      <c r="BK3794" s="201"/>
      <c r="BL3794" s="4"/>
      <c r="BM3794" s="4"/>
    </row>
    <row r="3795" spans="1:67" s="38" customFormat="1" ht="22.5" customHeight="1">
      <c r="A3795" s="148">
        <v>50</v>
      </c>
      <c r="B3795" s="40" t="s">
        <v>1279</v>
      </c>
      <c r="C3795" s="186" t="s">
        <v>1363</v>
      </c>
      <c r="D3795" s="42"/>
      <c r="E3795" s="42"/>
      <c r="F3795" s="42"/>
      <c r="G3795" s="42"/>
      <c r="H3795" s="42"/>
      <c r="I3795" s="42">
        <v>184</v>
      </c>
      <c r="J3795" s="42"/>
      <c r="K3795" s="42"/>
      <c r="L3795" s="42"/>
      <c r="M3795" s="42"/>
      <c r="N3795" s="42"/>
      <c r="O3795" s="42">
        <v>8</v>
      </c>
      <c r="P3795" s="42"/>
      <c r="Q3795" s="42"/>
      <c r="R3795" s="42"/>
      <c r="S3795" s="42"/>
      <c r="T3795" s="42"/>
      <c r="U3795" s="42">
        <f>97+1</f>
        <v>98</v>
      </c>
      <c r="V3795" s="42"/>
      <c r="W3795" s="42"/>
      <c r="X3795" s="42"/>
      <c r="Y3795" s="42"/>
      <c r="Z3795" s="42"/>
      <c r="AA3795" s="42">
        <v>99</v>
      </c>
      <c r="AB3795" s="229">
        <f t="shared" si="1634"/>
        <v>0</v>
      </c>
      <c r="AC3795" s="228">
        <f t="shared" si="1635"/>
        <v>389</v>
      </c>
      <c r="AD3795" s="19">
        <v>135</v>
      </c>
      <c r="AE3795" s="43"/>
      <c r="AF3795" s="43"/>
      <c r="AG3795" s="43"/>
      <c r="AH3795" s="43"/>
      <c r="AI3795" s="43"/>
      <c r="AJ3795" s="43"/>
      <c r="AK3795" s="43"/>
      <c r="AL3795" s="43"/>
      <c r="AM3795" s="43"/>
      <c r="AN3795" s="43"/>
      <c r="AO3795" s="43"/>
      <c r="AP3795" s="43">
        <v>1</v>
      </c>
      <c r="AQ3795" s="43"/>
      <c r="AR3795" s="43"/>
      <c r="AS3795" s="43"/>
      <c r="AT3795" s="43"/>
      <c r="AU3795" s="43"/>
      <c r="AV3795" s="43"/>
      <c r="AW3795" s="43"/>
      <c r="AX3795" s="43"/>
      <c r="AY3795" s="43"/>
      <c r="AZ3795" s="43"/>
      <c r="BA3795" s="43"/>
      <c r="BB3795" s="43"/>
      <c r="BC3795" s="229">
        <f t="shared" si="1636"/>
        <v>0</v>
      </c>
      <c r="BD3795" s="48">
        <f t="shared" si="1637"/>
        <v>1</v>
      </c>
      <c r="BE3795" s="19">
        <v>0</v>
      </c>
      <c r="BF3795" s="229">
        <f t="shared" si="1638"/>
        <v>0</v>
      </c>
      <c r="BG3795" s="210">
        <f t="shared" si="1639"/>
        <v>390</v>
      </c>
      <c r="BH3795" s="210">
        <f t="shared" si="1640"/>
        <v>135</v>
      </c>
      <c r="BI3795" s="213">
        <f t="shared" si="1641"/>
        <v>288.88888888888886</v>
      </c>
      <c r="BJ3795" s="141"/>
      <c r="BK3795" s="201"/>
      <c r="BL3795" s="4"/>
      <c r="BM3795" s="4"/>
    </row>
    <row r="3796" spans="1:67" s="38" customFormat="1" ht="15" customHeight="1">
      <c r="A3796" s="365" t="s">
        <v>1300</v>
      </c>
      <c r="B3796" s="365"/>
      <c r="C3796" s="365"/>
      <c r="D3796" s="39">
        <f t="shared" ref="D3796:BE3796" si="1642">SUM(D3797:D3797)</f>
        <v>0</v>
      </c>
      <c r="E3796" s="39">
        <f t="shared" si="1642"/>
        <v>0</v>
      </c>
      <c r="F3796" s="39">
        <f t="shared" si="1642"/>
        <v>0</v>
      </c>
      <c r="G3796" s="39">
        <f t="shared" si="1642"/>
        <v>0</v>
      </c>
      <c r="H3796" s="39">
        <f t="shared" si="1642"/>
        <v>0</v>
      </c>
      <c r="I3796" s="39">
        <f t="shared" si="1642"/>
        <v>0</v>
      </c>
      <c r="J3796" s="39">
        <f t="shared" si="1642"/>
        <v>0</v>
      </c>
      <c r="K3796" s="39">
        <f t="shared" si="1642"/>
        <v>0</v>
      </c>
      <c r="L3796" s="39">
        <f t="shared" si="1642"/>
        <v>0</v>
      </c>
      <c r="M3796" s="39">
        <f t="shared" si="1642"/>
        <v>0</v>
      </c>
      <c r="N3796" s="39">
        <f t="shared" si="1642"/>
        <v>0</v>
      </c>
      <c r="O3796" s="39">
        <f t="shared" si="1642"/>
        <v>0</v>
      </c>
      <c r="P3796" s="39">
        <f t="shared" si="1642"/>
        <v>0</v>
      </c>
      <c r="Q3796" s="39">
        <f t="shared" si="1642"/>
        <v>0</v>
      </c>
      <c r="R3796" s="39">
        <f t="shared" si="1642"/>
        <v>0</v>
      </c>
      <c r="S3796" s="39">
        <f t="shared" si="1642"/>
        <v>0</v>
      </c>
      <c r="T3796" s="39">
        <f t="shared" si="1642"/>
        <v>0</v>
      </c>
      <c r="U3796" s="39">
        <f t="shared" si="1642"/>
        <v>0</v>
      </c>
      <c r="V3796" s="39"/>
      <c r="W3796" s="39"/>
      <c r="X3796" s="39"/>
      <c r="Y3796" s="39"/>
      <c r="Z3796" s="39">
        <f t="shared" si="1642"/>
        <v>0</v>
      </c>
      <c r="AA3796" s="39">
        <f t="shared" si="1642"/>
        <v>0</v>
      </c>
      <c r="AB3796" s="39">
        <f t="shared" ref="AB3796:AB3801" si="1643">D3796+F3796+H3796+J3796+L3796+N3796+P3796+R3796+T3796+V3796+X3796+Z3796</f>
        <v>0</v>
      </c>
      <c r="AC3796" s="39">
        <f t="shared" ref="AC3796:AC3801" si="1644">E3796+G3796+I3796+K3796+M3796+O3796+Q3796+S3796+U3796+W3796+Y3796+AA3796</f>
        <v>0</v>
      </c>
      <c r="AD3796" s="39">
        <f t="shared" si="1642"/>
        <v>0</v>
      </c>
      <c r="AE3796" s="39">
        <f t="shared" si="1642"/>
        <v>0</v>
      </c>
      <c r="AF3796" s="39">
        <f t="shared" si="1642"/>
        <v>0</v>
      </c>
      <c r="AG3796" s="39">
        <f t="shared" si="1642"/>
        <v>0</v>
      </c>
      <c r="AH3796" s="39">
        <f t="shared" si="1642"/>
        <v>0</v>
      </c>
      <c r="AI3796" s="39">
        <f t="shared" si="1642"/>
        <v>0</v>
      </c>
      <c r="AJ3796" s="39">
        <f t="shared" si="1642"/>
        <v>0</v>
      </c>
      <c r="AK3796" s="39">
        <f t="shared" si="1642"/>
        <v>0</v>
      </c>
      <c r="AL3796" s="39">
        <f t="shared" si="1642"/>
        <v>0</v>
      </c>
      <c r="AM3796" s="39">
        <f t="shared" si="1642"/>
        <v>0</v>
      </c>
      <c r="AN3796" s="39">
        <f t="shared" si="1642"/>
        <v>0</v>
      </c>
      <c r="AO3796" s="39">
        <f t="shared" si="1642"/>
        <v>0</v>
      </c>
      <c r="AP3796" s="39">
        <f t="shared" si="1642"/>
        <v>0</v>
      </c>
      <c r="AQ3796" s="39">
        <f t="shared" si="1642"/>
        <v>0</v>
      </c>
      <c r="AR3796" s="39">
        <f t="shared" si="1642"/>
        <v>0</v>
      </c>
      <c r="AS3796" s="39">
        <f t="shared" si="1642"/>
        <v>0</v>
      </c>
      <c r="AT3796" s="39">
        <f t="shared" si="1642"/>
        <v>0</v>
      </c>
      <c r="AU3796" s="39"/>
      <c r="AV3796" s="39"/>
      <c r="AW3796" s="39"/>
      <c r="AX3796" s="39"/>
      <c r="AY3796" s="39">
        <f t="shared" si="1642"/>
        <v>0</v>
      </c>
      <c r="AZ3796" s="39">
        <f t="shared" si="1642"/>
        <v>0</v>
      </c>
      <c r="BA3796" s="39">
        <f t="shared" si="1642"/>
        <v>0</v>
      </c>
      <c r="BB3796" s="39">
        <f t="shared" si="1642"/>
        <v>0</v>
      </c>
      <c r="BC3796" s="39">
        <f t="shared" ref="BC3796:BC3801" si="1645">AE3796+AG3796+AI3796+AK3796+AM3796+AO3796+AQ3796+AS3796+AU3796+AW3796+AY3796+BA3796</f>
        <v>0</v>
      </c>
      <c r="BD3796" s="101">
        <f t="shared" ref="BD3796:BD3801" si="1646">AF3796+AH3796+AJ3796+AL3796+AN3796+AP3796+AR3796+AT3796+AV3796+AX3796+AZ3796+BB3796</f>
        <v>0</v>
      </c>
      <c r="BE3796" s="39">
        <f t="shared" si="1642"/>
        <v>0</v>
      </c>
      <c r="BF3796" s="39">
        <f t="shared" ref="BF3796:BF3801" si="1647">AB3796+BC3796</f>
        <v>0</v>
      </c>
      <c r="BG3796" s="101">
        <f t="shared" ref="BG3796:BG3801" si="1648">AC3796+BD3796</f>
        <v>0</v>
      </c>
      <c r="BH3796" s="101">
        <f t="shared" ref="BH3796:BH3801" si="1649">AD3796+BE3796</f>
        <v>0</v>
      </c>
      <c r="BI3796" s="280" t="e">
        <f t="shared" ref="BI3796:BI3825" si="1650">BG3796/BH3796*100</f>
        <v>#DIV/0!</v>
      </c>
      <c r="BJ3796" s="142">
        <v>0</v>
      </c>
      <c r="BK3796" s="203">
        <f>BH3796-BJ3796</f>
        <v>0</v>
      </c>
      <c r="BL3796" s="4"/>
      <c r="BM3796" s="4"/>
    </row>
    <row r="3797" spans="1:67" s="38" customFormat="1" ht="15.75" customHeight="1">
      <c r="A3797" s="116">
        <v>1</v>
      </c>
      <c r="B3797" s="40"/>
      <c r="C3797" s="41"/>
      <c r="D3797" s="42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O3797" s="42"/>
      <c r="P3797" s="42"/>
      <c r="Q3797" s="42"/>
      <c r="R3797" s="42"/>
      <c r="S3797" s="42"/>
      <c r="T3797" s="42"/>
      <c r="U3797" s="42"/>
      <c r="V3797" s="42"/>
      <c r="W3797" s="42"/>
      <c r="X3797" s="42"/>
      <c r="Y3797" s="42"/>
      <c r="Z3797" s="42"/>
      <c r="AA3797" s="42"/>
      <c r="AB3797" s="229">
        <f t="shared" si="1643"/>
        <v>0</v>
      </c>
      <c r="AC3797" s="228">
        <f t="shared" si="1644"/>
        <v>0</v>
      </c>
      <c r="AD3797" s="19">
        <v>0</v>
      </c>
      <c r="AE3797" s="43"/>
      <c r="AF3797" s="43"/>
      <c r="AG3797" s="43"/>
      <c r="AH3797" s="43"/>
      <c r="AI3797" s="43"/>
      <c r="AJ3797" s="43"/>
      <c r="AK3797" s="43"/>
      <c r="AL3797" s="43"/>
      <c r="AM3797" s="43"/>
      <c r="AN3797" s="43"/>
      <c r="AO3797" s="43"/>
      <c r="AP3797" s="43"/>
      <c r="AQ3797" s="43"/>
      <c r="AR3797" s="43"/>
      <c r="AS3797" s="43"/>
      <c r="AT3797" s="43"/>
      <c r="AU3797" s="43"/>
      <c r="AV3797" s="43"/>
      <c r="AW3797" s="43"/>
      <c r="AX3797" s="43"/>
      <c r="AY3797" s="43"/>
      <c r="AZ3797" s="43"/>
      <c r="BA3797" s="43"/>
      <c r="BB3797" s="43"/>
      <c r="BC3797" s="229">
        <f t="shared" si="1645"/>
        <v>0</v>
      </c>
      <c r="BD3797" s="48">
        <f t="shared" si="1646"/>
        <v>0</v>
      </c>
      <c r="BE3797" s="19">
        <v>0</v>
      </c>
      <c r="BF3797" s="229">
        <f t="shared" si="1647"/>
        <v>0</v>
      </c>
      <c r="BG3797" s="210">
        <f t="shared" si="1648"/>
        <v>0</v>
      </c>
      <c r="BH3797" s="210">
        <f t="shared" si="1649"/>
        <v>0</v>
      </c>
      <c r="BI3797" s="213" t="e">
        <f t="shared" si="1650"/>
        <v>#DIV/0!</v>
      </c>
      <c r="BJ3797" s="141"/>
      <c r="BK3797" s="201"/>
      <c r="BL3797" s="4"/>
      <c r="BM3797" s="4"/>
    </row>
    <row r="3798" spans="1:67" s="38" customFormat="1" ht="12.75" customHeight="1">
      <c r="A3798" s="365" t="s">
        <v>1190</v>
      </c>
      <c r="B3798" s="365"/>
      <c r="C3798" s="365"/>
      <c r="D3798" s="39">
        <f>D3799</f>
        <v>0</v>
      </c>
      <c r="E3798" s="39">
        <f t="shared" ref="E3798:BE3798" si="1651">E3799</f>
        <v>0</v>
      </c>
      <c r="F3798" s="39">
        <f t="shared" si="1651"/>
        <v>0</v>
      </c>
      <c r="G3798" s="39">
        <f t="shared" si="1651"/>
        <v>0</v>
      </c>
      <c r="H3798" s="39">
        <f t="shared" si="1651"/>
        <v>0</v>
      </c>
      <c r="I3798" s="39">
        <f t="shared" si="1651"/>
        <v>0</v>
      </c>
      <c r="J3798" s="39">
        <f t="shared" si="1651"/>
        <v>0</v>
      </c>
      <c r="K3798" s="39">
        <f t="shared" si="1651"/>
        <v>0</v>
      </c>
      <c r="L3798" s="39">
        <f t="shared" si="1651"/>
        <v>0</v>
      </c>
      <c r="M3798" s="39">
        <f t="shared" si="1651"/>
        <v>0</v>
      </c>
      <c r="N3798" s="39">
        <f t="shared" si="1651"/>
        <v>0</v>
      </c>
      <c r="O3798" s="39">
        <f t="shared" si="1651"/>
        <v>0</v>
      </c>
      <c r="P3798" s="39">
        <f t="shared" si="1651"/>
        <v>0</v>
      </c>
      <c r="Q3798" s="39">
        <f t="shared" si="1651"/>
        <v>0</v>
      </c>
      <c r="R3798" s="39">
        <f t="shared" si="1651"/>
        <v>0</v>
      </c>
      <c r="S3798" s="39">
        <f t="shared" si="1651"/>
        <v>0</v>
      </c>
      <c r="T3798" s="39">
        <f t="shared" si="1651"/>
        <v>0</v>
      </c>
      <c r="U3798" s="39">
        <f t="shared" si="1651"/>
        <v>0</v>
      </c>
      <c r="V3798" s="39">
        <f t="shared" si="1651"/>
        <v>0</v>
      </c>
      <c r="W3798" s="39">
        <f t="shared" si="1651"/>
        <v>0</v>
      </c>
      <c r="X3798" s="39">
        <f t="shared" si="1651"/>
        <v>0</v>
      </c>
      <c r="Y3798" s="39">
        <f t="shared" si="1651"/>
        <v>0</v>
      </c>
      <c r="Z3798" s="39">
        <f t="shared" si="1651"/>
        <v>0</v>
      </c>
      <c r="AA3798" s="39">
        <f t="shared" si="1651"/>
        <v>0</v>
      </c>
      <c r="AB3798" s="39">
        <f t="shared" si="1643"/>
        <v>0</v>
      </c>
      <c r="AC3798" s="39">
        <f t="shared" si="1644"/>
        <v>0</v>
      </c>
      <c r="AD3798" s="39">
        <f t="shared" si="1651"/>
        <v>0</v>
      </c>
      <c r="AE3798" s="39">
        <f t="shared" si="1651"/>
        <v>0</v>
      </c>
      <c r="AF3798" s="39">
        <f t="shared" si="1651"/>
        <v>0</v>
      </c>
      <c r="AG3798" s="39">
        <f t="shared" si="1651"/>
        <v>0</v>
      </c>
      <c r="AH3798" s="39">
        <f t="shared" si="1651"/>
        <v>0</v>
      </c>
      <c r="AI3798" s="39">
        <f t="shared" si="1651"/>
        <v>0</v>
      </c>
      <c r="AJ3798" s="39">
        <f t="shared" si="1651"/>
        <v>0</v>
      </c>
      <c r="AK3798" s="39">
        <f t="shared" si="1651"/>
        <v>0</v>
      </c>
      <c r="AL3798" s="39">
        <f t="shared" si="1651"/>
        <v>0</v>
      </c>
      <c r="AM3798" s="39">
        <f t="shared" si="1651"/>
        <v>0</v>
      </c>
      <c r="AN3798" s="39">
        <f t="shared" si="1651"/>
        <v>0</v>
      </c>
      <c r="AO3798" s="39">
        <f t="shared" si="1651"/>
        <v>0</v>
      </c>
      <c r="AP3798" s="39">
        <f t="shared" si="1651"/>
        <v>0</v>
      </c>
      <c r="AQ3798" s="39">
        <f t="shared" si="1651"/>
        <v>0</v>
      </c>
      <c r="AR3798" s="39">
        <f t="shared" si="1651"/>
        <v>0</v>
      </c>
      <c r="AS3798" s="39">
        <f t="shared" si="1651"/>
        <v>0</v>
      </c>
      <c r="AT3798" s="39">
        <f t="shared" si="1651"/>
        <v>0</v>
      </c>
      <c r="AU3798" s="39">
        <f t="shared" si="1651"/>
        <v>0</v>
      </c>
      <c r="AV3798" s="39">
        <f t="shared" si="1651"/>
        <v>0</v>
      </c>
      <c r="AW3798" s="39">
        <f t="shared" si="1651"/>
        <v>0</v>
      </c>
      <c r="AX3798" s="39">
        <f t="shared" si="1651"/>
        <v>0</v>
      </c>
      <c r="AY3798" s="39">
        <f t="shared" si="1651"/>
        <v>0</v>
      </c>
      <c r="AZ3798" s="39">
        <f t="shared" si="1651"/>
        <v>0</v>
      </c>
      <c r="BA3798" s="39">
        <f t="shared" si="1651"/>
        <v>0</v>
      </c>
      <c r="BB3798" s="39">
        <f t="shared" si="1651"/>
        <v>0</v>
      </c>
      <c r="BC3798" s="39">
        <f t="shared" si="1645"/>
        <v>0</v>
      </c>
      <c r="BD3798" s="101">
        <f t="shared" si="1646"/>
        <v>0</v>
      </c>
      <c r="BE3798" s="39">
        <f t="shared" si="1651"/>
        <v>0</v>
      </c>
      <c r="BF3798" s="39">
        <f t="shared" si="1647"/>
        <v>0</v>
      </c>
      <c r="BG3798" s="101">
        <f t="shared" si="1648"/>
        <v>0</v>
      </c>
      <c r="BH3798" s="101">
        <f t="shared" si="1649"/>
        <v>0</v>
      </c>
      <c r="BI3798" s="280" t="e">
        <f t="shared" si="1650"/>
        <v>#DIV/0!</v>
      </c>
      <c r="BJ3798" s="141"/>
      <c r="BK3798" s="201"/>
      <c r="BL3798" s="4"/>
      <c r="BM3798" s="4"/>
    </row>
    <row r="3799" spans="1:67" s="38" customFormat="1" ht="13.5" customHeight="1">
      <c r="A3799" s="99"/>
      <c r="B3799" s="99"/>
      <c r="C3799" s="99"/>
      <c r="D3799" s="42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O3799" s="42"/>
      <c r="P3799" s="42"/>
      <c r="Q3799" s="42"/>
      <c r="R3799" s="42"/>
      <c r="S3799" s="42"/>
      <c r="T3799" s="42"/>
      <c r="U3799" s="42"/>
      <c r="V3799" s="42"/>
      <c r="W3799" s="42"/>
      <c r="X3799" s="42"/>
      <c r="Y3799" s="42"/>
      <c r="Z3799" s="42"/>
      <c r="AA3799" s="42"/>
      <c r="AB3799" s="229">
        <f t="shared" si="1643"/>
        <v>0</v>
      </c>
      <c r="AC3799" s="228">
        <f t="shared" si="1644"/>
        <v>0</v>
      </c>
      <c r="AD3799" s="92">
        <v>0</v>
      </c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229">
        <f t="shared" si="1645"/>
        <v>0</v>
      </c>
      <c r="BD3799" s="48">
        <f t="shared" si="1646"/>
        <v>0</v>
      </c>
      <c r="BE3799" s="71">
        <v>0</v>
      </c>
      <c r="BF3799" s="229">
        <f t="shared" si="1647"/>
        <v>0</v>
      </c>
      <c r="BG3799" s="210">
        <f t="shared" si="1648"/>
        <v>0</v>
      </c>
      <c r="BH3799" s="210">
        <f t="shared" si="1649"/>
        <v>0</v>
      </c>
      <c r="BI3799" s="213" t="e">
        <f t="shared" si="1650"/>
        <v>#DIV/0!</v>
      </c>
      <c r="BJ3799" s="165">
        <f>AC3802+BD3802</f>
        <v>14542</v>
      </c>
      <c r="BK3799" s="136"/>
      <c r="BL3799" s="200"/>
      <c r="BM3799" s="200"/>
    </row>
    <row r="3800" spans="1:67" s="38" customFormat="1" ht="13.5" customHeight="1" thickBot="1">
      <c r="A3800" s="365" t="s">
        <v>1215</v>
      </c>
      <c r="B3800" s="365"/>
      <c r="C3800" s="365"/>
      <c r="D3800" s="39">
        <f>D3801</f>
        <v>0</v>
      </c>
      <c r="E3800" s="39">
        <f t="shared" ref="E3800:BE3800" si="1652">E3801</f>
        <v>0</v>
      </c>
      <c r="F3800" s="39">
        <f t="shared" si="1652"/>
        <v>0</v>
      </c>
      <c r="G3800" s="39">
        <f t="shared" si="1652"/>
        <v>0</v>
      </c>
      <c r="H3800" s="39">
        <f t="shared" si="1652"/>
        <v>0</v>
      </c>
      <c r="I3800" s="39">
        <f t="shared" si="1652"/>
        <v>0</v>
      </c>
      <c r="J3800" s="39">
        <f t="shared" si="1652"/>
        <v>0</v>
      </c>
      <c r="K3800" s="39">
        <f t="shared" si="1652"/>
        <v>0</v>
      </c>
      <c r="L3800" s="39">
        <f t="shared" si="1652"/>
        <v>0</v>
      </c>
      <c r="M3800" s="39">
        <f t="shared" si="1652"/>
        <v>0</v>
      </c>
      <c r="N3800" s="39">
        <f t="shared" si="1652"/>
        <v>0</v>
      </c>
      <c r="O3800" s="39">
        <f t="shared" si="1652"/>
        <v>0</v>
      </c>
      <c r="P3800" s="39">
        <f t="shared" si="1652"/>
        <v>0</v>
      </c>
      <c r="Q3800" s="39">
        <f t="shared" si="1652"/>
        <v>0</v>
      </c>
      <c r="R3800" s="39">
        <f t="shared" si="1652"/>
        <v>0</v>
      </c>
      <c r="S3800" s="39">
        <f t="shared" si="1652"/>
        <v>0</v>
      </c>
      <c r="T3800" s="39">
        <f t="shared" si="1652"/>
        <v>0</v>
      </c>
      <c r="U3800" s="39">
        <f t="shared" si="1652"/>
        <v>0</v>
      </c>
      <c r="V3800" s="39">
        <f t="shared" si="1652"/>
        <v>0</v>
      </c>
      <c r="W3800" s="39">
        <f t="shared" si="1652"/>
        <v>0</v>
      </c>
      <c r="X3800" s="39">
        <f t="shared" si="1652"/>
        <v>0</v>
      </c>
      <c r="Y3800" s="39">
        <f t="shared" si="1652"/>
        <v>0</v>
      </c>
      <c r="Z3800" s="39">
        <f t="shared" si="1652"/>
        <v>0</v>
      </c>
      <c r="AA3800" s="39">
        <f t="shared" si="1652"/>
        <v>0</v>
      </c>
      <c r="AB3800" s="39">
        <f t="shared" si="1643"/>
        <v>0</v>
      </c>
      <c r="AC3800" s="39">
        <f t="shared" si="1644"/>
        <v>0</v>
      </c>
      <c r="AD3800" s="39">
        <f t="shared" si="1652"/>
        <v>0</v>
      </c>
      <c r="AE3800" s="39">
        <f t="shared" si="1652"/>
        <v>0</v>
      </c>
      <c r="AF3800" s="39">
        <f t="shared" si="1652"/>
        <v>0</v>
      </c>
      <c r="AG3800" s="39">
        <f t="shared" si="1652"/>
        <v>0</v>
      </c>
      <c r="AH3800" s="39">
        <f t="shared" si="1652"/>
        <v>0</v>
      </c>
      <c r="AI3800" s="39">
        <f t="shared" si="1652"/>
        <v>0</v>
      </c>
      <c r="AJ3800" s="39">
        <f t="shared" si="1652"/>
        <v>0</v>
      </c>
      <c r="AK3800" s="39">
        <f t="shared" si="1652"/>
        <v>0</v>
      </c>
      <c r="AL3800" s="39">
        <f t="shared" si="1652"/>
        <v>0</v>
      </c>
      <c r="AM3800" s="39">
        <f t="shared" si="1652"/>
        <v>0</v>
      </c>
      <c r="AN3800" s="39">
        <f t="shared" si="1652"/>
        <v>0</v>
      </c>
      <c r="AO3800" s="39">
        <f t="shared" si="1652"/>
        <v>0</v>
      </c>
      <c r="AP3800" s="39">
        <f t="shared" si="1652"/>
        <v>0</v>
      </c>
      <c r="AQ3800" s="39">
        <f t="shared" si="1652"/>
        <v>0</v>
      </c>
      <c r="AR3800" s="39">
        <f t="shared" si="1652"/>
        <v>0</v>
      </c>
      <c r="AS3800" s="39">
        <f t="shared" si="1652"/>
        <v>0</v>
      </c>
      <c r="AT3800" s="39">
        <f t="shared" si="1652"/>
        <v>0</v>
      </c>
      <c r="AU3800" s="39">
        <f t="shared" si="1652"/>
        <v>0</v>
      </c>
      <c r="AV3800" s="39">
        <f t="shared" si="1652"/>
        <v>0</v>
      </c>
      <c r="AW3800" s="39">
        <f t="shared" si="1652"/>
        <v>0</v>
      </c>
      <c r="AX3800" s="39">
        <f t="shared" si="1652"/>
        <v>0</v>
      </c>
      <c r="AY3800" s="39">
        <f t="shared" si="1652"/>
        <v>0</v>
      </c>
      <c r="AZ3800" s="39">
        <f t="shared" si="1652"/>
        <v>0</v>
      </c>
      <c r="BA3800" s="39">
        <f t="shared" si="1652"/>
        <v>0</v>
      </c>
      <c r="BB3800" s="39">
        <f t="shared" si="1652"/>
        <v>0</v>
      </c>
      <c r="BC3800" s="39">
        <f t="shared" si="1645"/>
        <v>0</v>
      </c>
      <c r="BD3800" s="101">
        <f t="shared" si="1646"/>
        <v>0</v>
      </c>
      <c r="BE3800" s="39">
        <f t="shared" si="1652"/>
        <v>0</v>
      </c>
      <c r="BF3800" s="39">
        <f t="shared" si="1647"/>
        <v>0</v>
      </c>
      <c r="BG3800" s="101">
        <f t="shared" si="1648"/>
        <v>0</v>
      </c>
      <c r="BH3800" s="101">
        <f t="shared" si="1649"/>
        <v>0</v>
      </c>
      <c r="BI3800" s="280" t="e">
        <f t="shared" si="1650"/>
        <v>#DIV/0!</v>
      </c>
      <c r="BJ3800" s="248"/>
      <c r="BK3800" s="196"/>
      <c r="BL3800" s="200"/>
      <c r="BM3800" s="249"/>
    </row>
    <row r="3801" spans="1:67" s="38" customFormat="1" ht="9" customHeight="1" thickTop="1" thickBot="1">
      <c r="A3801" s="99"/>
      <c r="B3801" s="99"/>
      <c r="C3801" s="99"/>
      <c r="D3801" s="42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O3801" s="42"/>
      <c r="P3801" s="42"/>
      <c r="Q3801" s="42"/>
      <c r="R3801" s="42"/>
      <c r="S3801" s="42"/>
      <c r="T3801" s="42"/>
      <c r="U3801" s="42"/>
      <c r="V3801" s="42"/>
      <c r="W3801" s="42"/>
      <c r="X3801" s="42"/>
      <c r="Y3801" s="42"/>
      <c r="Z3801" s="42"/>
      <c r="AA3801" s="42"/>
      <c r="AB3801" s="229">
        <f t="shared" si="1643"/>
        <v>0</v>
      </c>
      <c r="AC3801" s="228">
        <f t="shared" si="1644"/>
        <v>0</v>
      </c>
      <c r="AD3801" s="92">
        <v>0</v>
      </c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229">
        <f t="shared" si="1645"/>
        <v>0</v>
      </c>
      <c r="BD3801" s="48">
        <f t="shared" si="1646"/>
        <v>0</v>
      </c>
      <c r="BE3801" s="71">
        <v>0</v>
      </c>
      <c r="BF3801" s="229">
        <f t="shared" si="1647"/>
        <v>0</v>
      </c>
      <c r="BG3801" s="210">
        <f t="shared" si="1648"/>
        <v>0</v>
      </c>
      <c r="BH3801" s="210">
        <f t="shared" si="1649"/>
        <v>0</v>
      </c>
      <c r="BI3801" s="213" t="e">
        <f t="shared" si="1650"/>
        <v>#DIV/0!</v>
      </c>
      <c r="BJ3801" s="147" t="s">
        <v>2852</v>
      </c>
      <c r="BK3801" s="261" t="s">
        <v>2851</v>
      </c>
      <c r="BL3801" s="262" t="s">
        <v>2828</v>
      </c>
      <c r="BO3801" s="111"/>
    </row>
    <row r="3802" spans="1:67" ht="20.100000000000001" customHeight="1" thickTop="1" thickBot="1">
      <c r="A3802" s="366" t="s">
        <v>3199</v>
      </c>
      <c r="B3802" s="366"/>
      <c r="C3802" s="366"/>
      <c r="D3802" s="215">
        <f t="shared" ref="D3802:AI3802" si="1653">D10+D91+D114+D446+D561+D627+D765+D771+D934+D947+D954+D963+D976+D978+D997</f>
        <v>0</v>
      </c>
      <c r="E3802" s="215">
        <f t="shared" si="1653"/>
        <v>0</v>
      </c>
      <c r="F3802" s="215">
        <f t="shared" si="1653"/>
        <v>0</v>
      </c>
      <c r="G3802" s="215">
        <f t="shared" si="1653"/>
        <v>0</v>
      </c>
      <c r="H3802" s="215">
        <f t="shared" si="1653"/>
        <v>411</v>
      </c>
      <c r="I3802" s="215">
        <f t="shared" si="1653"/>
        <v>433</v>
      </c>
      <c r="J3802" s="215">
        <f t="shared" si="1653"/>
        <v>0</v>
      </c>
      <c r="K3802" s="215">
        <f t="shared" si="1653"/>
        <v>0</v>
      </c>
      <c r="L3802" s="215">
        <f t="shared" si="1653"/>
        <v>0</v>
      </c>
      <c r="M3802" s="215">
        <f t="shared" si="1653"/>
        <v>0</v>
      </c>
      <c r="N3802" s="215">
        <f t="shared" si="1653"/>
        <v>15</v>
      </c>
      <c r="O3802" s="215">
        <f t="shared" si="1653"/>
        <v>16</v>
      </c>
      <c r="P3802" s="215">
        <f t="shared" si="1653"/>
        <v>0</v>
      </c>
      <c r="Q3802" s="215">
        <f t="shared" si="1653"/>
        <v>0</v>
      </c>
      <c r="R3802" s="215">
        <f t="shared" si="1653"/>
        <v>0</v>
      </c>
      <c r="S3802" s="215">
        <f t="shared" si="1653"/>
        <v>0</v>
      </c>
      <c r="T3802" s="215">
        <f t="shared" si="1653"/>
        <v>0</v>
      </c>
      <c r="U3802" s="215">
        <f t="shared" si="1653"/>
        <v>1649</v>
      </c>
      <c r="V3802" s="215">
        <f t="shared" si="1653"/>
        <v>0</v>
      </c>
      <c r="W3802" s="215">
        <f t="shared" si="1653"/>
        <v>0</v>
      </c>
      <c r="X3802" s="215">
        <f t="shared" si="1653"/>
        <v>0</v>
      </c>
      <c r="Y3802" s="215">
        <f t="shared" si="1653"/>
        <v>0</v>
      </c>
      <c r="Z3802" s="215">
        <f t="shared" si="1653"/>
        <v>0</v>
      </c>
      <c r="AA3802" s="232">
        <f t="shared" si="1653"/>
        <v>1720</v>
      </c>
      <c r="AB3802" s="240">
        <f t="shared" si="1653"/>
        <v>426</v>
      </c>
      <c r="AC3802" s="236">
        <f t="shared" si="1653"/>
        <v>3818</v>
      </c>
      <c r="AD3802" s="215">
        <f t="shared" si="1653"/>
        <v>6204</v>
      </c>
      <c r="AE3802" s="215">
        <f t="shared" si="1653"/>
        <v>0</v>
      </c>
      <c r="AF3802" s="215">
        <f t="shared" si="1653"/>
        <v>0</v>
      </c>
      <c r="AG3802" s="215">
        <f t="shared" si="1653"/>
        <v>0</v>
      </c>
      <c r="AH3802" s="215">
        <f t="shared" si="1653"/>
        <v>0</v>
      </c>
      <c r="AI3802" s="215">
        <f t="shared" si="1653"/>
        <v>2192</v>
      </c>
      <c r="AJ3802" s="215">
        <f t="shared" ref="AJ3802:BE3802" si="1654">AJ10+AJ91+AJ114+AJ446+AJ561+AJ627+AJ765+AJ771+AJ934+AJ947+AJ954+AJ963+AJ976+AJ978+AJ997</f>
        <v>2238</v>
      </c>
      <c r="AK3802" s="215">
        <f t="shared" si="1654"/>
        <v>0</v>
      </c>
      <c r="AL3802" s="215">
        <f t="shared" si="1654"/>
        <v>0</v>
      </c>
      <c r="AM3802" s="215">
        <f t="shared" si="1654"/>
        <v>0</v>
      </c>
      <c r="AN3802" s="215">
        <f t="shared" si="1654"/>
        <v>0</v>
      </c>
      <c r="AO3802" s="215">
        <f t="shared" si="1654"/>
        <v>3404</v>
      </c>
      <c r="AP3802" s="215">
        <f t="shared" si="1654"/>
        <v>3899</v>
      </c>
      <c r="AQ3802" s="215">
        <f t="shared" si="1654"/>
        <v>0</v>
      </c>
      <c r="AR3802" s="215">
        <f t="shared" si="1654"/>
        <v>0</v>
      </c>
      <c r="AS3802" s="215">
        <f t="shared" si="1654"/>
        <v>0</v>
      </c>
      <c r="AT3802" s="215">
        <f t="shared" si="1654"/>
        <v>0</v>
      </c>
      <c r="AU3802" s="215">
        <f t="shared" si="1654"/>
        <v>0</v>
      </c>
      <c r="AV3802" s="215">
        <f t="shared" si="1654"/>
        <v>2060</v>
      </c>
      <c r="AW3802" s="215">
        <f t="shared" si="1654"/>
        <v>0</v>
      </c>
      <c r="AX3802" s="215">
        <f t="shared" si="1654"/>
        <v>0</v>
      </c>
      <c r="AY3802" s="215">
        <f t="shared" si="1654"/>
        <v>0</v>
      </c>
      <c r="AZ3802" s="215">
        <f t="shared" si="1654"/>
        <v>0</v>
      </c>
      <c r="BA3802" s="215">
        <f t="shared" si="1654"/>
        <v>0</v>
      </c>
      <c r="BB3802" s="232">
        <f t="shared" si="1654"/>
        <v>2527</v>
      </c>
      <c r="BC3802" s="240">
        <f t="shared" si="1654"/>
        <v>5596</v>
      </c>
      <c r="BD3802" s="236">
        <f t="shared" si="1654"/>
        <v>10724</v>
      </c>
      <c r="BE3802" s="286">
        <f t="shared" si="1654"/>
        <v>8240</v>
      </c>
      <c r="BF3802" s="240">
        <f>AB3802+BC3802</f>
        <v>6022</v>
      </c>
      <c r="BG3802" s="236">
        <f>BG10+BG91+BG114+BG446+BG561+BG627+BG765+BG771+BG934+BG947+BG954+BG963+BG976+BG978+BG997</f>
        <v>14542</v>
      </c>
      <c r="BH3802" s="215">
        <f>BH10+BH91+BH114+BH446+BH561+BH627+BH765+BH771+BH934+BH947+BH954+BH963+BH976+BH978+BH997</f>
        <v>14444</v>
      </c>
      <c r="BI3802" s="213">
        <f>BG3802/BH3802*100</f>
        <v>100.67848241484354</v>
      </c>
      <c r="BJ3802" s="147">
        <v>17444</v>
      </c>
      <c r="BK3802" s="206">
        <f>BH3802-BJ3802</f>
        <v>-3000</v>
      </c>
      <c r="BL3802" s="263">
        <f>BH3802/4</f>
        <v>3611</v>
      </c>
      <c r="BM3802" s="7" t="s">
        <v>2829</v>
      </c>
      <c r="BO3802" s="245"/>
    </row>
    <row r="3803" spans="1:67" ht="20.100000000000001" customHeight="1" thickTop="1" thickBot="1">
      <c r="A3803" s="367" t="s">
        <v>3200</v>
      </c>
      <c r="B3803" s="367"/>
      <c r="C3803" s="367"/>
      <c r="D3803" s="100">
        <f t="shared" ref="D3803:AI3803" si="1655">D1011+D1183+D1295+D1389+D1488+D1565+D1656+D1738+D1824+D1826+D1968+D2090+D2127+D2161+D2362+D2390+D2522+D2632+D2786+D2829+D2845+D3011+D3115+D3136+D3191+D3414+D3430+D3458+D3461+D3474</f>
        <v>0</v>
      </c>
      <c r="E3803" s="100">
        <f t="shared" si="1655"/>
        <v>0</v>
      </c>
      <c r="F3803" s="100">
        <f t="shared" si="1655"/>
        <v>0</v>
      </c>
      <c r="G3803" s="100">
        <f t="shared" si="1655"/>
        <v>0</v>
      </c>
      <c r="H3803" s="100">
        <f t="shared" si="1655"/>
        <v>0</v>
      </c>
      <c r="I3803" s="100">
        <f t="shared" si="1655"/>
        <v>150125</v>
      </c>
      <c r="J3803" s="100">
        <f t="shared" si="1655"/>
        <v>0</v>
      </c>
      <c r="K3803" s="100">
        <f t="shared" si="1655"/>
        <v>0</v>
      </c>
      <c r="L3803" s="100">
        <f t="shared" si="1655"/>
        <v>0</v>
      </c>
      <c r="M3803" s="100">
        <f t="shared" si="1655"/>
        <v>0</v>
      </c>
      <c r="N3803" s="100">
        <f t="shared" si="1655"/>
        <v>0</v>
      </c>
      <c r="O3803" s="100">
        <f t="shared" si="1655"/>
        <v>150963</v>
      </c>
      <c r="P3803" s="100">
        <f t="shared" si="1655"/>
        <v>0</v>
      </c>
      <c r="Q3803" s="100">
        <f t="shared" si="1655"/>
        <v>0</v>
      </c>
      <c r="R3803" s="100">
        <f t="shared" si="1655"/>
        <v>0</v>
      </c>
      <c r="S3803" s="100">
        <f t="shared" si="1655"/>
        <v>0</v>
      </c>
      <c r="T3803" s="100">
        <f t="shared" si="1655"/>
        <v>0</v>
      </c>
      <c r="U3803" s="100">
        <f t="shared" si="1655"/>
        <v>196365</v>
      </c>
      <c r="V3803" s="100">
        <f t="shared" si="1655"/>
        <v>0</v>
      </c>
      <c r="W3803" s="100">
        <f t="shared" si="1655"/>
        <v>0</v>
      </c>
      <c r="X3803" s="100">
        <f t="shared" si="1655"/>
        <v>0</v>
      </c>
      <c r="Y3803" s="100">
        <f t="shared" si="1655"/>
        <v>0</v>
      </c>
      <c r="Z3803" s="100">
        <f t="shared" si="1655"/>
        <v>0</v>
      </c>
      <c r="AA3803" s="233">
        <f t="shared" si="1655"/>
        <v>132716</v>
      </c>
      <c r="AB3803" s="241">
        <f t="shared" si="1655"/>
        <v>0</v>
      </c>
      <c r="AC3803" s="237">
        <f t="shared" si="1655"/>
        <v>630169</v>
      </c>
      <c r="AD3803" s="100">
        <f t="shared" si="1655"/>
        <v>590571</v>
      </c>
      <c r="AE3803" s="100">
        <f t="shared" si="1655"/>
        <v>0</v>
      </c>
      <c r="AF3803" s="100">
        <f t="shared" si="1655"/>
        <v>0</v>
      </c>
      <c r="AG3803" s="100">
        <f t="shared" si="1655"/>
        <v>0</v>
      </c>
      <c r="AH3803" s="100">
        <f t="shared" si="1655"/>
        <v>0</v>
      </c>
      <c r="AI3803" s="100">
        <f t="shared" si="1655"/>
        <v>326</v>
      </c>
      <c r="AJ3803" s="100">
        <f t="shared" ref="AJ3803:BE3803" si="1656">AJ1011+AJ1183+AJ1295+AJ1389+AJ1488+AJ1565+AJ1656+AJ1738+AJ1824+AJ1826+AJ1968+AJ2090+AJ2127+AJ2161+AJ2362+AJ2390+AJ2522+AJ2632+AJ2786+AJ2829+AJ2845+AJ3011+AJ3115+AJ3136+AJ3191+AJ3414+AJ3430+AJ3458+AJ3461+AJ3474</f>
        <v>290184</v>
      </c>
      <c r="AK3803" s="100">
        <f t="shared" si="1656"/>
        <v>0</v>
      </c>
      <c r="AL3803" s="100">
        <f t="shared" si="1656"/>
        <v>0</v>
      </c>
      <c r="AM3803" s="100">
        <f t="shared" si="1656"/>
        <v>0</v>
      </c>
      <c r="AN3803" s="100">
        <f t="shared" si="1656"/>
        <v>0</v>
      </c>
      <c r="AO3803" s="100">
        <f t="shared" si="1656"/>
        <v>340</v>
      </c>
      <c r="AP3803" s="100">
        <f t="shared" si="1656"/>
        <v>276888</v>
      </c>
      <c r="AQ3803" s="100">
        <f t="shared" si="1656"/>
        <v>0</v>
      </c>
      <c r="AR3803" s="100">
        <f t="shared" si="1656"/>
        <v>0</v>
      </c>
      <c r="AS3803" s="100">
        <f t="shared" si="1656"/>
        <v>0</v>
      </c>
      <c r="AT3803" s="100">
        <f t="shared" si="1656"/>
        <v>0</v>
      </c>
      <c r="AU3803" s="100">
        <f t="shared" si="1656"/>
        <v>0</v>
      </c>
      <c r="AV3803" s="100">
        <f t="shared" si="1656"/>
        <v>266482</v>
      </c>
      <c r="AW3803" s="100">
        <f t="shared" si="1656"/>
        <v>0</v>
      </c>
      <c r="AX3803" s="100">
        <f t="shared" si="1656"/>
        <v>0</v>
      </c>
      <c r="AY3803" s="100">
        <f t="shared" si="1656"/>
        <v>0</v>
      </c>
      <c r="AZ3803" s="100">
        <f t="shared" si="1656"/>
        <v>0</v>
      </c>
      <c r="BA3803" s="100">
        <f t="shared" si="1656"/>
        <v>0</v>
      </c>
      <c r="BB3803" s="233">
        <f t="shared" si="1656"/>
        <v>287411</v>
      </c>
      <c r="BC3803" s="241">
        <f t="shared" si="1656"/>
        <v>666</v>
      </c>
      <c r="BD3803" s="237">
        <f t="shared" si="1656"/>
        <v>1120965</v>
      </c>
      <c r="BE3803" s="287">
        <f t="shared" si="1656"/>
        <v>1232532</v>
      </c>
      <c r="BF3803" s="241">
        <f>AB3803+BC3803</f>
        <v>666</v>
      </c>
      <c r="BG3803" s="237">
        <f>BG1011+BG1183+BG1295+BG1389+BG1488+BG1565+BG1656+BG1738+BG1824+BG1826+BG1968+BG2090+BG2127+BG2161+BG2362+BG2390+BG2522+BG2632+BG2786+BG2829+BG2845+BG3011+BG3115+BG3136+BG3191+BG3414+BG3430+BG3458+BG3461+BG3474</f>
        <v>1751134</v>
      </c>
      <c r="BH3803" s="100">
        <f>BH1011+BH1183+BH1295+BH1389+BH1488+BH1565+BH1656+BH1738+BH1824+BH1826+BH1968+BH2090+BH2127+BH2161+BH2362+BH2390+BH2522+BH2632+BH2786+BH2829+BH2845+BH3011+BH3115+BH3136+BH3191+BH3414+BH3430+BH3458+BH3461+BH3474</f>
        <v>1823103</v>
      </c>
      <c r="BI3803" s="213">
        <f t="shared" si="1650"/>
        <v>96.052389799150134</v>
      </c>
      <c r="BJ3803" s="147">
        <v>1822131</v>
      </c>
      <c r="BK3803" s="206">
        <f>BH3803-BJ3803</f>
        <v>972</v>
      </c>
      <c r="BL3803" s="263">
        <f>BH3803/4</f>
        <v>455775.75</v>
      </c>
      <c r="BM3803" s="7"/>
      <c r="BO3803" s="245"/>
    </row>
    <row r="3804" spans="1:67" ht="20.100000000000001" customHeight="1" thickTop="1" thickBot="1">
      <c r="A3804" s="359" t="s">
        <v>3201</v>
      </c>
      <c r="B3804" s="359"/>
      <c r="C3804" s="359"/>
      <c r="D3804" s="101">
        <f t="shared" ref="D3804:AI3804" si="1657">D3478+D3496+D3512+D3525+D3539+D3551+D3569+D3588+D3603+D3606+D3618+D3626+D3628+D3631+D3652+D3654+D3667+D3685+D3712+D3724+D3726+D3733+D3745+D3796+D3798+D3800</f>
        <v>0</v>
      </c>
      <c r="E3804" s="101">
        <f t="shared" si="1657"/>
        <v>0</v>
      </c>
      <c r="F3804" s="101">
        <f t="shared" si="1657"/>
        <v>0</v>
      </c>
      <c r="G3804" s="101">
        <f t="shared" si="1657"/>
        <v>0</v>
      </c>
      <c r="H3804" s="101">
        <f t="shared" si="1657"/>
        <v>0</v>
      </c>
      <c r="I3804" s="101">
        <f t="shared" si="1657"/>
        <v>31521</v>
      </c>
      <c r="J3804" s="101">
        <f t="shared" si="1657"/>
        <v>0</v>
      </c>
      <c r="K3804" s="101">
        <f t="shared" si="1657"/>
        <v>0</v>
      </c>
      <c r="L3804" s="101">
        <f t="shared" si="1657"/>
        <v>0</v>
      </c>
      <c r="M3804" s="101">
        <f t="shared" si="1657"/>
        <v>0</v>
      </c>
      <c r="N3804" s="101">
        <f t="shared" si="1657"/>
        <v>0</v>
      </c>
      <c r="O3804" s="101">
        <f t="shared" si="1657"/>
        <v>32766</v>
      </c>
      <c r="P3804" s="101">
        <f t="shared" si="1657"/>
        <v>0</v>
      </c>
      <c r="Q3804" s="101">
        <f t="shared" si="1657"/>
        <v>0</v>
      </c>
      <c r="R3804" s="101">
        <f t="shared" si="1657"/>
        <v>0</v>
      </c>
      <c r="S3804" s="101">
        <f t="shared" si="1657"/>
        <v>0</v>
      </c>
      <c r="T3804" s="101">
        <f t="shared" si="1657"/>
        <v>0</v>
      </c>
      <c r="U3804" s="101">
        <f t="shared" si="1657"/>
        <v>30922</v>
      </c>
      <c r="V3804" s="101">
        <f t="shared" si="1657"/>
        <v>0</v>
      </c>
      <c r="W3804" s="101">
        <f t="shared" si="1657"/>
        <v>0</v>
      </c>
      <c r="X3804" s="101">
        <f t="shared" si="1657"/>
        <v>0</v>
      </c>
      <c r="Y3804" s="101">
        <f t="shared" si="1657"/>
        <v>0</v>
      </c>
      <c r="Z3804" s="101">
        <f t="shared" si="1657"/>
        <v>0</v>
      </c>
      <c r="AA3804" s="234">
        <f t="shared" si="1657"/>
        <v>34163</v>
      </c>
      <c r="AB3804" s="242">
        <f t="shared" si="1657"/>
        <v>0</v>
      </c>
      <c r="AC3804" s="238">
        <f t="shared" si="1657"/>
        <v>129372</v>
      </c>
      <c r="AD3804" s="101">
        <f t="shared" si="1657"/>
        <v>120810</v>
      </c>
      <c r="AE3804" s="101">
        <f t="shared" si="1657"/>
        <v>0</v>
      </c>
      <c r="AF3804" s="101">
        <f t="shared" si="1657"/>
        <v>0</v>
      </c>
      <c r="AG3804" s="101">
        <f t="shared" si="1657"/>
        <v>0</v>
      </c>
      <c r="AH3804" s="101">
        <f t="shared" si="1657"/>
        <v>0</v>
      </c>
      <c r="AI3804" s="101">
        <f t="shared" si="1657"/>
        <v>0</v>
      </c>
      <c r="AJ3804" s="101">
        <f t="shared" ref="AJ3804:BE3804" si="1658">AJ3478+AJ3496+AJ3512+AJ3525+AJ3539+AJ3551+AJ3569+AJ3588+AJ3603+AJ3606+AJ3618+AJ3626+AJ3628+AJ3631+AJ3652+AJ3654+AJ3667+AJ3685+AJ3712+AJ3724+AJ3726+AJ3733+AJ3745+AJ3796+AJ3798+AJ3800</f>
        <v>11725</v>
      </c>
      <c r="AK3804" s="101">
        <f t="shared" si="1658"/>
        <v>0</v>
      </c>
      <c r="AL3804" s="101">
        <f t="shared" si="1658"/>
        <v>0</v>
      </c>
      <c r="AM3804" s="101">
        <f t="shared" si="1658"/>
        <v>0</v>
      </c>
      <c r="AN3804" s="101">
        <f t="shared" si="1658"/>
        <v>0</v>
      </c>
      <c r="AO3804" s="101">
        <f t="shared" si="1658"/>
        <v>0</v>
      </c>
      <c r="AP3804" s="101">
        <f t="shared" si="1658"/>
        <v>13128</v>
      </c>
      <c r="AQ3804" s="101">
        <f t="shared" si="1658"/>
        <v>0</v>
      </c>
      <c r="AR3804" s="101">
        <f t="shared" si="1658"/>
        <v>0</v>
      </c>
      <c r="AS3804" s="101">
        <f t="shared" si="1658"/>
        <v>0</v>
      </c>
      <c r="AT3804" s="101">
        <f t="shared" si="1658"/>
        <v>0</v>
      </c>
      <c r="AU3804" s="101">
        <f t="shared" si="1658"/>
        <v>0</v>
      </c>
      <c r="AV3804" s="101">
        <f t="shared" si="1658"/>
        <v>11273</v>
      </c>
      <c r="AW3804" s="101">
        <f t="shared" si="1658"/>
        <v>0</v>
      </c>
      <c r="AX3804" s="101">
        <f t="shared" si="1658"/>
        <v>0</v>
      </c>
      <c r="AY3804" s="101">
        <f t="shared" si="1658"/>
        <v>0</v>
      </c>
      <c r="AZ3804" s="101">
        <f t="shared" si="1658"/>
        <v>0</v>
      </c>
      <c r="BA3804" s="101">
        <f t="shared" si="1658"/>
        <v>0</v>
      </c>
      <c r="BB3804" s="234">
        <f t="shared" si="1658"/>
        <v>14575</v>
      </c>
      <c r="BC3804" s="242">
        <f t="shared" si="1658"/>
        <v>0</v>
      </c>
      <c r="BD3804" s="238">
        <f t="shared" si="1658"/>
        <v>50701</v>
      </c>
      <c r="BE3804" s="288">
        <f t="shared" si="1658"/>
        <v>47501</v>
      </c>
      <c r="BF3804" s="281">
        <f>AB3804+BC3804</f>
        <v>0</v>
      </c>
      <c r="BG3804" s="238">
        <f>BG3478+BG3496+BG3512+BG3525+BG3539+BG3551+BG3569+BG3588+BG3603+BG3606+BG3618+BG3626+BG3628+BG3631+BG3652+BG3654+BG3667+BG3685+BG3712+BG3724+BG3726+BG3733+BG3745+BG3796+BG3798+BG3800</f>
        <v>180073</v>
      </c>
      <c r="BH3804" s="101">
        <f>BH3478+BH3496+BH3512+BH3525+BH3539+BH3551+BH3569+BH3588+BH3603+BH3606+BH3618+BH3626+BH3628+BH3631+BH3652+BH3654+BH3667+BH3685+BH3712+BH3724+BH3726+BH3733+BH3745+BH3796+BH3798+BH3800</f>
        <v>168311</v>
      </c>
      <c r="BI3804" s="213">
        <f t="shared" si="1650"/>
        <v>106.98825388714938</v>
      </c>
      <c r="BJ3804" s="147">
        <v>168311</v>
      </c>
      <c r="BK3804" s="206">
        <f>BH3804-BJ3804</f>
        <v>0</v>
      </c>
      <c r="BL3804" s="263">
        <f>BH3804/4</f>
        <v>42077.75</v>
      </c>
      <c r="BM3804" s="7"/>
      <c r="BO3804" s="245"/>
    </row>
    <row r="3805" spans="1:67" ht="20.100000000000001" customHeight="1" thickTop="1" thickBot="1">
      <c r="A3805" s="360" t="s">
        <v>3202</v>
      </c>
      <c r="B3805" s="360"/>
      <c r="C3805" s="360"/>
      <c r="D3805" s="102">
        <f t="shared" ref="D3805" si="1659">SUM(D3803:D3804)</f>
        <v>0</v>
      </c>
      <c r="E3805" s="102">
        <f t="shared" ref="E3805:BH3805" si="1660">SUM(E3803:E3804)</f>
        <v>0</v>
      </c>
      <c r="F3805" s="102">
        <f t="shared" si="1660"/>
        <v>0</v>
      </c>
      <c r="G3805" s="102">
        <f t="shared" si="1660"/>
        <v>0</v>
      </c>
      <c r="H3805" s="102">
        <f t="shared" si="1660"/>
        <v>0</v>
      </c>
      <c r="I3805" s="102">
        <f t="shared" si="1660"/>
        <v>181646</v>
      </c>
      <c r="J3805" s="102">
        <f t="shared" si="1660"/>
        <v>0</v>
      </c>
      <c r="K3805" s="102">
        <f t="shared" si="1660"/>
        <v>0</v>
      </c>
      <c r="L3805" s="102">
        <f t="shared" si="1660"/>
        <v>0</v>
      </c>
      <c r="M3805" s="102">
        <f t="shared" si="1660"/>
        <v>0</v>
      </c>
      <c r="N3805" s="102">
        <f t="shared" si="1660"/>
        <v>0</v>
      </c>
      <c r="O3805" s="102">
        <f t="shared" si="1660"/>
        <v>183729</v>
      </c>
      <c r="P3805" s="102">
        <f t="shared" si="1660"/>
        <v>0</v>
      </c>
      <c r="Q3805" s="102">
        <f t="shared" si="1660"/>
        <v>0</v>
      </c>
      <c r="R3805" s="102">
        <f t="shared" si="1660"/>
        <v>0</v>
      </c>
      <c r="S3805" s="102">
        <f t="shared" si="1660"/>
        <v>0</v>
      </c>
      <c r="T3805" s="102">
        <f t="shared" si="1660"/>
        <v>0</v>
      </c>
      <c r="U3805" s="102">
        <f t="shared" si="1660"/>
        <v>227287</v>
      </c>
      <c r="V3805" s="102">
        <f t="shared" ref="V3805:Y3805" si="1661">SUM(V3803:V3804)</f>
        <v>0</v>
      </c>
      <c r="W3805" s="102">
        <f t="shared" si="1661"/>
        <v>0</v>
      </c>
      <c r="X3805" s="102">
        <f t="shared" si="1661"/>
        <v>0</v>
      </c>
      <c r="Y3805" s="102">
        <f t="shared" si="1661"/>
        <v>0</v>
      </c>
      <c r="Z3805" s="102">
        <f t="shared" si="1660"/>
        <v>0</v>
      </c>
      <c r="AA3805" s="235">
        <f t="shared" si="1660"/>
        <v>166879</v>
      </c>
      <c r="AB3805" s="243">
        <f t="shared" ref="AB3805" si="1662">SUM(AB3803:AB3804)</f>
        <v>0</v>
      </c>
      <c r="AC3805" s="239">
        <f t="shared" si="1660"/>
        <v>759541</v>
      </c>
      <c r="AD3805" s="102">
        <f t="shared" si="1660"/>
        <v>711381</v>
      </c>
      <c r="AE3805" s="102">
        <f t="shared" si="1660"/>
        <v>0</v>
      </c>
      <c r="AF3805" s="102">
        <f t="shared" si="1660"/>
        <v>0</v>
      </c>
      <c r="AG3805" s="102">
        <f t="shared" si="1660"/>
        <v>0</v>
      </c>
      <c r="AH3805" s="102">
        <f t="shared" si="1660"/>
        <v>0</v>
      </c>
      <c r="AI3805" s="102">
        <f t="shared" si="1660"/>
        <v>326</v>
      </c>
      <c r="AJ3805" s="102">
        <f t="shared" si="1660"/>
        <v>301909</v>
      </c>
      <c r="AK3805" s="102">
        <f t="shared" si="1660"/>
        <v>0</v>
      </c>
      <c r="AL3805" s="102">
        <f t="shared" si="1660"/>
        <v>0</v>
      </c>
      <c r="AM3805" s="102">
        <f t="shared" si="1660"/>
        <v>0</v>
      </c>
      <c r="AN3805" s="102">
        <f t="shared" si="1660"/>
        <v>0</v>
      </c>
      <c r="AO3805" s="102">
        <f t="shared" si="1660"/>
        <v>340</v>
      </c>
      <c r="AP3805" s="102">
        <f t="shared" si="1660"/>
        <v>290016</v>
      </c>
      <c r="AQ3805" s="102">
        <f t="shared" si="1660"/>
        <v>0</v>
      </c>
      <c r="AR3805" s="102">
        <f t="shared" si="1660"/>
        <v>0</v>
      </c>
      <c r="AS3805" s="102">
        <f t="shared" si="1660"/>
        <v>0</v>
      </c>
      <c r="AT3805" s="102">
        <f t="shared" si="1660"/>
        <v>0</v>
      </c>
      <c r="AU3805" s="102">
        <f t="shared" ref="AU3805:AX3805" si="1663">SUM(AU3803:AU3804)</f>
        <v>0</v>
      </c>
      <c r="AV3805" s="102">
        <f t="shared" si="1663"/>
        <v>277755</v>
      </c>
      <c r="AW3805" s="102">
        <f t="shared" si="1663"/>
        <v>0</v>
      </c>
      <c r="AX3805" s="102">
        <f t="shared" si="1663"/>
        <v>0</v>
      </c>
      <c r="AY3805" s="102">
        <f t="shared" si="1660"/>
        <v>0</v>
      </c>
      <c r="AZ3805" s="102">
        <f t="shared" si="1660"/>
        <v>0</v>
      </c>
      <c r="BA3805" s="102">
        <f t="shared" si="1660"/>
        <v>0</v>
      </c>
      <c r="BB3805" s="235">
        <f t="shared" si="1660"/>
        <v>301986</v>
      </c>
      <c r="BC3805" s="243">
        <f t="shared" ref="BC3805" si="1664">SUM(BC3803:BC3804)</f>
        <v>666</v>
      </c>
      <c r="BD3805" s="239">
        <f t="shared" si="1660"/>
        <v>1171666</v>
      </c>
      <c r="BE3805" s="289">
        <f t="shared" si="1660"/>
        <v>1280033</v>
      </c>
      <c r="BF3805" s="243">
        <f>AB3805+BC3805</f>
        <v>666</v>
      </c>
      <c r="BG3805" s="239">
        <f t="shared" si="1660"/>
        <v>1931207</v>
      </c>
      <c r="BH3805" s="102">
        <f t="shared" si="1660"/>
        <v>1991414</v>
      </c>
      <c r="BI3805" s="213">
        <f t="shared" si="1650"/>
        <v>96.97667084795026</v>
      </c>
      <c r="BJ3805" s="147">
        <v>1990442</v>
      </c>
      <c r="BK3805" s="206">
        <f>BH3805-BJ3805</f>
        <v>972</v>
      </c>
      <c r="BL3805" s="263">
        <f>BH3805/4</f>
        <v>497853.5</v>
      </c>
      <c r="BM3805" s="7"/>
      <c r="BO3805" s="245"/>
    </row>
    <row r="3806" spans="1:67" s="17" customFormat="1" ht="15" customHeight="1" thickTop="1" thickBot="1">
      <c r="A3806" s="360" t="s">
        <v>1301</v>
      </c>
      <c r="B3806" s="360"/>
      <c r="C3806" s="360"/>
      <c r="D3806" s="102">
        <f t="shared" ref="D3806:BH3806" si="1665">D3802+D3803+D3804</f>
        <v>0</v>
      </c>
      <c r="E3806" s="102">
        <f t="shared" si="1665"/>
        <v>0</v>
      </c>
      <c r="F3806" s="102">
        <f t="shared" si="1665"/>
        <v>0</v>
      </c>
      <c r="G3806" s="102">
        <f t="shared" si="1665"/>
        <v>0</v>
      </c>
      <c r="H3806" s="102">
        <f t="shared" si="1665"/>
        <v>411</v>
      </c>
      <c r="I3806" s="102">
        <f t="shared" si="1665"/>
        <v>182079</v>
      </c>
      <c r="J3806" s="102">
        <f t="shared" si="1665"/>
        <v>0</v>
      </c>
      <c r="K3806" s="102">
        <f t="shared" si="1665"/>
        <v>0</v>
      </c>
      <c r="L3806" s="102">
        <f t="shared" si="1665"/>
        <v>0</v>
      </c>
      <c r="M3806" s="102">
        <f t="shared" si="1665"/>
        <v>0</v>
      </c>
      <c r="N3806" s="102">
        <f t="shared" si="1665"/>
        <v>15</v>
      </c>
      <c r="O3806" s="102">
        <f t="shared" si="1665"/>
        <v>183745</v>
      </c>
      <c r="P3806" s="102">
        <f t="shared" si="1665"/>
        <v>0</v>
      </c>
      <c r="Q3806" s="102">
        <f t="shared" si="1665"/>
        <v>0</v>
      </c>
      <c r="R3806" s="102">
        <f t="shared" si="1665"/>
        <v>0</v>
      </c>
      <c r="S3806" s="102">
        <f t="shared" si="1665"/>
        <v>0</v>
      </c>
      <c r="T3806" s="102">
        <f t="shared" si="1665"/>
        <v>0</v>
      </c>
      <c r="U3806" s="102">
        <f t="shared" si="1665"/>
        <v>228936</v>
      </c>
      <c r="V3806" s="102">
        <f t="shared" ref="V3806:Y3806" si="1666">V3802+V3803+V3804</f>
        <v>0</v>
      </c>
      <c r="W3806" s="102">
        <f t="shared" si="1666"/>
        <v>0</v>
      </c>
      <c r="X3806" s="102">
        <f t="shared" si="1666"/>
        <v>0</v>
      </c>
      <c r="Y3806" s="102">
        <f t="shared" si="1666"/>
        <v>0</v>
      </c>
      <c r="Z3806" s="102">
        <f t="shared" si="1665"/>
        <v>0</v>
      </c>
      <c r="AA3806" s="235">
        <f t="shared" si="1665"/>
        <v>168599</v>
      </c>
      <c r="AB3806" s="244">
        <f t="shared" ref="AB3806" si="1667">AB3802+AB3803+AB3804</f>
        <v>426</v>
      </c>
      <c r="AC3806" s="239">
        <f t="shared" si="1665"/>
        <v>763359</v>
      </c>
      <c r="AD3806" s="102">
        <f t="shared" si="1665"/>
        <v>717585</v>
      </c>
      <c r="AE3806" s="102">
        <f t="shared" si="1665"/>
        <v>0</v>
      </c>
      <c r="AF3806" s="102">
        <f t="shared" si="1665"/>
        <v>0</v>
      </c>
      <c r="AG3806" s="102">
        <f t="shared" si="1665"/>
        <v>0</v>
      </c>
      <c r="AH3806" s="102">
        <f t="shared" si="1665"/>
        <v>0</v>
      </c>
      <c r="AI3806" s="102">
        <f t="shared" si="1665"/>
        <v>2518</v>
      </c>
      <c r="AJ3806" s="102">
        <f t="shared" si="1665"/>
        <v>304147</v>
      </c>
      <c r="AK3806" s="102">
        <f t="shared" si="1665"/>
        <v>0</v>
      </c>
      <c r="AL3806" s="102">
        <f t="shared" si="1665"/>
        <v>0</v>
      </c>
      <c r="AM3806" s="102">
        <f t="shared" si="1665"/>
        <v>0</v>
      </c>
      <c r="AN3806" s="102">
        <f t="shared" si="1665"/>
        <v>0</v>
      </c>
      <c r="AO3806" s="102">
        <f t="shared" si="1665"/>
        <v>3744</v>
      </c>
      <c r="AP3806" s="102">
        <f t="shared" si="1665"/>
        <v>293915</v>
      </c>
      <c r="AQ3806" s="102">
        <f t="shared" si="1665"/>
        <v>0</v>
      </c>
      <c r="AR3806" s="102">
        <f t="shared" si="1665"/>
        <v>0</v>
      </c>
      <c r="AS3806" s="102">
        <f t="shared" si="1665"/>
        <v>0</v>
      </c>
      <c r="AT3806" s="102">
        <f t="shared" si="1665"/>
        <v>0</v>
      </c>
      <c r="AU3806" s="102">
        <f t="shared" ref="AU3806:AX3806" si="1668">AU3802+AU3803+AU3804</f>
        <v>0</v>
      </c>
      <c r="AV3806" s="102">
        <f t="shared" si="1668"/>
        <v>279815</v>
      </c>
      <c r="AW3806" s="102">
        <f t="shared" si="1668"/>
        <v>0</v>
      </c>
      <c r="AX3806" s="102">
        <f t="shared" si="1668"/>
        <v>0</v>
      </c>
      <c r="AY3806" s="102">
        <f t="shared" si="1665"/>
        <v>0</v>
      </c>
      <c r="AZ3806" s="102">
        <f t="shared" si="1665"/>
        <v>0</v>
      </c>
      <c r="BA3806" s="102">
        <f t="shared" si="1665"/>
        <v>0</v>
      </c>
      <c r="BB3806" s="235">
        <f t="shared" si="1665"/>
        <v>304513</v>
      </c>
      <c r="BC3806" s="244">
        <f t="shared" ref="BC3806" si="1669">BC3802+BC3803+BC3804</f>
        <v>6262</v>
      </c>
      <c r="BD3806" s="239">
        <f t="shared" si="1665"/>
        <v>1182390</v>
      </c>
      <c r="BE3806" s="289">
        <f t="shared" si="1665"/>
        <v>1288273</v>
      </c>
      <c r="BF3806" s="244">
        <f>AB3806+BC3806</f>
        <v>6688</v>
      </c>
      <c r="BG3806" s="239">
        <f t="shared" si="1665"/>
        <v>1945749</v>
      </c>
      <c r="BH3806" s="102">
        <f t="shared" si="1665"/>
        <v>2005858</v>
      </c>
      <c r="BI3806" s="213">
        <f t="shared" si="1650"/>
        <v>97.003327254471657</v>
      </c>
      <c r="BJ3806" s="260">
        <f>BJ3802+BJ3803+BJ3804</f>
        <v>2007886</v>
      </c>
      <c r="BK3806" s="206">
        <f>BH3806-BJ3806</f>
        <v>-2028</v>
      </c>
      <c r="BL3806" s="264">
        <f>BH3806/4</f>
        <v>501464.5</v>
      </c>
      <c r="BO3806" s="246"/>
    </row>
    <row r="3807" spans="1:67" s="17" customFormat="1" ht="15" customHeight="1" thickTop="1">
      <c r="A3807" s="361" t="s">
        <v>1302</v>
      </c>
      <c r="B3807" s="361"/>
      <c r="C3807" s="361"/>
      <c r="D3807" s="361"/>
      <c r="E3807" s="361"/>
      <c r="F3807" s="361"/>
      <c r="G3807" s="361"/>
      <c r="H3807" s="361"/>
      <c r="I3807" s="361"/>
      <c r="J3807" s="361"/>
      <c r="K3807" s="361"/>
      <c r="L3807" s="361"/>
      <c r="M3807" s="361"/>
      <c r="N3807" s="361"/>
      <c r="O3807" s="361"/>
      <c r="P3807" s="361"/>
      <c r="Q3807" s="361"/>
      <c r="R3807" s="361"/>
      <c r="S3807" s="361"/>
      <c r="T3807" s="361"/>
      <c r="U3807" s="361"/>
      <c r="V3807" s="361"/>
      <c r="W3807" s="361"/>
      <c r="X3807" s="361"/>
      <c r="Y3807" s="361"/>
      <c r="Z3807" s="361"/>
      <c r="AA3807" s="361"/>
      <c r="AB3807" s="362"/>
      <c r="AC3807" s="361"/>
      <c r="AD3807" s="361"/>
      <c r="AE3807" s="361"/>
      <c r="AF3807" s="361"/>
      <c r="AG3807" s="361"/>
      <c r="AH3807" s="361"/>
      <c r="AI3807" s="361"/>
      <c r="AJ3807" s="361"/>
      <c r="AK3807" s="361"/>
      <c r="AL3807" s="361"/>
      <c r="AM3807" s="361"/>
      <c r="AN3807" s="361"/>
      <c r="AO3807" s="361"/>
      <c r="AP3807" s="361"/>
      <c r="AQ3807" s="361"/>
      <c r="AR3807" s="361"/>
      <c r="AS3807" s="361"/>
      <c r="AT3807" s="361"/>
      <c r="AU3807" s="361"/>
      <c r="AV3807" s="361"/>
      <c r="AW3807" s="361"/>
      <c r="AX3807" s="361"/>
      <c r="AY3807" s="361"/>
      <c r="AZ3807" s="361"/>
      <c r="BA3807" s="361"/>
      <c r="BB3807" s="361"/>
      <c r="BC3807" s="362"/>
      <c r="BD3807" s="361"/>
      <c r="BE3807" s="361"/>
      <c r="BF3807" s="362"/>
      <c r="BG3807" s="361"/>
      <c r="BH3807" s="361"/>
      <c r="BI3807" s="213" t="e">
        <f t="shared" si="1650"/>
        <v>#DIV/0!</v>
      </c>
      <c r="BJ3807" s="141">
        <f>BH3806-BJ3806</f>
        <v>-2028</v>
      </c>
      <c r="BK3807" s="202"/>
      <c r="BL3807" s="255">
        <f>BL3806-BG3806</f>
        <v>-1444284.5</v>
      </c>
      <c r="BM3807" s="202"/>
    </row>
    <row r="3808" spans="1:67" s="17" customFormat="1" ht="15" customHeight="1">
      <c r="A3808" s="127">
        <v>1</v>
      </c>
      <c r="B3808" s="72" t="s">
        <v>961</v>
      </c>
      <c r="C3808" s="173" t="s">
        <v>1303</v>
      </c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>
        <f t="shared" ref="AC3808:AC3819" si="1670">SUM(D3808:AA3808)</f>
        <v>0</v>
      </c>
      <c r="AD3808" s="71">
        <v>10</v>
      </c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>
        <f t="shared" ref="BD3808:BD3819" si="1671">SUM(AE3808:BB3808)</f>
        <v>0</v>
      </c>
      <c r="BE3808" s="19">
        <v>0</v>
      </c>
      <c r="BF3808" s="19"/>
      <c r="BG3808" s="102">
        <f t="shared" ref="BG3808:BG3819" si="1672">AC3808+BD3808</f>
        <v>0</v>
      </c>
      <c r="BH3808" s="102">
        <f t="shared" ref="BH3808:BH3819" si="1673">AD3808+BE3808</f>
        <v>10</v>
      </c>
      <c r="BI3808" s="213">
        <f t="shared" si="1650"/>
        <v>0</v>
      </c>
      <c r="BJ3808" s="259">
        <v>10</v>
      </c>
      <c r="BK3808" s="201"/>
      <c r="BL3808" s="202"/>
      <c r="BM3808" s="202"/>
    </row>
    <row r="3809" spans="1:65" s="17" customFormat="1" ht="15" customHeight="1">
      <c r="A3809" s="127">
        <v>2</v>
      </c>
      <c r="B3809" s="47" t="s">
        <v>1304</v>
      </c>
      <c r="C3809" s="174" t="s">
        <v>1305</v>
      </c>
      <c r="D3809" s="48"/>
      <c r="E3809" s="48"/>
      <c r="F3809" s="48"/>
      <c r="G3809" s="48"/>
      <c r="H3809" s="48"/>
      <c r="I3809" s="48"/>
      <c r="J3809" s="48"/>
      <c r="K3809" s="48"/>
      <c r="L3809" s="48"/>
      <c r="M3809" s="48"/>
      <c r="N3809" s="48"/>
      <c r="O3809" s="48"/>
      <c r="P3809" s="48"/>
      <c r="Q3809" s="48"/>
      <c r="R3809" s="48"/>
      <c r="S3809" s="48"/>
      <c r="T3809" s="48"/>
      <c r="U3809" s="48"/>
      <c r="V3809" s="48"/>
      <c r="W3809" s="48"/>
      <c r="X3809" s="48"/>
      <c r="Y3809" s="48"/>
      <c r="Z3809" s="48"/>
      <c r="AA3809" s="48"/>
      <c r="AB3809" s="48"/>
      <c r="AC3809" s="48">
        <f t="shared" si="1670"/>
        <v>0</v>
      </c>
      <c r="AD3809" s="71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>
        <f t="shared" si="1671"/>
        <v>0</v>
      </c>
      <c r="BE3809" s="19">
        <v>0</v>
      </c>
      <c r="BF3809" s="19"/>
      <c r="BG3809" s="102">
        <f t="shared" si="1672"/>
        <v>0</v>
      </c>
      <c r="BH3809" s="102">
        <f t="shared" si="1673"/>
        <v>0</v>
      </c>
      <c r="BI3809" s="213" t="e">
        <f t="shared" si="1650"/>
        <v>#DIV/0!</v>
      </c>
      <c r="BJ3809" s="141"/>
      <c r="BK3809" s="202"/>
      <c r="BL3809" s="202"/>
      <c r="BM3809" s="202"/>
    </row>
    <row r="3810" spans="1:65" s="17" customFormat="1" ht="12.75" customHeight="1">
      <c r="A3810" s="127">
        <v>3</v>
      </c>
      <c r="B3810" s="47" t="s">
        <v>1306</v>
      </c>
      <c r="C3810" s="174" t="s">
        <v>1307</v>
      </c>
      <c r="D3810" s="48"/>
      <c r="E3810" s="48"/>
      <c r="F3810" s="48"/>
      <c r="G3810" s="48"/>
      <c r="H3810" s="48"/>
      <c r="I3810" s="48"/>
      <c r="J3810" s="48"/>
      <c r="K3810" s="48"/>
      <c r="L3810" s="48"/>
      <c r="M3810" s="48"/>
      <c r="N3810" s="48"/>
      <c r="O3810" s="48"/>
      <c r="P3810" s="48"/>
      <c r="Q3810" s="48"/>
      <c r="R3810" s="48"/>
      <c r="S3810" s="48"/>
      <c r="T3810" s="48"/>
      <c r="U3810" s="48"/>
      <c r="V3810" s="48"/>
      <c r="W3810" s="48"/>
      <c r="X3810" s="48"/>
      <c r="Y3810" s="48"/>
      <c r="Z3810" s="48"/>
      <c r="AA3810" s="48"/>
      <c r="AB3810" s="48"/>
      <c r="AC3810" s="48">
        <f t="shared" si="1670"/>
        <v>0</v>
      </c>
      <c r="AD3810" s="71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>
        <f t="shared" si="1671"/>
        <v>0</v>
      </c>
      <c r="BE3810" s="19">
        <v>0</v>
      </c>
      <c r="BF3810" s="19"/>
      <c r="BG3810" s="102">
        <f t="shared" si="1672"/>
        <v>0</v>
      </c>
      <c r="BH3810" s="102">
        <f t="shared" si="1673"/>
        <v>0</v>
      </c>
      <c r="BI3810" s="213" t="e">
        <f t="shared" si="1650"/>
        <v>#DIV/0!</v>
      </c>
      <c r="BJ3810" s="141"/>
      <c r="BK3810" s="202"/>
      <c r="BL3810" s="202"/>
      <c r="BM3810" s="202"/>
    </row>
    <row r="3811" spans="1:65" s="17" customFormat="1" ht="11.1" customHeight="1">
      <c r="A3811" s="127">
        <v>4</v>
      </c>
      <c r="B3811" s="47" t="s">
        <v>49</v>
      </c>
      <c r="C3811" s="174" t="s">
        <v>1308</v>
      </c>
      <c r="D3811" s="48"/>
      <c r="E3811" s="48"/>
      <c r="F3811" s="48"/>
      <c r="G3811" s="48"/>
      <c r="H3811" s="48"/>
      <c r="I3811" s="48"/>
      <c r="J3811" s="48"/>
      <c r="K3811" s="48"/>
      <c r="L3811" s="48"/>
      <c r="M3811" s="48"/>
      <c r="N3811" s="48"/>
      <c r="O3811" s="48"/>
      <c r="P3811" s="48"/>
      <c r="Q3811" s="48"/>
      <c r="R3811" s="48"/>
      <c r="S3811" s="48"/>
      <c r="T3811" s="48"/>
      <c r="U3811" s="48"/>
      <c r="V3811" s="48"/>
      <c r="W3811" s="48"/>
      <c r="X3811" s="48"/>
      <c r="Y3811" s="48"/>
      <c r="Z3811" s="48"/>
      <c r="AA3811" s="48"/>
      <c r="AB3811" s="48"/>
      <c r="AC3811" s="48">
        <f t="shared" si="1670"/>
        <v>0</v>
      </c>
      <c r="AD3811" s="71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>
        <f t="shared" si="1671"/>
        <v>0</v>
      </c>
      <c r="BE3811" s="19">
        <v>0</v>
      </c>
      <c r="BF3811" s="19"/>
      <c r="BG3811" s="102">
        <f t="shared" si="1672"/>
        <v>0</v>
      </c>
      <c r="BH3811" s="102">
        <f t="shared" si="1673"/>
        <v>0</v>
      </c>
      <c r="BI3811" s="213" t="e">
        <f t="shared" si="1650"/>
        <v>#DIV/0!</v>
      </c>
      <c r="BJ3811" s="141"/>
      <c r="BK3811" s="202"/>
      <c r="BL3811" s="202"/>
      <c r="BM3811" s="202"/>
    </row>
    <row r="3812" spans="1:65" s="17" customFormat="1" ht="12.75" customHeight="1">
      <c r="A3812" s="127">
        <v>5</v>
      </c>
      <c r="B3812" s="47" t="s">
        <v>1309</v>
      </c>
      <c r="C3812" s="174" t="s">
        <v>1310</v>
      </c>
      <c r="D3812" s="48"/>
      <c r="E3812" s="48"/>
      <c r="F3812" s="48"/>
      <c r="G3812" s="48"/>
      <c r="H3812" s="48"/>
      <c r="I3812" s="48"/>
      <c r="J3812" s="48"/>
      <c r="K3812" s="48"/>
      <c r="L3812" s="48"/>
      <c r="M3812" s="48"/>
      <c r="N3812" s="48"/>
      <c r="O3812" s="48"/>
      <c r="P3812" s="48"/>
      <c r="Q3812" s="48"/>
      <c r="R3812" s="48"/>
      <c r="S3812" s="48"/>
      <c r="T3812" s="48"/>
      <c r="U3812" s="48"/>
      <c r="V3812" s="48"/>
      <c r="W3812" s="48"/>
      <c r="X3812" s="48"/>
      <c r="Y3812" s="48"/>
      <c r="Z3812" s="48"/>
      <c r="AA3812" s="48"/>
      <c r="AB3812" s="48"/>
      <c r="AC3812" s="48">
        <f t="shared" si="1670"/>
        <v>0</v>
      </c>
      <c r="AD3812" s="71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>
        <f t="shared" si="1671"/>
        <v>0</v>
      </c>
      <c r="BE3812" s="19">
        <v>0</v>
      </c>
      <c r="BF3812" s="19"/>
      <c r="BG3812" s="102">
        <f t="shared" si="1672"/>
        <v>0</v>
      </c>
      <c r="BH3812" s="102">
        <f t="shared" si="1673"/>
        <v>0</v>
      </c>
      <c r="BI3812" s="213" t="e">
        <f t="shared" si="1650"/>
        <v>#DIV/0!</v>
      </c>
      <c r="BJ3812" s="141"/>
      <c r="BK3812" s="202"/>
      <c r="BL3812" s="202"/>
      <c r="BM3812" s="202"/>
    </row>
    <row r="3813" spans="1:65" s="17" customFormat="1" ht="14.25" customHeight="1">
      <c r="A3813" s="127">
        <v>6</v>
      </c>
      <c r="B3813" s="47" t="s">
        <v>590</v>
      </c>
      <c r="C3813" s="174" t="s">
        <v>1311</v>
      </c>
      <c r="D3813" s="48"/>
      <c r="E3813" s="48"/>
      <c r="F3813" s="48"/>
      <c r="G3813" s="48"/>
      <c r="H3813" s="48"/>
      <c r="I3813" s="48"/>
      <c r="J3813" s="48"/>
      <c r="K3813" s="48"/>
      <c r="L3813" s="48"/>
      <c r="M3813" s="48"/>
      <c r="N3813" s="48"/>
      <c r="O3813" s="48"/>
      <c r="P3813" s="48"/>
      <c r="Q3813" s="48"/>
      <c r="R3813" s="48"/>
      <c r="S3813" s="48"/>
      <c r="T3813" s="48"/>
      <c r="U3813" s="48"/>
      <c r="V3813" s="48"/>
      <c r="W3813" s="48"/>
      <c r="X3813" s="48"/>
      <c r="Y3813" s="48"/>
      <c r="Z3813" s="48"/>
      <c r="AA3813" s="48"/>
      <c r="AB3813" s="48"/>
      <c r="AC3813" s="48">
        <f t="shared" si="1670"/>
        <v>0</v>
      </c>
      <c r="AD3813" s="71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>
        <f t="shared" si="1671"/>
        <v>0</v>
      </c>
      <c r="BE3813" s="19">
        <v>0</v>
      </c>
      <c r="BF3813" s="19"/>
      <c r="BG3813" s="102">
        <f t="shared" si="1672"/>
        <v>0</v>
      </c>
      <c r="BH3813" s="102">
        <f t="shared" si="1673"/>
        <v>0</v>
      </c>
      <c r="BI3813" s="213" t="e">
        <f t="shared" si="1650"/>
        <v>#DIV/0!</v>
      </c>
      <c r="BJ3813" s="141"/>
      <c r="BK3813" s="202"/>
      <c r="BL3813" s="202"/>
      <c r="BM3813" s="202"/>
    </row>
    <row r="3814" spans="1:65" s="17" customFormat="1" ht="19.5" customHeight="1">
      <c r="A3814" s="127">
        <v>7</v>
      </c>
      <c r="B3814" s="187" t="s">
        <v>591</v>
      </c>
      <c r="C3814" s="173" t="s">
        <v>1312</v>
      </c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>
        <f t="shared" si="1670"/>
        <v>0</v>
      </c>
      <c r="AD3814" s="71">
        <v>0</v>
      </c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>
        <f t="shared" si="1671"/>
        <v>0</v>
      </c>
      <c r="BE3814" s="19">
        <v>0</v>
      </c>
      <c r="BF3814" s="19"/>
      <c r="BG3814" s="102">
        <f t="shared" si="1672"/>
        <v>0</v>
      </c>
      <c r="BH3814" s="102">
        <f t="shared" si="1673"/>
        <v>0</v>
      </c>
      <c r="BI3814" s="213" t="e">
        <f t="shared" si="1650"/>
        <v>#DIV/0!</v>
      </c>
      <c r="BJ3814" s="141"/>
      <c r="BK3814" s="202"/>
      <c r="BL3814" s="202"/>
      <c r="BM3814" s="202"/>
    </row>
    <row r="3815" spans="1:65" s="17" customFormat="1" ht="15" customHeight="1">
      <c r="A3815" s="127">
        <v>8</v>
      </c>
      <c r="B3815" s="47" t="s">
        <v>718</v>
      </c>
      <c r="C3815" s="174" t="s">
        <v>1313</v>
      </c>
      <c r="D3815" s="48"/>
      <c r="E3815" s="48"/>
      <c r="F3815" s="48"/>
      <c r="G3815" s="48"/>
      <c r="H3815" s="48"/>
      <c r="I3815" s="48"/>
      <c r="J3815" s="48"/>
      <c r="K3815" s="48"/>
      <c r="L3815" s="48"/>
      <c r="M3815" s="48"/>
      <c r="N3815" s="48"/>
      <c r="O3815" s="48"/>
      <c r="P3815" s="48"/>
      <c r="Q3815" s="48"/>
      <c r="R3815" s="48"/>
      <c r="S3815" s="48"/>
      <c r="T3815" s="48"/>
      <c r="U3815" s="48"/>
      <c r="V3815" s="48"/>
      <c r="W3815" s="48"/>
      <c r="X3815" s="48"/>
      <c r="Y3815" s="48"/>
      <c r="Z3815" s="48"/>
      <c r="AA3815" s="48"/>
      <c r="AB3815" s="48"/>
      <c r="AC3815" s="48">
        <f t="shared" si="1670"/>
        <v>0</v>
      </c>
      <c r="AD3815" s="71">
        <v>0</v>
      </c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>
        <f t="shared" si="1671"/>
        <v>0</v>
      </c>
      <c r="BE3815" s="19">
        <v>0</v>
      </c>
      <c r="BF3815" s="19"/>
      <c r="BG3815" s="102">
        <f t="shared" si="1672"/>
        <v>0</v>
      </c>
      <c r="BH3815" s="102">
        <f t="shared" si="1673"/>
        <v>0</v>
      </c>
      <c r="BI3815" s="213" t="e">
        <f t="shared" si="1650"/>
        <v>#DIV/0!</v>
      </c>
      <c r="BJ3815" s="141"/>
      <c r="BK3815" s="202"/>
      <c r="BL3815" s="202"/>
      <c r="BM3815" s="202"/>
    </row>
    <row r="3816" spans="1:65" s="17" customFormat="1" ht="15" customHeight="1">
      <c r="A3816" s="127">
        <v>9</v>
      </c>
      <c r="B3816" s="47" t="s">
        <v>719</v>
      </c>
      <c r="C3816" s="174" t="s">
        <v>1314</v>
      </c>
      <c r="D3816" s="48"/>
      <c r="E3816" s="48"/>
      <c r="F3816" s="48"/>
      <c r="G3816" s="48"/>
      <c r="H3816" s="48"/>
      <c r="I3816" s="48"/>
      <c r="J3816" s="48"/>
      <c r="K3816" s="48"/>
      <c r="L3816" s="48"/>
      <c r="M3816" s="48"/>
      <c r="N3816" s="48"/>
      <c r="O3816" s="48"/>
      <c r="P3816" s="48"/>
      <c r="Q3816" s="48"/>
      <c r="R3816" s="48"/>
      <c r="S3816" s="48"/>
      <c r="T3816" s="48"/>
      <c r="U3816" s="48"/>
      <c r="V3816" s="48"/>
      <c r="W3816" s="48"/>
      <c r="X3816" s="48"/>
      <c r="Y3816" s="48"/>
      <c r="Z3816" s="48"/>
      <c r="AA3816" s="48"/>
      <c r="AB3816" s="48"/>
      <c r="AC3816" s="48">
        <f t="shared" si="1670"/>
        <v>0</v>
      </c>
      <c r="AD3816" s="71">
        <v>0</v>
      </c>
      <c r="AE3816" s="18"/>
      <c r="AF3816" s="18"/>
      <c r="AG3816" s="18"/>
      <c r="AH3816" s="18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>
        <f t="shared" si="1671"/>
        <v>0</v>
      </c>
      <c r="BE3816" s="19">
        <v>0</v>
      </c>
      <c r="BF3816" s="19"/>
      <c r="BG3816" s="102">
        <f t="shared" si="1672"/>
        <v>0</v>
      </c>
      <c r="BH3816" s="102">
        <f t="shared" si="1673"/>
        <v>0</v>
      </c>
      <c r="BI3816" s="213" t="e">
        <f t="shared" si="1650"/>
        <v>#DIV/0!</v>
      </c>
      <c r="BJ3816" s="141"/>
      <c r="BK3816" s="202"/>
      <c r="BL3816" s="202"/>
      <c r="BM3816" s="202"/>
    </row>
    <row r="3817" spans="1:65" s="17" customFormat="1" ht="20.25" customHeight="1">
      <c r="A3817" s="127">
        <v>10</v>
      </c>
      <c r="B3817" s="47" t="s">
        <v>717</v>
      </c>
      <c r="C3817" s="174" t="s">
        <v>1315</v>
      </c>
      <c r="D3817" s="48"/>
      <c r="E3817" s="48"/>
      <c r="F3817" s="48"/>
      <c r="G3817" s="48"/>
      <c r="H3817" s="48"/>
      <c r="I3817" s="48"/>
      <c r="J3817" s="48"/>
      <c r="K3817" s="48"/>
      <c r="L3817" s="48"/>
      <c r="M3817" s="48"/>
      <c r="N3817" s="48"/>
      <c r="O3817" s="48"/>
      <c r="P3817" s="48"/>
      <c r="Q3817" s="48"/>
      <c r="R3817" s="48"/>
      <c r="S3817" s="48"/>
      <c r="T3817" s="48"/>
      <c r="U3817" s="48"/>
      <c r="V3817" s="48"/>
      <c r="W3817" s="48"/>
      <c r="X3817" s="48"/>
      <c r="Y3817" s="48"/>
      <c r="Z3817" s="48"/>
      <c r="AA3817" s="48"/>
      <c r="AB3817" s="48"/>
      <c r="AC3817" s="48">
        <f t="shared" si="1670"/>
        <v>0</v>
      </c>
      <c r="AD3817" s="71">
        <v>0</v>
      </c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>
        <f t="shared" si="1671"/>
        <v>0</v>
      </c>
      <c r="BE3817" s="19">
        <v>0</v>
      </c>
      <c r="BF3817" s="19"/>
      <c r="BG3817" s="102">
        <f t="shared" si="1672"/>
        <v>0</v>
      </c>
      <c r="BH3817" s="102">
        <f t="shared" si="1673"/>
        <v>0</v>
      </c>
      <c r="BI3817" s="213" t="e">
        <f t="shared" si="1650"/>
        <v>#DIV/0!</v>
      </c>
      <c r="BJ3817" s="141"/>
      <c r="BK3817" s="202"/>
      <c r="BL3817" s="202"/>
      <c r="BM3817" s="202"/>
    </row>
    <row r="3818" spans="1:65" s="17" customFormat="1" ht="21.75" customHeight="1">
      <c r="A3818" s="127">
        <v>11</v>
      </c>
      <c r="B3818" s="47" t="s">
        <v>1316</v>
      </c>
      <c r="C3818" s="174" t="s">
        <v>1317</v>
      </c>
      <c r="D3818" s="48"/>
      <c r="E3818" s="48"/>
      <c r="F3818" s="48"/>
      <c r="G3818" s="48"/>
      <c r="H3818" s="48"/>
      <c r="I3818" s="48"/>
      <c r="J3818" s="48"/>
      <c r="K3818" s="48"/>
      <c r="L3818" s="48"/>
      <c r="M3818" s="48"/>
      <c r="N3818" s="48"/>
      <c r="O3818" s="48"/>
      <c r="P3818" s="48"/>
      <c r="Q3818" s="48"/>
      <c r="R3818" s="48"/>
      <c r="S3818" s="48"/>
      <c r="T3818" s="48"/>
      <c r="U3818" s="48"/>
      <c r="V3818" s="48"/>
      <c r="W3818" s="48"/>
      <c r="X3818" s="48"/>
      <c r="Y3818" s="48"/>
      <c r="Z3818" s="48"/>
      <c r="AA3818" s="48"/>
      <c r="AB3818" s="48"/>
      <c r="AC3818" s="48">
        <f t="shared" si="1670"/>
        <v>0</v>
      </c>
      <c r="AD3818" s="71">
        <v>0</v>
      </c>
      <c r="AE3818" s="18"/>
      <c r="AF3818" s="18"/>
      <c r="AG3818" s="18"/>
      <c r="AH3818" s="18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>
        <f t="shared" si="1671"/>
        <v>0</v>
      </c>
      <c r="BE3818" s="19">
        <v>0</v>
      </c>
      <c r="BF3818" s="19"/>
      <c r="BG3818" s="102">
        <f t="shared" si="1672"/>
        <v>0</v>
      </c>
      <c r="BH3818" s="102">
        <f t="shared" si="1673"/>
        <v>0</v>
      </c>
      <c r="BI3818" s="213" t="e">
        <f t="shared" si="1650"/>
        <v>#DIV/0!</v>
      </c>
      <c r="BJ3818" s="141"/>
      <c r="BK3818" s="202"/>
      <c r="BL3818" s="202"/>
      <c r="BM3818" s="202"/>
    </row>
    <row r="3819" spans="1:65" ht="22.5" customHeight="1">
      <c r="A3819" s="127">
        <v>12</v>
      </c>
      <c r="B3819" s="47" t="s">
        <v>1318</v>
      </c>
      <c r="C3819" s="77" t="s">
        <v>1319</v>
      </c>
      <c r="D3819" s="48"/>
      <c r="E3819" s="48"/>
      <c r="F3819" s="48"/>
      <c r="G3819" s="48"/>
      <c r="H3819" s="48"/>
      <c r="I3819" s="48"/>
      <c r="J3819" s="48"/>
      <c r="K3819" s="48"/>
      <c r="L3819" s="48"/>
      <c r="M3819" s="48"/>
      <c r="N3819" s="48"/>
      <c r="O3819" s="48"/>
      <c r="P3819" s="48"/>
      <c r="Q3819" s="48"/>
      <c r="R3819" s="48"/>
      <c r="S3819" s="48"/>
      <c r="T3819" s="48"/>
      <c r="U3819" s="48"/>
      <c r="V3819" s="48"/>
      <c r="W3819" s="48"/>
      <c r="X3819" s="48"/>
      <c r="Y3819" s="48"/>
      <c r="Z3819" s="48"/>
      <c r="AA3819" s="48"/>
      <c r="AB3819" s="48"/>
      <c r="AC3819" s="48">
        <f t="shared" si="1670"/>
        <v>0</v>
      </c>
      <c r="AD3819" s="71">
        <v>0</v>
      </c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>
        <f t="shared" si="1671"/>
        <v>0</v>
      </c>
      <c r="BE3819" s="19">
        <v>0</v>
      </c>
      <c r="BF3819" s="19"/>
      <c r="BG3819" s="102">
        <f t="shared" si="1672"/>
        <v>0</v>
      </c>
      <c r="BH3819" s="102">
        <f t="shared" si="1673"/>
        <v>0</v>
      </c>
      <c r="BI3819" s="213" t="e">
        <f t="shared" si="1650"/>
        <v>#DIV/0!</v>
      </c>
      <c r="BJ3819" s="141"/>
    </row>
    <row r="3820" spans="1:65" ht="22.5" customHeight="1">
      <c r="A3820" s="355" t="s">
        <v>3198</v>
      </c>
      <c r="B3820" s="355"/>
      <c r="C3820" s="355"/>
      <c r="D3820" s="121">
        <f>SUM(D3808:D3819)</f>
        <v>0</v>
      </c>
      <c r="E3820" s="121">
        <f t="shared" ref="E3820:F3820" si="1674">SUM(E3808:E3819)</f>
        <v>0</v>
      </c>
      <c r="F3820" s="121">
        <f t="shared" si="1674"/>
        <v>0</v>
      </c>
      <c r="G3820" s="121">
        <f>SUM(G3808:G3819)</f>
        <v>0</v>
      </c>
      <c r="H3820" s="121">
        <f t="shared" ref="H3820:AG3820" si="1675">SUM(H3808:H3819)</f>
        <v>0</v>
      </c>
      <c r="I3820" s="121">
        <f t="shared" si="1675"/>
        <v>0</v>
      </c>
      <c r="J3820" s="121">
        <f t="shared" si="1675"/>
        <v>0</v>
      </c>
      <c r="K3820" s="121">
        <f t="shared" si="1675"/>
        <v>0</v>
      </c>
      <c r="L3820" s="121">
        <f t="shared" si="1675"/>
        <v>0</v>
      </c>
      <c r="M3820" s="121">
        <f t="shared" si="1675"/>
        <v>0</v>
      </c>
      <c r="N3820" s="121">
        <f t="shared" si="1675"/>
        <v>0</v>
      </c>
      <c r="O3820" s="121">
        <f t="shared" si="1675"/>
        <v>0</v>
      </c>
      <c r="P3820" s="121">
        <f t="shared" si="1675"/>
        <v>0</v>
      </c>
      <c r="Q3820" s="121">
        <f t="shared" si="1675"/>
        <v>0</v>
      </c>
      <c r="R3820" s="121">
        <f t="shared" si="1675"/>
        <v>0</v>
      </c>
      <c r="S3820" s="121">
        <f t="shared" si="1675"/>
        <v>0</v>
      </c>
      <c r="T3820" s="121">
        <f t="shared" si="1675"/>
        <v>0</v>
      </c>
      <c r="U3820" s="121">
        <f t="shared" si="1675"/>
        <v>0</v>
      </c>
      <c r="V3820" s="121">
        <f t="shared" ref="V3820:Y3820" si="1676">SUM(V3808:V3819)</f>
        <v>0</v>
      </c>
      <c r="W3820" s="121">
        <f t="shared" si="1676"/>
        <v>0</v>
      </c>
      <c r="X3820" s="121">
        <f t="shared" si="1676"/>
        <v>0</v>
      </c>
      <c r="Y3820" s="121">
        <f t="shared" si="1676"/>
        <v>0</v>
      </c>
      <c r="Z3820" s="121">
        <f t="shared" si="1675"/>
        <v>0</v>
      </c>
      <c r="AA3820" s="121">
        <f t="shared" si="1675"/>
        <v>0</v>
      </c>
      <c r="AB3820" s="121"/>
      <c r="AC3820" s="121">
        <f t="shared" si="1675"/>
        <v>0</v>
      </c>
      <c r="AD3820" s="121">
        <f t="shared" si="1675"/>
        <v>10</v>
      </c>
      <c r="AE3820" s="121">
        <f t="shared" si="1675"/>
        <v>0</v>
      </c>
      <c r="AF3820" s="121">
        <f t="shared" si="1675"/>
        <v>0</v>
      </c>
      <c r="AG3820" s="121">
        <f t="shared" si="1675"/>
        <v>0</v>
      </c>
      <c r="AH3820" s="121">
        <f>SUM(AH3808:AH3819)</f>
        <v>0</v>
      </c>
      <c r="AI3820" s="121">
        <f t="shared" ref="AI3820:AJ3820" si="1677">SUM(AI3808:AI3819)</f>
        <v>0</v>
      </c>
      <c r="AJ3820" s="121">
        <f t="shared" si="1677"/>
        <v>0</v>
      </c>
      <c r="AK3820" s="121">
        <f>SUM(AK3808:AK3819)</f>
        <v>0</v>
      </c>
      <c r="AL3820" s="121">
        <f t="shared" ref="AL3820:BH3820" si="1678">SUM(AL3808:AL3819)</f>
        <v>0</v>
      </c>
      <c r="AM3820" s="121">
        <f t="shared" si="1678"/>
        <v>0</v>
      </c>
      <c r="AN3820" s="121">
        <f t="shared" si="1678"/>
        <v>0</v>
      </c>
      <c r="AO3820" s="121">
        <f t="shared" si="1678"/>
        <v>0</v>
      </c>
      <c r="AP3820" s="121">
        <f t="shared" si="1678"/>
        <v>0</v>
      </c>
      <c r="AQ3820" s="121">
        <f t="shared" si="1678"/>
        <v>0</v>
      </c>
      <c r="AR3820" s="121">
        <f t="shared" si="1678"/>
        <v>0</v>
      </c>
      <c r="AS3820" s="121">
        <f t="shared" si="1678"/>
        <v>0</v>
      </c>
      <c r="AT3820" s="121">
        <f t="shared" si="1678"/>
        <v>0</v>
      </c>
      <c r="AU3820" s="121">
        <f t="shared" ref="AU3820:AX3820" si="1679">SUM(AU3808:AU3819)</f>
        <v>0</v>
      </c>
      <c r="AV3820" s="121">
        <f t="shared" si="1679"/>
        <v>0</v>
      </c>
      <c r="AW3820" s="121">
        <f t="shared" si="1679"/>
        <v>0</v>
      </c>
      <c r="AX3820" s="121">
        <f t="shared" si="1679"/>
        <v>0</v>
      </c>
      <c r="AY3820" s="121">
        <f t="shared" si="1678"/>
        <v>0</v>
      </c>
      <c r="AZ3820" s="121">
        <f t="shared" si="1678"/>
        <v>0</v>
      </c>
      <c r="BA3820" s="121">
        <f t="shared" si="1678"/>
        <v>0</v>
      </c>
      <c r="BB3820" s="121">
        <f t="shared" si="1678"/>
        <v>0</v>
      </c>
      <c r="BC3820" s="121"/>
      <c r="BD3820" s="121">
        <f t="shared" si="1678"/>
        <v>0</v>
      </c>
      <c r="BE3820" s="121">
        <f t="shared" si="1678"/>
        <v>0</v>
      </c>
      <c r="BF3820" s="121">
        <f t="shared" ref="BF3820" si="1680">SUM(BF3808:BF3819)</f>
        <v>0</v>
      </c>
      <c r="BG3820" s="121">
        <f t="shared" si="1678"/>
        <v>0</v>
      </c>
      <c r="BH3820" s="121">
        <f t="shared" si="1678"/>
        <v>10</v>
      </c>
      <c r="BI3820" s="213">
        <f t="shared" si="1650"/>
        <v>0</v>
      </c>
      <c r="BJ3820" s="141"/>
    </row>
    <row r="3821" spans="1:65" s="49" customFormat="1" ht="22.5" customHeight="1">
      <c r="A3821" s="355" t="s">
        <v>1320</v>
      </c>
      <c r="B3821" s="355"/>
      <c r="C3821" s="355"/>
      <c r="D3821" s="121">
        <f t="shared" ref="D3821:BH3821" si="1681">D3806+D3820</f>
        <v>0</v>
      </c>
      <c r="E3821" s="121">
        <f t="shared" si="1681"/>
        <v>0</v>
      </c>
      <c r="F3821" s="121">
        <f t="shared" si="1681"/>
        <v>0</v>
      </c>
      <c r="G3821" s="121">
        <f t="shared" si="1681"/>
        <v>0</v>
      </c>
      <c r="H3821" s="121">
        <f t="shared" si="1681"/>
        <v>411</v>
      </c>
      <c r="I3821" s="121">
        <f t="shared" si="1681"/>
        <v>182079</v>
      </c>
      <c r="J3821" s="121">
        <f t="shared" ref="J3821:AB3821" si="1682">J3806+J3820</f>
        <v>0</v>
      </c>
      <c r="K3821" s="121">
        <f t="shared" si="1682"/>
        <v>0</v>
      </c>
      <c r="L3821" s="121">
        <f t="shared" si="1682"/>
        <v>0</v>
      </c>
      <c r="M3821" s="121">
        <f t="shared" si="1682"/>
        <v>0</v>
      </c>
      <c r="N3821" s="121">
        <f t="shared" si="1682"/>
        <v>15</v>
      </c>
      <c r="O3821" s="121">
        <f t="shared" si="1682"/>
        <v>183745</v>
      </c>
      <c r="P3821" s="121">
        <f t="shared" si="1682"/>
        <v>0</v>
      </c>
      <c r="Q3821" s="121">
        <f t="shared" si="1682"/>
        <v>0</v>
      </c>
      <c r="R3821" s="121">
        <f t="shared" si="1682"/>
        <v>0</v>
      </c>
      <c r="S3821" s="121">
        <f t="shared" si="1682"/>
        <v>0</v>
      </c>
      <c r="T3821" s="121">
        <f t="shared" si="1682"/>
        <v>0</v>
      </c>
      <c r="U3821" s="121">
        <f t="shared" si="1682"/>
        <v>228936</v>
      </c>
      <c r="V3821" s="121">
        <f t="shared" si="1682"/>
        <v>0</v>
      </c>
      <c r="W3821" s="121">
        <f t="shared" si="1682"/>
        <v>0</v>
      </c>
      <c r="X3821" s="121">
        <f t="shared" si="1682"/>
        <v>0</v>
      </c>
      <c r="Y3821" s="121">
        <f t="shared" si="1682"/>
        <v>0</v>
      </c>
      <c r="Z3821" s="121">
        <f t="shared" si="1682"/>
        <v>0</v>
      </c>
      <c r="AA3821" s="121">
        <f t="shared" si="1682"/>
        <v>168599</v>
      </c>
      <c r="AB3821" s="121">
        <f t="shared" si="1682"/>
        <v>426</v>
      </c>
      <c r="AC3821" s="121">
        <f t="shared" si="1681"/>
        <v>763359</v>
      </c>
      <c r="AD3821" s="121">
        <f t="shared" si="1681"/>
        <v>717595</v>
      </c>
      <c r="AE3821" s="121">
        <f t="shared" si="1681"/>
        <v>0</v>
      </c>
      <c r="AF3821" s="121">
        <f t="shared" si="1681"/>
        <v>0</v>
      </c>
      <c r="AG3821" s="121">
        <f t="shared" si="1681"/>
        <v>0</v>
      </c>
      <c r="AH3821" s="121">
        <f t="shared" si="1681"/>
        <v>0</v>
      </c>
      <c r="AI3821" s="121">
        <f t="shared" si="1681"/>
        <v>2518</v>
      </c>
      <c r="AJ3821" s="121">
        <f t="shared" si="1681"/>
        <v>304147</v>
      </c>
      <c r="AK3821" s="121">
        <f t="shared" ref="AK3821:BC3821" si="1683">AK3806+AK3820</f>
        <v>0</v>
      </c>
      <c r="AL3821" s="121">
        <f t="shared" si="1683"/>
        <v>0</v>
      </c>
      <c r="AM3821" s="121">
        <f t="shared" si="1683"/>
        <v>0</v>
      </c>
      <c r="AN3821" s="121">
        <f t="shared" si="1683"/>
        <v>0</v>
      </c>
      <c r="AO3821" s="121">
        <f t="shared" si="1683"/>
        <v>3744</v>
      </c>
      <c r="AP3821" s="121">
        <f t="shared" si="1683"/>
        <v>293915</v>
      </c>
      <c r="AQ3821" s="121">
        <f t="shared" si="1683"/>
        <v>0</v>
      </c>
      <c r="AR3821" s="121">
        <f t="shared" si="1683"/>
        <v>0</v>
      </c>
      <c r="AS3821" s="121">
        <f t="shared" si="1683"/>
        <v>0</v>
      </c>
      <c r="AT3821" s="121">
        <f t="shared" si="1683"/>
        <v>0</v>
      </c>
      <c r="AU3821" s="121">
        <f t="shared" si="1683"/>
        <v>0</v>
      </c>
      <c r="AV3821" s="121">
        <f t="shared" si="1683"/>
        <v>279815</v>
      </c>
      <c r="AW3821" s="121">
        <f t="shared" si="1683"/>
        <v>0</v>
      </c>
      <c r="AX3821" s="121">
        <f t="shared" si="1683"/>
        <v>0</v>
      </c>
      <c r="AY3821" s="121">
        <f t="shared" si="1683"/>
        <v>0</v>
      </c>
      <c r="AZ3821" s="121">
        <f t="shared" si="1683"/>
        <v>0</v>
      </c>
      <c r="BA3821" s="121">
        <f t="shared" si="1683"/>
        <v>0</v>
      </c>
      <c r="BB3821" s="121">
        <f t="shared" si="1683"/>
        <v>304513</v>
      </c>
      <c r="BC3821" s="121">
        <f t="shared" si="1683"/>
        <v>6262</v>
      </c>
      <c r="BD3821" s="121">
        <f t="shared" si="1681"/>
        <v>1182390</v>
      </c>
      <c r="BE3821" s="121">
        <f t="shared" si="1681"/>
        <v>1288273</v>
      </c>
      <c r="BF3821" s="121">
        <f t="shared" ref="BF3821" si="1684">BF3806+BF3820</f>
        <v>6688</v>
      </c>
      <c r="BG3821" s="121">
        <f t="shared" si="1681"/>
        <v>1945749</v>
      </c>
      <c r="BH3821" s="121">
        <f t="shared" si="1681"/>
        <v>2005868</v>
      </c>
      <c r="BI3821" s="213">
        <f t="shared" si="1650"/>
        <v>97.002843656711207</v>
      </c>
      <c r="BJ3821" s="259">
        <v>2007896</v>
      </c>
      <c r="BK3821" s="200"/>
      <c r="BL3821" s="200"/>
      <c r="BM3821" s="200"/>
    </row>
    <row r="3822" spans="1:65" s="49" customFormat="1" ht="22.5" hidden="1" customHeight="1">
      <c r="A3822" s="354" t="s">
        <v>1321</v>
      </c>
      <c r="B3822" s="354"/>
      <c r="C3822" s="354"/>
      <c r="D3822" s="90">
        <f t="shared" ref="D3822:BH3822" si="1685">D3802</f>
        <v>0</v>
      </c>
      <c r="E3822" s="90">
        <f t="shared" si="1685"/>
        <v>0</v>
      </c>
      <c r="F3822" s="90">
        <f t="shared" si="1685"/>
        <v>0</v>
      </c>
      <c r="G3822" s="90">
        <f t="shared" si="1685"/>
        <v>0</v>
      </c>
      <c r="H3822" s="90">
        <f t="shared" si="1685"/>
        <v>411</v>
      </c>
      <c r="I3822" s="90">
        <f t="shared" si="1685"/>
        <v>433</v>
      </c>
      <c r="J3822" s="90">
        <f t="shared" ref="J3822:AB3822" si="1686">J3802</f>
        <v>0</v>
      </c>
      <c r="K3822" s="90">
        <f t="shared" si="1686"/>
        <v>0</v>
      </c>
      <c r="L3822" s="90">
        <f t="shared" si="1686"/>
        <v>0</v>
      </c>
      <c r="M3822" s="90">
        <f t="shared" si="1686"/>
        <v>0</v>
      </c>
      <c r="N3822" s="90">
        <f t="shared" si="1686"/>
        <v>15</v>
      </c>
      <c r="O3822" s="90">
        <f t="shared" si="1686"/>
        <v>16</v>
      </c>
      <c r="P3822" s="90">
        <f t="shared" si="1686"/>
        <v>0</v>
      </c>
      <c r="Q3822" s="90">
        <f t="shared" si="1686"/>
        <v>0</v>
      </c>
      <c r="R3822" s="90">
        <f t="shared" si="1686"/>
        <v>0</v>
      </c>
      <c r="S3822" s="90">
        <f t="shared" si="1686"/>
        <v>0</v>
      </c>
      <c r="T3822" s="90">
        <f t="shared" si="1686"/>
        <v>0</v>
      </c>
      <c r="U3822" s="90">
        <f t="shared" si="1686"/>
        <v>1649</v>
      </c>
      <c r="V3822" s="90">
        <f t="shared" si="1686"/>
        <v>0</v>
      </c>
      <c r="W3822" s="90">
        <f t="shared" si="1686"/>
        <v>0</v>
      </c>
      <c r="X3822" s="90">
        <f t="shared" si="1686"/>
        <v>0</v>
      </c>
      <c r="Y3822" s="90">
        <f t="shared" si="1686"/>
        <v>0</v>
      </c>
      <c r="Z3822" s="90">
        <f t="shared" si="1686"/>
        <v>0</v>
      </c>
      <c r="AA3822" s="90">
        <f t="shared" si="1686"/>
        <v>1720</v>
      </c>
      <c r="AB3822" s="90">
        <f t="shared" si="1686"/>
        <v>426</v>
      </c>
      <c r="AC3822" s="90">
        <f t="shared" si="1685"/>
        <v>3818</v>
      </c>
      <c r="AD3822" s="90">
        <f t="shared" si="1685"/>
        <v>6204</v>
      </c>
      <c r="AE3822" s="90">
        <f t="shared" si="1685"/>
        <v>0</v>
      </c>
      <c r="AF3822" s="90">
        <f t="shared" si="1685"/>
        <v>0</v>
      </c>
      <c r="AG3822" s="90">
        <f t="shared" si="1685"/>
        <v>0</v>
      </c>
      <c r="AH3822" s="90">
        <f t="shared" si="1685"/>
        <v>0</v>
      </c>
      <c r="AI3822" s="90">
        <f t="shared" si="1685"/>
        <v>2192</v>
      </c>
      <c r="AJ3822" s="90">
        <f t="shared" si="1685"/>
        <v>2238</v>
      </c>
      <c r="AK3822" s="90">
        <f t="shared" ref="AK3822:BC3822" si="1687">AK3802</f>
        <v>0</v>
      </c>
      <c r="AL3822" s="90">
        <f t="shared" si="1687"/>
        <v>0</v>
      </c>
      <c r="AM3822" s="90">
        <f t="shared" si="1687"/>
        <v>0</v>
      </c>
      <c r="AN3822" s="90">
        <f t="shared" si="1687"/>
        <v>0</v>
      </c>
      <c r="AO3822" s="90">
        <f t="shared" si="1687"/>
        <v>3404</v>
      </c>
      <c r="AP3822" s="90">
        <f t="shared" si="1687"/>
        <v>3899</v>
      </c>
      <c r="AQ3822" s="90">
        <f t="shared" si="1687"/>
        <v>0</v>
      </c>
      <c r="AR3822" s="90">
        <f t="shared" si="1687"/>
        <v>0</v>
      </c>
      <c r="AS3822" s="90">
        <f t="shared" si="1687"/>
        <v>0</v>
      </c>
      <c r="AT3822" s="90">
        <f t="shared" si="1687"/>
        <v>0</v>
      </c>
      <c r="AU3822" s="90">
        <f t="shared" si="1687"/>
        <v>0</v>
      </c>
      <c r="AV3822" s="90">
        <f t="shared" si="1687"/>
        <v>2060</v>
      </c>
      <c r="AW3822" s="90">
        <f t="shared" si="1687"/>
        <v>0</v>
      </c>
      <c r="AX3822" s="90">
        <f t="shared" si="1687"/>
        <v>0</v>
      </c>
      <c r="AY3822" s="90">
        <f t="shared" si="1687"/>
        <v>0</v>
      </c>
      <c r="AZ3822" s="90">
        <f t="shared" si="1687"/>
        <v>0</v>
      </c>
      <c r="BA3822" s="90">
        <f t="shared" si="1687"/>
        <v>0</v>
      </c>
      <c r="BB3822" s="90">
        <f t="shared" si="1687"/>
        <v>2527</v>
      </c>
      <c r="BC3822" s="90">
        <f t="shared" si="1687"/>
        <v>5596</v>
      </c>
      <c r="BD3822" s="90">
        <f t="shared" si="1685"/>
        <v>10724</v>
      </c>
      <c r="BE3822" s="90">
        <f t="shared" si="1685"/>
        <v>8240</v>
      </c>
      <c r="BF3822" s="90">
        <f t="shared" ref="BF3822" si="1688">BF3802</f>
        <v>6022</v>
      </c>
      <c r="BG3822" s="90">
        <f t="shared" si="1685"/>
        <v>14542</v>
      </c>
      <c r="BH3822" s="90">
        <f t="shared" si="1685"/>
        <v>14444</v>
      </c>
      <c r="BI3822" s="213">
        <f t="shared" si="1650"/>
        <v>100.67848241484354</v>
      </c>
      <c r="BJ3822" s="141"/>
      <c r="BK3822" s="200"/>
      <c r="BL3822" s="200"/>
      <c r="BM3822" s="200"/>
    </row>
    <row r="3823" spans="1:65" s="49" customFormat="1" ht="30" hidden="1" customHeight="1">
      <c r="A3823" s="355" t="s">
        <v>1322</v>
      </c>
      <c r="B3823" s="355"/>
      <c r="C3823" s="355"/>
      <c r="D3823" s="121">
        <f t="shared" ref="D3823:BH3823" si="1689">D3803+D3804</f>
        <v>0</v>
      </c>
      <c r="E3823" s="121">
        <f t="shared" si="1689"/>
        <v>0</v>
      </c>
      <c r="F3823" s="121">
        <f t="shared" si="1689"/>
        <v>0</v>
      </c>
      <c r="G3823" s="121">
        <f t="shared" si="1689"/>
        <v>0</v>
      </c>
      <c r="H3823" s="121">
        <f t="shared" si="1689"/>
        <v>0</v>
      </c>
      <c r="I3823" s="121">
        <f t="shared" si="1689"/>
        <v>181646</v>
      </c>
      <c r="J3823" s="121">
        <f t="shared" ref="J3823:AB3823" si="1690">J3803+J3804</f>
        <v>0</v>
      </c>
      <c r="K3823" s="121">
        <f t="shared" si="1690"/>
        <v>0</v>
      </c>
      <c r="L3823" s="121">
        <f t="shared" si="1690"/>
        <v>0</v>
      </c>
      <c r="M3823" s="121">
        <f t="shared" si="1690"/>
        <v>0</v>
      </c>
      <c r="N3823" s="121">
        <f t="shared" si="1690"/>
        <v>0</v>
      </c>
      <c r="O3823" s="121">
        <f t="shared" si="1690"/>
        <v>183729</v>
      </c>
      <c r="P3823" s="121">
        <f t="shared" si="1690"/>
        <v>0</v>
      </c>
      <c r="Q3823" s="121">
        <f t="shared" si="1690"/>
        <v>0</v>
      </c>
      <c r="R3823" s="121">
        <f t="shared" si="1690"/>
        <v>0</v>
      </c>
      <c r="S3823" s="121">
        <f t="shared" si="1690"/>
        <v>0</v>
      </c>
      <c r="T3823" s="121">
        <f t="shared" si="1690"/>
        <v>0</v>
      </c>
      <c r="U3823" s="121">
        <f t="shared" si="1690"/>
        <v>227287</v>
      </c>
      <c r="V3823" s="121">
        <f t="shared" si="1690"/>
        <v>0</v>
      </c>
      <c r="W3823" s="121">
        <f t="shared" si="1690"/>
        <v>0</v>
      </c>
      <c r="X3823" s="121">
        <f t="shared" si="1690"/>
        <v>0</v>
      </c>
      <c r="Y3823" s="121">
        <f t="shared" si="1690"/>
        <v>0</v>
      </c>
      <c r="Z3823" s="121">
        <f t="shared" si="1690"/>
        <v>0</v>
      </c>
      <c r="AA3823" s="121">
        <f t="shared" si="1690"/>
        <v>166879</v>
      </c>
      <c r="AB3823" s="121">
        <f t="shared" si="1690"/>
        <v>0</v>
      </c>
      <c r="AC3823" s="121">
        <f t="shared" si="1689"/>
        <v>759541</v>
      </c>
      <c r="AD3823" s="121">
        <f t="shared" si="1689"/>
        <v>711381</v>
      </c>
      <c r="AE3823" s="121">
        <f t="shared" si="1689"/>
        <v>0</v>
      </c>
      <c r="AF3823" s="121">
        <f t="shared" si="1689"/>
        <v>0</v>
      </c>
      <c r="AG3823" s="121">
        <f t="shared" si="1689"/>
        <v>0</v>
      </c>
      <c r="AH3823" s="121">
        <f t="shared" si="1689"/>
        <v>0</v>
      </c>
      <c r="AI3823" s="121">
        <f t="shared" si="1689"/>
        <v>326</v>
      </c>
      <c r="AJ3823" s="121">
        <f t="shared" si="1689"/>
        <v>301909</v>
      </c>
      <c r="AK3823" s="121">
        <f t="shared" ref="AK3823:BC3823" si="1691">AK3803+AK3804</f>
        <v>0</v>
      </c>
      <c r="AL3823" s="121">
        <f t="shared" si="1691"/>
        <v>0</v>
      </c>
      <c r="AM3823" s="121">
        <f t="shared" si="1691"/>
        <v>0</v>
      </c>
      <c r="AN3823" s="121">
        <f t="shared" si="1691"/>
        <v>0</v>
      </c>
      <c r="AO3823" s="121">
        <f t="shared" si="1691"/>
        <v>340</v>
      </c>
      <c r="AP3823" s="121">
        <f t="shared" si="1691"/>
        <v>290016</v>
      </c>
      <c r="AQ3823" s="121">
        <f t="shared" si="1691"/>
        <v>0</v>
      </c>
      <c r="AR3823" s="121">
        <f t="shared" si="1691"/>
        <v>0</v>
      </c>
      <c r="AS3823" s="121">
        <f t="shared" si="1691"/>
        <v>0</v>
      </c>
      <c r="AT3823" s="121">
        <f t="shared" si="1691"/>
        <v>0</v>
      </c>
      <c r="AU3823" s="121">
        <f t="shared" si="1691"/>
        <v>0</v>
      </c>
      <c r="AV3823" s="121">
        <f t="shared" si="1691"/>
        <v>277755</v>
      </c>
      <c r="AW3823" s="121">
        <f t="shared" si="1691"/>
        <v>0</v>
      </c>
      <c r="AX3823" s="121">
        <f t="shared" si="1691"/>
        <v>0</v>
      </c>
      <c r="AY3823" s="121">
        <f t="shared" si="1691"/>
        <v>0</v>
      </c>
      <c r="AZ3823" s="121">
        <f t="shared" si="1691"/>
        <v>0</v>
      </c>
      <c r="BA3823" s="121">
        <f t="shared" si="1691"/>
        <v>0</v>
      </c>
      <c r="BB3823" s="121">
        <f t="shared" si="1691"/>
        <v>301986</v>
      </c>
      <c r="BC3823" s="121">
        <f t="shared" si="1691"/>
        <v>666</v>
      </c>
      <c r="BD3823" s="121">
        <f t="shared" si="1689"/>
        <v>1171666</v>
      </c>
      <c r="BE3823" s="121">
        <f t="shared" si="1689"/>
        <v>1280033</v>
      </c>
      <c r="BF3823" s="121">
        <f t="shared" ref="BF3823" si="1692">BF3803+BF3804</f>
        <v>666</v>
      </c>
      <c r="BG3823" s="121">
        <f t="shared" si="1689"/>
        <v>1931207</v>
      </c>
      <c r="BH3823" s="121">
        <f t="shared" si="1689"/>
        <v>1991414</v>
      </c>
      <c r="BI3823" s="213">
        <f t="shared" si="1650"/>
        <v>96.97667084795026</v>
      </c>
      <c r="BJ3823" s="164"/>
      <c r="BK3823" s="200"/>
      <c r="BL3823" s="200"/>
      <c r="BM3823" s="200"/>
    </row>
    <row r="3824" spans="1:65" s="49" customFormat="1" ht="31.5" hidden="1" customHeight="1">
      <c r="A3824" s="356" t="s">
        <v>1323</v>
      </c>
      <c r="B3824" s="356"/>
      <c r="C3824" s="356"/>
      <c r="D3824" s="128">
        <f t="shared" ref="D3824:BH3824" si="1693">SUM(D3822:D3823)</f>
        <v>0</v>
      </c>
      <c r="E3824" s="128">
        <f t="shared" si="1693"/>
        <v>0</v>
      </c>
      <c r="F3824" s="128">
        <f t="shared" si="1693"/>
        <v>0</v>
      </c>
      <c r="G3824" s="128">
        <f t="shared" si="1693"/>
        <v>0</v>
      </c>
      <c r="H3824" s="128">
        <f t="shared" si="1693"/>
        <v>411</v>
      </c>
      <c r="I3824" s="128">
        <f t="shared" si="1693"/>
        <v>182079</v>
      </c>
      <c r="J3824" s="128">
        <f t="shared" ref="J3824:AB3824" si="1694">SUM(J3822:J3823)</f>
        <v>0</v>
      </c>
      <c r="K3824" s="128">
        <f t="shared" si="1694"/>
        <v>0</v>
      </c>
      <c r="L3824" s="128">
        <f t="shared" si="1694"/>
        <v>0</v>
      </c>
      <c r="M3824" s="128">
        <f t="shared" si="1694"/>
        <v>0</v>
      </c>
      <c r="N3824" s="128">
        <f t="shared" si="1694"/>
        <v>15</v>
      </c>
      <c r="O3824" s="128">
        <f t="shared" si="1694"/>
        <v>183745</v>
      </c>
      <c r="P3824" s="128">
        <f t="shared" si="1694"/>
        <v>0</v>
      </c>
      <c r="Q3824" s="128">
        <f t="shared" si="1694"/>
        <v>0</v>
      </c>
      <c r="R3824" s="128">
        <f t="shared" si="1694"/>
        <v>0</v>
      </c>
      <c r="S3824" s="128">
        <f t="shared" si="1694"/>
        <v>0</v>
      </c>
      <c r="T3824" s="128">
        <f t="shared" si="1694"/>
        <v>0</v>
      </c>
      <c r="U3824" s="128">
        <f t="shared" si="1694"/>
        <v>228936</v>
      </c>
      <c r="V3824" s="128">
        <f t="shared" si="1694"/>
        <v>0</v>
      </c>
      <c r="W3824" s="128">
        <f t="shared" si="1694"/>
        <v>0</v>
      </c>
      <c r="X3824" s="128">
        <f t="shared" si="1694"/>
        <v>0</v>
      </c>
      <c r="Y3824" s="128">
        <f t="shared" si="1694"/>
        <v>0</v>
      </c>
      <c r="Z3824" s="128">
        <f t="shared" si="1694"/>
        <v>0</v>
      </c>
      <c r="AA3824" s="128">
        <f t="shared" si="1694"/>
        <v>168599</v>
      </c>
      <c r="AB3824" s="128">
        <f t="shared" si="1694"/>
        <v>426</v>
      </c>
      <c r="AC3824" s="128">
        <f t="shared" si="1693"/>
        <v>763359</v>
      </c>
      <c r="AD3824" s="128">
        <f t="shared" si="1693"/>
        <v>717585</v>
      </c>
      <c r="AE3824" s="128">
        <f t="shared" si="1693"/>
        <v>0</v>
      </c>
      <c r="AF3824" s="128">
        <f t="shared" si="1693"/>
        <v>0</v>
      </c>
      <c r="AG3824" s="128">
        <f t="shared" si="1693"/>
        <v>0</v>
      </c>
      <c r="AH3824" s="128">
        <f t="shared" si="1693"/>
        <v>0</v>
      </c>
      <c r="AI3824" s="128">
        <f t="shared" si="1693"/>
        <v>2518</v>
      </c>
      <c r="AJ3824" s="128">
        <f t="shared" si="1693"/>
        <v>304147</v>
      </c>
      <c r="AK3824" s="128">
        <f t="shared" ref="AK3824:BC3824" si="1695">SUM(AK3822:AK3823)</f>
        <v>0</v>
      </c>
      <c r="AL3824" s="128">
        <f t="shared" si="1695"/>
        <v>0</v>
      </c>
      <c r="AM3824" s="128">
        <f t="shared" si="1695"/>
        <v>0</v>
      </c>
      <c r="AN3824" s="128">
        <f t="shared" si="1695"/>
        <v>0</v>
      </c>
      <c r="AO3824" s="128">
        <f t="shared" si="1695"/>
        <v>3744</v>
      </c>
      <c r="AP3824" s="128">
        <f t="shared" si="1695"/>
        <v>293915</v>
      </c>
      <c r="AQ3824" s="128">
        <f t="shared" si="1695"/>
        <v>0</v>
      </c>
      <c r="AR3824" s="128">
        <f t="shared" si="1695"/>
        <v>0</v>
      </c>
      <c r="AS3824" s="128">
        <f t="shared" si="1695"/>
        <v>0</v>
      </c>
      <c r="AT3824" s="128">
        <f t="shared" si="1695"/>
        <v>0</v>
      </c>
      <c r="AU3824" s="128">
        <f t="shared" si="1695"/>
        <v>0</v>
      </c>
      <c r="AV3824" s="128">
        <f t="shared" si="1695"/>
        <v>279815</v>
      </c>
      <c r="AW3824" s="128">
        <f t="shared" si="1695"/>
        <v>0</v>
      </c>
      <c r="AX3824" s="128">
        <f t="shared" si="1695"/>
        <v>0</v>
      </c>
      <c r="AY3824" s="128">
        <f t="shared" si="1695"/>
        <v>0</v>
      </c>
      <c r="AZ3824" s="128">
        <f t="shared" si="1695"/>
        <v>0</v>
      </c>
      <c r="BA3824" s="128">
        <f t="shared" si="1695"/>
        <v>0</v>
      </c>
      <c r="BB3824" s="128">
        <f t="shared" si="1695"/>
        <v>304513</v>
      </c>
      <c r="BC3824" s="128">
        <f t="shared" si="1695"/>
        <v>6262</v>
      </c>
      <c r="BD3824" s="128">
        <f t="shared" si="1693"/>
        <v>1182390</v>
      </c>
      <c r="BE3824" s="128">
        <f t="shared" si="1693"/>
        <v>1288273</v>
      </c>
      <c r="BF3824" s="128">
        <f t="shared" ref="BF3824" si="1696">SUM(BF3822:BF3823)</f>
        <v>6688</v>
      </c>
      <c r="BG3824" s="128">
        <f t="shared" si="1693"/>
        <v>1945749</v>
      </c>
      <c r="BH3824" s="128">
        <f t="shared" si="1693"/>
        <v>2005858</v>
      </c>
      <c r="BI3824" s="213">
        <f t="shared" si="1650"/>
        <v>97.003327254471657</v>
      </c>
      <c r="BJ3824" s="164"/>
      <c r="BK3824" s="200"/>
      <c r="BL3824" s="200"/>
      <c r="BM3824" s="200"/>
    </row>
    <row r="3825" spans="1:65" ht="15" hidden="1" customHeight="1">
      <c r="A3825" s="357" t="s">
        <v>1324</v>
      </c>
      <c r="B3825" s="357"/>
      <c r="C3825" s="357"/>
      <c r="D3825" s="129">
        <f t="shared" ref="D3825:BH3825" si="1697">D3824+D3820</f>
        <v>0</v>
      </c>
      <c r="E3825" s="129">
        <f t="shared" si="1697"/>
        <v>0</v>
      </c>
      <c r="F3825" s="129">
        <f t="shared" si="1697"/>
        <v>0</v>
      </c>
      <c r="G3825" s="129">
        <f t="shared" si="1697"/>
        <v>0</v>
      </c>
      <c r="H3825" s="129">
        <f t="shared" si="1697"/>
        <v>411</v>
      </c>
      <c r="I3825" s="129">
        <f t="shared" si="1697"/>
        <v>182079</v>
      </c>
      <c r="J3825" s="129">
        <f t="shared" ref="J3825:AB3825" si="1698">J3824+J3820</f>
        <v>0</v>
      </c>
      <c r="K3825" s="129">
        <f t="shared" si="1698"/>
        <v>0</v>
      </c>
      <c r="L3825" s="129">
        <f t="shared" si="1698"/>
        <v>0</v>
      </c>
      <c r="M3825" s="129">
        <f t="shared" si="1698"/>
        <v>0</v>
      </c>
      <c r="N3825" s="129">
        <f t="shared" si="1698"/>
        <v>15</v>
      </c>
      <c r="O3825" s="129">
        <f t="shared" si="1698"/>
        <v>183745</v>
      </c>
      <c r="P3825" s="129">
        <f t="shared" si="1698"/>
        <v>0</v>
      </c>
      <c r="Q3825" s="129">
        <f t="shared" si="1698"/>
        <v>0</v>
      </c>
      <c r="R3825" s="129">
        <f t="shared" si="1698"/>
        <v>0</v>
      </c>
      <c r="S3825" s="129">
        <f t="shared" si="1698"/>
        <v>0</v>
      </c>
      <c r="T3825" s="129">
        <f t="shared" si="1698"/>
        <v>0</v>
      </c>
      <c r="U3825" s="129">
        <f t="shared" si="1698"/>
        <v>228936</v>
      </c>
      <c r="V3825" s="129">
        <f t="shared" si="1698"/>
        <v>0</v>
      </c>
      <c r="W3825" s="129">
        <f t="shared" si="1698"/>
        <v>0</v>
      </c>
      <c r="X3825" s="129">
        <f t="shared" si="1698"/>
        <v>0</v>
      </c>
      <c r="Y3825" s="129">
        <f t="shared" si="1698"/>
        <v>0</v>
      </c>
      <c r="Z3825" s="129">
        <f t="shared" si="1698"/>
        <v>0</v>
      </c>
      <c r="AA3825" s="129">
        <f t="shared" si="1698"/>
        <v>168599</v>
      </c>
      <c r="AB3825" s="129">
        <f t="shared" si="1698"/>
        <v>426</v>
      </c>
      <c r="AC3825" s="129">
        <f t="shared" si="1697"/>
        <v>763359</v>
      </c>
      <c r="AD3825" s="129">
        <f t="shared" si="1697"/>
        <v>717595</v>
      </c>
      <c r="AE3825" s="129">
        <f t="shared" si="1697"/>
        <v>0</v>
      </c>
      <c r="AF3825" s="129">
        <f t="shared" si="1697"/>
        <v>0</v>
      </c>
      <c r="AG3825" s="129">
        <f t="shared" si="1697"/>
        <v>0</v>
      </c>
      <c r="AH3825" s="129">
        <f t="shared" si="1697"/>
        <v>0</v>
      </c>
      <c r="AI3825" s="129">
        <f t="shared" si="1697"/>
        <v>2518</v>
      </c>
      <c r="AJ3825" s="129">
        <f t="shared" si="1697"/>
        <v>304147</v>
      </c>
      <c r="AK3825" s="129">
        <f t="shared" ref="AK3825:BC3825" si="1699">AK3824+AK3820</f>
        <v>0</v>
      </c>
      <c r="AL3825" s="129">
        <f t="shared" si="1699"/>
        <v>0</v>
      </c>
      <c r="AM3825" s="129">
        <f t="shared" si="1699"/>
        <v>0</v>
      </c>
      <c r="AN3825" s="129">
        <f t="shared" si="1699"/>
        <v>0</v>
      </c>
      <c r="AO3825" s="129">
        <f t="shared" si="1699"/>
        <v>3744</v>
      </c>
      <c r="AP3825" s="129">
        <f t="shared" si="1699"/>
        <v>293915</v>
      </c>
      <c r="AQ3825" s="129">
        <f t="shared" si="1699"/>
        <v>0</v>
      </c>
      <c r="AR3825" s="129">
        <f t="shared" si="1699"/>
        <v>0</v>
      </c>
      <c r="AS3825" s="129">
        <f t="shared" si="1699"/>
        <v>0</v>
      </c>
      <c r="AT3825" s="129">
        <f t="shared" si="1699"/>
        <v>0</v>
      </c>
      <c r="AU3825" s="129">
        <f t="shared" si="1699"/>
        <v>0</v>
      </c>
      <c r="AV3825" s="129">
        <f t="shared" si="1699"/>
        <v>279815</v>
      </c>
      <c r="AW3825" s="129">
        <f t="shared" si="1699"/>
        <v>0</v>
      </c>
      <c r="AX3825" s="129">
        <f t="shared" si="1699"/>
        <v>0</v>
      </c>
      <c r="AY3825" s="129">
        <f t="shared" si="1699"/>
        <v>0</v>
      </c>
      <c r="AZ3825" s="129">
        <f t="shared" si="1699"/>
        <v>0</v>
      </c>
      <c r="BA3825" s="129">
        <f t="shared" si="1699"/>
        <v>0</v>
      </c>
      <c r="BB3825" s="129">
        <f t="shared" si="1699"/>
        <v>304513</v>
      </c>
      <c r="BC3825" s="129">
        <f t="shared" si="1699"/>
        <v>6262</v>
      </c>
      <c r="BD3825" s="129">
        <f t="shared" si="1697"/>
        <v>1182390</v>
      </c>
      <c r="BE3825" s="129">
        <f t="shared" si="1697"/>
        <v>1288273</v>
      </c>
      <c r="BF3825" s="129">
        <f t="shared" ref="BF3825" si="1700">BF3824+BF3820</f>
        <v>6688</v>
      </c>
      <c r="BG3825" s="129">
        <f t="shared" si="1697"/>
        <v>1945749</v>
      </c>
      <c r="BH3825" s="129">
        <f t="shared" si="1697"/>
        <v>2005868</v>
      </c>
      <c r="BI3825" s="213">
        <f t="shared" si="1650"/>
        <v>97.002843656711207</v>
      </c>
      <c r="BJ3825" s="165"/>
      <c r="BK3825" s="136"/>
    </row>
    <row r="3826" spans="1:65" s="58" customFormat="1" ht="12.95" customHeight="1">
      <c r="A3826" s="51" t="s">
        <v>1325</v>
      </c>
      <c r="B3826" s="52"/>
      <c r="C3826" s="51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0"/>
      <c r="AF3826" s="50"/>
      <c r="AG3826" s="50"/>
      <c r="AH3826" s="50"/>
      <c r="AI3826" s="50"/>
      <c r="AJ3826" s="50"/>
      <c r="AK3826" s="50"/>
      <c r="AL3826" s="50"/>
      <c r="AM3826" s="50"/>
      <c r="AN3826" s="50"/>
      <c r="AO3826" s="50"/>
      <c r="AP3826" s="50"/>
      <c r="AQ3826" s="50"/>
      <c r="AR3826" s="50"/>
      <c r="AS3826" s="50"/>
      <c r="AT3826" s="50"/>
      <c r="AU3826" s="50"/>
      <c r="AV3826" s="50"/>
      <c r="AW3826" s="50"/>
      <c r="AX3826" s="50"/>
      <c r="AY3826" s="50"/>
      <c r="AZ3826" s="50"/>
      <c r="BA3826" s="50"/>
      <c r="BB3826" s="50"/>
      <c r="BC3826" s="50"/>
      <c r="BD3826" s="50"/>
      <c r="BE3826" s="50"/>
      <c r="BF3826" s="50"/>
      <c r="BG3826" s="50"/>
      <c r="BH3826" s="50"/>
      <c r="BI3826" s="50"/>
      <c r="BJ3826" s="137"/>
      <c r="BK3826" s="136"/>
      <c r="BL3826" s="4"/>
      <c r="BM3826" s="4"/>
    </row>
    <row r="3827" spans="1:65" ht="12.95" customHeight="1">
      <c r="A3827" s="51" t="s">
        <v>1326</v>
      </c>
      <c r="B3827" s="54"/>
      <c r="C3827" s="54"/>
      <c r="D3827" s="55"/>
      <c r="E3827" s="55"/>
      <c r="F3827" s="55"/>
      <c r="G3827" s="55"/>
      <c r="H3827" s="55"/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  <c r="S3827" s="55"/>
      <c r="T3827" s="55"/>
      <c r="U3827" s="55"/>
      <c r="V3827" s="55"/>
      <c r="W3827" s="55"/>
      <c r="X3827" s="55"/>
      <c r="Y3827" s="55"/>
      <c r="Z3827" s="55"/>
      <c r="AA3827" s="55"/>
      <c r="AB3827" s="55"/>
      <c r="AC3827" s="55"/>
      <c r="AD3827" s="55"/>
      <c r="AE3827" s="56"/>
      <c r="AF3827" s="56"/>
      <c r="AG3827" s="56"/>
      <c r="AH3827" s="56"/>
      <c r="AI3827" s="56"/>
      <c r="AJ3827" s="56"/>
      <c r="AK3827" s="56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  <c r="AV3827" s="56"/>
      <c r="AW3827" s="56"/>
      <c r="AX3827" s="56"/>
      <c r="AY3827" s="56"/>
      <c r="AZ3827" s="56"/>
      <c r="BA3827" s="56"/>
      <c r="BB3827" s="56"/>
      <c r="BC3827" s="56"/>
      <c r="BD3827" s="56"/>
      <c r="BE3827" s="56"/>
      <c r="BF3827" s="56"/>
      <c r="BG3827" s="53"/>
      <c r="BH3827" s="57"/>
      <c r="BI3827" s="135"/>
    </row>
    <row r="3828" spans="1:65" ht="12.75" customHeight="1">
      <c r="A3828" s="51" t="s">
        <v>1327</v>
      </c>
      <c r="C3828" s="59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0"/>
      <c r="AF3828" s="50"/>
      <c r="AG3828" s="50"/>
      <c r="AH3828" s="50"/>
      <c r="AI3828" s="50"/>
      <c r="AJ3828" s="50"/>
      <c r="AK3828" s="50"/>
      <c r="AL3828" s="50"/>
      <c r="AM3828" s="50"/>
      <c r="AN3828" s="50"/>
      <c r="AO3828" s="50"/>
      <c r="AP3828" s="50"/>
      <c r="AQ3828" s="50"/>
      <c r="AR3828" s="50"/>
      <c r="AS3828" s="50"/>
      <c r="AT3828" s="50"/>
      <c r="AU3828" s="50"/>
      <c r="AV3828" s="50"/>
      <c r="AW3828" s="50"/>
      <c r="AX3828" s="50"/>
      <c r="AY3828" s="50"/>
      <c r="AZ3828" s="50"/>
      <c r="BA3828" s="50"/>
      <c r="BB3828" s="50"/>
      <c r="BC3828" s="50"/>
      <c r="BD3828" s="50"/>
      <c r="BE3828" s="50"/>
      <c r="BF3828" s="50"/>
      <c r="BG3828" s="57"/>
      <c r="BH3828" s="50"/>
      <c r="BI3828" s="50"/>
      <c r="BJ3828" s="137"/>
    </row>
    <row r="3829" spans="1:65" ht="29.25" customHeight="1">
      <c r="A3829" s="358" t="s">
        <v>1328</v>
      </c>
      <c r="B3829" s="358"/>
      <c r="C3829" s="358"/>
      <c r="D3829" s="358"/>
      <c r="E3829" s="358"/>
      <c r="F3829" s="358"/>
      <c r="G3829" s="358"/>
      <c r="H3829" s="358"/>
      <c r="I3829" s="358"/>
      <c r="J3829" s="358"/>
      <c r="K3829" s="358"/>
      <c r="L3829" s="358"/>
      <c r="M3829" s="358"/>
      <c r="N3829" s="358"/>
      <c r="O3829" s="358"/>
      <c r="P3829" s="358"/>
      <c r="Q3829" s="358"/>
      <c r="R3829" s="358"/>
      <c r="S3829" s="358"/>
      <c r="T3829" s="358"/>
      <c r="U3829" s="358"/>
      <c r="V3829" s="358"/>
      <c r="W3829" s="358"/>
      <c r="X3829" s="358"/>
      <c r="Y3829" s="358"/>
      <c r="Z3829" s="358"/>
      <c r="AA3829" s="358"/>
      <c r="AB3829" s="358"/>
      <c r="AC3829" s="358"/>
      <c r="AD3829" s="358"/>
      <c r="AE3829" s="358"/>
      <c r="AF3829" s="358"/>
      <c r="AG3829" s="358"/>
      <c r="AH3829" s="358"/>
      <c r="AI3829" s="358"/>
      <c r="AJ3829" s="358"/>
      <c r="AK3829" s="358"/>
      <c r="AL3829" s="358"/>
      <c r="AM3829" s="358"/>
      <c r="AN3829" s="358"/>
      <c r="AO3829" s="358"/>
      <c r="AP3829" s="358"/>
      <c r="AQ3829" s="358"/>
      <c r="AR3829" s="358"/>
      <c r="AS3829" s="358"/>
      <c r="AT3829" s="358"/>
      <c r="AU3829" s="358"/>
      <c r="AV3829" s="358"/>
      <c r="AW3829" s="358"/>
      <c r="AX3829" s="358"/>
      <c r="AY3829" s="358"/>
      <c r="AZ3829" s="358"/>
      <c r="BA3829" s="358"/>
      <c r="BB3829" s="358"/>
      <c r="BC3829" s="358"/>
      <c r="BD3829" s="358"/>
      <c r="BE3829" s="358"/>
      <c r="BF3829" s="358"/>
      <c r="BG3829" s="358"/>
      <c r="BH3829" s="358"/>
      <c r="BI3829" s="130"/>
    </row>
    <row r="3830" spans="1:65" ht="21.75" customHeight="1">
      <c r="A3830" s="363" t="s">
        <v>2101</v>
      </c>
      <c r="B3830" s="363"/>
      <c r="C3830" s="363"/>
      <c r="D3830" s="363"/>
      <c r="E3830" s="363"/>
      <c r="F3830" s="363"/>
      <c r="G3830" s="363"/>
      <c r="H3830" s="363"/>
      <c r="I3830" s="363"/>
      <c r="J3830" s="363"/>
      <c r="K3830" s="363"/>
      <c r="L3830" s="363"/>
      <c r="M3830" s="363"/>
      <c r="N3830" s="363"/>
      <c r="O3830" s="363"/>
      <c r="P3830" s="363"/>
      <c r="Q3830" s="363"/>
      <c r="R3830" s="363"/>
      <c r="S3830" s="363"/>
      <c r="T3830" s="363"/>
      <c r="U3830" s="363"/>
      <c r="V3830" s="363"/>
      <c r="W3830" s="363"/>
      <c r="X3830" s="363"/>
      <c r="Y3830" s="363"/>
      <c r="Z3830" s="363"/>
      <c r="AA3830" s="363"/>
      <c r="AB3830" s="363"/>
      <c r="AC3830" s="363"/>
      <c r="AD3830" s="363"/>
      <c r="AE3830" s="363"/>
      <c r="AF3830" s="363"/>
      <c r="AG3830" s="363"/>
      <c r="AH3830" s="363"/>
      <c r="AI3830" s="363"/>
      <c r="AJ3830" s="363"/>
      <c r="AK3830" s="363"/>
      <c r="AL3830" s="363"/>
      <c r="AM3830" s="363"/>
      <c r="AN3830" s="363"/>
      <c r="AO3830" s="363"/>
      <c r="AP3830" s="363"/>
      <c r="AQ3830" s="363"/>
      <c r="AR3830" s="363"/>
      <c r="AS3830" s="363"/>
      <c r="AT3830" s="363"/>
      <c r="AU3830" s="363"/>
      <c r="AV3830" s="363"/>
      <c r="AW3830" s="363"/>
      <c r="AX3830" s="363"/>
      <c r="AY3830" s="363"/>
      <c r="AZ3830" s="363"/>
      <c r="BA3830" s="363"/>
      <c r="BB3830" s="363"/>
      <c r="BC3830" s="363"/>
      <c r="BD3830" s="363"/>
      <c r="BE3830" s="363"/>
      <c r="BF3830" s="363"/>
      <c r="BG3830" s="363"/>
      <c r="BH3830" s="305"/>
      <c r="BI3830" s="177"/>
      <c r="BL3830" s="7"/>
      <c r="BM3830" s="7"/>
    </row>
    <row r="3831" spans="1:65" ht="24.75" customHeight="1">
      <c r="A3831" s="340" t="s">
        <v>1532</v>
      </c>
      <c r="B3831" s="340"/>
      <c r="C3831" s="340"/>
      <c r="D3831" s="340"/>
      <c r="E3831" s="340"/>
      <c r="F3831" s="340"/>
      <c r="G3831" s="340"/>
      <c r="H3831" s="340"/>
      <c r="I3831" s="340"/>
      <c r="J3831" s="340"/>
      <c r="K3831" s="340"/>
      <c r="L3831" s="340"/>
      <c r="M3831" s="340"/>
      <c r="N3831" s="340"/>
      <c r="O3831" s="340"/>
      <c r="P3831" s="340"/>
      <c r="Q3831" s="340"/>
      <c r="R3831" s="340"/>
      <c r="S3831" s="340"/>
      <c r="T3831" s="340"/>
      <c r="U3831" s="340"/>
      <c r="V3831" s="340"/>
      <c r="W3831" s="340"/>
      <c r="X3831" s="340"/>
      <c r="Y3831" s="340"/>
      <c r="Z3831" s="340"/>
      <c r="AA3831" s="340"/>
      <c r="AB3831" s="340"/>
      <c r="AC3831" s="340"/>
      <c r="AD3831" s="340"/>
      <c r="AE3831" s="340"/>
      <c r="AF3831" s="340"/>
      <c r="AG3831" s="340"/>
      <c r="AH3831" s="340"/>
      <c r="AI3831" s="340"/>
      <c r="AJ3831" s="340"/>
      <c r="AK3831" s="340"/>
      <c r="AL3831" s="340"/>
      <c r="AM3831" s="340"/>
      <c r="AN3831" s="340"/>
      <c r="AO3831" s="340"/>
      <c r="AP3831" s="340"/>
      <c r="AQ3831" s="340"/>
      <c r="AR3831" s="340"/>
      <c r="AS3831" s="340"/>
      <c r="AT3831" s="340"/>
      <c r="AU3831" s="340"/>
      <c r="AV3831" s="340"/>
      <c r="AW3831" s="340"/>
      <c r="AX3831" s="340"/>
      <c r="AY3831" s="340"/>
      <c r="AZ3831" s="340"/>
      <c r="BA3831" s="340"/>
      <c r="BB3831" s="340"/>
      <c r="BC3831" s="340"/>
      <c r="BD3831" s="340"/>
      <c r="BE3831" s="340"/>
      <c r="BF3831" s="340"/>
      <c r="BG3831" s="340"/>
      <c r="BH3831" s="340"/>
      <c r="BI3831" s="178"/>
      <c r="BL3831" s="7"/>
      <c r="BM3831" s="7"/>
    </row>
    <row r="3832" spans="1:65" ht="29.25" customHeight="1">
      <c r="B3832" s="353" t="s">
        <v>2737</v>
      </c>
      <c r="C3832" s="353"/>
      <c r="D3832" s="353"/>
      <c r="E3832" s="353"/>
      <c r="F3832" s="353"/>
      <c r="G3832" s="353"/>
      <c r="H3832" s="353"/>
      <c r="I3832" s="353"/>
      <c r="J3832" s="353"/>
      <c r="K3832" s="353"/>
      <c r="L3832" s="353"/>
      <c r="M3832" s="353"/>
      <c r="N3832" s="353"/>
      <c r="O3832" s="353"/>
      <c r="P3832" s="353"/>
      <c r="Q3832" s="353"/>
      <c r="R3832" s="353"/>
      <c r="S3832" s="353"/>
      <c r="T3832" s="353"/>
      <c r="U3832" s="353"/>
      <c r="V3832" s="353"/>
      <c r="W3832" s="353"/>
      <c r="X3832" s="353"/>
      <c r="Y3832" s="353"/>
      <c r="Z3832" s="353"/>
      <c r="AA3832" s="353"/>
      <c r="AB3832" s="353"/>
      <c r="AC3832" s="353"/>
      <c r="AD3832" s="353"/>
      <c r="AE3832" s="353"/>
      <c r="AF3832" s="353"/>
      <c r="AG3832" s="353"/>
      <c r="AH3832" s="353"/>
      <c r="AI3832" s="353"/>
      <c r="AJ3832" s="353"/>
      <c r="AK3832" s="353"/>
      <c r="AL3832" s="353"/>
      <c r="AM3832" s="353"/>
      <c r="AN3832" s="353"/>
      <c r="AO3832" s="353"/>
      <c r="AP3832" s="353"/>
      <c r="AQ3832" s="353"/>
      <c r="AR3832" s="353"/>
      <c r="AS3832" s="353"/>
      <c r="AT3832" s="353"/>
      <c r="AU3832" s="353"/>
      <c r="AV3832" s="353"/>
      <c r="AW3832" s="353"/>
      <c r="AX3832" s="353"/>
      <c r="AY3832" s="353"/>
      <c r="AZ3832" s="353"/>
      <c r="BA3832" s="353"/>
      <c r="BB3832" s="353"/>
      <c r="BC3832" s="353"/>
      <c r="BD3832" s="353"/>
      <c r="BE3832" s="222"/>
      <c r="BF3832" s="222"/>
      <c r="BG3832" s="222"/>
      <c r="BH3832" s="222"/>
      <c r="BI3832" s="222"/>
      <c r="BL3832" s="7"/>
      <c r="BM3832" s="7"/>
    </row>
    <row r="3833" spans="1:65" ht="13.5" customHeight="1">
      <c r="B3833" s="185"/>
      <c r="C3833" s="185"/>
      <c r="D3833" s="184"/>
      <c r="E3833" s="184"/>
      <c r="F3833" s="184"/>
      <c r="G3833" s="184"/>
      <c r="H3833" s="184"/>
      <c r="I3833" s="184"/>
      <c r="J3833" s="184"/>
      <c r="K3833" s="184"/>
      <c r="L3833" s="185"/>
      <c r="M3833" s="185"/>
      <c r="N3833" s="185"/>
      <c r="O3833" s="185"/>
      <c r="P3833" s="184"/>
      <c r="Q3833" s="184"/>
      <c r="R3833" s="184"/>
      <c r="S3833" s="184"/>
      <c r="T3833" s="184"/>
      <c r="U3833" s="184"/>
      <c r="V3833" s="184"/>
      <c r="W3833" s="184"/>
      <c r="X3833" s="184"/>
      <c r="Y3833" s="184"/>
      <c r="Z3833" s="184"/>
      <c r="AA3833" s="184"/>
      <c r="AB3833" s="184"/>
      <c r="AC3833" s="185"/>
      <c r="AD3833" s="185"/>
      <c r="AE3833" s="184"/>
      <c r="AF3833" s="184"/>
      <c r="AG3833" s="184"/>
      <c r="AH3833" s="184"/>
      <c r="AI3833" s="184"/>
      <c r="AJ3833" s="253">
        <v>326632</v>
      </c>
      <c r="AK3833" s="184"/>
      <c r="AL3833" s="184"/>
      <c r="AM3833" s="185"/>
      <c r="AN3833" s="185"/>
      <c r="AO3833" s="185"/>
      <c r="AP3833" s="185"/>
      <c r="AQ3833" s="184"/>
      <c r="AR3833" s="184"/>
      <c r="AS3833" s="184"/>
      <c r="AT3833" s="184"/>
      <c r="AU3833" s="184"/>
      <c r="AV3833" s="184"/>
      <c r="AW3833" s="184"/>
      <c r="AX3833" s="184"/>
      <c r="AY3833" s="184"/>
      <c r="AZ3833" s="184"/>
      <c r="BA3833" s="184"/>
      <c r="BB3833" s="184"/>
      <c r="BC3833" s="184"/>
      <c r="BD3833" s="254"/>
      <c r="BE3833" s="185"/>
      <c r="BF3833" s="185"/>
      <c r="BG3833" s="191"/>
      <c r="BH3833" s="191"/>
      <c r="BI3833" s="191"/>
      <c r="BL3833" s="7"/>
      <c r="BM3833" s="7"/>
    </row>
    <row r="3834" spans="1:65" ht="46.5" customHeight="1">
      <c r="B3834" s="340" t="s">
        <v>3038</v>
      </c>
      <c r="C3834" s="340"/>
      <c r="D3834" s="340"/>
      <c r="E3834" s="340"/>
      <c r="F3834" s="340"/>
      <c r="G3834" s="340"/>
      <c r="H3834" s="340"/>
      <c r="I3834" s="340"/>
      <c r="J3834" s="340"/>
      <c r="K3834" s="340"/>
      <c r="L3834" s="340"/>
      <c r="M3834" s="340"/>
      <c r="N3834" s="340"/>
      <c r="O3834" s="340"/>
      <c r="P3834" s="340"/>
      <c r="Q3834" s="340"/>
      <c r="R3834" s="340"/>
      <c r="S3834" s="340"/>
      <c r="T3834" s="340"/>
      <c r="U3834" s="340"/>
      <c r="V3834" s="340"/>
      <c r="W3834" s="340"/>
      <c r="X3834" s="340"/>
      <c r="Y3834" s="340"/>
      <c r="Z3834" s="340"/>
      <c r="AA3834" s="340"/>
      <c r="AB3834" s="340"/>
      <c r="AC3834" s="340"/>
      <c r="AD3834" s="340"/>
      <c r="AE3834" s="340"/>
      <c r="AF3834" s="340"/>
      <c r="AG3834" s="340"/>
      <c r="AH3834" s="340"/>
      <c r="AI3834" s="340"/>
      <c r="AJ3834" s="340"/>
      <c r="AK3834" s="340"/>
      <c r="AL3834" s="340"/>
      <c r="AM3834" s="340"/>
      <c r="AN3834" s="340"/>
      <c r="AO3834" s="340"/>
      <c r="AP3834" s="340"/>
      <c r="AQ3834" s="340"/>
      <c r="AR3834" s="340"/>
      <c r="AS3834" s="340"/>
      <c r="AT3834" s="340"/>
      <c r="AU3834" s="340"/>
      <c r="AV3834" s="340"/>
      <c r="AW3834" s="340"/>
      <c r="AX3834" s="340"/>
      <c r="AY3834" s="340"/>
      <c r="AZ3834" s="340"/>
      <c r="BA3834" s="340"/>
      <c r="BB3834" s="340"/>
      <c r="BC3834" s="340"/>
      <c r="BD3834" s="340"/>
      <c r="BE3834" s="7"/>
      <c r="BF3834" s="7"/>
      <c r="BG3834" s="7"/>
      <c r="BH3834" s="7"/>
      <c r="BI3834" s="7"/>
      <c r="BK3834" s="58"/>
      <c r="BL3834" s="7"/>
      <c r="BM3834" s="7"/>
    </row>
    <row r="3835" spans="1:65" ht="11.1" customHeight="1"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>
        <v>331843</v>
      </c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K3835" s="58"/>
      <c r="BL3835" s="7"/>
      <c r="BM3835" s="7"/>
    </row>
    <row r="3836" spans="1:65" ht="11.1" customHeight="1"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K3836" s="58"/>
      <c r="BL3836" s="7"/>
      <c r="BM3836" s="7"/>
    </row>
    <row r="3837" spans="1:65" ht="11.1" customHeight="1"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144">
        <f>AE3825-AE3835</f>
        <v>-331843</v>
      </c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K3837" s="58"/>
      <c r="BL3837" s="7"/>
      <c r="BM3837" s="7"/>
    </row>
    <row r="3838" spans="1:65" ht="11.1" customHeight="1"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K3838" s="58"/>
      <c r="BL3838" s="7"/>
      <c r="BM3838" s="7"/>
    </row>
    <row r="3839" spans="1:65" ht="10.5" customHeight="1"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143"/>
      <c r="BK3839" s="58"/>
      <c r="BL3839" s="7"/>
      <c r="BM3839" s="7"/>
    </row>
    <row r="3840" spans="1:65" ht="10.5" customHeight="1"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143"/>
      <c r="BK3840" s="58"/>
      <c r="BL3840" s="7"/>
      <c r="BM3840" s="7"/>
    </row>
    <row r="3841" spans="4:65" ht="10.5" customHeight="1"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143"/>
      <c r="BK3841" s="58"/>
      <c r="BL3841" s="7"/>
      <c r="BM3841" s="7"/>
    </row>
    <row r="3842" spans="4:65" ht="10.5" customHeight="1"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143"/>
      <c r="BK3842" s="58"/>
      <c r="BL3842" s="7"/>
      <c r="BM3842" s="7"/>
    </row>
    <row r="3843" spans="4:65" ht="10.5" customHeight="1"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143"/>
      <c r="BK3843" s="58"/>
      <c r="BL3843" s="7"/>
      <c r="BM3843" s="7"/>
    </row>
    <row r="3844" spans="4:65" ht="24.95" customHeight="1"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143"/>
      <c r="BK3844" s="58"/>
      <c r="BL3844" s="7"/>
      <c r="BM3844" s="7"/>
    </row>
    <row r="3845" spans="4:65" ht="24.95" customHeight="1"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143"/>
      <c r="BK3845" s="58"/>
      <c r="BL3845" s="7"/>
      <c r="BM3845" s="7"/>
    </row>
    <row r="3846" spans="4:65" ht="24.95" customHeight="1"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143"/>
      <c r="BK3846" s="58"/>
      <c r="BL3846" s="7"/>
      <c r="BM3846" s="7"/>
    </row>
    <row r="3847" spans="4:65" ht="24.95" customHeight="1"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143"/>
      <c r="BK3847" s="58"/>
      <c r="BL3847" s="7"/>
      <c r="BM3847" s="7"/>
    </row>
    <row r="3848" spans="4:65" ht="24.95" customHeight="1"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143"/>
      <c r="BK3848" s="58"/>
      <c r="BL3848" s="7"/>
      <c r="BM3848" s="7"/>
    </row>
    <row r="3849" spans="4:65" ht="24.95" customHeight="1"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143"/>
      <c r="BK3849" s="58"/>
      <c r="BL3849" s="7"/>
      <c r="BM3849" s="7"/>
    </row>
    <row r="3850" spans="4:65" ht="24.95" customHeight="1"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143"/>
      <c r="BK3850" s="58"/>
      <c r="BL3850" s="7"/>
      <c r="BM3850" s="7"/>
    </row>
    <row r="3851" spans="4:65" ht="24.95" customHeight="1"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143"/>
      <c r="BK3851" s="58"/>
      <c r="BL3851" s="7"/>
      <c r="BM3851" s="7"/>
    </row>
    <row r="3852" spans="4:65" ht="24.95" customHeight="1"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143"/>
      <c r="BK3852" s="58"/>
      <c r="BL3852" s="7"/>
      <c r="BM3852" s="7"/>
    </row>
    <row r="3853" spans="4:65" ht="24.95" customHeight="1"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143"/>
      <c r="BK3853" s="58"/>
      <c r="BL3853" s="7"/>
      <c r="BM3853" s="7"/>
    </row>
    <row r="3854" spans="4:65" ht="24.95" customHeight="1"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143"/>
      <c r="BK3854" s="58"/>
      <c r="BL3854" s="7"/>
      <c r="BM3854" s="7"/>
    </row>
    <row r="3855" spans="4:65" ht="24.95" customHeight="1"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143"/>
      <c r="BK3855" s="58"/>
      <c r="BL3855" s="7"/>
      <c r="BM3855" s="7"/>
    </row>
    <row r="3856" spans="4:65" ht="24.95" customHeight="1"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143"/>
      <c r="BK3856" s="58"/>
      <c r="BL3856" s="7"/>
      <c r="BM3856" s="7"/>
    </row>
    <row r="3857" spans="4:65" ht="24.95" customHeight="1"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143"/>
      <c r="BK3857" s="58"/>
      <c r="BL3857" s="7"/>
      <c r="BM3857" s="7"/>
    </row>
    <row r="3858" spans="4:65" ht="24.95" customHeight="1"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143"/>
      <c r="BK3858" s="58"/>
      <c r="BL3858" s="7"/>
      <c r="BM3858" s="7"/>
    </row>
    <row r="3859" spans="4:65" ht="24.95" customHeight="1"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143"/>
      <c r="BK3859" s="58"/>
      <c r="BL3859" s="7"/>
      <c r="BM3859" s="7"/>
    </row>
    <row r="3860" spans="4:65" ht="24.95" customHeight="1"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143"/>
      <c r="BK3860" s="58"/>
      <c r="BL3860" s="7"/>
      <c r="BM3860" s="7"/>
    </row>
    <row r="3861" spans="4:65" ht="24.95" customHeight="1"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143"/>
      <c r="BK3861" s="58"/>
      <c r="BL3861" s="7"/>
      <c r="BM3861" s="7"/>
    </row>
    <row r="3862" spans="4:65" ht="24.95" customHeight="1"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143"/>
      <c r="BK3862" s="58"/>
      <c r="BL3862" s="7"/>
      <c r="BM3862" s="7"/>
    </row>
    <row r="3863" spans="4:65" ht="24.95" customHeight="1"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143"/>
      <c r="BK3863" s="58"/>
      <c r="BL3863" s="7"/>
      <c r="BM3863" s="7"/>
    </row>
    <row r="3864" spans="4:65" ht="24.95" customHeight="1"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143"/>
      <c r="BK3864" s="58"/>
      <c r="BL3864" s="7"/>
      <c r="BM3864" s="7"/>
    </row>
    <row r="3865" spans="4:65" ht="24.95" customHeight="1"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143"/>
      <c r="BK3865" s="58"/>
      <c r="BL3865" s="7"/>
      <c r="BM3865" s="7"/>
    </row>
    <row r="3866" spans="4:65" ht="24.95" customHeight="1"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143"/>
      <c r="BK3866" s="58"/>
      <c r="BL3866" s="7"/>
      <c r="BM3866" s="7"/>
    </row>
    <row r="3867" spans="4:65" ht="24.95" customHeight="1"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143"/>
      <c r="BK3867" s="58"/>
      <c r="BL3867" s="7"/>
      <c r="BM3867" s="7"/>
    </row>
    <row r="3868" spans="4:65" ht="24.95" customHeight="1"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143"/>
      <c r="BK3868" s="58"/>
      <c r="BL3868" s="7"/>
      <c r="BM3868" s="7"/>
    </row>
    <row r="3869" spans="4:65" ht="24.95" customHeight="1"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143"/>
      <c r="BK3869" s="58"/>
      <c r="BL3869" s="7"/>
      <c r="BM3869" s="7"/>
    </row>
    <row r="3870" spans="4:65" ht="24.95" customHeight="1"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143"/>
      <c r="BK3870" s="58"/>
      <c r="BL3870" s="7"/>
      <c r="BM3870" s="7"/>
    </row>
    <row r="3871" spans="4:65" ht="24.95" customHeight="1"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143"/>
      <c r="BK3871" s="58"/>
      <c r="BL3871" s="7"/>
      <c r="BM3871" s="7"/>
    </row>
    <row r="3872" spans="4:65" ht="24.95" customHeight="1"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143"/>
      <c r="BK3872" s="58"/>
      <c r="BL3872" s="7"/>
      <c r="BM3872" s="7"/>
    </row>
    <row r="3873" spans="4:65" ht="24.95" customHeight="1"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143"/>
      <c r="BK3873" s="58"/>
      <c r="BL3873" s="7"/>
      <c r="BM3873" s="7"/>
    </row>
    <row r="3874" spans="4:65" ht="24.95" customHeight="1"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143"/>
      <c r="BK3874" s="58"/>
      <c r="BL3874" s="7"/>
      <c r="BM3874" s="7"/>
    </row>
    <row r="3875" spans="4:65" ht="24.95" customHeight="1"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143"/>
      <c r="BK3875" s="58"/>
      <c r="BL3875" s="7"/>
      <c r="BM3875" s="7"/>
    </row>
    <row r="3876" spans="4:65" ht="24.95" customHeight="1"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143"/>
      <c r="BK3876" s="58"/>
      <c r="BL3876" s="7"/>
      <c r="BM3876" s="7"/>
    </row>
    <row r="3877" spans="4:65" ht="24.95" customHeight="1"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143"/>
      <c r="BK3877" s="58"/>
      <c r="BL3877" s="7"/>
      <c r="BM3877" s="7"/>
    </row>
    <row r="3878" spans="4:65" ht="24.95" customHeight="1"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143"/>
      <c r="BK3878" s="58"/>
      <c r="BL3878" s="7"/>
      <c r="BM3878" s="7"/>
    </row>
    <row r="3879" spans="4:65" ht="24.95" customHeight="1"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143"/>
      <c r="BK3879" s="58"/>
      <c r="BL3879" s="7"/>
      <c r="BM3879" s="7"/>
    </row>
    <row r="3880" spans="4:65" ht="24.95" customHeight="1"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143"/>
      <c r="BK3880" s="58"/>
      <c r="BL3880" s="7"/>
      <c r="BM3880" s="7"/>
    </row>
    <row r="3881" spans="4:65" ht="24.95" customHeight="1"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143"/>
      <c r="BK3881" s="58"/>
      <c r="BL3881" s="7"/>
      <c r="BM3881" s="7"/>
    </row>
    <row r="3882" spans="4:65" ht="24.95" customHeight="1"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143"/>
      <c r="BK3882" s="58"/>
      <c r="BL3882" s="7"/>
      <c r="BM3882" s="7"/>
    </row>
    <row r="3883" spans="4:65" ht="24.95" customHeight="1"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143"/>
      <c r="BK3883" s="58"/>
      <c r="BL3883" s="7"/>
      <c r="BM3883" s="7"/>
    </row>
    <row r="3884" spans="4:65" ht="24.95" customHeight="1"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143"/>
      <c r="BK3884" s="58"/>
      <c r="BL3884" s="7"/>
      <c r="BM3884" s="7"/>
    </row>
    <row r="3885" spans="4:65" ht="24.95" customHeight="1"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143"/>
      <c r="BK3885" s="58"/>
      <c r="BL3885" s="7"/>
      <c r="BM3885" s="7"/>
    </row>
    <row r="3886" spans="4:65" ht="24.95" customHeight="1"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143"/>
      <c r="BK3886" s="58"/>
      <c r="BL3886" s="7"/>
      <c r="BM3886" s="7"/>
    </row>
    <row r="3887" spans="4:65" ht="24.95" customHeight="1"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143"/>
      <c r="BK3887" s="58"/>
      <c r="BL3887" s="7"/>
      <c r="BM3887" s="7"/>
    </row>
    <row r="3888" spans="4:65" ht="24.95" customHeight="1"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143"/>
      <c r="BK3888" s="58"/>
      <c r="BL3888" s="7"/>
      <c r="BM3888" s="7"/>
    </row>
    <row r="3889" spans="4:65" ht="24.95" customHeight="1"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143"/>
      <c r="BK3889" s="58"/>
      <c r="BL3889" s="7"/>
      <c r="BM3889" s="7"/>
    </row>
    <row r="3890" spans="4:65" ht="24.95" customHeight="1"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143"/>
      <c r="BK3890" s="58"/>
      <c r="BL3890" s="7"/>
      <c r="BM3890" s="7"/>
    </row>
    <row r="3891" spans="4:65" ht="24.95" customHeight="1"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143"/>
      <c r="BK3891" s="58"/>
      <c r="BL3891" s="7"/>
      <c r="BM3891" s="7"/>
    </row>
    <row r="3892" spans="4:65" ht="24.95" customHeight="1"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143"/>
      <c r="BK3892" s="58"/>
      <c r="BL3892" s="7"/>
      <c r="BM3892" s="7"/>
    </row>
    <row r="3893" spans="4:65" ht="24.95" customHeight="1"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143"/>
      <c r="BK3893" s="58"/>
      <c r="BL3893" s="7"/>
      <c r="BM3893" s="7"/>
    </row>
    <row r="3894" spans="4:65" ht="24.95" customHeight="1"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143"/>
      <c r="BK3894" s="58"/>
      <c r="BL3894" s="7"/>
      <c r="BM3894" s="7"/>
    </row>
    <row r="3895" spans="4:65" ht="24.95" customHeight="1"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143"/>
      <c r="BK3895" s="58"/>
      <c r="BL3895" s="7"/>
      <c r="BM3895" s="7"/>
    </row>
    <row r="3896" spans="4:65" ht="24.95" customHeight="1"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143"/>
      <c r="BK3896" s="58"/>
      <c r="BL3896" s="7"/>
      <c r="BM3896" s="7"/>
    </row>
    <row r="3897" spans="4:65" ht="24.95" customHeight="1"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143"/>
      <c r="BK3897" s="58"/>
      <c r="BL3897" s="7"/>
      <c r="BM3897" s="7"/>
    </row>
    <row r="3898" spans="4:65" ht="24.95" customHeight="1"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143"/>
      <c r="BK3898" s="58"/>
      <c r="BL3898" s="7"/>
      <c r="BM3898" s="7"/>
    </row>
    <row r="3899" spans="4:65" ht="24.95" customHeight="1"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143"/>
      <c r="BK3899" s="58"/>
      <c r="BL3899" s="7"/>
      <c r="BM3899" s="7"/>
    </row>
    <row r="3900" spans="4:65" ht="24.95" customHeight="1"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143"/>
      <c r="BK3900" s="58"/>
      <c r="BL3900" s="7"/>
      <c r="BM3900" s="7"/>
    </row>
    <row r="3901" spans="4:65" ht="24.95" customHeight="1"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143"/>
      <c r="BK3901" s="58"/>
      <c r="BL3901" s="7"/>
      <c r="BM3901" s="7"/>
    </row>
    <row r="3902" spans="4:65" ht="24.95" customHeight="1"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143"/>
      <c r="BK3902" s="58"/>
      <c r="BL3902" s="7"/>
      <c r="BM3902" s="7"/>
    </row>
    <row r="3903" spans="4:65" ht="24.95" customHeight="1"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143"/>
      <c r="BK3903" s="58"/>
      <c r="BL3903" s="7"/>
      <c r="BM3903" s="7"/>
    </row>
    <row r="3904" spans="4:65" ht="24.95" customHeight="1"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143"/>
      <c r="BK3904" s="58"/>
      <c r="BL3904" s="7"/>
      <c r="BM3904" s="7"/>
    </row>
    <row r="3905" spans="4:65" ht="24.95" customHeight="1"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143"/>
      <c r="BK3905" s="58"/>
      <c r="BL3905" s="7"/>
      <c r="BM3905" s="7"/>
    </row>
    <row r="3906" spans="4:65" ht="24.95" customHeight="1"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143"/>
      <c r="BK3906" s="58"/>
      <c r="BL3906" s="7"/>
      <c r="BM3906" s="7"/>
    </row>
    <row r="3907" spans="4:65" ht="24.95" customHeight="1"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143"/>
      <c r="BK3907" s="58"/>
      <c r="BL3907" s="7"/>
      <c r="BM3907" s="7"/>
    </row>
    <row r="3908" spans="4:65" ht="24.95" customHeight="1"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143"/>
      <c r="BK3908" s="58"/>
      <c r="BL3908" s="7"/>
      <c r="BM3908" s="7"/>
    </row>
    <row r="3909" spans="4:65" ht="24.95" customHeight="1"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143"/>
      <c r="BK3909" s="58"/>
      <c r="BL3909" s="7"/>
      <c r="BM3909" s="7"/>
    </row>
    <row r="3910" spans="4:65" ht="24.95" customHeight="1"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143"/>
      <c r="BK3910" s="58"/>
      <c r="BL3910" s="7"/>
      <c r="BM3910" s="7"/>
    </row>
    <row r="3911" spans="4:65" ht="24.95" customHeight="1"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143"/>
      <c r="BK3911" s="58"/>
      <c r="BL3911" s="7"/>
      <c r="BM3911" s="7"/>
    </row>
    <row r="3912" spans="4:65" ht="24.95" customHeight="1"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143"/>
      <c r="BK3912" s="58"/>
      <c r="BL3912" s="7"/>
      <c r="BM3912" s="7"/>
    </row>
    <row r="3913" spans="4:65" ht="24.95" customHeight="1"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143"/>
      <c r="BK3913" s="58"/>
      <c r="BL3913" s="7"/>
      <c r="BM3913" s="7"/>
    </row>
    <row r="3914" spans="4:65" ht="24.95" customHeight="1"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143"/>
      <c r="BK3914" s="58"/>
      <c r="BL3914" s="7"/>
      <c r="BM3914" s="7"/>
    </row>
    <row r="3915" spans="4:65" ht="24.95" customHeight="1"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143"/>
      <c r="BK3915" s="58"/>
      <c r="BL3915" s="7"/>
      <c r="BM3915" s="7"/>
    </row>
    <row r="3916" spans="4:65" ht="24.95" customHeight="1"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143"/>
      <c r="BK3916" s="58"/>
      <c r="BL3916" s="7"/>
      <c r="BM3916" s="7"/>
    </row>
    <row r="3917" spans="4:65" ht="24.95" customHeight="1"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143"/>
      <c r="BK3917" s="58"/>
      <c r="BL3917" s="7"/>
      <c r="BM3917" s="7"/>
    </row>
    <row r="3918" spans="4:65" ht="24.95" customHeight="1"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143"/>
      <c r="BK3918" s="58"/>
      <c r="BL3918" s="7"/>
      <c r="BM3918" s="7"/>
    </row>
    <row r="3919" spans="4:65" ht="24.95" customHeight="1"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143"/>
      <c r="BK3919" s="58"/>
      <c r="BL3919" s="7"/>
      <c r="BM3919" s="7"/>
    </row>
    <row r="3920" spans="4:65" ht="24.95" customHeight="1"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143"/>
      <c r="BK3920" s="58"/>
      <c r="BL3920" s="7"/>
      <c r="BM3920" s="7"/>
    </row>
    <row r="3921" spans="4:65" ht="24.95" customHeight="1"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143"/>
      <c r="BK3921" s="58"/>
      <c r="BL3921" s="7"/>
      <c r="BM3921" s="7"/>
    </row>
    <row r="3922" spans="4:65" ht="24.95" customHeight="1"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143"/>
      <c r="BK3922" s="58"/>
      <c r="BL3922" s="7"/>
      <c r="BM3922" s="7"/>
    </row>
    <row r="3923" spans="4:65" ht="24.95" customHeight="1"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143"/>
      <c r="BK3923" s="58"/>
      <c r="BL3923" s="7"/>
      <c r="BM3923" s="7"/>
    </row>
    <row r="3924" spans="4:65" ht="24.95" customHeight="1"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143"/>
      <c r="BK3924" s="58"/>
      <c r="BL3924" s="7"/>
      <c r="BM3924" s="7"/>
    </row>
    <row r="3925" spans="4:65" ht="12.75"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58"/>
      <c r="BL3925" s="7"/>
      <c r="BM3925" s="7"/>
    </row>
  </sheetData>
  <sheetProtection password="CC71" sheet="1" objects="1" scenarios="1"/>
  <sortState ref="A1001:BS1013">
    <sortCondition ref="B1001:B1013"/>
  </sortState>
  <mergeCells count="183">
    <mergeCell ref="AE8:AF8"/>
    <mergeCell ref="Z8:AA8"/>
    <mergeCell ref="X8:Y8"/>
    <mergeCell ref="V8:W8"/>
    <mergeCell ref="V6:V7"/>
    <mergeCell ref="W6:W7"/>
    <mergeCell ref="X6:X7"/>
    <mergeCell ref="Y6:Y7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D6:D7"/>
    <mergeCell ref="E6:E7"/>
    <mergeCell ref="H6:H7"/>
    <mergeCell ref="I6:I7"/>
    <mergeCell ref="L6:L7"/>
    <mergeCell ref="M6:M7"/>
    <mergeCell ref="F6:F7"/>
    <mergeCell ref="BI5:BI8"/>
    <mergeCell ref="AC7:AD7"/>
    <mergeCell ref="BD7:BE7"/>
    <mergeCell ref="BG7:BH7"/>
    <mergeCell ref="AC5:AD6"/>
    <mergeCell ref="BD5:BE6"/>
    <mergeCell ref="BG5:BH6"/>
    <mergeCell ref="O6:O7"/>
    <mergeCell ref="P6:P7"/>
    <mergeCell ref="Q6:Q7"/>
    <mergeCell ref="R6:R7"/>
    <mergeCell ref="S6:S7"/>
    <mergeCell ref="T6:T7"/>
    <mergeCell ref="U6:U7"/>
    <mergeCell ref="Z6:Z7"/>
    <mergeCell ref="AA6:AA7"/>
    <mergeCell ref="AE6:AE7"/>
    <mergeCell ref="AF6:AF7"/>
    <mergeCell ref="AG6:AG7"/>
    <mergeCell ref="AH6:AH7"/>
    <mergeCell ref="AI6:AI7"/>
    <mergeCell ref="AJ6:AJ7"/>
    <mergeCell ref="AK6:AK7"/>
    <mergeCell ref="AL6:AL7"/>
    <mergeCell ref="N6:N7"/>
    <mergeCell ref="A1011:C1011"/>
    <mergeCell ref="A1183:C1183"/>
    <mergeCell ref="A1295:C1295"/>
    <mergeCell ref="A1389:C1389"/>
    <mergeCell ref="A1488:C1488"/>
    <mergeCell ref="A765:C765"/>
    <mergeCell ref="A771:C771"/>
    <mergeCell ref="A114:C114"/>
    <mergeCell ref="A446:C446"/>
    <mergeCell ref="A561:C561"/>
    <mergeCell ref="A627:C627"/>
    <mergeCell ref="A10:C10"/>
    <mergeCell ref="A91:C91"/>
    <mergeCell ref="A5:A8"/>
    <mergeCell ref="B5:B8"/>
    <mergeCell ref="C5:C8"/>
    <mergeCell ref="A933:C933"/>
    <mergeCell ref="A934:C934"/>
    <mergeCell ref="A947:C947"/>
    <mergeCell ref="A954:C954"/>
    <mergeCell ref="A963:C963"/>
    <mergeCell ref="A976:C976"/>
    <mergeCell ref="G6:G7"/>
    <mergeCell ref="A2127:C2127"/>
    <mergeCell ref="A2161:C2161"/>
    <mergeCell ref="A2362:C2362"/>
    <mergeCell ref="A2390:C2390"/>
    <mergeCell ref="A2522:C2522"/>
    <mergeCell ref="A2632:C2632"/>
    <mergeCell ref="J6:J7"/>
    <mergeCell ref="K6:K7"/>
    <mergeCell ref="A1656:C1656"/>
    <mergeCell ref="A1738:C1738"/>
    <mergeCell ref="A1824:C1824"/>
    <mergeCell ref="A1826:C1826"/>
    <mergeCell ref="A1968:C1968"/>
    <mergeCell ref="A2090:C2090"/>
    <mergeCell ref="B1565:C1565"/>
    <mergeCell ref="A978:C978"/>
    <mergeCell ref="A997:C997"/>
    <mergeCell ref="A3191:C3191"/>
    <mergeCell ref="A3192:C3192"/>
    <mergeCell ref="A3230:C3230"/>
    <mergeCell ref="A3255:C3255"/>
    <mergeCell ref="A3288:C3288"/>
    <mergeCell ref="A3333:C3333"/>
    <mergeCell ref="A2786:C2786"/>
    <mergeCell ref="A2829:C2829"/>
    <mergeCell ref="A2845:C2845"/>
    <mergeCell ref="A3011:C3011"/>
    <mergeCell ref="A3115:C3115"/>
    <mergeCell ref="A3136:C3136"/>
    <mergeCell ref="A3474:C3474"/>
    <mergeCell ref="A3477:C3477"/>
    <mergeCell ref="A3478:C3478"/>
    <mergeCell ref="A3496:C3496"/>
    <mergeCell ref="A3512:C3512"/>
    <mergeCell ref="A3525:C3525"/>
    <mergeCell ref="A3346:C3346"/>
    <mergeCell ref="A3395:C3395"/>
    <mergeCell ref="A3414:C3414"/>
    <mergeCell ref="A3430:C3430"/>
    <mergeCell ref="A3458:C3458"/>
    <mergeCell ref="A3461:C3461"/>
    <mergeCell ref="A3618:C3618"/>
    <mergeCell ref="A3626:C3626"/>
    <mergeCell ref="A3628:C3628"/>
    <mergeCell ref="A3631:C3631"/>
    <mergeCell ref="A3652:C3652"/>
    <mergeCell ref="A3654:C3654"/>
    <mergeCell ref="A3539:C3539"/>
    <mergeCell ref="B3551:C3551"/>
    <mergeCell ref="A3569:C3569"/>
    <mergeCell ref="A3588:C3588"/>
    <mergeCell ref="A3603:C3603"/>
    <mergeCell ref="A3606:C3606"/>
    <mergeCell ref="A3798:C3798"/>
    <mergeCell ref="A3800:C3800"/>
    <mergeCell ref="A3802:C3802"/>
    <mergeCell ref="A3803:C3803"/>
    <mergeCell ref="A3667:C3667"/>
    <mergeCell ref="A3685:C3685"/>
    <mergeCell ref="A3712:C3712"/>
    <mergeCell ref="A3724:C3724"/>
    <mergeCell ref="A3726:C3726"/>
    <mergeCell ref="A3733:C3733"/>
    <mergeCell ref="AO6:AO7"/>
    <mergeCell ref="AP6:AP7"/>
    <mergeCell ref="AQ6:AQ7"/>
    <mergeCell ref="AR6:AR7"/>
    <mergeCell ref="AS6:AS7"/>
    <mergeCell ref="AT6:AT7"/>
    <mergeCell ref="AY6:AY7"/>
    <mergeCell ref="AZ6:AZ7"/>
    <mergeCell ref="B3832:BD3832"/>
    <mergeCell ref="A3831:BH3831"/>
    <mergeCell ref="A3822:C3822"/>
    <mergeCell ref="A3823:C3823"/>
    <mergeCell ref="A3824:C3824"/>
    <mergeCell ref="A3825:C3825"/>
    <mergeCell ref="A3829:BH3829"/>
    <mergeCell ref="A3804:C3804"/>
    <mergeCell ref="A3805:C3805"/>
    <mergeCell ref="A3806:C3806"/>
    <mergeCell ref="A3807:BH3807"/>
    <mergeCell ref="A3820:C3820"/>
    <mergeCell ref="A3821:C3821"/>
    <mergeCell ref="A3830:BG3830"/>
    <mergeCell ref="A3745:C3745"/>
    <mergeCell ref="A3796:C3796"/>
    <mergeCell ref="B3834:BD3834"/>
    <mergeCell ref="H5:I5"/>
    <mergeCell ref="AB5:AB8"/>
    <mergeCell ref="BC5:BC8"/>
    <mergeCell ref="BF5:BF8"/>
    <mergeCell ref="AG8:AH8"/>
    <mergeCell ref="AI8:AJ8"/>
    <mergeCell ref="AK8:AL8"/>
    <mergeCell ref="AM8:AN8"/>
    <mergeCell ref="AO8:AP8"/>
    <mergeCell ref="AQ8:AR8"/>
    <mergeCell ref="AS8:AT8"/>
    <mergeCell ref="AY8:AZ8"/>
    <mergeCell ref="BA8:BB8"/>
    <mergeCell ref="AU8:AV8"/>
    <mergeCell ref="AW8:AX8"/>
    <mergeCell ref="AU6:AU7"/>
    <mergeCell ref="AV6:AV7"/>
    <mergeCell ref="AW6:AW7"/>
    <mergeCell ref="AX6:AX7"/>
    <mergeCell ref="AM6:AM7"/>
    <mergeCell ref="BA6:BA7"/>
    <mergeCell ref="BB6:BB7"/>
    <mergeCell ref="AN6:AN7"/>
  </mergeCells>
  <pageMargins left="0.19685039370078741" right="0.19685039370078741" top="0.59055118110236227" bottom="0.39370078740157483" header="0.19685039370078741" footer="0.19685039370078741"/>
  <pageSetup paperSize="9" scale="95" orientation="landscape" r:id="rId1"/>
  <headerFooter alignWithMargins="0">
    <oddFooter>&amp;RСтр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13-УСЛУГЕ-РФЗО 2023 ГОД</vt:lpstr>
      <vt:lpstr>Sheet1</vt:lpstr>
      <vt:lpstr>'13-УСЛУГЕ-РФЗО 2023 ГОД'!Print_Titles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2024-04-17T15:50:27Z</dcterms:modified>
</cp:coreProperties>
</file>